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powercorp-my.sharepoint.com/personal/aheldermon_sunpowercorp_com/Documents/Documents/Projects/excel/weeks/"/>
    </mc:Choice>
  </mc:AlternateContent>
  <xr:revisionPtr revIDLastSave="682" documentId="8_{E1E1E129-11C4-42AC-9950-AA42E7685FF7}" xr6:coauthVersionLast="47" xr6:coauthVersionMax="47" xr10:uidLastSave="{82D4B1AD-9422-446A-91D4-36AB686B6EF2}"/>
  <bookViews>
    <workbookView xWindow="-14220" yWindow="-16320" windowWidth="29040" windowHeight="15840" xr2:uid="{9455FB28-11A8-43E2-B0BD-B799DB164C36}"/>
  </bookViews>
  <sheets>
    <sheet name="FCR and Interactions" sheetId="2" r:id="rId1"/>
    <sheet name="Call Volume" sheetId="3" r:id="rId2"/>
    <sheet name="Utilization" sheetId="4" r:id="rId3"/>
    <sheet name="Survey Data" sheetId="1" r:id="rId4"/>
    <sheet name="QA" sheetId="5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2" l="1" a="1"/>
  <c r="S3" i="2" s="1"/>
  <c r="W2" i="2" l="1"/>
  <c r="V2" i="2"/>
  <c r="U2" i="2"/>
  <c r="T2" i="2"/>
  <c r="S2" i="2"/>
  <c r="K13" i="3" l="1"/>
  <c r="J13" i="3"/>
  <c r="H13" i="3"/>
  <c r="I13" i="3"/>
  <c r="Q10" i="3"/>
  <c r="P10" i="3"/>
  <c r="O10" i="3"/>
  <c r="N10" i="3"/>
  <c r="K7" i="3"/>
  <c r="J7" i="3"/>
  <c r="I7" i="3"/>
  <c r="H7" i="3"/>
  <c r="E24" i="3"/>
  <c r="D24" i="3"/>
  <c r="C24" i="3"/>
  <c r="B24" i="3"/>
  <c r="I10" i="2"/>
  <c r="F24" i="2"/>
  <c r="P7" i="2"/>
  <c r="E24" i="2"/>
  <c r="O7" i="2"/>
  <c r="D24" i="2"/>
  <c r="N7" i="2"/>
  <c r="M7" i="2"/>
  <c r="L7" i="2"/>
  <c r="C24" i="2"/>
  <c r="B24" i="2"/>
  <c r="Q25" i="1" l="1"/>
  <c r="P25" i="1"/>
  <c r="O25" i="1"/>
  <c r="S25" i="1" s="1"/>
  <c r="K20" i="1"/>
  <c r="K19" i="1"/>
  <c r="S34" i="1"/>
  <c r="S33" i="1"/>
  <c r="S32" i="1"/>
  <c r="S31" i="1"/>
  <c r="S24" i="1" l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<sst xmlns="http://schemas.openxmlformats.org/spreadsheetml/2006/main" count="223" uniqueCount="118">
  <si>
    <t>Provalus</t>
  </si>
  <si>
    <t>Responded?</t>
  </si>
  <si>
    <t>Yes</t>
  </si>
  <si>
    <t>No</t>
  </si>
  <si>
    <t>Total</t>
  </si>
  <si>
    <t>HMD Resolved - By Agent</t>
  </si>
  <si>
    <t>%Yes</t>
  </si>
  <si>
    <t>MICHAEL CUMMING</t>
  </si>
  <si>
    <t>RYAN HAINZINGER</t>
  </si>
  <si>
    <t>ETHAN BURNS</t>
  </si>
  <si>
    <t>JOSHUA BUTTES</t>
  </si>
  <si>
    <t>MICHAEL DAWSON</t>
  </si>
  <si>
    <t>DEVIN MCANELLY</t>
  </si>
  <si>
    <t>ATHENA WOOD</t>
  </si>
  <si>
    <t>ADAM HOLLEY</t>
  </si>
  <si>
    <t>STEPHON HALL</t>
  </si>
  <si>
    <t>IRA LOLLEY</t>
  </si>
  <si>
    <t>JAXON CATRON</t>
  </si>
  <si>
    <t>KENDRICK TEAGUE</t>
  </si>
  <si>
    <t>AUBREY HELDERMON</t>
  </si>
  <si>
    <t>KEVIN WILLIS</t>
  </si>
  <si>
    <t>Promoter</t>
  </si>
  <si>
    <t>Passive</t>
  </si>
  <si>
    <t>Detractor</t>
  </si>
  <si>
    <t>TOTAL</t>
  </si>
  <si>
    <t>NPS</t>
  </si>
  <si>
    <t>BLAZE LOWE</t>
  </si>
  <si>
    <t>CHARLOTTE LOWERY</t>
  </si>
  <si>
    <t>DALTON OVERMAN</t>
  </si>
  <si>
    <t>JENNIE WASHINGTON</t>
  </si>
  <si>
    <t>JONATHAN KIMBLE</t>
  </si>
  <si>
    <t>JOSHUA PERCEFUL</t>
  </si>
  <si>
    <t>Survey Count</t>
  </si>
  <si>
    <t>Customer Service Case</t>
  </si>
  <si>
    <t>Technical Support Case</t>
  </si>
  <si>
    <t>Q1</t>
  </si>
  <si>
    <t>Christopher Dodson</t>
  </si>
  <si>
    <t>Improvement/Suggestion</t>
  </si>
  <si>
    <t>No Responses for both HMD and NPS according to Survey Report</t>
  </si>
  <si>
    <t>Adam Holley</t>
  </si>
  <si>
    <t>Athena Wood</t>
  </si>
  <si>
    <t>Aubrey Heldermon</t>
  </si>
  <si>
    <t>Blaze Lowe</t>
  </si>
  <si>
    <t>Bradley Howe</t>
  </si>
  <si>
    <t>Charlotte Lowery</t>
  </si>
  <si>
    <t>Dalton Overman</t>
  </si>
  <si>
    <t>Devin McAnelly</t>
  </si>
  <si>
    <t>Ethan Burns</t>
  </si>
  <si>
    <t>Ira Lolley</t>
  </si>
  <si>
    <t>Jaxon Catron</t>
  </si>
  <si>
    <t>Jennie Washington</t>
  </si>
  <si>
    <t>Jonathan Kimble</t>
  </si>
  <si>
    <t>Joshua Buttes</t>
  </si>
  <si>
    <t>Joshua Perceful</t>
  </si>
  <si>
    <t>Joshua Gragg</t>
  </si>
  <si>
    <t>Kendrick Teague</t>
  </si>
  <si>
    <t>Kevin Willis</t>
  </si>
  <si>
    <t>Michael Cumming</t>
  </si>
  <si>
    <t>Michael Dawson</t>
  </si>
  <si>
    <t>Ryan Hainzinger</t>
  </si>
  <si>
    <t>Trenton Gunter</t>
  </si>
  <si>
    <t>Stephon Hall</t>
  </si>
  <si>
    <t>FCR</t>
  </si>
  <si>
    <t>Modified Cases</t>
  </si>
  <si>
    <t>Cases Made</t>
  </si>
  <si>
    <t>Logged Calls</t>
  </si>
  <si>
    <t>Project Intake</t>
  </si>
  <si>
    <t>CSR Nesting</t>
  </si>
  <si>
    <t>Aurora Russell</t>
  </si>
  <si>
    <t>Glenna Chandler</t>
  </si>
  <si>
    <t>Hayley Forman</t>
  </si>
  <si>
    <t>Kaitlin Holley</t>
  </si>
  <si>
    <t>Kimberly Needham</t>
  </si>
  <si>
    <t>Nancy Bolin</t>
  </si>
  <si>
    <t>Pamela Breen</t>
  </si>
  <si>
    <t>Colton Jackson</t>
  </si>
  <si>
    <t>Diego Medina</t>
  </si>
  <si>
    <t>Joshua McFarlland</t>
  </si>
  <si>
    <t>Tristan Butts</t>
  </si>
  <si>
    <t>Cases Closed</t>
  </si>
  <si>
    <t>Cases Created</t>
  </si>
  <si>
    <t>Joshua McFarland</t>
  </si>
  <si>
    <t>CSR Production</t>
  </si>
  <si>
    <t>Inbound</t>
  </si>
  <si>
    <t>Outbound</t>
  </si>
  <si>
    <t>Transfer</t>
  </si>
  <si>
    <t>Pamela Breen - Training</t>
  </si>
  <si>
    <t>Totals for all agents</t>
  </si>
  <si>
    <t>Provalus CSR</t>
  </si>
  <si>
    <t>Provalus Total</t>
  </si>
  <si>
    <t>8.19% Outage</t>
  </si>
  <si>
    <t>84.16% Productive</t>
  </si>
  <si>
    <t>10.29% Outage</t>
  </si>
  <si>
    <t>5.71% Non-Productive</t>
  </si>
  <si>
    <t>83.98% Productive</t>
  </si>
  <si>
    <t>7.63% Productive</t>
  </si>
  <si>
    <t>8.70% Outage</t>
  </si>
  <si>
    <t>7.17% Non-Productive</t>
  </si>
  <si>
    <t>84.11% Productive</t>
  </si>
  <si>
    <t>SunPower CSR</t>
  </si>
  <si>
    <t>12.13% Outage</t>
  </si>
  <si>
    <t>12.88% Non-Productive</t>
  </si>
  <si>
    <t>74.98% Productive</t>
  </si>
  <si>
    <t>9.95% Outage</t>
  </si>
  <si>
    <t>21.59% Non-Productive</t>
  </si>
  <si>
    <t>68.45% Productive</t>
  </si>
  <si>
    <t>SunPower Total</t>
  </si>
  <si>
    <t>11.54% Outage</t>
  </si>
  <si>
    <t>15.22% Non-Productive</t>
  </si>
  <si>
    <t>73.22% Productive</t>
  </si>
  <si>
    <t>Customer Focus</t>
  </si>
  <si>
    <t>Knowledge and Support</t>
  </si>
  <si>
    <t xml:space="preserve">Ownership </t>
  </si>
  <si>
    <t>Zero Tolerance</t>
  </si>
  <si>
    <t xml:space="preserve">Accuracy </t>
  </si>
  <si>
    <t>Courtesy and Engagement</t>
  </si>
  <si>
    <t>Overall Score</t>
  </si>
  <si>
    <t>SunPower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</si>
</sst>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theme="4"/>
      <name val="Calibri Light"/>
      <family val="2"/>
    </font>
    <font>
      <b/>
      <sz val="11"/>
      <color theme="5"/>
      <name val="Calibri Light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Calibri Light"/>
      <family val="2"/>
    </font>
    <font>
      <b/>
      <u/>
      <sz val="11"/>
      <color theme="5"/>
      <name val="Calibri Light"/>
      <family val="2"/>
    </font>
    <font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E78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right" indent="1"/>
    </xf>
    <xf numFmtId="0" fontId="0" fillId="0" borderId="3" xfId="0" applyBorder="1"/>
    <xf numFmtId="0" fontId="2" fillId="2" borderId="4" xfId="0" applyFont="1" applyFill="1" applyBorder="1" applyAlignment="1">
      <alignment horizontal="right" indent="1"/>
    </xf>
    <xf numFmtId="0" fontId="2" fillId="2" borderId="4" xfId="0" applyFont="1" applyFill="1" applyBorder="1"/>
    <xf numFmtId="0" fontId="0" fillId="0" borderId="0" xfId="0" applyAlignment="1">
      <alignment horizontal="left"/>
    </xf>
    <xf numFmtId="9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6" fillId="0" borderId="2" xfId="0" applyFont="1" applyBorder="1"/>
    <xf numFmtId="0" fontId="0" fillId="0" borderId="3" xfId="0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right"/>
    </xf>
    <xf numFmtId="9" fontId="0" fillId="0" borderId="0" xfId="0" applyNumberFormat="1"/>
    <xf numFmtId="0" fontId="0" fillId="0" borderId="0" xfId="0" applyAlignment="1">
      <alignment horizontal="left" wrapText="1" inden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/>
    </xf>
    <xf numFmtId="10" fontId="0" fillId="0" borderId="0" xfId="0" applyNumberFormat="1"/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9" fontId="9" fillId="0" borderId="0" xfId="0" applyNumberFormat="1" applyFont="1"/>
    <xf numFmtId="10" fontId="5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104775</xdr:rowOff>
    </xdr:from>
    <xdr:to>
      <xdr:col>5</xdr:col>
      <xdr:colOff>9525</xdr:colOff>
      <xdr:row>5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6C0C070-1A39-4918-B5FF-A81F0C298CB0}"/>
            </a:ext>
          </a:extLst>
        </xdr:cNvPr>
        <xdr:cNvCxnSpPr/>
      </xdr:nvCxnSpPr>
      <xdr:spPr>
        <a:xfrm>
          <a:off x="57150" y="1057275"/>
          <a:ext cx="5572125" cy="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25</xdr:row>
      <xdr:rowOff>95250</xdr:rowOff>
    </xdr:from>
    <xdr:to>
      <xdr:col>28</xdr:col>
      <xdr:colOff>581025</xdr:colOff>
      <xdr:row>25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4167ADB-0591-41B7-9BDD-D5DE25B45C93}"/>
            </a:ext>
          </a:extLst>
        </xdr:cNvPr>
        <xdr:cNvCxnSpPr/>
      </xdr:nvCxnSpPr>
      <xdr:spPr>
        <a:xfrm flipV="1">
          <a:off x="57150" y="4857750"/>
          <a:ext cx="17592675" cy="9525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29</xdr:row>
      <xdr:rowOff>177775</xdr:rowOff>
    </xdr:from>
    <xdr:ext cx="3971925" cy="316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E11E091-DF31-4792-BCDF-D9D62D044E44}"/>
            </a:ext>
          </a:extLst>
        </xdr:cNvPr>
        <xdr:cNvSpPr txBox="1"/>
      </xdr:nvSpPr>
      <xdr:spPr>
        <a:xfrm>
          <a:off x="9582150" y="3111475"/>
          <a:ext cx="3971925" cy="3164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endParaRPr lang="en-US" sz="900" b="0">
            <a:latin typeface="+mj-lt"/>
          </a:endParaRPr>
        </a:p>
      </xdr:txBody>
    </xdr:sp>
    <xdr:clientData/>
  </xdr:oneCellAnchor>
  <xdr:oneCellAnchor>
    <xdr:from>
      <xdr:col>1</xdr:col>
      <xdr:colOff>295276</xdr:colOff>
      <xdr:row>29</xdr:row>
      <xdr:rowOff>47625</xdr:rowOff>
    </xdr:from>
    <xdr:ext cx="666750" cy="3143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A80AEFC-05CB-4BD9-BB76-9CD4DF7D3615}"/>
            </a:ext>
          </a:extLst>
        </xdr:cNvPr>
        <xdr:cNvSpPr txBox="1"/>
      </xdr:nvSpPr>
      <xdr:spPr>
        <a:xfrm>
          <a:off x="11258551" y="2981325"/>
          <a:ext cx="666750" cy="3143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>
          <a:noAutofit/>
        </a:bodyPr>
        <a:lstStyle/>
        <a:p>
          <a:pPr algn="ctr"/>
          <a:r>
            <a:rPr lang="en-US" sz="1000" b="1">
              <a:latin typeface="+mj-lt"/>
            </a:rPr>
            <a:t>Customer </a:t>
          </a:r>
        </a:p>
        <a:p>
          <a:pPr algn="ctr"/>
          <a:r>
            <a:rPr lang="en-US" sz="1000" b="1">
              <a:latin typeface="+mj-lt"/>
            </a:rPr>
            <a:t>Service Case</a:t>
          </a:r>
        </a:p>
      </xdr:txBody>
    </xdr:sp>
    <xdr:clientData/>
  </xdr:oneCellAnchor>
  <xdr:oneCellAnchor>
    <xdr:from>
      <xdr:col>2</xdr:col>
      <xdr:colOff>266700</xdr:colOff>
      <xdr:row>29</xdr:row>
      <xdr:rowOff>47625</xdr:rowOff>
    </xdr:from>
    <xdr:ext cx="742950" cy="31432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84DC26-4D0F-4773-98A7-C5AD5FA19843}"/>
            </a:ext>
          </a:extLst>
        </xdr:cNvPr>
        <xdr:cNvSpPr txBox="1"/>
      </xdr:nvSpPr>
      <xdr:spPr>
        <a:xfrm>
          <a:off x="12068175" y="2981325"/>
          <a:ext cx="742950" cy="3143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>
          <a:noAutofit/>
        </a:bodyPr>
        <a:lstStyle/>
        <a:p>
          <a:pPr algn="ctr"/>
          <a:r>
            <a:rPr lang="en-US" sz="1000" b="1">
              <a:latin typeface="+mj-lt"/>
            </a:rPr>
            <a:t>Technical </a:t>
          </a:r>
        </a:p>
        <a:p>
          <a:pPr algn="ctr"/>
          <a:r>
            <a:rPr lang="en-US" sz="1000" b="1">
              <a:latin typeface="+mj-lt"/>
            </a:rPr>
            <a:t>Support Case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125CF-EC7B-49B4-802B-A854E7FA4D61}" name="Table1" displayName="Table1" ref="A1:A23" totalsRowShown="0">
  <autoFilter ref="A1:A23" xr:uid="{F8041C98-4186-4C77-B8A5-14D44EA2AFA0}"/>
  <tableColumns count="1">
    <tableColumn id="1" xr3:uid="{BB92BD6E-92E3-4EDF-AC8E-F7BD2A5BDB98}" name="CSR Produc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5559B8-8F2F-490C-9215-A7308D675790}" name="Table2" displayName="Table2" ref="B1:B24" totalsRowCount="1">
  <autoFilter ref="B1:B23" xr:uid="{013E3E2C-8B86-4FF2-9B68-DA0EC535FC91}"/>
  <tableColumns count="1">
    <tableColumn id="1" xr3:uid="{2351512C-B227-4ED7-9E6A-43A5A94D964C}" name="FCR" totalsRowFunction="custom">
      <totalsRowFormula>SUM(Table2[FCR])</totalsRow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568BC7-9730-4C7F-AFA6-FB0F96B32BE7}" name="Table3" displayName="Table3" ref="D1:D24" totalsRowCount="1">
  <autoFilter ref="D1:D23" xr:uid="{9EB35B49-AC3C-45B4-93F7-1B3140E28272}"/>
  <tableColumns count="1">
    <tableColumn id="1" xr3:uid="{F0C13AC4-D492-475D-A935-4C867D04F30F}" name="Modified Cases" totalsRowFunction="custom">
      <totalsRowFormula>SUM(Table3[Modified Cases])</totalsRow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2BB8A5-D2E1-4088-8286-1D71285EB510}" name="Table4" displayName="Table4" ref="E1:E24" totalsRowCount="1">
  <autoFilter ref="E1:E23" xr:uid="{C2980114-3081-4DE6-8378-FD3D65321066}"/>
  <tableColumns count="1">
    <tableColumn id="1" xr3:uid="{8CF5B92E-797E-4415-AF04-E09AFDA2DF3A}" name="Cases Made" totalsRowFunction="custom">
      <totalsRowFormula>SUM(Table4[Cases Made])</totalsRowFormula>
    </tableColumn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62F975-023B-4DEE-A0CF-4203CEBA6E08}" name="Table5" displayName="Table5" ref="F1:F24" totalsRowCount="1">
  <autoFilter ref="F1:F23" xr:uid="{831C3F9E-4F30-4526-BC88-D69BEB82A132}"/>
  <tableColumns count="1">
    <tableColumn id="1" xr3:uid="{B8ADDEDB-FC06-48A3-A44E-DD4844ADC83F}" name="Logged Calls" totalsRowFunction="custom">
      <totalsRowFormula>SUM(Table5[Logged Calls])</totalsRowFormula>
    </tableColumn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FCE188-13C1-447D-9B1C-09C6876A65E0}" name="Table6" displayName="Table6" ref="H1:H9" totalsRowShown="0">
  <autoFilter ref="H1:H9" xr:uid="{CA43FD69-901D-4DFE-84A0-850A03065EBC}"/>
  <tableColumns count="1">
    <tableColumn id="1" xr3:uid="{9E625BFE-40C6-4090-AE34-AFE9F52F59EB}" name="Project Intak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A55628-5B10-46CF-82A6-F7E803FBD48A}" name="Table7" displayName="Table7" ref="I1:I10" totalsRowCount="1">
  <autoFilter ref="I1:I9" xr:uid="{1E25FE18-43D1-4B9A-8777-FFF56CA98A90}"/>
  <tableColumns count="1">
    <tableColumn id="1" xr3:uid="{0C20D274-83A3-4BBF-ACB6-C5B82260EA8F}" name="Logged Calls" totalsRowFunction="custom">
      <totalsRowFormula>SUM(Table7[Logged Calls])</totalsRowFormula>
    </tableColumn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5E7F01-594D-4199-82B4-8ADC9264E75B}" name="Table8" displayName="Table8" ref="K1:K6" totalsRowShown="0">
  <autoFilter ref="K1:K6" xr:uid="{F1EB87F1-6130-432B-8CDB-1AE024B458EB}"/>
  <tableColumns count="1">
    <tableColumn id="1" xr3:uid="{59DB580D-7C63-4B7E-AEB2-3D1020CAB21E}" name="CSR Nesting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86211E-2E02-468F-B0BB-8F216FAD8F08}" name="Table9" displayName="Table9" ref="L1:L7" totalsRowCount="1">
  <autoFilter ref="L1:L6" xr:uid="{742CE451-6A4B-43E0-8A01-DFEBD850D42D}"/>
  <tableColumns count="1">
    <tableColumn id="1" xr3:uid="{9590BB21-9A56-425D-BF54-56B4A91EC2C6}" name="FCR" totalsRowFunction="custom">
      <totalsRowFormula>SUM(Table9[FCR])</totalsRowFormula>
    </tableColumn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EECB3A-E54B-4D6D-81AB-651DF1F11055}" name="Table10" displayName="Table10" ref="C1:C24" totalsRowCount="1">
  <autoFilter ref="C1:C23" xr:uid="{C3EEDB91-ECA5-4649-B0F8-7178678C56CD}"/>
  <tableColumns count="1">
    <tableColumn id="1" xr3:uid="{EA9EFC15-2F36-46E8-B6F7-9D75CBF6CB88}" name="Cases Closed" totalsRowFunction="custom">
      <totalsRowFormula>SUM(Table10[Cases Closed])</totalsRowFormula>
    </tableColumn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9983BD-F469-441C-808F-CC37C0821C85}" name="Table11" displayName="Table11" ref="M1:M7" totalsRowCount="1">
  <autoFilter ref="M1:M6" xr:uid="{AB469C65-B37D-4A61-8A86-6C3F924CC85A}"/>
  <tableColumns count="1">
    <tableColumn id="1" xr3:uid="{065D5BCA-F602-4FDB-B3C8-94DFF5474661}" name="Cases Closed" totalsRowFunction="custom">
      <totalsRowFormula>SUM(Table11[Cases Closed])</totalsRowFormula>
    </tableColumn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D751B1-3ADC-40C3-9B21-631E6810A603}" name="Table12" displayName="Table12" ref="N1:N7" totalsRowCount="1">
  <autoFilter ref="N1:N6" xr:uid="{5F5E9495-0389-443B-8CEE-B022CA7E2AB4}"/>
  <tableColumns count="1">
    <tableColumn id="1" xr3:uid="{760DB530-2A57-49E3-9209-FAC0C4914E47}" name="Modified Cases" totalsRowFunction="custom">
      <totalsRowFormula>SUM(Table12[Modified Cases])</totalsRowFormula>
    </tableColumn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894AAF-C0D6-4F4F-A721-DAB77B6562D8}" name="Table13" displayName="Table13" ref="O1:O7" totalsRowCount="1">
  <autoFilter ref="O1:O6" xr:uid="{D170EB97-6385-4227-8C25-23AC6711B045}"/>
  <tableColumns count="1">
    <tableColumn id="1" xr3:uid="{4B484DA8-703D-42A5-9089-F98907BCDD45}" name="Cases Created" totalsRowFunction="custom">
      <totalsRowFormula>SUM(Table13[Cases Created])</totalsRowFormula>
    </tableColumn>
  </tableColumns>
  <tableStyleInfo name="TableStyleMedium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4A2030-8165-46B5-8ADF-176E1933A917}" name="Table14" displayName="Table14" ref="P1:P7" totalsRowCount="1">
  <autoFilter ref="P1:P6" xr:uid="{82008B3D-5FA2-4468-913E-456021894FF7}"/>
  <tableColumns count="1">
    <tableColumn id="1" xr3:uid="{23754EAD-DC9D-4E3E-8864-BD845ED029C8}" name="Logged Calls" totalsRowFunction="custom">
      <totalsRowFormula>SUM(Table14[Logged Calls])</totalsRowFormula>
    </tableColumn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6B675A9-83D7-4DCC-8121-6FB1FE9BE5CF}" name="Table35" displayName="Table35" ref="S1:S3" totalsRowCount="1">
  <autoFilter ref="S1:S2" xr:uid="{1337D608-1AD3-4F16-9A13-CD423E43173D}"/>
  <tableColumns count="1">
    <tableColumn id="1" xr3:uid="{BD295BE4-7F70-48D8-A4E9-F293100CBADB}" name="FCR" totalsRowFunction="custom" totalsRowDxfId="0" totalsRowCellStyle="Percent">
      <calculatedColumnFormula>B24+L7</calculatedColumnFormula>
      <totalsRowFormula array="1">Table35[FCR]/Table36[Cases Closed]</totalsRowFormula>
    </tableColumn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D08C8FB-326F-4FA5-BB37-F6E199F976F7}" name="Table36" displayName="Table36" ref="T1:T2" totalsRowShown="0">
  <autoFilter ref="T1:T2" xr:uid="{E04C8D4C-4984-4665-9306-D263843D4EF6}"/>
  <tableColumns count="1">
    <tableColumn id="1" xr3:uid="{980AFA4F-69BD-4289-B4E1-94036712AC59}" name="Cases Closed">
      <calculatedColumnFormula>C24+M7</calculatedColumnFormula>
    </tableColumn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B85A01F-E9CD-4A6A-B8D8-E9783BA366DD}" name="Table37" displayName="Table37" ref="U1:U2" totalsRowShown="0">
  <autoFilter ref="U1:U2" xr:uid="{31E8A20B-11C2-43A8-BE24-13850293C3DE}"/>
  <tableColumns count="1">
    <tableColumn id="1" xr3:uid="{C18FD46E-D08E-4389-80DD-37D279FC6069}" name="Modified Cases">
      <calculatedColumnFormula>D24+N7</calculatedColumnFormula>
    </tableColumn>
  </tableColumns>
  <tableStyleInfo name="TableStyleMedium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6AF0D0D-B3DD-448A-A327-30A975B6048D}" name="Table38" displayName="Table38" ref="V1:V2" totalsRowShown="0">
  <autoFilter ref="V1:V2" xr:uid="{964A427E-01E6-472D-8942-A4286E09A5B1}"/>
  <tableColumns count="1">
    <tableColumn id="1" xr3:uid="{E633FA9D-10E0-43ED-9D94-3DD46EA3A68C}" name="Cases Created">
      <calculatedColumnFormula>E24+O7</calculatedColumnFormula>
    </tableColumn>
  </tableColumns>
  <tableStyleInfo name="TableStyleMedium1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6BADAFB-3AAA-4859-9705-991D4280556B}" name="Table39" displayName="Table39" ref="W1:W2" totalsRowShown="0">
  <autoFilter ref="W1:W2" xr:uid="{692B13D4-0E60-4005-B69C-B45306E26A8E}"/>
  <tableColumns count="1">
    <tableColumn id="1" xr3:uid="{425BB08F-CD34-4EDF-9AEF-DD2EF6C380BB}" name="Logged Calls">
      <calculatedColumnFormula>F24+I10+P7</calculatedColumnFormula>
    </tableColumn>
  </tableColumns>
  <tableStyleInfo name="TableStyleMedium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204B8B2-4352-46D6-BF3F-0C997C2791C2}" name="Table15" displayName="Table15" ref="A1:A23" totalsRowShown="0">
  <autoFilter ref="A1:A23" xr:uid="{5D1C259C-63D2-4754-83ED-27045512D734}"/>
  <tableColumns count="1">
    <tableColumn id="1" xr3:uid="{D9C438E8-6945-4140-9B33-E2BF6A3DBB49}" name="CSR Production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638E1C-01DC-4BE8-B807-62F528F90B13}" name="Table16" displayName="Table16" ref="B1:B24" totalsRowCount="1">
  <autoFilter ref="B1:B23" xr:uid="{12CB1C05-281C-475E-8279-1F8BB5ED5875}"/>
  <tableColumns count="1">
    <tableColumn id="1" xr3:uid="{BBD7401B-6497-4033-AA26-EBCCA20D7AB7}" name="Total" totalsRowFunction="custom">
      <totalsRowFormula>SUM(Table16[Total])</totalsRowFormula>
    </tableColumn>
  </tableColumns>
  <tableStyleInfo name="TableStyleMedium1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2DA7088-C914-40E4-98B5-D4B252FDC308}" name="Table17" displayName="Table17" ref="C1:C24" totalsRowCount="1">
  <autoFilter ref="C1:C23" xr:uid="{EC915D5D-5A5A-4EB1-A431-05056318727E}"/>
  <tableColumns count="1">
    <tableColumn id="1" xr3:uid="{A0E2AB69-ADF8-4A64-B7C9-BD7EC5CB2ED3}" name="Inbound" totalsRowFunction="custom">
      <totalsRowFormula>SUM(Table17[Inbound])</totalsRowFormula>
    </tableColumn>
  </tableColumns>
  <tableStyleInfo name="TableStyleMedium1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4BB8F9-7517-4476-8D6D-D9D9EF5C3DC0}" name="Table18" displayName="Table18" ref="D1:D24" totalsRowCount="1">
  <autoFilter ref="D1:D23" xr:uid="{00B3C13E-F44B-49F3-870F-2ECC9D8D7C05}"/>
  <tableColumns count="1">
    <tableColumn id="1" xr3:uid="{9B3F873C-5291-40E4-8E90-8E01DF8AEA51}" name="Outbound" totalsRowFunction="custom">
      <totalsRowFormula>SUM(Table18[Outbound])</totalsRowFormula>
    </tableColumn>
  </tableColumns>
  <tableStyleInfo name="TableStyleMedium1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027FF1-9D4E-4018-9918-BDD3B2B767D3}" name="Table19" displayName="Table19" ref="E1:E24" totalsRowCount="1">
  <autoFilter ref="E1:E23" xr:uid="{FEC5ECF7-12EF-4853-9566-0D651052BA57}"/>
  <tableColumns count="1">
    <tableColumn id="1" xr3:uid="{E22637AE-A12B-42C1-96D8-39E21305BD6F}" name="Transfer" totalsRowFunction="custom">
      <totalsRowFormula>SUM(Table19[Transfer])</totalsRowFormula>
    </tableColumn>
  </tableColumns>
  <tableStyleInfo name="TableStyleMedium1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F010F43-DA20-4540-8A97-51085DB399B9}" name="Table20" displayName="Table20" ref="G1:G6" totalsRowShown="0">
  <autoFilter ref="G1:G6" xr:uid="{9AE0BF46-3210-46B0-B074-7E4B3D31DC87}"/>
  <tableColumns count="1">
    <tableColumn id="1" xr3:uid="{E2217EDE-02E0-4D76-82EA-C5C7C019CC98}" name="CSR Nesting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B32B4CA-F2BF-43FF-8EC4-3D97351B6649}" name="Table21" displayName="Table21" ref="H1:H7" totalsRowCount="1">
  <autoFilter ref="H1:H6" xr:uid="{AC033130-6D75-495F-8686-3AD2CA03F462}"/>
  <tableColumns count="1">
    <tableColumn id="1" xr3:uid="{F18C073B-1DA7-4F27-A2F0-6BEDC8AE014C}" name="Total" totalsRowFunction="custom">
      <totalsRowFormula>SUM(Table21[Total])</totalsRowFormula>
    </tableColumn>
  </tableColumns>
  <tableStyleInfo name="TableStyleMedium1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CFF2198-0D84-4357-9CAB-10424148A5E5}" name="Table22" displayName="Table22" ref="I1:I7" totalsRowCount="1">
  <autoFilter ref="I1:I6" xr:uid="{7393FF33-24E6-49E8-9FF6-1AD0D262D400}"/>
  <tableColumns count="1">
    <tableColumn id="1" xr3:uid="{D2D10092-E966-4F8B-ADFE-46918A1C59A8}" name="Inbound" totalsRowFunction="custom">
      <totalsRowFormula>SUM(Table22[Inbound])</totalsRowFormula>
    </tableColumn>
  </tableColumns>
  <tableStyleInfo name="TableStyleMedium1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23E10BF-3CAD-40EE-B637-9FF6751E10D7}" name="Table23" displayName="Table23" ref="J1:J7" totalsRowCount="1">
  <autoFilter ref="J1:J6" xr:uid="{055F782F-ADE8-4C2E-B70A-AA08B3A905EC}"/>
  <tableColumns count="1">
    <tableColumn id="1" xr3:uid="{65DA9BDD-F83B-4C63-8B5A-89803D4819F1}" name="Outbound" totalsRowFunction="custom">
      <totalsRowFormula>SUM(Table23[Outbound])</totalsRowFormula>
    </tableColumn>
  </tableColumns>
  <tableStyleInfo name="TableStyleMedium1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C419BD3-2A47-4B61-809D-5DEB41190C57}" name="Table24" displayName="Table24" ref="K1:K7" totalsRowCount="1">
  <autoFilter ref="K1:K6" xr:uid="{89892062-D1F7-43FE-A11C-8CBE0A8648AB}"/>
  <tableColumns count="1">
    <tableColumn id="1" xr3:uid="{9DE1D681-9285-4568-975B-C037ED2FF184}" name="Transfer" totalsRowFunction="custom">
      <totalsRowFormula>SUM(Table24[Transfer])</totalsRowFormula>
    </tableColumn>
  </tableColumns>
  <tableStyleInfo name="TableStyleMedium1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45DEDE0-355A-4CBE-AE4A-13B60E3348E2}" name="Table25" displayName="Table25" ref="M1:M9" totalsRowShown="0">
  <autoFilter ref="M1:M9" xr:uid="{9C11654B-FFDF-4D5C-A134-3A5ED1B4B069}"/>
  <tableColumns count="1">
    <tableColumn id="1" xr3:uid="{E6B68D93-91B6-4FFA-8455-276243670F42}" name="Project Intake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7A92429-4ED7-40F1-8131-ABDFF786B0C5}" name="Table26" displayName="Table26" ref="N1:N10" totalsRowCount="1">
  <autoFilter ref="N1:N9" xr:uid="{29C71809-EB3C-49B0-AE7A-ECB350036784}"/>
  <tableColumns count="1">
    <tableColumn id="1" xr3:uid="{946E5DF7-18D8-4D62-A9C5-891BAC8B73EC}" name="Total" totalsRowFunction="custom">
      <totalsRowFormula>SUM(Table26[Total])</totalsRowFormula>
    </tableColumn>
  </tableColumns>
  <tableStyleInfo name="TableStyleMedium1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FBCA4B7-9861-4FBE-915F-56E740FE6246}" name="Table27" displayName="Table27" ref="O1:O10" totalsRowCount="1">
  <autoFilter ref="O1:O9" xr:uid="{E5118175-E2FF-44DC-874F-C10BBAF6F142}"/>
  <tableColumns count="1">
    <tableColumn id="1" xr3:uid="{5C81CD6B-116A-4FFE-9963-E950A27816DF}" name="Inbound" totalsRowFunction="custom">
      <totalsRowFormula>SUM(Table27[Inbound])</totalsRowFormula>
    </tableColumn>
  </tableColumns>
  <tableStyleInfo name="TableStyleMedium1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35B5D66-6C0E-430D-934D-CD73E31A9126}" name="Table28" displayName="Table28" ref="P1:P10" totalsRowCount="1">
  <autoFilter ref="P1:P9" xr:uid="{456AA60F-2EB5-4F90-860F-09C93104FB49}"/>
  <tableColumns count="1">
    <tableColumn id="1" xr3:uid="{A92FD3A0-A7A3-4C2A-B298-D65A2D7F9DB4}" name="Outbound" totalsRowFunction="custom">
      <totalsRowFormula>SUM(Table28[Outbound])</totalsRowFormula>
    </tableColumn>
  </tableColumns>
  <tableStyleInfo name="TableStyleMedium1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86B8139-BED9-45C1-937B-301DD6306DF6}" name="Table29" displayName="Table29" ref="Q1:Q10" totalsRowCount="1">
  <autoFilter ref="Q1:Q9" xr:uid="{2623604C-F912-443B-88DA-6E7F87022758}"/>
  <tableColumns count="1">
    <tableColumn id="1" xr3:uid="{B92E0744-ED03-4496-9DB0-011F9CA2E1A1}" name="Transfer" totalsRowFunction="custom">
      <totalsRowFormula>SUM(Table29[Transfer])</totalsRowFormula>
    </tableColumn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FA0EF46-85CC-4EA3-8E04-6957E73068A7}" name="Table30" displayName="Table30" ref="H12:H13" totalsRowShown="0">
  <autoFilter ref="H12:H13" xr:uid="{2D1A7E14-7D2E-4D4A-93BD-22566ACB41CC}"/>
  <tableColumns count="1">
    <tableColumn id="1" xr3:uid="{148A3D04-8EAF-4D64-BFCC-78DD511101B0}" name="Total">
      <calculatedColumnFormula>B24+H7+N10</calculatedColumnFormula>
    </tableColumn>
  </tableColumns>
  <tableStyleInfo name="TableStyleMedium1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22C3D4E-B168-4FBF-A411-4B8037CFA4D3}" name="Table31" displayName="Table31" ref="I12:I13" totalsRowShown="0">
  <autoFilter ref="I12:I13" xr:uid="{574506E4-F0F2-44FC-957F-91D394D794D3}"/>
  <tableColumns count="1">
    <tableColumn id="1" xr3:uid="{9A6A1E81-7E75-44F3-9E96-F209096E4701}" name="Inbound">
      <calculatedColumnFormula>C24+I7+O10</calculatedColumnFormula>
    </tableColumn>
  </tableColumns>
  <tableStyleInfo name="TableStyleMedium1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BFC536C-2E69-4234-8FF3-B9B203043F9F}" name="Table32" displayName="Table32" ref="J12:J13" totalsRowShown="0">
  <autoFilter ref="J12:J13" xr:uid="{8A278CC4-84C2-4D20-9C74-59E942492C4E}"/>
  <tableColumns count="1">
    <tableColumn id="1" xr3:uid="{BF98656C-E864-4B91-86E5-66D726624DA7}" name="Outbound">
      <calculatedColumnFormula>D24+J7+P10</calculatedColumnFormula>
    </tableColumn>
  </tableColumns>
  <tableStyleInfo name="TableStyleMedium1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4BD1708-5369-4282-8AD1-B90C9FCDA86F}" name="Table33" displayName="Table33" ref="K12:K13" totalsRowShown="0">
  <autoFilter ref="K12:K13" xr:uid="{52A7FE17-E8FE-4D85-BE85-73D6934AF568}"/>
  <tableColumns count="1">
    <tableColumn id="1" xr3:uid="{1005CBFE-85D1-4D8A-843B-EDDFCB7E121D}" name="Transfer">
      <calculatedColumnFormula>E24+K7+Q10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13" Type="http://schemas.openxmlformats.org/officeDocument/2006/relationships/table" Target="../tables/table31.xml"/><Relationship Id="rId18" Type="http://schemas.openxmlformats.org/officeDocument/2006/relationships/table" Target="../tables/table36.xml"/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12" Type="http://schemas.openxmlformats.org/officeDocument/2006/relationships/table" Target="../tables/table30.xml"/><Relationship Id="rId17" Type="http://schemas.openxmlformats.org/officeDocument/2006/relationships/table" Target="../tables/table35.xml"/><Relationship Id="rId2" Type="http://schemas.openxmlformats.org/officeDocument/2006/relationships/table" Target="../tables/table20.xml"/><Relationship Id="rId16" Type="http://schemas.openxmlformats.org/officeDocument/2006/relationships/table" Target="../tables/table34.xml"/><Relationship Id="rId20" Type="http://schemas.openxmlformats.org/officeDocument/2006/relationships/table" Target="../tables/table3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24.xml"/><Relationship Id="rId11" Type="http://schemas.openxmlformats.org/officeDocument/2006/relationships/table" Target="../tables/table29.xml"/><Relationship Id="rId5" Type="http://schemas.openxmlformats.org/officeDocument/2006/relationships/table" Target="../tables/table23.xml"/><Relationship Id="rId15" Type="http://schemas.openxmlformats.org/officeDocument/2006/relationships/table" Target="../tables/table33.xml"/><Relationship Id="rId10" Type="http://schemas.openxmlformats.org/officeDocument/2006/relationships/table" Target="../tables/table28.xml"/><Relationship Id="rId19" Type="http://schemas.openxmlformats.org/officeDocument/2006/relationships/table" Target="../tables/table37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Relationship Id="rId14" Type="http://schemas.openxmlformats.org/officeDocument/2006/relationships/table" Target="../tables/table3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0BC5-2A2D-490D-A092-6F72DCEBD2C5}">
  <dimension ref="A1:W25"/>
  <sheetViews>
    <sheetView tabSelected="1" workbookViewId="0">
      <selection activeCell="R11" sqref="R11"/>
    </sheetView>
  </sheetViews>
  <sheetFormatPr defaultRowHeight="14.5" x14ac:dyDescent="0.35"/>
  <cols>
    <col min="1" max="1" width="18.1796875" bestFit="1" customWidth="1"/>
    <col min="2" max="2" width="7.1796875" bestFit="1" customWidth="1"/>
    <col min="3" max="3" width="14.7265625" bestFit="1" customWidth="1"/>
    <col min="4" max="4" width="17.1796875" bestFit="1" customWidth="1"/>
    <col min="5" max="5" width="13.81640625" bestFit="1" customWidth="1"/>
    <col min="6" max="6" width="14.1796875" bestFit="1" customWidth="1"/>
    <col min="7" max="7" width="11" customWidth="1"/>
    <col min="8" max="8" width="18.453125" bestFit="1" customWidth="1"/>
    <col min="9" max="9" width="14.1796875" bestFit="1" customWidth="1"/>
    <col min="10" max="10" width="11" customWidth="1"/>
    <col min="11" max="11" width="18.81640625" bestFit="1" customWidth="1"/>
    <col min="12" max="12" width="11" customWidth="1"/>
    <col min="13" max="13" width="14.7265625" bestFit="1" customWidth="1"/>
    <col min="14" max="14" width="17.1796875" bestFit="1" customWidth="1"/>
    <col min="15" max="15" width="15.81640625" bestFit="1" customWidth="1"/>
    <col min="16" max="16" width="14.1796875" bestFit="1" customWidth="1"/>
    <col min="18" max="18" width="12.90625" bestFit="1" customWidth="1"/>
  </cols>
  <sheetData>
    <row r="1" spans="1:23" x14ac:dyDescent="0.35">
      <c r="A1" t="s">
        <v>82</v>
      </c>
      <c r="B1" t="s">
        <v>62</v>
      </c>
      <c r="C1" t="s">
        <v>79</v>
      </c>
      <c r="D1" t="s">
        <v>63</v>
      </c>
      <c r="E1" t="s">
        <v>64</v>
      </c>
      <c r="F1" t="s">
        <v>65</v>
      </c>
      <c r="H1" t="s">
        <v>66</v>
      </c>
      <c r="I1" t="s">
        <v>65</v>
      </c>
      <c r="K1" t="s">
        <v>67</v>
      </c>
      <c r="L1" t="s">
        <v>62</v>
      </c>
      <c r="M1" t="s">
        <v>79</v>
      </c>
      <c r="N1" t="s">
        <v>63</v>
      </c>
      <c r="O1" t="s">
        <v>80</v>
      </c>
      <c r="P1" t="s">
        <v>65</v>
      </c>
      <c r="R1" s="28" t="s">
        <v>89</v>
      </c>
      <c r="S1" t="s">
        <v>62</v>
      </c>
      <c r="T1" t="s">
        <v>79</v>
      </c>
      <c r="U1" t="s">
        <v>63</v>
      </c>
      <c r="V1" t="s">
        <v>80</v>
      </c>
      <c r="W1" t="s">
        <v>65</v>
      </c>
    </row>
    <row r="2" spans="1:23" x14ac:dyDescent="0.35">
      <c r="A2" t="s">
        <v>39</v>
      </c>
      <c r="B2">
        <v>20</v>
      </c>
      <c r="C2">
        <v>20</v>
      </c>
      <c r="D2">
        <v>20</v>
      </c>
      <c r="E2">
        <v>23</v>
      </c>
      <c r="F2">
        <v>2</v>
      </c>
      <c r="H2" t="s">
        <v>68</v>
      </c>
      <c r="I2">
        <v>0</v>
      </c>
      <c r="K2" t="s">
        <v>36</v>
      </c>
      <c r="L2">
        <v>8</v>
      </c>
      <c r="M2">
        <v>8</v>
      </c>
      <c r="N2">
        <v>1</v>
      </c>
      <c r="O2">
        <v>9</v>
      </c>
      <c r="P2">
        <v>0</v>
      </c>
      <c r="S2">
        <f>B24+L7</f>
        <v>305</v>
      </c>
      <c r="T2">
        <f>C24+M7</f>
        <v>327</v>
      </c>
      <c r="U2">
        <f>D24+N7</f>
        <v>357</v>
      </c>
      <c r="V2">
        <f>E24+O7</f>
        <v>499</v>
      </c>
      <c r="W2">
        <f>F24+I10+P7</f>
        <v>116</v>
      </c>
    </row>
    <row r="3" spans="1:23" x14ac:dyDescent="0.35">
      <c r="A3" t="s">
        <v>40</v>
      </c>
      <c r="B3">
        <v>28</v>
      </c>
      <c r="C3">
        <v>31</v>
      </c>
      <c r="D3">
        <v>41</v>
      </c>
      <c r="E3">
        <v>34</v>
      </c>
      <c r="F3">
        <v>10</v>
      </c>
      <c r="H3" t="s">
        <v>69</v>
      </c>
      <c r="I3">
        <v>0</v>
      </c>
      <c r="K3" t="s">
        <v>75</v>
      </c>
      <c r="L3">
        <v>1</v>
      </c>
      <c r="M3">
        <v>1</v>
      </c>
      <c r="N3">
        <v>2</v>
      </c>
      <c r="O3">
        <v>2</v>
      </c>
      <c r="P3">
        <v>0</v>
      </c>
      <c r="R3" s="28" t="s">
        <v>62</v>
      </c>
      <c r="S3" s="35" cm="1">
        <f t="array" ref="S3">Table35[FCR]/Table36[Cases Closed]</f>
        <v>0.93272171253822633</v>
      </c>
    </row>
    <row r="4" spans="1:23" x14ac:dyDescent="0.35">
      <c r="A4" t="s">
        <v>41</v>
      </c>
      <c r="B4">
        <v>14</v>
      </c>
      <c r="C4">
        <v>15</v>
      </c>
      <c r="D4">
        <v>16</v>
      </c>
      <c r="E4">
        <v>19</v>
      </c>
      <c r="F4">
        <v>6</v>
      </c>
      <c r="H4" t="s">
        <v>70</v>
      </c>
      <c r="I4">
        <v>1</v>
      </c>
      <c r="K4" t="s">
        <v>76</v>
      </c>
      <c r="L4">
        <v>2</v>
      </c>
      <c r="M4">
        <v>2</v>
      </c>
      <c r="N4">
        <v>5</v>
      </c>
      <c r="O4">
        <v>2</v>
      </c>
      <c r="P4">
        <v>0</v>
      </c>
    </row>
    <row r="5" spans="1:23" x14ac:dyDescent="0.35">
      <c r="A5" t="s">
        <v>42</v>
      </c>
      <c r="B5">
        <v>35</v>
      </c>
      <c r="C5">
        <v>35</v>
      </c>
      <c r="D5">
        <v>32</v>
      </c>
      <c r="E5">
        <v>49</v>
      </c>
      <c r="F5">
        <v>9</v>
      </c>
      <c r="H5" t="s">
        <v>71</v>
      </c>
      <c r="I5">
        <v>2</v>
      </c>
      <c r="K5" t="s">
        <v>81</v>
      </c>
      <c r="L5">
        <v>4</v>
      </c>
      <c r="M5">
        <v>5</v>
      </c>
      <c r="N5">
        <v>2</v>
      </c>
      <c r="O5">
        <v>8</v>
      </c>
      <c r="P5">
        <v>1</v>
      </c>
    </row>
    <row r="6" spans="1:23" x14ac:dyDescent="0.3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H6" t="s">
        <v>72</v>
      </c>
      <c r="I6">
        <v>0</v>
      </c>
      <c r="K6" t="s">
        <v>78</v>
      </c>
      <c r="L6">
        <v>2</v>
      </c>
      <c r="M6">
        <v>2</v>
      </c>
      <c r="N6">
        <v>5</v>
      </c>
      <c r="O6">
        <v>5</v>
      </c>
      <c r="P6">
        <v>1</v>
      </c>
    </row>
    <row r="7" spans="1:23" x14ac:dyDescent="0.35">
      <c r="A7" t="s">
        <v>44</v>
      </c>
      <c r="B7">
        <v>9</v>
      </c>
      <c r="C7">
        <v>9</v>
      </c>
      <c r="D7">
        <v>22</v>
      </c>
      <c r="E7">
        <v>32</v>
      </c>
      <c r="F7">
        <v>0</v>
      </c>
      <c r="H7" t="s">
        <v>73</v>
      </c>
      <c r="I7">
        <v>0</v>
      </c>
      <c r="K7" s="28" t="s">
        <v>4</v>
      </c>
      <c r="L7">
        <f>SUM(Table9[FCR])</f>
        <v>17</v>
      </c>
      <c r="M7">
        <f>SUM(Table11[Cases Closed])</f>
        <v>18</v>
      </c>
      <c r="N7">
        <f>SUM(Table12[Modified Cases])</f>
        <v>15</v>
      </c>
      <c r="O7">
        <f>SUM(Table13[Cases Created])</f>
        <v>26</v>
      </c>
      <c r="P7">
        <f>SUM(Table14[Logged Calls])</f>
        <v>2</v>
      </c>
    </row>
    <row r="8" spans="1:23" x14ac:dyDescent="0.35">
      <c r="A8" t="s">
        <v>45</v>
      </c>
      <c r="B8">
        <v>1</v>
      </c>
      <c r="C8">
        <v>1</v>
      </c>
      <c r="D8">
        <v>3</v>
      </c>
      <c r="E8">
        <v>1</v>
      </c>
      <c r="F8">
        <v>2</v>
      </c>
      <c r="H8" t="s">
        <v>74</v>
      </c>
      <c r="I8">
        <v>0</v>
      </c>
      <c r="K8" s="28" t="s">
        <v>62</v>
      </c>
      <c r="L8" s="29">
        <v>0.94440000000000002</v>
      </c>
    </row>
    <row r="9" spans="1:23" x14ac:dyDescent="0.35">
      <c r="A9" t="s">
        <v>46</v>
      </c>
      <c r="B9">
        <v>4</v>
      </c>
      <c r="C9">
        <v>5</v>
      </c>
      <c r="D9">
        <v>4</v>
      </c>
      <c r="E9">
        <v>7</v>
      </c>
      <c r="F9">
        <v>2</v>
      </c>
      <c r="H9" t="s">
        <v>60</v>
      </c>
      <c r="I9">
        <v>0</v>
      </c>
    </row>
    <row r="10" spans="1:23" x14ac:dyDescent="0.35">
      <c r="A10" t="s">
        <v>47</v>
      </c>
      <c r="B10">
        <v>7</v>
      </c>
      <c r="C10">
        <v>7</v>
      </c>
      <c r="D10">
        <v>6</v>
      </c>
      <c r="E10">
        <v>14</v>
      </c>
      <c r="F10">
        <v>0</v>
      </c>
      <c r="H10" s="28" t="s">
        <v>4</v>
      </c>
      <c r="I10">
        <f>SUM(Table7[Logged Calls])</f>
        <v>3</v>
      </c>
    </row>
    <row r="11" spans="1:23" x14ac:dyDescent="0.35">
      <c r="A11" t="s">
        <v>48</v>
      </c>
      <c r="B11">
        <v>9</v>
      </c>
      <c r="C11">
        <v>11</v>
      </c>
      <c r="D11">
        <v>13</v>
      </c>
      <c r="E11">
        <v>15</v>
      </c>
      <c r="F11">
        <v>7</v>
      </c>
    </row>
    <row r="12" spans="1:23" x14ac:dyDescent="0.35">
      <c r="A12" t="s">
        <v>49</v>
      </c>
      <c r="B12">
        <v>19</v>
      </c>
      <c r="C12">
        <v>19</v>
      </c>
      <c r="D12">
        <v>20</v>
      </c>
      <c r="E12">
        <v>25</v>
      </c>
      <c r="F12">
        <v>6</v>
      </c>
    </row>
    <row r="13" spans="1:23" x14ac:dyDescent="0.35">
      <c r="A13" t="s">
        <v>50</v>
      </c>
      <c r="B13">
        <v>7</v>
      </c>
      <c r="C13">
        <v>8</v>
      </c>
      <c r="D13">
        <v>8</v>
      </c>
      <c r="E13">
        <v>9</v>
      </c>
      <c r="F13">
        <v>6</v>
      </c>
    </row>
    <row r="14" spans="1:23" x14ac:dyDescent="0.35">
      <c r="A14" t="s">
        <v>51</v>
      </c>
      <c r="B14">
        <v>9</v>
      </c>
      <c r="C14">
        <v>12</v>
      </c>
      <c r="D14">
        <v>10</v>
      </c>
      <c r="E14">
        <v>18</v>
      </c>
      <c r="F14">
        <v>0</v>
      </c>
    </row>
    <row r="15" spans="1:23" x14ac:dyDescent="0.35">
      <c r="A15" t="s">
        <v>52</v>
      </c>
      <c r="B15">
        <v>15</v>
      </c>
      <c r="C15">
        <v>17</v>
      </c>
      <c r="D15">
        <v>23</v>
      </c>
      <c r="E15">
        <v>29</v>
      </c>
      <c r="F15">
        <v>2</v>
      </c>
    </row>
    <row r="16" spans="1:23" x14ac:dyDescent="0.35">
      <c r="A16" t="s">
        <v>53</v>
      </c>
      <c r="B16">
        <v>30</v>
      </c>
      <c r="C16">
        <v>31</v>
      </c>
      <c r="D16">
        <v>21</v>
      </c>
      <c r="E16">
        <v>44</v>
      </c>
      <c r="F16">
        <v>12</v>
      </c>
    </row>
    <row r="17" spans="1:6" x14ac:dyDescent="0.35">
      <c r="A17" t="s">
        <v>54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t="s">
        <v>55</v>
      </c>
      <c r="B18">
        <v>3</v>
      </c>
      <c r="C18">
        <v>4</v>
      </c>
      <c r="D18">
        <v>8</v>
      </c>
      <c r="E18">
        <v>10</v>
      </c>
      <c r="F18">
        <v>5</v>
      </c>
    </row>
    <row r="19" spans="1:6" x14ac:dyDescent="0.35">
      <c r="A19" t="s">
        <v>56</v>
      </c>
      <c r="B19">
        <v>13</v>
      </c>
      <c r="C19">
        <v>15</v>
      </c>
      <c r="D19">
        <v>17</v>
      </c>
      <c r="E19">
        <v>18</v>
      </c>
      <c r="F19">
        <v>5</v>
      </c>
    </row>
    <row r="20" spans="1:6" x14ac:dyDescent="0.35">
      <c r="A20" t="s">
        <v>57</v>
      </c>
      <c r="B20">
        <v>16</v>
      </c>
      <c r="C20">
        <v>17</v>
      </c>
      <c r="D20">
        <v>13</v>
      </c>
      <c r="E20">
        <v>25</v>
      </c>
      <c r="F20">
        <v>1</v>
      </c>
    </row>
    <row r="21" spans="1:6" x14ac:dyDescent="0.35">
      <c r="A21" t="s">
        <v>58</v>
      </c>
      <c r="B21">
        <v>20</v>
      </c>
      <c r="C21">
        <v>20</v>
      </c>
      <c r="D21">
        <v>22</v>
      </c>
      <c r="E21">
        <v>47</v>
      </c>
      <c r="F21">
        <v>20</v>
      </c>
    </row>
    <row r="22" spans="1:6" x14ac:dyDescent="0.35">
      <c r="A22" t="s">
        <v>59</v>
      </c>
      <c r="B22">
        <v>9</v>
      </c>
      <c r="C22">
        <v>11</v>
      </c>
      <c r="D22">
        <v>26</v>
      </c>
      <c r="E22">
        <v>22</v>
      </c>
      <c r="F22">
        <v>16</v>
      </c>
    </row>
    <row r="23" spans="1:6" x14ac:dyDescent="0.35">
      <c r="A23" t="s">
        <v>61</v>
      </c>
      <c r="B23">
        <v>20</v>
      </c>
      <c r="C23">
        <v>21</v>
      </c>
      <c r="D23">
        <v>16</v>
      </c>
      <c r="E23">
        <v>32</v>
      </c>
      <c r="F23">
        <v>0</v>
      </c>
    </row>
    <row r="24" spans="1:6" x14ac:dyDescent="0.35">
      <c r="A24" s="28" t="s">
        <v>4</v>
      </c>
      <c r="B24">
        <f>SUM(Table2[FCR])</f>
        <v>288</v>
      </c>
      <c r="C24">
        <f>SUM(Table10[Cases Closed])</f>
        <v>309</v>
      </c>
      <c r="D24">
        <f>SUM(Table3[Modified Cases])</f>
        <v>342</v>
      </c>
      <c r="E24">
        <f>SUM(Table4[Cases Made])</f>
        <v>473</v>
      </c>
      <c r="F24">
        <f>SUM(Table5[Logged Calls])</f>
        <v>111</v>
      </c>
    </row>
    <row r="25" spans="1:6" x14ac:dyDescent="0.35">
      <c r="A25" s="28" t="s">
        <v>62</v>
      </c>
      <c r="B25" s="33">
        <v>0.93200000000000005</v>
      </c>
    </row>
  </sheetData>
  <pageMargins left="0.7" right="0.7" top="0.75" bottom="0.75" header="0.3" footer="0.3"/>
  <pageSetup orientation="portrait" r:id="rId1"/>
  <tableParts count="1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BE7C-C0F4-4B07-AF02-71345FFE82FC}">
  <dimension ref="A1:Q24"/>
  <sheetViews>
    <sheetView workbookViewId="0">
      <selection activeCell="G19" sqref="G19"/>
    </sheetView>
  </sheetViews>
  <sheetFormatPr defaultRowHeight="14.5" x14ac:dyDescent="0.35"/>
  <cols>
    <col min="1" max="1" width="18.1796875" bestFit="1" customWidth="1"/>
    <col min="2" max="2" width="7.7265625" bestFit="1" customWidth="1"/>
    <col min="3" max="3" width="10.7265625" bestFit="1" customWidth="1"/>
    <col min="4" max="4" width="12.26953125" bestFit="1" customWidth="1"/>
    <col min="5" max="5" width="10.54296875" bestFit="1" customWidth="1"/>
    <col min="7" max="7" width="18.81640625" bestFit="1" customWidth="1"/>
    <col min="8" max="9" width="11" customWidth="1"/>
    <col min="10" max="10" width="12.26953125" bestFit="1" customWidth="1"/>
    <col min="11" max="11" width="11" customWidth="1"/>
    <col min="13" max="13" width="18.453125" bestFit="1" customWidth="1"/>
    <col min="14" max="14" width="7.7265625" bestFit="1" customWidth="1"/>
    <col min="15" max="15" width="10.7265625" bestFit="1" customWidth="1"/>
    <col min="16" max="16" width="12.26953125" bestFit="1" customWidth="1"/>
    <col min="17" max="17" width="10.54296875" bestFit="1" customWidth="1"/>
  </cols>
  <sheetData>
    <row r="1" spans="1:17" x14ac:dyDescent="0.35">
      <c r="A1" t="s">
        <v>82</v>
      </c>
      <c r="B1" t="s">
        <v>4</v>
      </c>
      <c r="C1" t="s">
        <v>83</v>
      </c>
      <c r="D1" t="s">
        <v>84</v>
      </c>
      <c r="E1" t="s">
        <v>85</v>
      </c>
      <c r="G1" t="s">
        <v>67</v>
      </c>
      <c r="H1" t="s">
        <v>4</v>
      </c>
      <c r="I1" t="s">
        <v>83</v>
      </c>
      <c r="J1" t="s">
        <v>84</v>
      </c>
      <c r="K1" t="s">
        <v>85</v>
      </c>
      <c r="M1" t="s">
        <v>66</v>
      </c>
      <c r="N1" t="s">
        <v>4</v>
      </c>
      <c r="O1" t="s">
        <v>83</v>
      </c>
      <c r="P1" t="s">
        <v>84</v>
      </c>
      <c r="Q1" t="s">
        <v>85</v>
      </c>
    </row>
    <row r="2" spans="1:17" x14ac:dyDescent="0.35">
      <c r="A2" t="s">
        <v>39</v>
      </c>
      <c r="B2">
        <v>55</v>
      </c>
      <c r="C2">
        <v>38</v>
      </c>
      <c r="D2">
        <v>14</v>
      </c>
      <c r="E2">
        <v>3</v>
      </c>
      <c r="G2" t="s">
        <v>36</v>
      </c>
      <c r="H2">
        <v>10</v>
      </c>
      <c r="I2">
        <v>9</v>
      </c>
      <c r="J2">
        <v>1</v>
      </c>
      <c r="K2">
        <v>0</v>
      </c>
      <c r="M2" t="s">
        <v>68</v>
      </c>
      <c r="N2">
        <v>44</v>
      </c>
      <c r="O2">
        <v>20</v>
      </c>
      <c r="P2">
        <v>15</v>
      </c>
      <c r="Q2">
        <v>9</v>
      </c>
    </row>
    <row r="3" spans="1:17" x14ac:dyDescent="0.35">
      <c r="A3" t="s">
        <v>40</v>
      </c>
      <c r="B3">
        <v>102</v>
      </c>
      <c r="C3">
        <v>71</v>
      </c>
      <c r="D3">
        <v>26</v>
      </c>
      <c r="E3">
        <v>5</v>
      </c>
      <c r="G3" t="s">
        <v>75</v>
      </c>
      <c r="H3">
        <v>8</v>
      </c>
      <c r="I3">
        <v>5</v>
      </c>
      <c r="J3">
        <v>3</v>
      </c>
      <c r="K3">
        <v>0</v>
      </c>
      <c r="M3" t="s">
        <v>69</v>
      </c>
      <c r="N3">
        <v>84</v>
      </c>
      <c r="O3">
        <v>34</v>
      </c>
      <c r="P3">
        <v>43</v>
      </c>
      <c r="Q3">
        <v>7</v>
      </c>
    </row>
    <row r="4" spans="1:17" x14ac:dyDescent="0.35">
      <c r="A4" t="s">
        <v>41</v>
      </c>
      <c r="B4">
        <v>44</v>
      </c>
      <c r="C4">
        <v>32</v>
      </c>
      <c r="D4">
        <v>10</v>
      </c>
      <c r="E4">
        <v>2</v>
      </c>
      <c r="G4" t="s">
        <v>76</v>
      </c>
      <c r="H4">
        <v>8</v>
      </c>
      <c r="I4">
        <v>6</v>
      </c>
      <c r="J4">
        <v>2</v>
      </c>
      <c r="K4">
        <v>0</v>
      </c>
      <c r="M4" t="s">
        <v>70</v>
      </c>
      <c r="N4">
        <v>55</v>
      </c>
      <c r="O4">
        <v>22</v>
      </c>
      <c r="P4">
        <v>26</v>
      </c>
      <c r="Q4">
        <v>7</v>
      </c>
    </row>
    <row r="5" spans="1:17" x14ac:dyDescent="0.35">
      <c r="A5" t="s">
        <v>42</v>
      </c>
      <c r="B5">
        <v>106</v>
      </c>
      <c r="C5">
        <v>84</v>
      </c>
      <c r="D5">
        <v>17</v>
      </c>
      <c r="E5">
        <v>5</v>
      </c>
      <c r="G5" t="s">
        <v>77</v>
      </c>
      <c r="H5">
        <v>18</v>
      </c>
      <c r="I5">
        <v>11</v>
      </c>
      <c r="J5">
        <v>6</v>
      </c>
      <c r="K5">
        <v>1</v>
      </c>
      <c r="M5" t="s">
        <v>71</v>
      </c>
      <c r="N5">
        <v>40</v>
      </c>
      <c r="O5">
        <v>16</v>
      </c>
      <c r="P5">
        <v>18</v>
      </c>
      <c r="Q5">
        <v>6</v>
      </c>
    </row>
    <row r="6" spans="1:17" x14ac:dyDescent="0.35">
      <c r="A6" t="s">
        <v>43</v>
      </c>
      <c r="B6">
        <v>0</v>
      </c>
      <c r="C6">
        <v>0</v>
      </c>
      <c r="D6">
        <v>0</v>
      </c>
      <c r="E6">
        <v>0</v>
      </c>
      <c r="G6" t="s">
        <v>78</v>
      </c>
      <c r="H6">
        <v>17</v>
      </c>
      <c r="I6">
        <v>9</v>
      </c>
      <c r="J6">
        <v>6</v>
      </c>
      <c r="K6">
        <v>2</v>
      </c>
      <c r="M6" t="s">
        <v>72</v>
      </c>
      <c r="N6">
        <v>53</v>
      </c>
      <c r="O6">
        <v>7</v>
      </c>
      <c r="P6">
        <v>46</v>
      </c>
      <c r="Q6">
        <v>0</v>
      </c>
    </row>
    <row r="7" spans="1:17" x14ac:dyDescent="0.35">
      <c r="A7" t="s">
        <v>44</v>
      </c>
      <c r="B7">
        <v>88</v>
      </c>
      <c r="C7">
        <v>62</v>
      </c>
      <c r="D7">
        <v>26</v>
      </c>
      <c r="E7">
        <v>0</v>
      </c>
      <c r="G7" s="28" t="s">
        <v>4</v>
      </c>
      <c r="H7">
        <f>SUM(Table21[Total])</f>
        <v>61</v>
      </c>
      <c r="I7">
        <f>SUM(Table22[Inbound])</f>
        <v>40</v>
      </c>
      <c r="J7">
        <f>SUM(Table23[Outbound])</f>
        <v>18</v>
      </c>
      <c r="K7">
        <f>SUM(Table24[Transfer])</f>
        <v>3</v>
      </c>
      <c r="M7" t="s">
        <v>73</v>
      </c>
      <c r="N7">
        <v>98</v>
      </c>
      <c r="O7">
        <v>21</v>
      </c>
      <c r="P7">
        <v>65</v>
      </c>
      <c r="Q7">
        <v>12</v>
      </c>
    </row>
    <row r="8" spans="1:17" x14ac:dyDescent="0.35">
      <c r="A8" t="s">
        <v>45</v>
      </c>
      <c r="B8">
        <v>10</v>
      </c>
      <c r="C8">
        <v>5</v>
      </c>
      <c r="D8">
        <v>5</v>
      </c>
      <c r="E8">
        <v>0</v>
      </c>
      <c r="M8" t="s">
        <v>86</v>
      </c>
      <c r="N8">
        <v>0</v>
      </c>
      <c r="O8">
        <v>0</v>
      </c>
      <c r="P8">
        <v>0</v>
      </c>
      <c r="Q8">
        <v>0</v>
      </c>
    </row>
    <row r="9" spans="1:17" x14ac:dyDescent="0.35">
      <c r="A9" t="s">
        <v>46</v>
      </c>
      <c r="B9">
        <v>16</v>
      </c>
      <c r="C9">
        <v>11</v>
      </c>
      <c r="D9">
        <v>3</v>
      </c>
      <c r="E9">
        <v>2</v>
      </c>
      <c r="M9" t="s">
        <v>60</v>
      </c>
      <c r="N9">
        <v>26</v>
      </c>
      <c r="O9">
        <v>11</v>
      </c>
      <c r="P9">
        <v>7</v>
      </c>
      <c r="Q9">
        <v>8</v>
      </c>
    </row>
    <row r="10" spans="1:17" x14ac:dyDescent="0.35">
      <c r="A10" t="s">
        <v>47</v>
      </c>
      <c r="B10">
        <v>37</v>
      </c>
      <c r="C10">
        <v>32</v>
      </c>
      <c r="D10">
        <v>4</v>
      </c>
      <c r="E10">
        <v>1</v>
      </c>
      <c r="M10" s="28" t="s">
        <v>4</v>
      </c>
      <c r="N10">
        <f>SUM(Table26[Total])</f>
        <v>400</v>
      </c>
      <c r="O10">
        <f>SUM(Table27[Inbound])</f>
        <v>131</v>
      </c>
      <c r="P10">
        <f>SUM(Table28[Outbound])</f>
        <v>220</v>
      </c>
      <c r="Q10">
        <f>SUM(Table29[Transfer])</f>
        <v>49</v>
      </c>
    </row>
    <row r="11" spans="1:17" x14ac:dyDescent="0.35">
      <c r="A11" t="s">
        <v>48</v>
      </c>
      <c r="B11">
        <v>34</v>
      </c>
      <c r="C11">
        <v>31</v>
      </c>
      <c r="D11">
        <v>1</v>
      </c>
      <c r="E11">
        <v>2</v>
      </c>
    </row>
    <row r="12" spans="1:17" x14ac:dyDescent="0.35">
      <c r="A12" t="s">
        <v>49</v>
      </c>
      <c r="B12">
        <v>53</v>
      </c>
      <c r="C12">
        <v>49</v>
      </c>
      <c r="D12">
        <v>4</v>
      </c>
      <c r="E12">
        <v>0</v>
      </c>
      <c r="G12" s="28" t="s">
        <v>87</v>
      </c>
      <c r="H12" t="s">
        <v>4</v>
      </c>
      <c r="I12" t="s">
        <v>83</v>
      </c>
      <c r="J12" t="s">
        <v>84</v>
      </c>
      <c r="K12" t="s">
        <v>85</v>
      </c>
    </row>
    <row r="13" spans="1:17" x14ac:dyDescent="0.35">
      <c r="A13" t="s">
        <v>50</v>
      </c>
      <c r="B13">
        <v>28</v>
      </c>
      <c r="C13">
        <v>22</v>
      </c>
      <c r="D13">
        <v>3</v>
      </c>
      <c r="E13">
        <v>3</v>
      </c>
      <c r="H13">
        <f>B24+H7+N10</f>
        <v>1562</v>
      </c>
      <c r="I13">
        <f>C24+I7+O10</f>
        <v>1023</v>
      </c>
      <c r="J13">
        <f>D24+J7+P10</f>
        <v>432</v>
      </c>
      <c r="K13">
        <f>E24+K7+Q10</f>
        <v>107</v>
      </c>
    </row>
    <row r="14" spans="1:17" x14ac:dyDescent="0.35">
      <c r="A14" t="s">
        <v>51</v>
      </c>
      <c r="B14">
        <v>34</v>
      </c>
      <c r="C14">
        <v>29</v>
      </c>
      <c r="D14">
        <v>4</v>
      </c>
      <c r="E14">
        <v>1</v>
      </c>
    </row>
    <row r="15" spans="1:17" x14ac:dyDescent="0.35">
      <c r="A15" t="s">
        <v>52</v>
      </c>
      <c r="B15">
        <v>61</v>
      </c>
      <c r="C15">
        <v>46</v>
      </c>
      <c r="D15">
        <v>7</v>
      </c>
      <c r="E15">
        <v>8</v>
      </c>
    </row>
    <row r="16" spans="1:17" x14ac:dyDescent="0.35">
      <c r="A16" t="s">
        <v>53</v>
      </c>
      <c r="B16">
        <v>81</v>
      </c>
      <c r="C16">
        <v>70</v>
      </c>
      <c r="D16">
        <v>5</v>
      </c>
      <c r="E16">
        <v>6</v>
      </c>
    </row>
    <row r="17" spans="1:5" x14ac:dyDescent="0.35">
      <c r="A17" t="s">
        <v>54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t="s">
        <v>55</v>
      </c>
      <c r="B18">
        <v>21</v>
      </c>
      <c r="C18">
        <v>20</v>
      </c>
      <c r="D18">
        <v>1</v>
      </c>
      <c r="E18">
        <v>0</v>
      </c>
    </row>
    <row r="19" spans="1:5" x14ac:dyDescent="0.35">
      <c r="A19" t="s">
        <v>56</v>
      </c>
      <c r="B19">
        <v>43</v>
      </c>
      <c r="C19">
        <v>37</v>
      </c>
      <c r="D19">
        <v>4</v>
      </c>
      <c r="E19">
        <v>2</v>
      </c>
    </row>
    <row r="20" spans="1:5" x14ac:dyDescent="0.35">
      <c r="A20" t="s">
        <v>57</v>
      </c>
      <c r="B20">
        <v>62</v>
      </c>
      <c r="C20">
        <v>38</v>
      </c>
      <c r="D20">
        <v>22</v>
      </c>
      <c r="E20">
        <v>2</v>
      </c>
    </row>
    <row r="21" spans="1:5" x14ac:dyDescent="0.35">
      <c r="A21" t="s">
        <v>58</v>
      </c>
      <c r="B21">
        <v>89</v>
      </c>
      <c r="C21">
        <v>81</v>
      </c>
      <c r="D21">
        <v>4</v>
      </c>
      <c r="E21">
        <v>4</v>
      </c>
    </row>
    <row r="22" spans="1:5" x14ac:dyDescent="0.35">
      <c r="A22" t="s">
        <v>59</v>
      </c>
      <c r="B22">
        <v>59</v>
      </c>
      <c r="C22">
        <v>49</v>
      </c>
      <c r="D22">
        <v>5</v>
      </c>
      <c r="E22">
        <v>5</v>
      </c>
    </row>
    <row r="23" spans="1:5" x14ac:dyDescent="0.35">
      <c r="A23" t="s">
        <v>61</v>
      </c>
      <c r="B23">
        <v>78</v>
      </c>
      <c r="C23">
        <v>45</v>
      </c>
      <c r="D23">
        <v>29</v>
      </c>
      <c r="E23">
        <v>4</v>
      </c>
    </row>
    <row r="24" spans="1:5" x14ac:dyDescent="0.35">
      <c r="A24" s="28" t="s">
        <v>4</v>
      </c>
      <c r="B24">
        <f>SUM(Table16[Total])</f>
        <v>1101</v>
      </c>
      <c r="C24">
        <f>SUM(Table17[Inbound])</f>
        <v>852</v>
      </c>
      <c r="D24">
        <f>SUM(Table18[Outbound])</f>
        <v>194</v>
      </c>
      <c r="E24">
        <f>SUM(Table19[Transfer])</f>
        <v>55</v>
      </c>
    </row>
  </sheetData>
  <pageMargins left="0.7" right="0.7" top="0.75" bottom="0.75" header="0.3" footer="0.3"/>
  <pageSetup orientation="portrait" r:id="rId1"/>
  <tableParts count="1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33F7-BA21-42CD-9EAC-938D640EE894}">
  <dimension ref="A1:E11"/>
  <sheetViews>
    <sheetView workbookViewId="0">
      <selection activeCell="E17" sqref="E17"/>
    </sheetView>
  </sheetViews>
  <sheetFormatPr defaultRowHeight="14.5" x14ac:dyDescent="0.35"/>
  <cols>
    <col min="1" max="1" width="22" bestFit="1" customWidth="1"/>
    <col min="3" max="3" width="22" bestFit="1" customWidth="1"/>
    <col min="5" max="5" width="22" bestFit="1" customWidth="1"/>
  </cols>
  <sheetData>
    <row r="1" spans="1:5" x14ac:dyDescent="0.35">
      <c r="A1" t="s">
        <v>88</v>
      </c>
      <c r="C1" t="s">
        <v>66</v>
      </c>
      <c r="E1" t="s">
        <v>89</v>
      </c>
    </row>
    <row r="2" spans="1:5" x14ac:dyDescent="0.35">
      <c r="A2" t="s">
        <v>90</v>
      </c>
      <c r="C2" t="s">
        <v>92</v>
      </c>
      <c r="E2" t="s">
        <v>96</v>
      </c>
    </row>
    <row r="3" spans="1:5" x14ac:dyDescent="0.35">
      <c r="A3" t="s">
        <v>95</v>
      </c>
      <c r="C3" t="s">
        <v>93</v>
      </c>
      <c r="E3" t="s">
        <v>97</v>
      </c>
    </row>
    <row r="4" spans="1:5" x14ac:dyDescent="0.35">
      <c r="A4" t="s">
        <v>91</v>
      </c>
      <c r="C4" t="s">
        <v>94</v>
      </c>
      <c r="E4" t="s">
        <v>98</v>
      </c>
    </row>
    <row r="8" spans="1:5" x14ac:dyDescent="0.35">
      <c r="A8" t="s">
        <v>99</v>
      </c>
      <c r="C8" t="s">
        <v>66</v>
      </c>
      <c r="E8" t="s">
        <v>106</v>
      </c>
    </row>
    <row r="9" spans="1:5" x14ac:dyDescent="0.35">
      <c r="A9" t="s">
        <v>100</v>
      </c>
      <c r="C9" t="s">
        <v>103</v>
      </c>
      <c r="E9" t="s">
        <v>107</v>
      </c>
    </row>
    <row r="10" spans="1:5" x14ac:dyDescent="0.35">
      <c r="A10" t="s">
        <v>101</v>
      </c>
      <c r="C10" t="s">
        <v>104</v>
      </c>
      <c r="E10" t="s">
        <v>108</v>
      </c>
    </row>
    <row r="11" spans="1:5" x14ac:dyDescent="0.35">
      <c r="A11" t="s">
        <v>102</v>
      </c>
      <c r="C11" t="s">
        <v>105</v>
      </c>
      <c r="E11" t="s">
        <v>109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FBF1-ACC9-49BA-B949-BF3B88CB1F6A}">
  <dimension ref="A1:AC34"/>
  <sheetViews>
    <sheetView workbookViewId="0">
      <selection activeCell="H5" sqref="H5"/>
    </sheetView>
  </sheetViews>
  <sheetFormatPr defaultRowHeight="14.5" x14ac:dyDescent="0.35"/>
  <cols>
    <col min="1" max="1" width="14.7265625" bestFit="1" customWidth="1"/>
    <col min="2" max="2" width="20" bestFit="1" customWidth="1"/>
    <col min="3" max="3" width="20.453125" bestFit="1" customWidth="1"/>
    <col min="4" max="4" width="6.26953125" bestFit="1" customWidth="1"/>
    <col min="7" max="7" width="23.7265625" bestFit="1" customWidth="1"/>
    <col min="8" max="9" width="4" bestFit="1" customWidth="1"/>
    <col min="10" max="10" width="5.453125" bestFit="1" customWidth="1"/>
    <col min="11" max="11" width="6.81640625" bestFit="1" customWidth="1"/>
    <col min="14" max="14" width="20.453125" bestFit="1" customWidth="1"/>
    <col min="15" max="15" width="9.453125" bestFit="1" customWidth="1"/>
    <col min="16" max="16" width="7.54296875" bestFit="1" customWidth="1"/>
    <col min="17" max="17" width="9.26953125" bestFit="1" customWidth="1"/>
    <col min="18" max="18" width="6.54296875" bestFit="1" customWidth="1"/>
    <col min="19" max="19" width="6" bestFit="1" customWidth="1"/>
    <col min="21" max="21" width="59.1796875" bestFit="1" customWidth="1"/>
  </cols>
  <sheetData>
    <row r="1" spans="1:29" ht="28.5" x14ac:dyDescent="0.6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26"/>
      <c r="V1" s="26"/>
      <c r="W1" s="26"/>
      <c r="X1" s="26"/>
      <c r="Y1" s="26"/>
      <c r="Z1" s="26"/>
      <c r="AA1" s="26"/>
      <c r="AB1" s="26"/>
      <c r="AC1" s="26"/>
    </row>
    <row r="3" spans="1:29" x14ac:dyDescent="0.35">
      <c r="A3" s="3" t="s">
        <v>1</v>
      </c>
      <c r="B3" s="4"/>
      <c r="C3" s="4"/>
      <c r="D3" s="4"/>
      <c r="G3" s="11" t="s">
        <v>5</v>
      </c>
      <c r="K3" s="4"/>
      <c r="O3" s="13" t="s">
        <v>21</v>
      </c>
      <c r="P3" s="13" t="s">
        <v>22</v>
      </c>
      <c r="Q3" s="13" t="s">
        <v>23</v>
      </c>
      <c r="R3" s="13" t="s">
        <v>24</v>
      </c>
      <c r="S3" s="14" t="s">
        <v>25</v>
      </c>
      <c r="U3" s="27" t="s">
        <v>37</v>
      </c>
    </row>
    <row r="4" spans="1:29" x14ac:dyDescent="0.35">
      <c r="A4" s="5"/>
      <c r="B4" s="5" t="s">
        <v>2</v>
      </c>
      <c r="C4" s="5" t="s">
        <v>3</v>
      </c>
      <c r="D4" s="6" t="s">
        <v>4</v>
      </c>
      <c r="H4" t="s">
        <v>3</v>
      </c>
      <c r="I4" t="s">
        <v>2</v>
      </c>
      <c r="J4" s="1" t="s">
        <v>4</v>
      </c>
      <c r="K4" s="6" t="s">
        <v>6</v>
      </c>
      <c r="N4" s="11" t="s">
        <v>14</v>
      </c>
      <c r="O4">
        <v>1</v>
      </c>
      <c r="P4">
        <v>0</v>
      </c>
      <c r="Q4">
        <v>0</v>
      </c>
      <c r="R4">
        <v>1</v>
      </c>
      <c r="S4" s="15">
        <f>IFERROR(100*(O4-Q4)/R4,"N/A")</f>
        <v>100</v>
      </c>
      <c r="U4" t="s">
        <v>38</v>
      </c>
    </row>
    <row r="5" spans="1:29" x14ac:dyDescent="0.35">
      <c r="A5" s="7">
        <v>13</v>
      </c>
      <c r="B5" s="8">
        <v>20</v>
      </c>
      <c r="C5" s="8">
        <v>125</v>
      </c>
      <c r="D5" s="8">
        <v>145</v>
      </c>
      <c r="G5" s="11" t="s">
        <v>7</v>
      </c>
      <c r="I5">
        <v>3</v>
      </c>
      <c r="J5">
        <v>3</v>
      </c>
      <c r="K5" s="12">
        <f>I5/J5</f>
        <v>1</v>
      </c>
      <c r="N5" s="11" t="s">
        <v>13</v>
      </c>
      <c r="O5">
        <v>1</v>
      </c>
      <c r="P5">
        <v>0</v>
      </c>
      <c r="Q5">
        <v>0</v>
      </c>
      <c r="R5">
        <v>1</v>
      </c>
      <c r="S5" s="15">
        <f t="shared" ref="S5:S25" si="0">IFERROR(100*(O5-Q5)/R5,"N/A")</f>
        <v>100</v>
      </c>
    </row>
    <row r="6" spans="1:29" x14ac:dyDescent="0.35">
      <c r="A6" s="9" t="s">
        <v>4</v>
      </c>
      <c r="B6" s="10">
        <v>20</v>
      </c>
      <c r="C6" s="10">
        <v>125</v>
      </c>
      <c r="D6" s="10">
        <v>145</v>
      </c>
      <c r="G6" s="11" t="s">
        <v>8</v>
      </c>
      <c r="I6">
        <v>2</v>
      </c>
      <c r="J6">
        <v>2</v>
      </c>
      <c r="K6" s="12">
        <f t="shared" ref="K6:K19" si="1">I6/J6</f>
        <v>1</v>
      </c>
      <c r="N6" s="11" t="s">
        <v>19</v>
      </c>
      <c r="O6">
        <v>0</v>
      </c>
      <c r="P6">
        <v>0</v>
      </c>
      <c r="Q6">
        <v>1</v>
      </c>
      <c r="R6">
        <v>1</v>
      </c>
      <c r="S6" s="15">
        <f t="shared" si="0"/>
        <v>-100</v>
      </c>
    </row>
    <row r="7" spans="1:29" x14ac:dyDescent="0.35">
      <c r="G7" s="11" t="s">
        <v>9</v>
      </c>
      <c r="I7">
        <v>2</v>
      </c>
      <c r="J7">
        <v>2</v>
      </c>
      <c r="K7" s="12">
        <f t="shared" si="1"/>
        <v>1</v>
      </c>
      <c r="N7" s="11" t="s">
        <v>26</v>
      </c>
      <c r="O7">
        <v>0</v>
      </c>
      <c r="P7">
        <v>0</v>
      </c>
      <c r="Q7">
        <v>0</v>
      </c>
      <c r="R7">
        <v>0</v>
      </c>
      <c r="S7" s="15" t="str">
        <f t="shared" si="0"/>
        <v>N/A</v>
      </c>
    </row>
    <row r="8" spans="1:29" x14ac:dyDescent="0.35">
      <c r="G8" s="11" t="s">
        <v>10</v>
      </c>
      <c r="I8">
        <v>1</v>
      </c>
      <c r="J8">
        <v>1</v>
      </c>
      <c r="K8" s="12">
        <f t="shared" si="1"/>
        <v>1</v>
      </c>
      <c r="N8" s="11" t="s">
        <v>27</v>
      </c>
      <c r="O8">
        <v>0</v>
      </c>
      <c r="P8">
        <v>0</v>
      </c>
      <c r="Q8">
        <v>0</v>
      </c>
      <c r="R8">
        <v>0</v>
      </c>
      <c r="S8" s="15" t="str">
        <f t="shared" si="0"/>
        <v>N/A</v>
      </c>
    </row>
    <row r="9" spans="1:29" x14ac:dyDescent="0.35">
      <c r="G9" s="11" t="s">
        <v>11</v>
      </c>
      <c r="H9">
        <v>1</v>
      </c>
      <c r="I9">
        <v>1</v>
      </c>
      <c r="J9">
        <v>2</v>
      </c>
      <c r="K9" s="12">
        <f t="shared" si="1"/>
        <v>0.5</v>
      </c>
      <c r="N9" s="11" t="s">
        <v>28</v>
      </c>
      <c r="O9">
        <v>0</v>
      </c>
      <c r="P9">
        <v>0</v>
      </c>
      <c r="Q9">
        <v>0</v>
      </c>
      <c r="R9">
        <v>0</v>
      </c>
      <c r="S9" s="15" t="str">
        <f t="shared" si="0"/>
        <v>N/A</v>
      </c>
    </row>
    <row r="10" spans="1:29" x14ac:dyDescent="0.35">
      <c r="G10" s="11" t="s">
        <v>12</v>
      </c>
      <c r="I10">
        <v>1</v>
      </c>
      <c r="J10">
        <v>1</v>
      </c>
      <c r="K10" s="12">
        <f t="shared" si="1"/>
        <v>1</v>
      </c>
      <c r="N10" s="11" t="s">
        <v>12</v>
      </c>
      <c r="O10">
        <v>0</v>
      </c>
      <c r="P10">
        <v>1</v>
      </c>
      <c r="Q10">
        <v>0</v>
      </c>
      <c r="R10">
        <v>1</v>
      </c>
      <c r="S10" s="15">
        <f t="shared" si="0"/>
        <v>0</v>
      </c>
    </row>
    <row r="11" spans="1:29" x14ac:dyDescent="0.35">
      <c r="G11" s="11" t="s">
        <v>13</v>
      </c>
      <c r="I11">
        <v>1</v>
      </c>
      <c r="J11">
        <v>1</v>
      </c>
      <c r="K11" s="12">
        <f t="shared" si="1"/>
        <v>1</v>
      </c>
      <c r="N11" s="11" t="s">
        <v>9</v>
      </c>
      <c r="O11">
        <v>2</v>
      </c>
      <c r="P11">
        <v>0</v>
      </c>
      <c r="Q11">
        <v>0</v>
      </c>
      <c r="R11">
        <v>2</v>
      </c>
      <c r="S11" s="15">
        <f t="shared" si="0"/>
        <v>100</v>
      </c>
    </row>
    <row r="12" spans="1:29" x14ac:dyDescent="0.35">
      <c r="G12" s="11" t="s">
        <v>14</v>
      </c>
      <c r="I12">
        <v>1</v>
      </c>
      <c r="J12">
        <v>1</v>
      </c>
      <c r="K12" s="12">
        <f t="shared" si="1"/>
        <v>1</v>
      </c>
      <c r="N12" s="11" t="s">
        <v>16</v>
      </c>
      <c r="O12">
        <v>1</v>
      </c>
      <c r="P12">
        <v>0</v>
      </c>
      <c r="Q12">
        <v>0</v>
      </c>
      <c r="R12">
        <v>1</v>
      </c>
      <c r="S12" s="15">
        <f t="shared" si="0"/>
        <v>100</v>
      </c>
    </row>
    <row r="13" spans="1:29" x14ac:dyDescent="0.35">
      <c r="G13" s="11" t="s">
        <v>15</v>
      </c>
      <c r="H13">
        <v>1</v>
      </c>
      <c r="I13">
        <v>1</v>
      </c>
      <c r="J13">
        <v>2</v>
      </c>
      <c r="K13" s="12">
        <f t="shared" si="1"/>
        <v>0.5</v>
      </c>
      <c r="N13" s="11" t="s">
        <v>17</v>
      </c>
      <c r="O13">
        <v>1</v>
      </c>
      <c r="P13">
        <v>0</v>
      </c>
      <c r="Q13">
        <v>0</v>
      </c>
      <c r="R13">
        <v>1</v>
      </c>
      <c r="S13" s="15">
        <f t="shared" si="0"/>
        <v>100</v>
      </c>
    </row>
    <row r="14" spans="1:29" x14ac:dyDescent="0.35">
      <c r="G14" s="11" t="s">
        <v>16</v>
      </c>
      <c r="I14">
        <v>1</v>
      </c>
      <c r="J14">
        <v>1</v>
      </c>
      <c r="K14" s="12">
        <f t="shared" si="1"/>
        <v>1</v>
      </c>
      <c r="N14" s="11" t="s">
        <v>29</v>
      </c>
      <c r="O14">
        <v>0</v>
      </c>
      <c r="P14">
        <v>0</v>
      </c>
      <c r="Q14">
        <v>0</v>
      </c>
      <c r="R14">
        <v>0</v>
      </c>
      <c r="S14" s="15" t="str">
        <f t="shared" si="0"/>
        <v>N/A</v>
      </c>
    </row>
    <row r="15" spans="1:29" x14ac:dyDescent="0.35">
      <c r="G15" s="11" t="s">
        <v>17</v>
      </c>
      <c r="I15">
        <v>1</v>
      </c>
      <c r="J15">
        <v>1</v>
      </c>
      <c r="K15" s="12">
        <f t="shared" si="1"/>
        <v>1</v>
      </c>
      <c r="N15" s="11" t="s">
        <v>30</v>
      </c>
      <c r="O15">
        <v>0</v>
      </c>
      <c r="P15">
        <v>0</v>
      </c>
      <c r="Q15">
        <v>0</v>
      </c>
      <c r="R15">
        <v>0</v>
      </c>
      <c r="S15" s="15" t="str">
        <f t="shared" si="0"/>
        <v>N/A</v>
      </c>
    </row>
    <row r="16" spans="1:29" x14ac:dyDescent="0.35">
      <c r="G16" s="11" t="s">
        <v>18</v>
      </c>
      <c r="H16">
        <v>1</v>
      </c>
      <c r="J16">
        <v>1</v>
      </c>
      <c r="K16" s="12">
        <f t="shared" si="1"/>
        <v>0</v>
      </c>
      <c r="N16" s="11" t="s">
        <v>10</v>
      </c>
      <c r="O16">
        <v>1</v>
      </c>
      <c r="P16">
        <v>0</v>
      </c>
      <c r="Q16">
        <v>0</v>
      </c>
      <c r="R16">
        <v>1</v>
      </c>
      <c r="S16" s="15">
        <f t="shared" si="0"/>
        <v>100</v>
      </c>
    </row>
    <row r="17" spans="1:20" x14ac:dyDescent="0.35">
      <c r="G17" s="11" t="s">
        <v>19</v>
      </c>
      <c r="H17">
        <v>1</v>
      </c>
      <c r="J17">
        <v>1</v>
      </c>
      <c r="K17" s="12">
        <f t="shared" si="1"/>
        <v>0</v>
      </c>
      <c r="N17" s="11" t="s">
        <v>31</v>
      </c>
      <c r="O17">
        <v>0</v>
      </c>
      <c r="P17">
        <v>0</v>
      </c>
      <c r="Q17">
        <v>0</v>
      </c>
      <c r="R17">
        <v>0</v>
      </c>
      <c r="S17" s="15" t="str">
        <f t="shared" si="0"/>
        <v>N/A</v>
      </c>
    </row>
    <row r="18" spans="1:20" x14ac:dyDescent="0.35">
      <c r="G18" s="11" t="s">
        <v>20</v>
      </c>
      <c r="H18">
        <v>1</v>
      </c>
      <c r="J18">
        <v>1</v>
      </c>
      <c r="K18" s="12">
        <f t="shared" si="1"/>
        <v>0</v>
      </c>
      <c r="N18" s="11" t="s">
        <v>18</v>
      </c>
      <c r="O18">
        <v>0</v>
      </c>
      <c r="P18">
        <v>0</v>
      </c>
      <c r="Q18">
        <v>1</v>
      </c>
      <c r="R18">
        <v>1</v>
      </c>
      <c r="S18" s="15">
        <f t="shared" si="0"/>
        <v>-100</v>
      </c>
    </row>
    <row r="19" spans="1:20" ht="15" customHeight="1" x14ac:dyDescent="0.35">
      <c r="G19" s="25" t="s">
        <v>36</v>
      </c>
      <c r="I19">
        <v>1</v>
      </c>
      <c r="J19">
        <v>1</v>
      </c>
      <c r="K19" s="12">
        <f t="shared" si="1"/>
        <v>1</v>
      </c>
      <c r="N19" s="11" t="s">
        <v>20</v>
      </c>
      <c r="O19">
        <v>0</v>
      </c>
      <c r="P19">
        <v>0</v>
      </c>
      <c r="Q19">
        <v>1</v>
      </c>
      <c r="R19">
        <v>1</v>
      </c>
      <c r="S19" s="15">
        <f t="shared" si="0"/>
        <v>-100</v>
      </c>
    </row>
    <row r="20" spans="1:20" x14ac:dyDescent="0.35">
      <c r="G20" s="2" t="s">
        <v>4</v>
      </c>
      <c r="H20">
        <v>5</v>
      </c>
      <c r="I20">
        <v>16</v>
      </c>
      <c r="J20">
        <v>21</v>
      </c>
      <c r="K20" s="12">
        <f>I20/J20</f>
        <v>0.76190476190476186</v>
      </c>
      <c r="N20" s="11" t="s">
        <v>7</v>
      </c>
      <c r="O20">
        <v>2</v>
      </c>
      <c r="P20">
        <v>1</v>
      </c>
      <c r="Q20">
        <v>0</v>
      </c>
      <c r="R20">
        <v>3</v>
      </c>
      <c r="S20" s="15">
        <f t="shared" si="0"/>
        <v>66.666666666666671</v>
      </c>
    </row>
    <row r="21" spans="1:20" x14ac:dyDescent="0.35">
      <c r="N21" s="11" t="s">
        <v>11</v>
      </c>
      <c r="O21">
        <v>1</v>
      </c>
      <c r="P21">
        <v>0</v>
      </c>
      <c r="Q21">
        <v>1</v>
      </c>
      <c r="R21">
        <v>2</v>
      </c>
      <c r="S21" s="15">
        <f t="shared" si="0"/>
        <v>0</v>
      </c>
    </row>
    <row r="22" spans="1:20" x14ac:dyDescent="0.35">
      <c r="N22" s="11" t="s">
        <v>8</v>
      </c>
      <c r="O22">
        <v>2</v>
      </c>
      <c r="P22">
        <v>0</v>
      </c>
      <c r="Q22">
        <v>0</v>
      </c>
      <c r="R22">
        <v>2</v>
      </c>
      <c r="S22" s="15">
        <f t="shared" si="0"/>
        <v>100</v>
      </c>
    </row>
    <row r="23" spans="1:20" x14ac:dyDescent="0.35">
      <c r="N23" s="11" t="s">
        <v>15</v>
      </c>
      <c r="O23">
        <v>1</v>
      </c>
      <c r="P23">
        <v>0</v>
      </c>
      <c r="Q23">
        <v>1</v>
      </c>
      <c r="R23">
        <v>2</v>
      </c>
      <c r="S23" s="15">
        <f t="shared" si="0"/>
        <v>0</v>
      </c>
    </row>
    <row r="24" spans="1:20" x14ac:dyDescent="0.35">
      <c r="N24" s="26" t="s">
        <v>36</v>
      </c>
      <c r="O24">
        <v>1</v>
      </c>
      <c r="P24">
        <v>0</v>
      </c>
      <c r="Q24">
        <v>0</v>
      </c>
      <c r="R24">
        <v>1</v>
      </c>
      <c r="S24" s="15">
        <f t="shared" si="0"/>
        <v>100</v>
      </c>
    </row>
    <row r="25" spans="1:20" x14ac:dyDescent="0.35">
      <c r="N25" s="11" t="s">
        <v>4</v>
      </c>
      <c r="O25">
        <f>SUM(O4:O24)</f>
        <v>14</v>
      </c>
      <c r="P25">
        <f>SUM(P4:P24)</f>
        <v>2</v>
      </c>
      <c r="Q25">
        <f>SUM(Q4:Q24)</f>
        <v>5</v>
      </c>
      <c r="R25">
        <v>21</v>
      </c>
      <c r="S25" s="15">
        <f t="shared" si="0"/>
        <v>42.857142857142854</v>
      </c>
    </row>
    <row r="27" spans="1:20" ht="28.5" x14ac:dyDescent="0.65">
      <c r="A27" s="34" t="s">
        <v>117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</row>
    <row r="30" spans="1:20" x14ac:dyDescent="0.35">
      <c r="A30" s="4" t="s">
        <v>32</v>
      </c>
      <c r="B30" s="4"/>
      <c r="C30" s="4"/>
      <c r="D30" s="4"/>
      <c r="H30" t="s">
        <v>2</v>
      </c>
      <c r="I30" t="s">
        <v>3</v>
      </c>
      <c r="J30" t="s">
        <v>4</v>
      </c>
      <c r="O30" s="2" t="s">
        <v>21</v>
      </c>
      <c r="P30" s="2" t="s">
        <v>22</v>
      </c>
      <c r="Q30" s="2" t="s">
        <v>23</v>
      </c>
      <c r="R30" s="2" t="s">
        <v>4</v>
      </c>
      <c r="S30" s="19" t="s">
        <v>25</v>
      </c>
    </row>
    <row r="31" spans="1:20" x14ac:dyDescent="0.35">
      <c r="A31" s="5"/>
      <c r="B31" s="16" t="s">
        <v>33</v>
      </c>
      <c r="C31" s="16" t="s">
        <v>34</v>
      </c>
      <c r="D31" s="6" t="s">
        <v>4</v>
      </c>
      <c r="G31" s="23">
        <v>13</v>
      </c>
      <c r="H31">
        <v>98</v>
      </c>
      <c r="I31">
        <v>32</v>
      </c>
      <c r="J31">
        <v>130</v>
      </c>
      <c r="K31" s="24">
        <v>0.75</v>
      </c>
      <c r="N31" s="11" t="s">
        <v>35</v>
      </c>
      <c r="O31">
        <v>85</v>
      </c>
      <c r="P31">
        <v>12</v>
      </c>
      <c r="Q31">
        <v>33</v>
      </c>
      <c r="R31">
        <v>130</v>
      </c>
      <c r="S31" s="20">
        <f>IFERROR(IF(N31="","",100*(O31-Q31)/R31),"N/A")</f>
        <v>40</v>
      </c>
    </row>
    <row r="32" spans="1:20" x14ac:dyDescent="0.35">
      <c r="A32" s="17">
        <v>13</v>
      </c>
      <c r="B32" s="8">
        <v>87</v>
      </c>
      <c r="C32" s="8">
        <v>43</v>
      </c>
      <c r="D32" s="8">
        <v>130</v>
      </c>
      <c r="G32" s="23" t="s">
        <v>4</v>
      </c>
      <c r="H32">
        <v>98</v>
      </c>
      <c r="I32">
        <v>32</v>
      </c>
      <c r="J32">
        <v>130</v>
      </c>
      <c r="K32" s="24">
        <v>0.75</v>
      </c>
      <c r="N32" s="21">
        <v>3</v>
      </c>
      <c r="O32">
        <v>85</v>
      </c>
      <c r="P32">
        <v>12</v>
      </c>
      <c r="Q32">
        <v>33</v>
      </c>
      <c r="R32">
        <v>130</v>
      </c>
      <c r="S32" s="20">
        <f t="shared" ref="S32:S34" si="2">IFERROR(IF(N32="","",100*(O32-Q32)/R32),"N/A")</f>
        <v>40</v>
      </c>
    </row>
    <row r="33" spans="1:19" x14ac:dyDescent="0.35">
      <c r="A33" s="18" t="s">
        <v>4</v>
      </c>
      <c r="B33" s="10">
        <v>87</v>
      </c>
      <c r="C33" s="10">
        <v>43</v>
      </c>
      <c r="D33" s="10">
        <v>130</v>
      </c>
      <c r="N33" s="22">
        <v>13</v>
      </c>
      <c r="O33">
        <v>85</v>
      </c>
      <c r="P33">
        <v>12</v>
      </c>
      <c r="Q33">
        <v>33</v>
      </c>
      <c r="R33">
        <v>130</v>
      </c>
      <c r="S33" s="20">
        <f t="shared" si="2"/>
        <v>40</v>
      </c>
    </row>
    <row r="34" spans="1:19" x14ac:dyDescent="0.35">
      <c r="N34" s="23" t="s">
        <v>4</v>
      </c>
      <c r="O34">
        <v>85</v>
      </c>
      <c r="P34">
        <v>12</v>
      </c>
      <c r="Q34">
        <v>33</v>
      </c>
      <c r="R34">
        <v>130</v>
      </c>
      <c r="S34" s="20">
        <f t="shared" si="2"/>
        <v>40</v>
      </c>
    </row>
  </sheetData>
  <mergeCells count="2">
    <mergeCell ref="A27:T27"/>
    <mergeCell ref="A1:T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F345-B422-4112-82FC-74B035D3FB7B}">
  <dimension ref="A1:G2"/>
  <sheetViews>
    <sheetView workbookViewId="0">
      <selection activeCell="D8" sqref="D8"/>
    </sheetView>
  </sheetViews>
  <sheetFormatPr defaultRowHeight="14.5" x14ac:dyDescent="0.35"/>
  <sheetData>
    <row r="1" spans="1:7" ht="52" x14ac:dyDescent="0.35">
      <c r="A1" s="30" t="s">
        <v>110</v>
      </c>
      <c r="B1" s="30" t="s">
        <v>111</v>
      </c>
      <c r="C1" s="30" t="s">
        <v>112</v>
      </c>
      <c r="D1" s="30" t="s">
        <v>113</v>
      </c>
      <c r="E1" s="30" t="s">
        <v>114</v>
      </c>
      <c r="F1" s="30" t="s">
        <v>115</v>
      </c>
      <c r="G1" s="31" t="s">
        <v>116</v>
      </c>
    </row>
    <row r="2" spans="1:7" x14ac:dyDescent="0.35">
      <c r="A2" s="32">
        <v>0.61</v>
      </c>
      <c r="B2" s="32">
        <v>0.49</v>
      </c>
      <c r="C2" s="32">
        <v>0.52</v>
      </c>
      <c r="D2" s="32">
        <v>0.82</v>
      </c>
      <c r="E2" s="32">
        <v>0.43</v>
      </c>
      <c r="F2" s="32">
        <v>0.57999999999999996</v>
      </c>
      <c r="G2" s="32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FCR and Interactions</vt:lpstr>
      <vt:lpstr>Call Volume</vt:lpstr>
      <vt:lpstr>Utilization</vt:lpstr>
      <vt:lpstr>Survey Data</vt:lpstr>
      <vt:lpstr>QA</vt:lpstr>
    </vt:vector>
  </TitlesOfParts>
  <Company>SunPower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Gragg</dc:creator>
  <cp:lastModifiedBy>Aubrey Heldermon</cp:lastModifiedBy>
  <dcterms:created xsi:type="dcterms:W3CDTF">2023-04-05T18:43:27Z</dcterms:created>
  <dcterms:modified xsi:type="dcterms:W3CDTF">2023-04-07T22:42:48Z</dcterms:modified>
</cp:coreProperties>
</file>