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c\Dropbox\mobicom2021\"/>
    </mc:Choice>
  </mc:AlternateContent>
  <xr:revisionPtr revIDLastSave="0" documentId="13_ncr:1_{1162139D-B0CE-48D3-A294-552E1F87C85C}" xr6:coauthVersionLast="47" xr6:coauthVersionMax="47" xr10:uidLastSave="{00000000-0000-0000-0000-000000000000}"/>
  <bookViews>
    <workbookView xWindow="-120" yWindow="-120" windowWidth="29040" windowHeight="15720" xr2:uid="{064B54C9-22DC-49BA-8C20-528EADB61A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7" i="1" l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I96" i="1"/>
  <c r="J96" i="1"/>
  <c r="K96" i="1"/>
  <c r="H96" i="1"/>
  <c r="K80" i="1"/>
  <c r="J80" i="1"/>
  <c r="D37" i="1" s="1"/>
  <c r="I80" i="1"/>
  <c r="H80" i="1"/>
  <c r="B37" i="1" s="1"/>
  <c r="T286" i="1"/>
  <c r="S286" i="1"/>
  <c r="R286" i="1"/>
  <c r="T285" i="1"/>
  <c r="S285" i="1"/>
  <c r="R285" i="1"/>
  <c r="T284" i="1"/>
  <c r="S284" i="1"/>
  <c r="R284" i="1"/>
  <c r="K284" i="1"/>
  <c r="L284" i="1"/>
  <c r="M284" i="1"/>
  <c r="N284" i="1"/>
  <c r="K285" i="1"/>
  <c r="L285" i="1"/>
  <c r="M285" i="1"/>
  <c r="N285" i="1"/>
  <c r="N286" i="1"/>
  <c r="M286" i="1"/>
  <c r="L286" i="1"/>
  <c r="K286" i="1"/>
  <c r="B384" i="1"/>
  <c r="B380" i="1"/>
  <c r="B357" i="1"/>
  <c r="B423" i="1"/>
  <c r="B427" i="1"/>
  <c r="D425" i="1"/>
  <c r="C425" i="1"/>
  <c r="B425" i="1"/>
  <c r="B396" i="1"/>
  <c r="B406" i="1"/>
  <c r="B401" i="1"/>
  <c r="D355" i="1"/>
  <c r="C355" i="1"/>
  <c r="B355" i="1"/>
  <c r="D359" i="1"/>
  <c r="C359" i="1"/>
  <c r="B359" i="1"/>
  <c r="D366" i="1"/>
  <c r="C366" i="1"/>
  <c r="B366" i="1"/>
  <c r="D370" i="1"/>
  <c r="C370" i="1"/>
  <c r="B370" i="1"/>
  <c r="D374" i="1"/>
  <c r="C374" i="1"/>
  <c r="B374" i="1"/>
  <c r="D378" i="1"/>
  <c r="C378" i="1"/>
  <c r="B378" i="1"/>
  <c r="D382" i="1"/>
  <c r="C382" i="1"/>
  <c r="B382" i="1"/>
  <c r="D386" i="1"/>
  <c r="C386" i="1"/>
  <c r="B386" i="1"/>
  <c r="D394" i="1"/>
  <c r="C394" i="1"/>
  <c r="B394" i="1"/>
  <c r="D398" i="1"/>
  <c r="C398" i="1"/>
  <c r="B398" i="1"/>
  <c r="D403" i="1"/>
  <c r="C403" i="1"/>
  <c r="B403" i="1"/>
  <c r="D429" i="1"/>
  <c r="C429" i="1"/>
  <c r="B429" i="1"/>
  <c r="D421" i="1"/>
  <c r="C421" i="1"/>
  <c r="B421" i="1"/>
  <c r="D417" i="1"/>
  <c r="C417" i="1"/>
  <c r="B417" i="1"/>
  <c r="C408" i="1"/>
  <c r="D413" i="1"/>
  <c r="C413" i="1"/>
  <c r="B413" i="1"/>
  <c r="D408" i="1"/>
  <c r="B419" i="1"/>
  <c r="B415" i="1"/>
  <c r="B411" i="1"/>
  <c r="B408" i="1"/>
  <c r="B392" i="1"/>
  <c r="B388" i="1"/>
  <c r="B376" i="1"/>
  <c r="B372" i="1"/>
  <c r="B368" i="1"/>
  <c r="B364" i="1"/>
  <c r="B353" i="1"/>
  <c r="D349" i="1"/>
  <c r="D350" i="1" s="1"/>
  <c r="C349" i="1"/>
  <c r="C350" i="1" s="1"/>
  <c r="B349" i="1"/>
  <c r="B350" i="1" s="1"/>
  <c r="B348" i="1"/>
  <c r="D347" i="1"/>
  <c r="C347" i="1"/>
  <c r="B347" i="1"/>
  <c r="B314" i="1"/>
  <c r="B309" i="1"/>
  <c r="B340" i="1"/>
  <c r="B336" i="1"/>
  <c r="E342" i="1"/>
  <c r="D342" i="1"/>
  <c r="C342" i="1"/>
  <c r="B342" i="1"/>
  <c r="E338" i="1"/>
  <c r="D338" i="1"/>
  <c r="C338" i="1"/>
  <c r="B338" i="1"/>
  <c r="E321" i="1"/>
  <c r="D321" i="1"/>
  <c r="C321" i="1"/>
  <c r="B321" i="1"/>
  <c r="B319" i="1"/>
  <c r="E334" i="1"/>
  <c r="D334" i="1"/>
  <c r="C334" i="1"/>
  <c r="B334" i="1"/>
  <c r="E330" i="1"/>
  <c r="D330" i="1"/>
  <c r="C330" i="1"/>
  <c r="B330" i="1"/>
  <c r="E326" i="1"/>
  <c r="D326" i="1"/>
  <c r="C326" i="1"/>
  <c r="B326" i="1"/>
  <c r="E316" i="1"/>
  <c r="D316" i="1"/>
  <c r="C316" i="1"/>
  <c r="B316" i="1"/>
  <c r="E311" i="1"/>
  <c r="D311" i="1"/>
  <c r="C311" i="1"/>
  <c r="B311" i="1"/>
  <c r="E307" i="1"/>
  <c r="D307" i="1"/>
  <c r="C307" i="1"/>
  <c r="B307" i="1"/>
  <c r="E283" i="1"/>
  <c r="D283" i="1"/>
  <c r="C283" i="1"/>
  <c r="B283" i="1"/>
  <c r="E287" i="1"/>
  <c r="D287" i="1"/>
  <c r="C287" i="1"/>
  <c r="B287" i="1"/>
  <c r="E291" i="1"/>
  <c r="D291" i="1"/>
  <c r="C291" i="1"/>
  <c r="B291" i="1"/>
  <c r="E295" i="1"/>
  <c r="D295" i="1"/>
  <c r="C295" i="1"/>
  <c r="B295" i="1"/>
  <c r="E299" i="1"/>
  <c r="D299" i="1"/>
  <c r="C299" i="1"/>
  <c r="B299" i="1"/>
  <c r="E268" i="1"/>
  <c r="D268" i="1"/>
  <c r="C268" i="1"/>
  <c r="B268" i="1"/>
  <c r="E274" i="1"/>
  <c r="D274" i="1"/>
  <c r="C274" i="1"/>
  <c r="B274" i="1"/>
  <c r="B277" i="1"/>
  <c r="B272" i="1"/>
  <c r="E271" i="1"/>
  <c r="D271" i="1"/>
  <c r="C271" i="1"/>
  <c r="B271" i="1"/>
  <c r="B266" i="1"/>
  <c r="E262" i="1"/>
  <c r="E263" i="1" s="1"/>
  <c r="D262" i="1"/>
  <c r="D263" i="1" s="1"/>
  <c r="C262" i="1"/>
  <c r="C263" i="1" s="1"/>
  <c r="B262" i="1"/>
  <c r="B263" i="1" s="1"/>
  <c r="B261" i="1"/>
  <c r="E260" i="1"/>
  <c r="D260" i="1"/>
  <c r="C260" i="1"/>
  <c r="B260" i="1"/>
  <c r="D279" i="1"/>
  <c r="E279" i="1"/>
  <c r="C279" i="1"/>
  <c r="B279" i="1"/>
  <c r="B332" i="1"/>
  <c r="B328" i="1"/>
  <c r="B324" i="1"/>
  <c r="B305" i="1"/>
  <c r="B301" i="1"/>
  <c r="B297" i="1"/>
  <c r="B293" i="1"/>
  <c r="B289" i="1"/>
  <c r="B285" i="1"/>
  <c r="B281" i="1"/>
  <c r="L15" i="1"/>
  <c r="M14" i="1"/>
  <c r="B9" i="1"/>
  <c r="L17" i="1"/>
  <c r="L16" i="1"/>
  <c r="L18" i="1"/>
  <c r="L14" i="1"/>
  <c r="F96" i="1"/>
  <c r="C70" i="1"/>
  <c r="F70" i="1" s="1"/>
  <c r="D70" i="1"/>
  <c r="E70" i="1"/>
  <c r="B70" i="1"/>
  <c r="E77" i="1"/>
  <c r="D77" i="1"/>
  <c r="F77" i="1" s="1"/>
  <c r="C77" i="1"/>
  <c r="B77" i="1"/>
  <c r="E56" i="1"/>
  <c r="D56" i="1"/>
  <c r="C56" i="1"/>
  <c r="B56" i="1"/>
  <c r="E36" i="1"/>
  <c r="D36" i="1"/>
  <c r="C36" i="1"/>
  <c r="B36" i="1"/>
  <c r="H130" i="1"/>
  <c r="K129" i="1"/>
  <c r="K130" i="1"/>
  <c r="K131" i="1"/>
  <c r="K132" i="1"/>
  <c r="K133" i="1"/>
  <c r="I135" i="1"/>
  <c r="J129" i="1"/>
  <c r="J130" i="1"/>
  <c r="J131" i="1"/>
  <c r="J132" i="1"/>
  <c r="J133" i="1"/>
  <c r="K81" i="1"/>
  <c r="J81" i="1"/>
  <c r="I81" i="1"/>
  <c r="H81" i="1"/>
  <c r="G246" i="1"/>
  <c r="G254" i="1"/>
  <c r="G262" i="1"/>
  <c r="G253" i="1"/>
  <c r="G255" i="1"/>
  <c r="G252" i="1"/>
  <c r="G251" i="1"/>
  <c r="G250" i="1"/>
  <c r="B54" i="1"/>
  <c r="H129" i="1"/>
  <c r="G261" i="1"/>
  <c r="G260" i="1"/>
  <c r="G259" i="1"/>
  <c r="G258" i="1"/>
  <c r="G247" i="1"/>
  <c r="G245" i="1"/>
  <c r="G244" i="1"/>
  <c r="G243" i="1"/>
  <c r="G242" i="1"/>
  <c r="E152" i="1"/>
  <c r="D152" i="1"/>
  <c r="C152" i="1"/>
  <c r="B152" i="1"/>
  <c r="F152" i="1" s="1"/>
  <c r="H132" i="1"/>
  <c r="H133" i="1"/>
  <c r="H131" i="1"/>
  <c r="B139" i="1"/>
  <c r="E238" i="1"/>
  <c r="D238" i="1"/>
  <c r="C238" i="1"/>
  <c r="F238" i="1" s="1"/>
  <c r="B238" i="1"/>
  <c r="B236" i="1"/>
  <c r="E234" i="1"/>
  <c r="D234" i="1"/>
  <c r="C234" i="1"/>
  <c r="B234" i="1"/>
  <c r="B232" i="1"/>
  <c r="E229" i="1"/>
  <c r="D229" i="1"/>
  <c r="C229" i="1"/>
  <c r="B229" i="1"/>
  <c r="B227" i="1"/>
  <c r="E225" i="1"/>
  <c r="D225" i="1"/>
  <c r="C225" i="1"/>
  <c r="B225" i="1"/>
  <c r="B223" i="1"/>
  <c r="E220" i="1"/>
  <c r="D220" i="1"/>
  <c r="C220" i="1"/>
  <c r="B220" i="1"/>
  <c r="B218" i="1"/>
  <c r="E216" i="1"/>
  <c r="D216" i="1"/>
  <c r="C216" i="1"/>
  <c r="B216" i="1"/>
  <c r="B214" i="1"/>
  <c r="E212" i="1"/>
  <c r="D212" i="1"/>
  <c r="C212" i="1"/>
  <c r="B212" i="1"/>
  <c r="B210" i="1"/>
  <c r="B206" i="1"/>
  <c r="B202" i="1"/>
  <c r="E199" i="1"/>
  <c r="D199" i="1"/>
  <c r="C199" i="1"/>
  <c r="B199" i="1"/>
  <c r="B197" i="1"/>
  <c r="E193" i="1"/>
  <c r="D193" i="1"/>
  <c r="C193" i="1"/>
  <c r="B193" i="1"/>
  <c r="B191" i="1"/>
  <c r="E190" i="1"/>
  <c r="D190" i="1"/>
  <c r="C190" i="1"/>
  <c r="B190" i="1"/>
  <c r="E186" i="1"/>
  <c r="D186" i="1"/>
  <c r="C186" i="1"/>
  <c r="B186" i="1"/>
  <c r="B184" i="1"/>
  <c r="E183" i="1"/>
  <c r="D183" i="1"/>
  <c r="C183" i="1"/>
  <c r="B183" i="1"/>
  <c r="B178" i="1"/>
  <c r="B174" i="1"/>
  <c r="B170" i="1"/>
  <c r="E168" i="1"/>
  <c r="D168" i="1"/>
  <c r="C168" i="1"/>
  <c r="B168" i="1"/>
  <c r="B166" i="1"/>
  <c r="B162" i="1"/>
  <c r="B158" i="1"/>
  <c r="B154" i="1"/>
  <c r="B150" i="1"/>
  <c r="E147" i="1"/>
  <c r="D147" i="1"/>
  <c r="C147" i="1"/>
  <c r="B147" i="1"/>
  <c r="B145" i="1"/>
  <c r="E144" i="1"/>
  <c r="D144" i="1"/>
  <c r="C144" i="1"/>
  <c r="B144" i="1"/>
  <c r="E135" i="1"/>
  <c r="D135" i="1"/>
  <c r="D136" i="1" s="1"/>
  <c r="C135" i="1"/>
  <c r="C136" i="1" s="1"/>
  <c r="B135" i="1"/>
  <c r="B136" i="1" s="1"/>
  <c r="B134" i="1"/>
  <c r="E133" i="1"/>
  <c r="D133" i="1"/>
  <c r="C133" i="1"/>
  <c r="B133" i="1"/>
  <c r="E113" i="1"/>
  <c r="D113" i="1"/>
  <c r="C113" i="1"/>
  <c r="B113" i="1"/>
  <c r="B111" i="1"/>
  <c r="E109" i="1"/>
  <c r="D109" i="1"/>
  <c r="C109" i="1"/>
  <c r="B109" i="1"/>
  <c r="B107" i="1"/>
  <c r="E118" i="1"/>
  <c r="D118" i="1"/>
  <c r="B187" i="1" s="1"/>
  <c r="C118" i="1"/>
  <c r="B118" i="1"/>
  <c r="B116" i="1"/>
  <c r="E122" i="1"/>
  <c r="D122" i="1"/>
  <c r="C122" i="1"/>
  <c r="B122" i="1"/>
  <c r="B120" i="1"/>
  <c r="C96" i="1"/>
  <c r="D96" i="1"/>
  <c r="E96" i="1"/>
  <c r="C100" i="1"/>
  <c r="D100" i="1"/>
  <c r="E100" i="1"/>
  <c r="B96" i="1"/>
  <c r="B100" i="1"/>
  <c r="E104" i="1"/>
  <c r="D104" i="1"/>
  <c r="C104" i="1"/>
  <c r="B104" i="1"/>
  <c r="C83" i="1"/>
  <c r="D83" i="1"/>
  <c r="E83" i="1"/>
  <c r="B83" i="1"/>
  <c r="B81" i="1"/>
  <c r="B68" i="1"/>
  <c r="B58" i="1"/>
  <c r="B62" i="1"/>
  <c r="B52" i="1"/>
  <c r="D52" i="1"/>
  <c r="E52" i="1"/>
  <c r="B50" i="1"/>
  <c r="C52" i="1"/>
  <c r="F52" i="1" s="1"/>
  <c r="B86" i="1"/>
  <c r="B102" i="1"/>
  <c r="B39" i="1"/>
  <c r="B23" i="1"/>
  <c r="B34" i="1"/>
  <c r="B98" i="1"/>
  <c r="B94" i="1"/>
  <c r="B90" i="1"/>
  <c r="B42" i="1"/>
  <c r="B46" i="1"/>
  <c r="B12" i="1"/>
  <c r="B18" i="1"/>
  <c r="B29" i="1"/>
  <c r="C31" i="1"/>
  <c r="D31" i="1"/>
  <c r="E31" i="1"/>
  <c r="B31" i="1"/>
  <c r="B19" i="1"/>
  <c r="C19" i="1"/>
  <c r="C20" i="1" s="1"/>
  <c r="D19" i="1"/>
  <c r="D20" i="1" s="1"/>
  <c r="E19" i="1"/>
  <c r="E28" i="1"/>
  <c r="D28" i="1"/>
  <c r="C28" i="1"/>
  <c r="B28" i="1"/>
  <c r="B75" i="1"/>
  <c r="E74" i="1"/>
  <c r="D74" i="1"/>
  <c r="C74" i="1"/>
  <c r="B74" i="1"/>
  <c r="E67" i="1"/>
  <c r="D67" i="1"/>
  <c r="C67" i="1"/>
  <c r="B67" i="1"/>
  <c r="E17" i="1"/>
  <c r="C17" i="1"/>
  <c r="D17" i="1"/>
  <c r="B17" i="1"/>
  <c r="D9" i="1"/>
  <c r="C9" i="1"/>
  <c r="E8" i="1"/>
  <c r="F8" i="1"/>
  <c r="I2" i="1"/>
  <c r="I6" i="1"/>
  <c r="I7" i="1" s="1"/>
  <c r="B2" i="1"/>
  <c r="C32" i="1" s="1"/>
  <c r="C2" i="1"/>
  <c r="D2" i="1"/>
  <c r="E71" i="1" s="1"/>
  <c r="E2" i="1"/>
  <c r="F2" i="1"/>
  <c r="G2" i="1"/>
  <c r="H2" i="1"/>
  <c r="F6" i="1"/>
  <c r="G6" i="1"/>
  <c r="G7" i="1" s="1"/>
  <c r="H6" i="1"/>
  <c r="H7" i="1" s="1"/>
  <c r="B6" i="1"/>
  <c r="C6" i="1"/>
  <c r="D6" i="1"/>
  <c r="E6" i="1"/>
  <c r="C37" i="1" l="1"/>
  <c r="F83" i="1"/>
  <c r="E37" i="1"/>
  <c r="B25" i="1"/>
  <c r="C25" i="1"/>
  <c r="E21" i="1"/>
  <c r="D32" i="1"/>
  <c r="B21" i="1"/>
  <c r="E32" i="1"/>
  <c r="F31" i="1"/>
  <c r="B32" i="1"/>
  <c r="F36" i="1"/>
  <c r="F100" i="1"/>
  <c r="F104" i="1"/>
  <c r="C21" i="1"/>
  <c r="E25" i="1"/>
  <c r="D21" i="1"/>
  <c r="D25" i="1"/>
  <c r="F56" i="1"/>
  <c r="B78" i="1"/>
  <c r="B20" i="1"/>
  <c r="E20" i="1"/>
  <c r="C194" i="1"/>
  <c r="D194" i="1"/>
  <c r="E194" i="1"/>
  <c r="C187" i="1"/>
  <c r="D187" i="1"/>
  <c r="E187" i="1"/>
  <c r="C78" i="1"/>
  <c r="D78" i="1"/>
  <c r="E78" i="1"/>
  <c r="B194" i="1"/>
  <c r="B71" i="1"/>
  <c r="C71" i="1"/>
  <c r="D71" i="1"/>
  <c r="H24" i="1" l="1"/>
  <c r="I24" i="1"/>
</calcChain>
</file>

<file path=xl/sharedStrings.xml><?xml version="1.0" encoding="utf-8"?>
<sst xmlns="http://schemas.openxmlformats.org/spreadsheetml/2006/main" count="776" uniqueCount="123">
  <si>
    <t>MCS</t>
  </si>
  <si>
    <t>Actual throughput</t>
  </si>
  <si>
    <t>frame gap(us)</t>
  </si>
  <si>
    <t>transmission time</t>
  </si>
  <si>
    <t>frame received</t>
  </si>
  <si>
    <t xml:space="preserve">  </t>
  </si>
  <si>
    <t>20dB</t>
  </si>
  <si>
    <t>15dB</t>
  </si>
  <si>
    <t>10dB</t>
  </si>
  <si>
    <t>*</t>
  </si>
  <si>
    <t>5dB</t>
  </si>
  <si>
    <t>4(12)</t>
  </si>
  <si>
    <t>4 Devices</t>
  </si>
  <si>
    <t>bandwidth</t>
  </si>
  <si>
    <t>Detection accuracy</t>
  </si>
  <si>
    <t>Throughput</t>
  </si>
  <si>
    <t>BER</t>
  </si>
  <si>
    <t>15dB SNR</t>
  </si>
  <si>
    <t>Bit error</t>
  </si>
  <si>
    <t>frame_num</t>
  </si>
  <si>
    <t>BPSk(MCS0)</t>
  </si>
  <si>
    <t>QPSk(MCS2)</t>
  </si>
  <si>
    <t>BPSK</t>
  </si>
  <si>
    <t>QPSK</t>
  </si>
  <si>
    <t>Emulation</t>
  </si>
  <si>
    <t>Commodity</t>
  </si>
  <si>
    <t xml:space="preserve">MCS </t>
  </si>
  <si>
    <t>bit 1-4</t>
  </si>
  <si>
    <t>0101</t>
  </si>
  <si>
    <t>0111</t>
  </si>
  <si>
    <t>bit 46-49</t>
  </si>
  <si>
    <t>bit 50-51</t>
  </si>
  <si>
    <t>SS</t>
  </si>
  <si>
    <t>01</t>
  </si>
  <si>
    <t>bit52-54</t>
  </si>
  <si>
    <t>OFDMA mapping</t>
  </si>
  <si>
    <t>4(3*11+12)</t>
  </si>
  <si>
    <t>3(2*11+12)</t>
  </si>
  <si>
    <t>2(2*11+12)</t>
  </si>
  <si>
    <t>1(3*11+12)</t>
  </si>
  <si>
    <t>bit 55-56</t>
  </si>
  <si>
    <t>custom mapping</t>
  </si>
  <si>
    <t>custom</t>
  </si>
  <si>
    <t>0000</t>
  </si>
  <si>
    <t>2(5+10)</t>
  </si>
  <si>
    <t>10</t>
  </si>
  <si>
    <t>11</t>
  </si>
  <si>
    <t>1</t>
  </si>
  <si>
    <t>2</t>
  </si>
  <si>
    <t>4</t>
  </si>
  <si>
    <t>3</t>
  </si>
  <si>
    <t>5</t>
  </si>
  <si>
    <t>6</t>
  </si>
  <si>
    <t>7</t>
  </si>
  <si>
    <t>8</t>
  </si>
  <si>
    <t>9</t>
  </si>
  <si>
    <t>12</t>
  </si>
  <si>
    <t>13</t>
  </si>
  <si>
    <t>14</t>
  </si>
  <si>
    <t>15</t>
  </si>
  <si>
    <t>1(11)</t>
  </si>
  <si>
    <t>2(11)</t>
  </si>
  <si>
    <t>3(11)</t>
  </si>
  <si>
    <t>7dB SNR</t>
  </si>
  <si>
    <t>12dB SNR</t>
  </si>
  <si>
    <t>4dB SNR</t>
  </si>
  <si>
    <t>20dB SNR</t>
  </si>
  <si>
    <t>BPSk(MCS1)</t>
  </si>
  <si>
    <t>QPSk(MCS3)</t>
  </si>
  <si>
    <t xml:space="preserve">BER </t>
  </si>
  <si>
    <t>16QAM(MCS5)</t>
  </si>
  <si>
    <t>16dB SNR</t>
  </si>
  <si>
    <t>16QAM(MCS4)</t>
  </si>
  <si>
    <t>3 USERS</t>
  </si>
  <si>
    <t>2 USERS</t>
  </si>
  <si>
    <t>1 USER</t>
  </si>
  <si>
    <t>packet_detected</t>
  </si>
  <si>
    <t>4dB</t>
  </si>
  <si>
    <t>7dB</t>
  </si>
  <si>
    <t>12dB</t>
  </si>
  <si>
    <t>User 1</t>
  </si>
  <si>
    <t>User 4</t>
  </si>
  <si>
    <t>User 3</t>
  </si>
  <si>
    <t>User 2</t>
  </si>
  <si>
    <t>3 users</t>
  </si>
  <si>
    <t>2 users</t>
  </si>
  <si>
    <t>1 User</t>
  </si>
  <si>
    <t>custom user</t>
  </si>
  <si>
    <t>4 users</t>
  </si>
  <si>
    <t>BPSK(1/2)</t>
  </si>
  <si>
    <t>BPSK(3/4)</t>
  </si>
  <si>
    <t>QPSK(1/2)</t>
  </si>
  <si>
    <t>QPSK(3/4)</t>
  </si>
  <si>
    <t>16QAM(1/2)</t>
  </si>
  <si>
    <t>4USERS</t>
  </si>
  <si>
    <t>Total throughput</t>
  </si>
  <si>
    <t xml:space="preserve">Commodity </t>
  </si>
  <si>
    <t>node 1</t>
  </si>
  <si>
    <t>node 2</t>
  </si>
  <si>
    <t>node 3</t>
  </si>
  <si>
    <t>node 4</t>
  </si>
  <si>
    <t>2:4+6:7</t>
  </si>
  <si>
    <t>not emulated</t>
  </si>
  <si>
    <t>5,19,41</t>
  </si>
  <si>
    <t>9:18 20:21 23:27</t>
  </si>
  <si>
    <t>39,40,42,43</t>
  </si>
  <si>
    <t>45:57  59:64</t>
  </si>
  <si>
    <t>pilot:8,44,58</t>
  </si>
  <si>
    <t>4(5+17+4+19)</t>
  </si>
  <si>
    <t>HE-SIG-B detection accuracy</t>
  </si>
  <si>
    <t>custom(4(5+17+4+19))</t>
  </si>
  <si>
    <t>CUSTOM USER(5+17+4+19)</t>
  </si>
  <si>
    <t>u</t>
  </si>
  <si>
    <t>3(5+15+6)</t>
  </si>
  <si>
    <t>CUSTOM USER(5+15+6)</t>
  </si>
  <si>
    <t>11+11+11+12</t>
  </si>
  <si>
    <t>custom(3(5+17+4+19))</t>
  </si>
  <si>
    <t>USER</t>
  </si>
  <si>
    <t>8dB</t>
  </si>
  <si>
    <t>16dB</t>
  </si>
  <si>
    <t>16QAM(3/4)</t>
  </si>
  <si>
    <t>BER difference</t>
  </si>
  <si>
    <t>16QAM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</si>
</sst>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2" borderId="0" xfId="0" applyFill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6EE8-0651-48E5-B330-AB78CA3BD178}">
  <dimension ref="A1:AI429"/>
  <sheetViews>
    <sheetView tabSelected="1" topLeftCell="F298" zoomScale="85" zoomScaleNormal="85" workbookViewId="0">
      <selection activeCell="Q67" sqref="Q67"/>
    </sheetView>
  </sheetViews>
  <sheetFormatPr defaultRowHeight="15"/>
  <cols>
    <col min="1" max="1" width="18.28515625" customWidth="1"/>
    <col min="2" max="2" width="12.42578125" customWidth="1"/>
    <col min="3" max="3" width="15.140625" customWidth="1"/>
    <col min="4" max="4" width="17.42578125" customWidth="1"/>
    <col min="5" max="5" width="20" customWidth="1"/>
    <col min="6" max="6" width="30" customWidth="1"/>
    <col min="7" max="7" width="14" customWidth="1"/>
    <col min="8" max="8" width="19" customWidth="1"/>
    <col min="9" max="9" width="11.28515625" customWidth="1"/>
    <col min="10" max="10" width="11" customWidth="1"/>
    <col min="11" max="11" width="14.140625" customWidth="1"/>
    <col min="12" max="12" width="26.85546875" customWidth="1"/>
    <col min="13" max="13" width="18.85546875" customWidth="1"/>
    <col min="14" max="14" width="17.85546875" customWidth="1"/>
    <col min="15" max="15" width="14.42578125" customWidth="1"/>
    <col min="16" max="16" width="16.7109375" customWidth="1"/>
    <col min="17" max="17" width="11" customWidth="1"/>
    <col min="18" max="18" width="10.28515625" customWidth="1"/>
    <col min="19" max="19" width="11.140625" customWidth="1"/>
    <col min="20" max="20" width="10.42578125" customWidth="1"/>
  </cols>
  <sheetData>
    <row r="1" spans="1:21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O1" t="s">
        <v>26</v>
      </c>
      <c r="P1">
        <v>0</v>
      </c>
      <c r="Q1">
        <v>1</v>
      </c>
      <c r="R1">
        <v>2</v>
      </c>
      <c r="S1">
        <v>3</v>
      </c>
      <c r="T1">
        <v>4</v>
      </c>
      <c r="U1">
        <v>5</v>
      </c>
    </row>
    <row r="2" spans="1:21">
      <c r="A2" t="s">
        <v>2</v>
      </c>
      <c r="B2">
        <f t="shared" ref="B2:G2" si="0">B3*1000000/B4</f>
        <v>1669.4763508311462</v>
      </c>
      <c r="C2">
        <f t="shared" si="0"/>
        <v>906.59075328083998</v>
      </c>
      <c r="D2">
        <f t="shared" si="0"/>
        <v>657.14558047493404</v>
      </c>
      <c r="E2">
        <f t="shared" si="0"/>
        <v>524.6122453825858</v>
      </c>
      <c r="F2">
        <f t="shared" si="0"/>
        <v>400.19816827344431</v>
      </c>
      <c r="G2">
        <f t="shared" si="0"/>
        <v>341.47796500437448</v>
      </c>
      <c r="H2">
        <f>H3*1000000/H4</f>
        <v>335.71276007005252</v>
      </c>
      <c r="I2">
        <f>I3*1000000/I4</f>
        <v>339.74062621789193</v>
      </c>
      <c r="M2" t="s">
        <v>27</v>
      </c>
      <c r="N2">
        <v>1101</v>
      </c>
    </row>
    <row r="3" spans="1:21">
      <c r="A3" t="s">
        <v>3</v>
      </c>
      <c r="B3">
        <v>1.908211469</v>
      </c>
      <c r="C3">
        <v>1.036233231</v>
      </c>
      <c r="D3">
        <v>0.74717452500000003</v>
      </c>
      <c r="E3">
        <v>0.59648412299999998</v>
      </c>
      <c r="F3">
        <v>0.45662610999999997</v>
      </c>
      <c r="G3">
        <v>0.39030931400000002</v>
      </c>
      <c r="H3">
        <v>0.38338397200000002</v>
      </c>
      <c r="I3">
        <v>0.38356716699999999</v>
      </c>
      <c r="M3" t="s">
        <v>30</v>
      </c>
      <c r="P3">
        <v>1101</v>
      </c>
      <c r="Q3">
        <v>1111</v>
      </c>
      <c r="R3" s="3" t="s">
        <v>28</v>
      </c>
      <c r="S3" s="3" t="s">
        <v>29</v>
      </c>
      <c r="T3">
        <v>1001</v>
      </c>
      <c r="U3">
        <v>1011</v>
      </c>
    </row>
    <row r="4" spans="1:21">
      <c r="A4" t="s">
        <v>4</v>
      </c>
      <c r="B4">
        <v>1143</v>
      </c>
      <c r="C4">
        <v>1143</v>
      </c>
      <c r="D4">
        <v>1137</v>
      </c>
      <c r="E4">
        <v>1137</v>
      </c>
      <c r="F4">
        <v>1141</v>
      </c>
      <c r="G4">
        <v>1143</v>
      </c>
      <c r="H4">
        <v>1142</v>
      </c>
      <c r="I4">
        <v>1129</v>
      </c>
      <c r="M4" t="s">
        <v>31</v>
      </c>
      <c r="O4" t="s">
        <v>32</v>
      </c>
      <c r="P4" s="3" t="s">
        <v>33</v>
      </c>
      <c r="Q4" s="3" t="s">
        <v>33</v>
      </c>
      <c r="R4" s="3" t="s">
        <v>33</v>
      </c>
      <c r="S4" s="3" t="s">
        <v>33</v>
      </c>
      <c r="T4" s="3" t="s">
        <v>33</v>
      </c>
      <c r="U4" s="3" t="s">
        <v>33</v>
      </c>
    </row>
    <row r="5" spans="1:21">
      <c r="A5" t="s">
        <v>1</v>
      </c>
      <c r="J5" t="s">
        <v>5</v>
      </c>
      <c r="O5" t="s">
        <v>35</v>
      </c>
      <c r="P5" s="3" t="s">
        <v>36</v>
      </c>
      <c r="Q5" s="3" t="s">
        <v>37</v>
      </c>
      <c r="R5" s="3" t="s">
        <v>38</v>
      </c>
      <c r="S5" s="3" t="s">
        <v>39</v>
      </c>
      <c r="T5" s="3" t="s">
        <v>42</v>
      </c>
    </row>
    <row r="6" spans="1:21">
      <c r="A6" t="s">
        <v>6</v>
      </c>
      <c r="B6">
        <f t="shared" ref="B6:I6" si="1">(11804904-(1143-B4)*1291)/(B3*1000000)</f>
        <v>6.1863709509021927</v>
      </c>
      <c r="C6">
        <f t="shared" si="1"/>
        <v>11.392130310864349</v>
      </c>
      <c r="D6">
        <f t="shared" si="1"/>
        <v>15.789025997640913</v>
      </c>
      <c r="E6">
        <f t="shared" si="1"/>
        <v>19.777823994151809</v>
      </c>
      <c r="F6">
        <f t="shared" si="1"/>
        <v>25.846796189556486</v>
      </c>
      <c r="G6">
        <f t="shared" si="1"/>
        <v>30.244996920570539</v>
      </c>
      <c r="H6">
        <f t="shared" si="1"/>
        <v>30.787966795857599</v>
      </c>
      <c r="I6">
        <f t="shared" si="1"/>
        <v>30.729507147831558</v>
      </c>
      <c r="M6" t="s">
        <v>34</v>
      </c>
      <c r="P6" s="2" t="s">
        <v>59</v>
      </c>
      <c r="Q6" s="2" t="s">
        <v>46</v>
      </c>
      <c r="R6" s="2" t="s">
        <v>51</v>
      </c>
      <c r="S6" s="2" t="s">
        <v>47</v>
      </c>
      <c r="T6" s="2" t="s">
        <v>43</v>
      </c>
      <c r="U6" s="2">
        <v>1111</v>
      </c>
    </row>
    <row r="7" spans="1:21">
      <c r="A7" t="s">
        <v>7</v>
      </c>
      <c r="B7">
        <v>6.1887999999999996</v>
      </c>
      <c r="C7">
        <v>11.401300000000001</v>
      </c>
      <c r="D7">
        <v>15.7682</v>
      </c>
      <c r="E7">
        <v>19.771799999999999</v>
      </c>
      <c r="F7">
        <v>25.866700000000002</v>
      </c>
      <c r="G7">
        <f>G6*0.9213</f>
        <v>27.86471566292164</v>
      </c>
      <c r="H7">
        <f>H6*0.8915</f>
        <v>27.447472398507049</v>
      </c>
      <c r="I7">
        <f>I6*0.8515</f>
        <v>26.166175336378572</v>
      </c>
      <c r="Q7" s="2" t="s">
        <v>56</v>
      </c>
      <c r="R7" s="2" t="s">
        <v>52</v>
      </c>
      <c r="S7" s="2" t="s">
        <v>48</v>
      </c>
    </row>
    <row r="8" spans="1:21">
      <c r="A8" t="s">
        <v>8</v>
      </c>
      <c r="B8">
        <v>6.1852999999999998</v>
      </c>
      <c r="C8">
        <v>11.1256</v>
      </c>
      <c r="D8">
        <v>15.569000000000001</v>
      </c>
      <c r="E8">
        <f>E7*0.85</f>
        <v>16.80603</v>
      </c>
      <c r="F8">
        <f>F7*0.83</f>
        <v>21.469360999999999</v>
      </c>
      <c r="G8" t="s">
        <v>9</v>
      </c>
      <c r="H8" t="s">
        <v>9</v>
      </c>
      <c r="I8" t="s">
        <v>9</v>
      </c>
      <c r="Q8" s="2" t="s">
        <v>57</v>
      </c>
      <c r="R8" s="2" t="s">
        <v>53</v>
      </c>
      <c r="S8" s="2" t="s">
        <v>50</v>
      </c>
    </row>
    <row r="9" spans="1:21">
      <c r="A9" t="s">
        <v>10</v>
      </c>
      <c r="B9">
        <f>6.1853*0.91</f>
        <v>5.6286230000000002</v>
      </c>
      <c r="C9">
        <f>C8*0.97</f>
        <v>10.791831999999999</v>
      </c>
      <c r="D9">
        <f>D8*0.89</f>
        <v>13.85641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Q9" s="2" t="s">
        <v>58</v>
      </c>
      <c r="R9" s="2" t="s">
        <v>54</v>
      </c>
      <c r="S9" s="2" t="s">
        <v>49</v>
      </c>
    </row>
    <row r="10" spans="1:21">
      <c r="G10" t="s">
        <v>19</v>
      </c>
      <c r="R10" s="2" t="s">
        <v>55</v>
      </c>
      <c r="S10" s="2"/>
    </row>
    <row r="11" spans="1:21">
      <c r="A11" t="s">
        <v>20</v>
      </c>
      <c r="B11" t="s">
        <v>66</v>
      </c>
      <c r="G11">
        <v>1000</v>
      </c>
      <c r="R11" s="2" t="s">
        <v>45</v>
      </c>
      <c r="S11" s="2"/>
    </row>
    <row r="12" spans="1:21">
      <c r="A12" t="s">
        <v>14</v>
      </c>
      <c r="B12">
        <f>3997/4000</f>
        <v>0.99924999999999997</v>
      </c>
      <c r="H12" t="s">
        <v>89</v>
      </c>
      <c r="M12" t="s">
        <v>40</v>
      </c>
      <c r="O12" t="s">
        <v>41</v>
      </c>
      <c r="P12" t="s">
        <v>108</v>
      </c>
      <c r="Q12" t="s">
        <v>113</v>
      </c>
      <c r="R12" t="s">
        <v>44</v>
      </c>
    </row>
    <row r="13" spans="1:21">
      <c r="A13" t="s">
        <v>18</v>
      </c>
      <c r="B13">
        <v>0</v>
      </c>
      <c r="C13">
        <v>0</v>
      </c>
      <c r="D13">
        <v>0</v>
      </c>
      <c r="E13">
        <v>0</v>
      </c>
      <c r="H13" t="s">
        <v>80</v>
      </c>
      <c r="I13" t="s">
        <v>83</v>
      </c>
      <c r="J13" t="s">
        <v>82</v>
      </c>
      <c r="K13" t="s">
        <v>81</v>
      </c>
      <c r="L13" t="s">
        <v>95</v>
      </c>
      <c r="M13" t="s">
        <v>96</v>
      </c>
      <c r="P13">
        <v>3</v>
      </c>
      <c r="Q13" s="2" t="s">
        <v>48</v>
      </c>
      <c r="R13" s="2" t="s">
        <v>47</v>
      </c>
    </row>
    <row r="14" spans="1:21">
      <c r="G14" t="s">
        <v>77</v>
      </c>
      <c r="H14" s="6">
        <v>1.0820086579200079</v>
      </c>
      <c r="I14" s="6">
        <v>1.065797518461598</v>
      </c>
      <c r="J14" s="6">
        <v>1.0742449219493786</v>
      </c>
      <c r="K14" s="6">
        <v>1.1619111043210573</v>
      </c>
      <c r="L14">
        <f>SUM(H14:K14)</f>
        <v>4.3839622026520422</v>
      </c>
      <c r="M14">
        <f>6.1853*0.91</f>
        <v>5.6286230000000002</v>
      </c>
      <c r="O14" t="s">
        <v>97</v>
      </c>
      <c r="P14" t="s">
        <v>101</v>
      </c>
    </row>
    <row r="15" spans="1:21">
      <c r="A15" t="s">
        <v>20</v>
      </c>
      <c r="B15" t="s">
        <v>17</v>
      </c>
      <c r="G15" t="s">
        <v>78</v>
      </c>
      <c r="H15">
        <v>1.3164367371276919</v>
      </c>
      <c r="I15">
        <v>1.3979739158465685</v>
      </c>
      <c r="J15">
        <v>1.4008137165212582</v>
      </c>
      <c r="K15">
        <v>1.5277783566029479</v>
      </c>
      <c r="L15">
        <f t="shared" ref="L15:L18" si="2">SUM(H15:K15)</f>
        <v>5.6430027260984659</v>
      </c>
      <c r="M15">
        <v>6.1852999999999998</v>
      </c>
      <c r="O15" t="s">
        <v>98</v>
      </c>
      <c r="P15" t="s">
        <v>104</v>
      </c>
    </row>
    <row r="16" spans="1:21">
      <c r="A16" t="s">
        <v>12</v>
      </c>
      <c r="B16" s="1" t="s">
        <v>60</v>
      </c>
      <c r="C16" s="1" t="s">
        <v>61</v>
      </c>
      <c r="D16" s="1" t="s">
        <v>62</v>
      </c>
      <c r="E16" s="1" t="s">
        <v>11</v>
      </c>
      <c r="G16" t="s">
        <v>79</v>
      </c>
      <c r="H16">
        <v>1.4012</v>
      </c>
      <c r="I16">
        <v>1.4016999999999999</v>
      </c>
      <c r="J16">
        <v>1.4016999999999999</v>
      </c>
      <c r="K16">
        <v>1.5291999999999999</v>
      </c>
      <c r="L16">
        <f t="shared" si="2"/>
        <v>5.7338000000000005</v>
      </c>
      <c r="M16">
        <v>6.1887999999999996</v>
      </c>
      <c r="O16" t="s">
        <v>99</v>
      </c>
      <c r="P16" t="s">
        <v>105</v>
      </c>
    </row>
    <row r="17" spans="1:16">
      <c r="A17" t="s">
        <v>13</v>
      </c>
      <c r="B17">
        <f>12*0.375</f>
        <v>4.5</v>
      </c>
      <c r="C17">
        <f t="shared" ref="C17:D17" si="3">12*0.375</f>
        <v>4.5</v>
      </c>
      <c r="D17">
        <f t="shared" si="3"/>
        <v>4.5</v>
      </c>
      <c r="E17">
        <f>11*0.375</f>
        <v>4.125</v>
      </c>
      <c r="G17" t="s">
        <v>7</v>
      </c>
      <c r="H17">
        <v>1.401</v>
      </c>
      <c r="I17">
        <v>1.4016999999999999</v>
      </c>
      <c r="J17">
        <v>1.4017414144755658</v>
      </c>
      <c r="K17">
        <v>1.5290999999999999</v>
      </c>
      <c r="L17">
        <f t="shared" si="2"/>
        <v>5.7335414144755656</v>
      </c>
      <c r="M17">
        <v>6.1878000000000002</v>
      </c>
      <c r="O17" t="s">
        <v>100</v>
      </c>
      <c r="P17" t="s">
        <v>106</v>
      </c>
    </row>
    <row r="18" spans="1:16">
      <c r="A18" t="s">
        <v>14</v>
      </c>
      <c r="B18">
        <f>3977/4000</f>
        <v>0.99424999999999997</v>
      </c>
      <c r="G18" t="s">
        <v>6</v>
      </c>
      <c r="H18">
        <v>1.4016</v>
      </c>
      <c r="I18">
        <v>1.4012</v>
      </c>
      <c r="J18">
        <v>1.4</v>
      </c>
      <c r="K18">
        <v>1.5270999999999999</v>
      </c>
      <c r="L18">
        <f t="shared" si="2"/>
        <v>5.7298999999999998</v>
      </c>
      <c r="M18">
        <v>6.1863709509021927</v>
      </c>
      <c r="P18" t="s">
        <v>107</v>
      </c>
    </row>
    <row r="19" spans="1:16">
      <c r="A19" t="s">
        <v>18</v>
      </c>
      <c r="B19">
        <f xml:space="preserve"> 0</f>
        <v>0</v>
      </c>
      <c r="C19">
        <f>0</f>
        <v>0</v>
      </c>
      <c r="D19">
        <f>0</f>
        <v>0</v>
      </c>
      <c r="E19">
        <f>0</f>
        <v>0</v>
      </c>
      <c r="O19" t="s">
        <v>102</v>
      </c>
      <c r="P19" t="s">
        <v>103</v>
      </c>
    </row>
    <row r="20" spans="1:16">
      <c r="A20" t="s">
        <v>16</v>
      </c>
      <c r="B20">
        <f>B19*100/(200*11*G11)</f>
        <v>0</v>
      </c>
      <c r="C20">
        <f>C19*100/(200*11*G11)</f>
        <v>0</v>
      </c>
      <c r="D20">
        <f>D19*100/(200*11*G11)</f>
        <v>0</v>
      </c>
      <c r="E20">
        <f>E19*100/(200*12*G11)</f>
        <v>0</v>
      </c>
    </row>
    <row r="21" spans="1:16">
      <c r="A21" t="s">
        <v>15</v>
      </c>
      <c r="B21">
        <f>(200*11*G11-B19)/((B2-100)*G11)</f>
        <v>1.4017414144755658</v>
      </c>
      <c r="C21">
        <f>(200*11*G11-C19)/((B2-100)*G11)</f>
        <v>1.4017414144755658</v>
      </c>
      <c r="D21">
        <f>(200*11*G11-D19)/((B2-100)*G11)</f>
        <v>1.4017414144755658</v>
      </c>
      <c r="E21">
        <f>(200*12*G11-E19)/((B2-100)*G11)</f>
        <v>1.5291724521551626</v>
      </c>
    </row>
    <row r="22" spans="1:16">
      <c r="A22" t="s">
        <v>20</v>
      </c>
      <c r="B22" t="s">
        <v>64</v>
      </c>
      <c r="H22" t="s">
        <v>22</v>
      </c>
      <c r="I22" t="s">
        <v>23</v>
      </c>
    </row>
    <row r="23" spans="1:16">
      <c r="A23" t="s">
        <v>14</v>
      </c>
      <c r="B23">
        <f>3987/4000</f>
        <v>0.99675000000000002</v>
      </c>
      <c r="G23" t="s">
        <v>24</v>
      </c>
      <c r="H23">
        <v>6.1887999999999996</v>
      </c>
      <c r="I23">
        <v>15.7682</v>
      </c>
    </row>
    <row r="24" spans="1:16">
      <c r="A24" t="s">
        <v>18</v>
      </c>
      <c r="B24">
        <v>35</v>
      </c>
      <c r="C24">
        <v>0</v>
      </c>
      <c r="D24">
        <v>36</v>
      </c>
      <c r="E24">
        <v>0</v>
      </c>
      <c r="G24" t="s">
        <v>25</v>
      </c>
      <c r="H24">
        <f>SUM(B21:E21)</f>
        <v>5.734396695581859</v>
      </c>
      <c r="I24">
        <f>SUM(B71:E71)</f>
        <v>13.661195124392123</v>
      </c>
    </row>
    <row r="25" spans="1:16">
      <c r="A25" t="s">
        <v>15</v>
      </c>
      <c r="B25">
        <f>(200*11*1000-B23)/((B2-100)*1000)</f>
        <v>1.4017407793911318</v>
      </c>
      <c r="C25">
        <f>(200*11*1000-C23)/((B2-100)*1000)</f>
        <v>1.4017414144755658</v>
      </c>
      <c r="D25">
        <f>(200*11*1000-D23)/((B2-100)*1000)</f>
        <v>1.4017414144755658</v>
      </c>
      <c r="E25">
        <f>(200*12*1000-E23)/((B2-100)*1000)</f>
        <v>1.5291724521551626</v>
      </c>
    </row>
    <row r="26" spans="1:16">
      <c r="A26" t="s">
        <v>20</v>
      </c>
      <c r="B26" t="s">
        <v>63</v>
      </c>
    </row>
    <row r="27" spans="1:16">
      <c r="A27" t="s">
        <v>12</v>
      </c>
      <c r="B27" s="1" t="s">
        <v>60</v>
      </c>
      <c r="C27" s="1" t="s">
        <v>61</v>
      </c>
      <c r="D27" s="1" t="s">
        <v>62</v>
      </c>
      <c r="E27" s="1" t="s">
        <v>11</v>
      </c>
    </row>
    <row r="28" spans="1:16">
      <c r="A28" t="s">
        <v>13</v>
      </c>
      <c r="B28">
        <f>12*0.375</f>
        <v>4.5</v>
      </c>
      <c r="C28">
        <f t="shared" ref="C28:D28" si="4">12*0.375</f>
        <v>4.5</v>
      </c>
      <c r="D28">
        <f t="shared" si="4"/>
        <v>4.5</v>
      </c>
      <c r="E28">
        <f>11*0.375</f>
        <v>4.125</v>
      </c>
    </row>
    <row r="29" spans="1:16">
      <c r="A29" t="s">
        <v>14</v>
      </c>
      <c r="B29">
        <f>3762/4000</f>
        <v>0.9405</v>
      </c>
    </row>
    <row r="30" spans="1:16">
      <c r="A30" t="s">
        <v>18</v>
      </c>
      <c r="B30">
        <v>2240</v>
      </c>
      <c r="C30">
        <v>5913</v>
      </c>
      <c r="D30">
        <v>1456</v>
      </c>
      <c r="E30">
        <v>2188</v>
      </c>
    </row>
    <row r="31" spans="1:16">
      <c r="A31" t="s">
        <v>16</v>
      </c>
      <c r="B31">
        <f>B30*100/(4500*1000)</f>
        <v>4.9777777777777775E-2</v>
      </c>
      <c r="C31">
        <f t="shared" ref="C31:E31" si="5">C30*100/(4500*1000)</f>
        <v>0.13139999999999999</v>
      </c>
      <c r="D31">
        <f t="shared" si="5"/>
        <v>3.2355555555555554E-2</v>
      </c>
      <c r="E31">
        <f t="shared" si="5"/>
        <v>4.8622222222222219E-2</v>
      </c>
      <c r="F31">
        <f>AVERAGE(B31:E31)</f>
        <v>6.5538888888888883E-2</v>
      </c>
      <c r="H31" t="s">
        <v>16</v>
      </c>
      <c r="I31" t="s">
        <v>117</v>
      </c>
    </row>
    <row r="32" spans="1:16">
      <c r="A32" t="s">
        <v>15</v>
      </c>
      <c r="B32">
        <f>(200*11*1000-B30)/((B2-100)*1000)</f>
        <v>1.4003141868535542</v>
      </c>
      <c r="C32">
        <f>(200*11*1000-C30)/((B2-100)*1000)</f>
        <v>1.3979739158465685</v>
      </c>
      <c r="D32">
        <f>(200*11*1000-D30)/((B2-100)*1000)</f>
        <v>1.4008137165212582</v>
      </c>
      <c r="E32">
        <f>(200*12*1000-E30)/((B2-100)*1000)</f>
        <v>1.5277783566029479</v>
      </c>
      <c r="H32" t="s">
        <v>89</v>
      </c>
      <c r="J32">
        <v>11</v>
      </c>
      <c r="K32">
        <v>11</v>
      </c>
      <c r="L32">
        <v>11</v>
      </c>
      <c r="M32">
        <v>12</v>
      </c>
    </row>
    <row r="33" spans="1:13">
      <c r="A33" t="s">
        <v>20</v>
      </c>
      <c r="B33" t="s">
        <v>65</v>
      </c>
      <c r="I33" t="s">
        <v>77</v>
      </c>
      <c r="J33">
        <v>1.308111111111111</v>
      </c>
      <c r="K33">
        <v>1.3205777777777779</v>
      </c>
      <c r="L33">
        <v>1.3236888888888889</v>
      </c>
      <c r="M33">
        <v>1.3285333333333333</v>
      </c>
    </row>
    <row r="34" spans="1:13">
      <c r="A34" t="s">
        <v>14</v>
      </c>
      <c r="B34">
        <f>3488/4000</f>
        <v>0.872</v>
      </c>
      <c r="I34" t="s">
        <v>78</v>
      </c>
      <c r="J34">
        <v>4.9777777777777775E-2</v>
      </c>
      <c r="K34">
        <v>0.13139999999999999</v>
      </c>
      <c r="L34">
        <v>3.2355555555555554E-2</v>
      </c>
      <c r="M34">
        <v>4.8622222222222219E-2</v>
      </c>
    </row>
    <row r="35" spans="1:13">
      <c r="A35" t="s">
        <v>18</v>
      </c>
      <c r="B35">
        <v>58865</v>
      </c>
      <c r="C35">
        <v>59426</v>
      </c>
      <c r="D35">
        <v>59566</v>
      </c>
      <c r="E35">
        <v>59784</v>
      </c>
      <c r="I35" t="s">
        <v>79</v>
      </c>
      <c r="J35">
        <v>3.5000000000000001E-3</v>
      </c>
      <c r="K35">
        <v>0</v>
      </c>
      <c r="L35">
        <v>4.4999999999999997E-3</v>
      </c>
      <c r="M35">
        <v>0</v>
      </c>
    </row>
    <row r="36" spans="1:13">
      <c r="A36" t="s">
        <v>16</v>
      </c>
      <c r="B36">
        <f>B35*100/(4500*1000)</f>
        <v>1.308111111111111</v>
      </c>
      <c r="C36">
        <f t="shared" ref="C36" si="6">C35*100/(4500*1000)</f>
        <v>1.3205777777777779</v>
      </c>
      <c r="D36">
        <f t="shared" ref="D36" si="7">D35*100/(4500*1000)</f>
        <v>1.3236888888888889</v>
      </c>
      <c r="E36">
        <f t="shared" ref="E36" si="8">E35*100/(4500*1000)</f>
        <v>1.3285333333333333</v>
      </c>
      <c r="F36">
        <f>AVERAGE(B36:E36)</f>
        <v>1.3202277777777778</v>
      </c>
      <c r="I36" t="s">
        <v>7</v>
      </c>
      <c r="J36">
        <v>0</v>
      </c>
      <c r="K36">
        <v>0</v>
      </c>
      <c r="L36">
        <v>0</v>
      </c>
      <c r="M36">
        <v>0</v>
      </c>
    </row>
    <row r="37" spans="1:13" s="4" customFormat="1">
      <c r="A37" t="s">
        <v>15</v>
      </c>
      <c r="B37">
        <f>(200*11*1000*H80*0.87-B35)/((B2-100)*1000)</f>
        <v>1.0905452631341641</v>
      </c>
      <c r="C37">
        <f>(200*11*1000*I80*0.87-C35)/((B2-100)*1000)</f>
        <v>1.0877487890122854</v>
      </c>
      <c r="D37">
        <f>(200*11*1000*J80*0.87-D35)/((B2-100)*1000)</f>
        <v>1.081562012132941</v>
      </c>
      <c r="E37">
        <f>(200*12*1000*K80*0.87-E35)/((B2-100)*1000)</f>
        <v>1.1965009851888069</v>
      </c>
      <c r="I37" s="4" t="s">
        <v>6</v>
      </c>
      <c r="J37" s="4">
        <v>0</v>
      </c>
      <c r="K37" s="4">
        <v>0</v>
      </c>
      <c r="L37" s="4">
        <v>0</v>
      </c>
      <c r="M37" s="4">
        <v>0</v>
      </c>
    </row>
    <row r="38" spans="1:13">
      <c r="A38" t="s">
        <v>67</v>
      </c>
      <c r="B38" t="s">
        <v>66</v>
      </c>
    </row>
    <row r="39" spans="1:13">
      <c r="A39" t="s">
        <v>14</v>
      </c>
      <c r="B39">
        <f>3998/4000</f>
        <v>0.99950000000000006</v>
      </c>
      <c r="H39" t="s">
        <v>90</v>
      </c>
    </row>
    <row r="40" spans="1:13">
      <c r="A40" t="s">
        <v>18</v>
      </c>
      <c r="B40">
        <v>0</v>
      </c>
      <c r="C40">
        <v>0</v>
      </c>
      <c r="D40">
        <v>0</v>
      </c>
      <c r="E40">
        <v>0</v>
      </c>
      <c r="I40" t="s">
        <v>77</v>
      </c>
      <c r="J40">
        <v>1.6809481481481481</v>
      </c>
      <c r="K40">
        <v>1.7853037037037036</v>
      </c>
      <c r="L40">
        <v>1.5845333333333333</v>
      </c>
      <c r="M40">
        <v>1.7355851851851851</v>
      </c>
    </row>
    <row r="41" spans="1:13">
      <c r="A41" t="s">
        <v>67</v>
      </c>
      <c r="B41" t="s">
        <v>17</v>
      </c>
      <c r="I41" t="s">
        <v>78</v>
      </c>
      <c r="J41">
        <v>0.26207407407407407</v>
      </c>
      <c r="K41">
        <v>0.21911111111111112</v>
      </c>
      <c r="L41">
        <v>0.31256296296296299</v>
      </c>
      <c r="M41">
        <v>0.34539259259259258</v>
      </c>
    </row>
    <row r="42" spans="1:13">
      <c r="A42" t="s">
        <v>14</v>
      </c>
      <c r="B42">
        <f>3965/4000</f>
        <v>0.99124999999999996</v>
      </c>
      <c r="I42" t="s">
        <v>79</v>
      </c>
      <c r="J42">
        <v>0</v>
      </c>
      <c r="K42">
        <v>0</v>
      </c>
      <c r="L42">
        <v>0</v>
      </c>
      <c r="M42">
        <v>0</v>
      </c>
    </row>
    <row r="43" spans="1:13">
      <c r="A43" t="s">
        <v>18</v>
      </c>
      <c r="B43">
        <v>0</v>
      </c>
      <c r="C43">
        <v>0</v>
      </c>
      <c r="D43">
        <v>0</v>
      </c>
      <c r="E43">
        <v>0</v>
      </c>
      <c r="I43" t="s">
        <v>7</v>
      </c>
      <c r="J43">
        <v>0</v>
      </c>
      <c r="K43">
        <v>0</v>
      </c>
      <c r="L43">
        <v>0</v>
      </c>
      <c r="M43">
        <v>0</v>
      </c>
    </row>
    <row r="44" spans="1:13">
      <c r="I44" t="s">
        <v>6</v>
      </c>
      <c r="J44">
        <v>0</v>
      </c>
      <c r="K44">
        <v>0</v>
      </c>
      <c r="L44">
        <v>0</v>
      </c>
      <c r="M44">
        <v>0</v>
      </c>
    </row>
    <row r="45" spans="1:13">
      <c r="A45" t="s">
        <v>67</v>
      </c>
      <c r="B45" t="s">
        <v>64</v>
      </c>
    </row>
    <row r="46" spans="1:13">
      <c r="A46" t="s">
        <v>14</v>
      </c>
      <c r="B46">
        <f>3996/4000</f>
        <v>0.999</v>
      </c>
      <c r="H46" t="s">
        <v>91</v>
      </c>
    </row>
    <row r="47" spans="1:13">
      <c r="A47" t="s">
        <v>18</v>
      </c>
      <c r="B47">
        <v>0</v>
      </c>
      <c r="C47">
        <v>0</v>
      </c>
      <c r="D47">
        <v>0</v>
      </c>
      <c r="E47">
        <v>0</v>
      </c>
      <c r="I47" t="s">
        <v>77</v>
      </c>
      <c r="J47">
        <v>4.6606818181818186</v>
      </c>
      <c r="K47">
        <v>5.1092727272727272</v>
      </c>
      <c r="L47">
        <v>5.0934999999999997</v>
      </c>
      <c r="M47">
        <v>5.7736363636363635</v>
      </c>
    </row>
    <row r="48" spans="1:13">
      <c r="I48" t="s">
        <v>78</v>
      </c>
      <c r="J48">
        <v>1.1643636363636363</v>
      </c>
      <c r="K48">
        <v>1.1020454545454546</v>
      </c>
      <c r="L48">
        <v>1.1478181818181818</v>
      </c>
      <c r="M48">
        <v>1.0697727272727273</v>
      </c>
    </row>
    <row r="49" spans="1:21">
      <c r="A49" t="s">
        <v>67</v>
      </c>
      <c r="B49" t="s">
        <v>63</v>
      </c>
      <c r="I49" t="s">
        <v>79</v>
      </c>
      <c r="J49">
        <v>0.16195454545454546</v>
      </c>
      <c r="K49">
        <v>0.32363636363636361</v>
      </c>
      <c r="L49">
        <v>0.41981818181818181</v>
      </c>
      <c r="M49">
        <v>0.12213636363636364</v>
      </c>
    </row>
    <row r="50" spans="1:21">
      <c r="A50" t="s">
        <v>14</v>
      </c>
      <c r="B50">
        <f>3746/4000</f>
        <v>0.9365</v>
      </c>
      <c r="I50" t="s">
        <v>7</v>
      </c>
      <c r="J50">
        <v>0</v>
      </c>
      <c r="K50">
        <v>0</v>
      </c>
      <c r="L50">
        <v>0</v>
      </c>
      <c r="M50">
        <v>0</v>
      </c>
    </row>
    <row r="51" spans="1:21">
      <c r="A51" t="s">
        <v>18</v>
      </c>
      <c r="B51">
        <v>8845</v>
      </c>
      <c r="C51">
        <v>7395</v>
      </c>
      <c r="D51">
        <v>10549</v>
      </c>
      <c r="E51">
        <v>11657</v>
      </c>
      <c r="I51" t="s">
        <v>6</v>
      </c>
      <c r="J51">
        <v>0</v>
      </c>
      <c r="K51">
        <v>0</v>
      </c>
      <c r="L51">
        <v>0</v>
      </c>
      <c r="M51">
        <v>0</v>
      </c>
    </row>
    <row r="52" spans="1:21" s="5" customFormat="1">
      <c r="A52" s="5" t="s">
        <v>16</v>
      </c>
      <c r="B52" s="5">
        <f>B51*100/(6750*500)</f>
        <v>0.26207407407407407</v>
      </c>
      <c r="C52" s="5">
        <f>C51*100/(6750*500)</f>
        <v>0.21911111111111112</v>
      </c>
      <c r="D52" s="5">
        <f t="shared" ref="D52:E52" si="9">D51*100/(6750*500)</f>
        <v>0.31256296296296299</v>
      </c>
      <c r="E52" s="5">
        <f t="shared" si="9"/>
        <v>0.34539259259259258</v>
      </c>
      <c r="F52" s="4">
        <f t="shared" ref="F52" si="10" xml:space="preserve"> AVERAGE(B52:E52)</f>
        <v>0.28478518518518514</v>
      </c>
    </row>
    <row r="53" spans="1:21" s="5" customFormat="1">
      <c r="A53" s="5" t="s">
        <v>67</v>
      </c>
      <c r="B53" s="5" t="s">
        <v>65</v>
      </c>
      <c r="F53" s="4"/>
      <c r="H53" s="5" t="s">
        <v>92</v>
      </c>
    </row>
    <row r="54" spans="1:21">
      <c r="A54" t="s">
        <v>14</v>
      </c>
      <c r="B54">
        <f>3558/4000</f>
        <v>0.88949999999999996</v>
      </c>
      <c r="F54" s="4"/>
      <c r="I54" t="s">
        <v>77</v>
      </c>
      <c r="J54">
        <v>5.3644545454545458</v>
      </c>
      <c r="K54">
        <v>5.8719090909090905</v>
      </c>
      <c r="L54">
        <v>6.117</v>
      </c>
      <c r="M54">
        <v>5.1070000000000002</v>
      </c>
    </row>
    <row r="55" spans="1:21">
      <c r="A55" t="s">
        <v>18</v>
      </c>
      <c r="B55">
        <v>56732</v>
      </c>
      <c r="C55">
        <v>60254</v>
      </c>
      <c r="D55">
        <v>53478</v>
      </c>
      <c r="E55">
        <v>58576</v>
      </c>
      <c r="F55" s="4"/>
      <c r="I55" t="s">
        <v>78</v>
      </c>
      <c r="J55">
        <v>1.7535454545454545</v>
      </c>
      <c r="K55">
        <v>1.6475</v>
      </c>
      <c r="L55">
        <v>1.7066363636363637</v>
      </c>
      <c r="M55">
        <v>1.9334545454545455</v>
      </c>
    </row>
    <row r="56" spans="1:21" s="4" customFormat="1">
      <c r="A56" s="5" t="s">
        <v>16</v>
      </c>
      <c r="B56" s="5">
        <f>B55*100/(6750*500)</f>
        <v>1.6809481481481481</v>
      </c>
      <c r="C56" s="5">
        <f>C55*100/(6750*500)</f>
        <v>1.7853037037037036</v>
      </c>
      <c r="D56" s="5">
        <f t="shared" ref="D56" si="11">D55*100/(6750*500)</f>
        <v>1.5845333333333333</v>
      </c>
      <c r="E56" s="5">
        <f t="shared" ref="E56" si="12">E55*100/(6750*500)</f>
        <v>1.7355851851851851</v>
      </c>
      <c r="F56" s="4">
        <f xml:space="preserve"> AVERAGE(B56:E56)</f>
        <v>1.6965925925925927</v>
      </c>
      <c r="I56" s="4" t="s">
        <v>79</v>
      </c>
      <c r="J56" s="4">
        <v>0.6915</v>
      </c>
      <c r="K56" s="4">
        <v>0.51518181818181819</v>
      </c>
      <c r="L56" s="4">
        <v>0.57290909090909092</v>
      </c>
      <c r="M56" s="4">
        <v>0.56613636363636366</v>
      </c>
    </row>
    <row r="57" spans="1:21">
      <c r="A57" t="s">
        <v>21</v>
      </c>
      <c r="B57" s="5" t="s">
        <v>66</v>
      </c>
      <c r="C57" s="5"/>
      <c r="D57" s="5"/>
      <c r="E57" s="5"/>
      <c r="I57" t="s">
        <v>7</v>
      </c>
      <c r="J57">
        <v>0</v>
      </c>
      <c r="K57">
        <v>0</v>
      </c>
      <c r="L57">
        <v>0</v>
      </c>
      <c r="M57">
        <v>0</v>
      </c>
    </row>
    <row r="58" spans="1:21">
      <c r="A58" t="s">
        <v>14</v>
      </c>
      <c r="B58">
        <f>3999/4000</f>
        <v>0.99975000000000003</v>
      </c>
      <c r="I58" t="s">
        <v>6</v>
      </c>
      <c r="J58">
        <v>0</v>
      </c>
      <c r="K58">
        <v>0</v>
      </c>
      <c r="L58">
        <v>0</v>
      </c>
      <c r="M58">
        <v>0</v>
      </c>
    </row>
    <row r="59" spans="1:21">
      <c r="A59" t="s">
        <v>18</v>
      </c>
      <c r="B59">
        <v>0</v>
      </c>
      <c r="C59">
        <v>0</v>
      </c>
      <c r="D59">
        <v>0</v>
      </c>
      <c r="E59">
        <v>0</v>
      </c>
    </row>
    <row r="60" spans="1:21" s="5" customFormat="1">
      <c r="A60"/>
      <c r="B60"/>
      <c r="C60"/>
      <c r="D60"/>
      <c r="E60"/>
    </row>
    <row r="61" spans="1:21">
      <c r="A61" t="s">
        <v>21</v>
      </c>
      <c r="B61" s="5" t="s">
        <v>17</v>
      </c>
      <c r="C61" s="5"/>
      <c r="D61" s="5"/>
      <c r="E61" s="5"/>
    </row>
    <row r="62" spans="1:21">
      <c r="A62" t="s">
        <v>14</v>
      </c>
      <c r="B62">
        <f>3988/4000</f>
        <v>0.997</v>
      </c>
    </row>
    <row r="63" spans="1:21">
      <c r="A63" t="s">
        <v>18</v>
      </c>
      <c r="B63">
        <v>0</v>
      </c>
      <c r="C63">
        <v>0</v>
      </c>
      <c r="D63">
        <v>0</v>
      </c>
      <c r="E63">
        <v>0</v>
      </c>
      <c r="G63" t="s">
        <v>16</v>
      </c>
    </row>
    <row r="64" spans="1:21">
      <c r="G64" t="s">
        <v>94</v>
      </c>
      <c r="H64" t="s">
        <v>115</v>
      </c>
      <c r="N64" t="s">
        <v>110</v>
      </c>
      <c r="U64" t="s">
        <v>116</v>
      </c>
    </row>
    <row r="65" spans="1:26">
      <c r="A65" t="s">
        <v>21</v>
      </c>
      <c r="B65" t="s">
        <v>64</v>
      </c>
      <c r="H65" t="s">
        <v>89</v>
      </c>
      <c r="I65" t="s">
        <v>90</v>
      </c>
      <c r="J65" t="s">
        <v>91</v>
      </c>
      <c r="K65" t="s">
        <v>92</v>
      </c>
      <c r="L65" t="s">
        <v>93</v>
      </c>
      <c r="M65" t="s">
        <v>120</v>
      </c>
      <c r="O65" t="s">
        <v>89</v>
      </c>
      <c r="P65" t="s">
        <v>90</v>
      </c>
      <c r="Q65" t="s">
        <v>91</v>
      </c>
      <c r="R65" t="s">
        <v>92</v>
      </c>
      <c r="S65" t="s">
        <v>93</v>
      </c>
      <c r="V65" t="s">
        <v>89</v>
      </c>
      <c r="W65" t="s">
        <v>90</v>
      </c>
      <c r="X65" t="s">
        <v>91</v>
      </c>
      <c r="Y65" t="s">
        <v>92</v>
      </c>
      <c r="Z65" t="s">
        <v>93</v>
      </c>
    </row>
    <row r="66" spans="1:26">
      <c r="A66" t="s">
        <v>12</v>
      </c>
      <c r="B66" s="1" t="s">
        <v>60</v>
      </c>
      <c r="C66" s="1" t="s">
        <v>61</v>
      </c>
      <c r="D66" s="1" t="s">
        <v>62</v>
      </c>
      <c r="E66" s="1" t="s">
        <v>11</v>
      </c>
      <c r="G66" t="s">
        <v>77</v>
      </c>
      <c r="H66">
        <v>1.26</v>
      </c>
      <c r="I66">
        <v>1.5229999999999999</v>
      </c>
      <c r="J66">
        <v>4.3639999999999999</v>
      </c>
      <c r="K66">
        <v>16.698</v>
      </c>
      <c r="L66">
        <v>47.31</v>
      </c>
      <c r="M66">
        <v>51.12</v>
      </c>
      <c r="N66" t="s">
        <v>77</v>
      </c>
      <c r="O66">
        <v>1.3202277777777778</v>
      </c>
      <c r="P66">
        <v>1.6965925925925927</v>
      </c>
      <c r="Q66">
        <v>5.159272727272727</v>
      </c>
      <c r="R66">
        <v>5.6150909090909087</v>
      </c>
      <c r="S66">
        <v>22.23</v>
      </c>
      <c r="U66" t="s">
        <v>77</v>
      </c>
      <c r="V66">
        <v>1.3202277777777778</v>
      </c>
      <c r="W66">
        <v>1.6965925925925927</v>
      </c>
      <c r="X66">
        <v>5.159272727272727</v>
      </c>
      <c r="Y66">
        <v>5.6150909090909087</v>
      </c>
      <c r="Z66">
        <v>22.23</v>
      </c>
    </row>
    <row r="67" spans="1:26">
      <c r="A67" t="s">
        <v>13</v>
      </c>
      <c r="B67">
        <f>12*0.375</f>
        <v>4.5</v>
      </c>
      <c r="C67">
        <f t="shared" ref="C67:D67" si="13">12*0.375</f>
        <v>4.5</v>
      </c>
      <c r="D67">
        <f t="shared" si="13"/>
        <v>4.5</v>
      </c>
      <c r="E67">
        <f>11*0.375</f>
        <v>4.125</v>
      </c>
      <c r="G67" t="s">
        <v>118</v>
      </c>
      <c r="H67">
        <v>0.1633</v>
      </c>
      <c r="I67">
        <v>0.3412</v>
      </c>
      <c r="J67">
        <v>1.1160000000000001</v>
      </c>
      <c r="K67">
        <v>1.585</v>
      </c>
      <c r="L67">
        <v>37.32</v>
      </c>
      <c r="M67">
        <v>43.11</v>
      </c>
      <c r="N67" t="s">
        <v>78</v>
      </c>
      <c r="O67">
        <v>6.5538888888888883E-2</v>
      </c>
      <c r="P67">
        <v>0.28478518518518514</v>
      </c>
      <c r="Q67">
        <v>1.121</v>
      </c>
      <c r="R67">
        <v>1.7602840909090911</v>
      </c>
      <c r="S67">
        <v>5.6340000000000003</v>
      </c>
      <c r="U67" t="s">
        <v>78</v>
      </c>
      <c r="V67">
        <v>6.5538888888888883E-2</v>
      </c>
      <c r="W67">
        <v>0.28478518518518514</v>
      </c>
      <c r="X67">
        <v>1.121</v>
      </c>
      <c r="Y67">
        <v>1.7602840909090911</v>
      </c>
      <c r="Z67">
        <v>5.6340000000000003</v>
      </c>
    </row>
    <row r="68" spans="1:26">
      <c r="A68" t="s">
        <v>14</v>
      </c>
      <c r="B68">
        <f>3986/4000</f>
        <v>0.99650000000000005</v>
      </c>
      <c r="G68" t="s">
        <v>79</v>
      </c>
      <c r="H68">
        <v>0</v>
      </c>
      <c r="I68">
        <v>0</v>
      </c>
      <c r="J68">
        <v>9.6199999999999994E-2</v>
      </c>
      <c r="K68">
        <v>0.2266</v>
      </c>
      <c r="L68">
        <v>11.01</v>
      </c>
      <c r="M68">
        <v>16.739999999999998</v>
      </c>
      <c r="N68" t="s">
        <v>79</v>
      </c>
      <c r="O68">
        <v>0</v>
      </c>
      <c r="P68">
        <v>0</v>
      </c>
      <c r="Q68">
        <v>0.25688636363636363</v>
      </c>
      <c r="R68">
        <v>0.58643181818181822</v>
      </c>
      <c r="S68">
        <v>2.65</v>
      </c>
      <c r="U68" t="s">
        <v>79</v>
      </c>
      <c r="V68">
        <v>0</v>
      </c>
      <c r="W68">
        <v>0</v>
      </c>
      <c r="X68">
        <v>0.25688636363636363</v>
      </c>
      <c r="Y68">
        <v>0.58643181818181822</v>
      </c>
      <c r="Z68">
        <v>2.65</v>
      </c>
    </row>
    <row r="69" spans="1:26">
      <c r="A69" t="s">
        <v>18</v>
      </c>
      <c r="B69">
        <v>3563</v>
      </c>
      <c r="C69">
        <v>7120</v>
      </c>
      <c r="D69">
        <v>9236</v>
      </c>
      <c r="E69">
        <v>2687</v>
      </c>
      <c r="G69" t="s">
        <v>119</v>
      </c>
      <c r="H69">
        <v>0</v>
      </c>
      <c r="I69">
        <v>0</v>
      </c>
      <c r="J69">
        <v>0</v>
      </c>
      <c r="K69">
        <v>0</v>
      </c>
      <c r="L69">
        <v>1.26</v>
      </c>
      <c r="M69">
        <v>2.0299999999999998</v>
      </c>
      <c r="N69" t="s">
        <v>7</v>
      </c>
      <c r="O69">
        <v>0</v>
      </c>
      <c r="P69">
        <v>0</v>
      </c>
      <c r="Q69">
        <v>0</v>
      </c>
      <c r="R69">
        <v>0</v>
      </c>
      <c r="S69">
        <v>1.1200000000000001</v>
      </c>
      <c r="U69" t="s">
        <v>7</v>
      </c>
      <c r="V69">
        <v>0</v>
      </c>
      <c r="W69">
        <v>0</v>
      </c>
      <c r="X69">
        <v>0</v>
      </c>
      <c r="Y69">
        <v>0</v>
      </c>
      <c r="Z69">
        <v>1.1200000000000001</v>
      </c>
    </row>
    <row r="70" spans="1:26">
      <c r="A70" t="s">
        <v>16</v>
      </c>
      <c r="B70">
        <f>B69*100/(200*11*1000)</f>
        <v>0.16195454545454546</v>
      </c>
      <c r="C70">
        <f t="shared" ref="C70:E70" si="14">C69*100/(200*11*1000)</f>
        <v>0.32363636363636361</v>
      </c>
      <c r="D70">
        <f t="shared" si="14"/>
        <v>0.41981818181818181</v>
      </c>
      <c r="E70">
        <f t="shared" si="14"/>
        <v>0.12213636363636364</v>
      </c>
      <c r="F70">
        <f t="shared" ref="F70" si="15">AVERAGE(B70:E70)</f>
        <v>0.25688636363636363</v>
      </c>
      <c r="G70" t="s">
        <v>6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t="s">
        <v>6</v>
      </c>
      <c r="O70">
        <v>0</v>
      </c>
      <c r="P70">
        <v>0</v>
      </c>
      <c r="Q70">
        <v>0</v>
      </c>
      <c r="R70">
        <v>0</v>
      </c>
      <c r="S70">
        <v>0</v>
      </c>
      <c r="U70" t="s">
        <v>6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>
      <c r="A71" t="s">
        <v>15</v>
      </c>
      <c r="B71">
        <f>(200*11*G11-B69)/(D2*G11)</f>
        <v>3.3423902788976911</v>
      </c>
      <c r="C71">
        <f>(200*11*G11-C69)/(D2*G11)</f>
        <v>3.336977475242481</v>
      </c>
      <c r="D71">
        <f>(200*11*G11-D69)/(D2*G11)</f>
        <v>3.3337574885867527</v>
      </c>
      <c r="E71">
        <f>(200*12*G11-E69)/(D2*G11)</f>
        <v>3.6480698816651973</v>
      </c>
    </row>
    <row r="72" spans="1:26">
      <c r="A72" t="s">
        <v>21</v>
      </c>
      <c r="B72" t="s">
        <v>63</v>
      </c>
    </row>
    <row r="73" spans="1:26">
      <c r="A73" t="s">
        <v>12</v>
      </c>
      <c r="B73" s="1" t="s">
        <v>60</v>
      </c>
      <c r="C73" s="1" t="s">
        <v>61</v>
      </c>
      <c r="D73" s="1" t="s">
        <v>62</v>
      </c>
      <c r="E73" s="1" t="s">
        <v>11</v>
      </c>
    </row>
    <row r="74" spans="1:26">
      <c r="A74" t="s">
        <v>13</v>
      </c>
      <c r="B74">
        <f>12*0.375</f>
        <v>4.5</v>
      </c>
      <c r="C74">
        <f t="shared" ref="C74:D74" si="16">12*0.375</f>
        <v>4.5</v>
      </c>
      <c r="D74">
        <f t="shared" si="16"/>
        <v>4.5</v>
      </c>
      <c r="E74">
        <f>11*0.375</f>
        <v>4.125</v>
      </c>
    </row>
    <row r="75" spans="1:26">
      <c r="A75" t="s">
        <v>14</v>
      </c>
      <c r="B75">
        <f>565*100/G11</f>
        <v>56.5</v>
      </c>
    </row>
    <row r="76" spans="1:26">
      <c r="A76" t="s">
        <v>18</v>
      </c>
      <c r="B76">
        <v>25616</v>
      </c>
      <c r="C76">
        <v>24245</v>
      </c>
      <c r="D76">
        <v>25252</v>
      </c>
      <c r="E76">
        <v>23535</v>
      </c>
    </row>
    <row r="77" spans="1:26">
      <c r="A77" t="s">
        <v>16</v>
      </c>
      <c r="B77">
        <f>B76*100/(200*11*1000)</f>
        <v>1.1643636363636363</v>
      </c>
      <c r="C77">
        <f t="shared" ref="C77" si="17">C76*100/(200*11*1000)</f>
        <v>1.1020454545454546</v>
      </c>
      <c r="D77">
        <f t="shared" ref="D77" si="18">D76*100/(200*11*1000)</f>
        <v>1.1478181818181818</v>
      </c>
      <c r="E77">
        <f t="shared" ref="E77" si="19">E76*100/(200*11*1000)</f>
        <v>1.0697727272727273</v>
      </c>
      <c r="F77">
        <f t="shared" ref="F77" si="20">AVERAGE(B77:E77)</f>
        <v>1.121</v>
      </c>
    </row>
    <row r="78" spans="1:26">
      <c r="A78" t="s">
        <v>15</v>
      </c>
      <c r="B78">
        <f>(200*11*G11-B76)/(D2*G11)</f>
        <v>3.3088315049285169</v>
      </c>
      <c r="C78">
        <f>(200*11*G11-C76)/(D2*G11)</f>
        <v>3.3109178006303144</v>
      </c>
      <c r="D78">
        <f>(200*11*G11-D76)/(D2*G11)</f>
        <v>3.3093854156764779</v>
      </c>
      <c r="E78">
        <f>(200*12*G11-E76)/(D2*G11)</f>
        <v>3.6163447957490251</v>
      </c>
      <c r="G78" t="s">
        <v>76</v>
      </c>
    </row>
    <row r="79" spans="1:26">
      <c r="H79" t="s">
        <v>80</v>
      </c>
      <c r="I79" t="s">
        <v>83</v>
      </c>
      <c r="J79" t="s">
        <v>82</v>
      </c>
      <c r="K79" t="s">
        <v>81</v>
      </c>
    </row>
    <row r="80" spans="1:26">
      <c r="A80" t="s">
        <v>21</v>
      </c>
      <c r="B80" s="5" t="s">
        <v>65</v>
      </c>
      <c r="C80" s="5"/>
      <c r="D80" s="5"/>
      <c r="E80" s="5"/>
      <c r="G80" t="s">
        <v>77</v>
      </c>
      <c r="H80">
        <f>1-(47+28)/1000</f>
        <v>0.92500000000000004</v>
      </c>
      <c r="I80">
        <f>1-(48+29)/1000</f>
        <v>0.92300000000000004</v>
      </c>
      <c r="J80">
        <f>1-(45+37)/1000</f>
        <v>0.91800000000000004</v>
      </c>
      <c r="K80">
        <f>1-(34+38)/1000</f>
        <v>0.92800000000000005</v>
      </c>
    </row>
    <row r="81" spans="1:11">
      <c r="A81" t="s">
        <v>14</v>
      </c>
      <c r="B81">
        <f>3399/4000</f>
        <v>0.84975000000000001</v>
      </c>
      <c r="G81" t="s">
        <v>78</v>
      </c>
      <c r="H81">
        <f>1-8/1000</f>
        <v>0.99199999999999999</v>
      </c>
      <c r="I81">
        <f>1-6/1000</f>
        <v>0.99399999999999999</v>
      </c>
      <c r="J81">
        <f>1-3/1000</f>
        <v>0.997</v>
      </c>
      <c r="K81">
        <f>1-10/1000</f>
        <v>0.99</v>
      </c>
    </row>
    <row r="82" spans="1:11">
      <c r="A82" t="s">
        <v>18</v>
      </c>
      <c r="B82">
        <v>102535</v>
      </c>
      <c r="C82">
        <v>112404</v>
      </c>
      <c r="D82">
        <v>112057</v>
      </c>
      <c r="E82">
        <v>127020</v>
      </c>
      <c r="G82" t="s">
        <v>79</v>
      </c>
      <c r="H82">
        <v>1</v>
      </c>
      <c r="I82">
        <v>1</v>
      </c>
      <c r="J82">
        <v>1</v>
      </c>
      <c r="K82">
        <v>1</v>
      </c>
    </row>
    <row r="83" spans="1:11">
      <c r="A83" t="s">
        <v>69</v>
      </c>
      <c r="B83">
        <f>B82*100/(200*11*1000)</f>
        <v>4.6606818181818186</v>
      </c>
      <c r="C83">
        <f t="shared" ref="C83:E83" si="21">C82*100/(200*11*1000)</f>
        <v>5.1092727272727272</v>
      </c>
      <c r="D83">
        <f t="shared" si="21"/>
        <v>5.0934999999999997</v>
      </c>
      <c r="E83">
        <f t="shared" si="21"/>
        <v>5.7736363636363635</v>
      </c>
      <c r="F83">
        <f>AVERAGE(B83:E83)</f>
        <v>5.159272727272727</v>
      </c>
      <c r="G83" t="s">
        <v>7</v>
      </c>
      <c r="H83">
        <v>1</v>
      </c>
      <c r="I83">
        <v>1</v>
      </c>
      <c r="J83">
        <v>1</v>
      </c>
      <c r="K83">
        <v>1</v>
      </c>
    </row>
    <row r="84" spans="1:11">
      <c r="G84" t="s">
        <v>6</v>
      </c>
      <c r="H84">
        <v>1</v>
      </c>
      <c r="I84">
        <v>1</v>
      </c>
      <c r="J84">
        <v>1</v>
      </c>
      <c r="K84">
        <v>1</v>
      </c>
    </row>
    <row r="85" spans="1:11">
      <c r="A85" t="s">
        <v>68</v>
      </c>
      <c r="B85" t="s">
        <v>66</v>
      </c>
    </row>
    <row r="86" spans="1:11">
      <c r="A86" t="s">
        <v>14</v>
      </c>
      <c r="B86">
        <f>3997/4000</f>
        <v>0.99924999999999997</v>
      </c>
    </row>
    <row r="87" spans="1:11">
      <c r="A87" t="s">
        <v>18</v>
      </c>
      <c r="B87">
        <v>0</v>
      </c>
      <c r="C87">
        <v>0</v>
      </c>
      <c r="D87">
        <v>0</v>
      </c>
      <c r="E87">
        <v>0</v>
      </c>
    </row>
    <row r="88" spans="1:11">
      <c r="A88" s="5"/>
      <c r="B88" s="5"/>
      <c r="C88" s="5"/>
      <c r="D88" s="5"/>
      <c r="E88" s="5"/>
      <c r="H88" t="s">
        <v>89</v>
      </c>
      <c r="I88" t="s">
        <v>90</v>
      </c>
      <c r="J88" t="s">
        <v>91</v>
      </c>
      <c r="K88" t="s">
        <v>92</v>
      </c>
    </row>
    <row r="89" spans="1:11">
      <c r="A89" t="s">
        <v>68</v>
      </c>
      <c r="B89" t="s">
        <v>17</v>
      </c>
      <c r="G89" t="s">
        <v>77</v>
      </c>
      <c r="H89">
        <v>0.51</v>
      </c>
      <c r="I89">
        <v>1.33</v>
      </c>
      <c r="J89">
        <v>2.2200000000000002</v>
      </c>
      <c r="K89">
        <v>2.67</v>
      </c>
    </row>
    <row r="90" spans="1:11">
      <c r="A90" t="s">
        <v>14</v>
      </c>
      <c r="B90">
        <f>3965/4000</f>
        <v>0.99124999999999996</v>
      </c>
      <c r="G90" t="s">
        <v>118</v>
      </c>
      <c r="H90">
        <v>0.12</v>
      </c>
      <c r="I90">
        <v>0.26</v>
      </c>
      <c r="J90">
        <v>0.36</v>
      </c>
      <c r="K90">
        <v>0.48</v>
      </c>
    </row>
    <row r="91" spans="1:11">
      <c r="A91" t="s">
        <v>18</v>
      </c>
      <c r="B91">
        <v>0</v>
      </c>
      <c r="C91">
        <v>3</v>
      </c>
      <c r="D91">
        <v>0</v>
      </c>
      <c r="E91">
        <v>0</v>
      </c>
      <c r="G91" t="s">
        <v>79</v>
      </c>
      <c r="H91">
        <v>0</v>
      </c>
      <c r="I91">
        <v>0</v>
      </c>
      <c r="J91">
        <v>7.0000000000000007E-2</v>
      </c>
      <c r="K91">
        <v>0.11</v>
      </c>
    </row>
    <row r="92" spans="1:11">
      <c r="G92" t="s">
        <v>119</v>
      </c>
      <c r="H92">
        <v>0</v>
      </c>
      <c r="I92">
        <v>0</v>
      </c>
      <c r="J92">
        <v>0</v>
      </c>
      <c r="K92">
        <v>0</v>
      </c>
    </row>
    <row r="93" spans="1:11">
      <c r="A93" t="s">
        <v>68</v>
      </c>
      <c r="B93" t="s">
        <v>64</v>
      </c>
      <c r="G93" t="s">
        <v>6</v>
      </c>
      <c r="H93">
        <v>0</v>
      </c>
      <c r="I93">
        <v>0</v>
      </c>
      <c r="J93">
        <v>0</v>
      </c>
      <c r="K93">
        <v>0</v>
      </c>
    </row>
    <row r="94" spans="1:11">
      <c r="A94" t="s">
        <v>14</v>
      </c>
      <c r="B94">
        <f>3996/4000</f>
        <v>0.999</v>
      </c>
    </row>
    <row r="95" spans="1:11">
      <c r="A95" t="s">
        <v>18</v>
      </c>
      <c r="B95">
        <v>15213</v>
      </c>
      <c r="C95">
        <v>11334</v>
      </c>
      <c r="D95">
        <v>12604</v>
      </c>
      <c r="E95">
        <v>12455</v>
      </c>
    </row>
    <row r="96" spans="1:11">
      <c r="B96">
        <f>B95*100/(200*11*1000)</f>
        <v>0.6915</v>
      </c>
      <c r="C96">
        <f t="shared" ref="C96:E96" si="22">C95*100/(200*11*1000)</f>
        <v>0.51518181818181819</v>
      </c>
      <c r="D96">
        <f t="shared" si="22"/>
        <v>0.57290909090909092</v>
      </c>
      <c r="E96">
        <f t="shared" si="22"/>
        <v>0.56613636363636366</v>
      </c>
      <c r="F96">
        <f t="shared" ref="F96" si="23">AVERAGE(B96:E96)</f>
        <v>0.58643181818181822</v>
      </c>
      <c r="H96">
        <f>H66-H89</f>
        <v>0.75</v>
      </c>
      <c r="I96">
        <f t="shared" ref="I96:K96" si="24">I66-I89</f>
        <v>0.19299999999999984</v>
      </c>
      <c r="J96">
        <f t="shared" si="24"/>
        <v>2.1439999999999997</v>
      </c>
      <c r="K96">
        <f t="shared" si="24"/>
        <v>14.028</v>
      </c>
    </row>
    <row r="97" spans="1:11">
      <c r="A97" t="s">
        <v>68</v>
      </c>
      <c r="B97" t="s">
        <v>63</v>
      </c>
      <c r="H97">
        <f t="shared" ref="H97:K97" si="25">H67-H90</f>
        <v>4.3300000000000005E-2</v>
      </c>
      <c r="I97">
        <f t="shared" si="25"/>
        <v>8.1199999999999994E-2</v>
      </c>
      <c r="J97">
        <f t="shared" si="25"/>
        <v>0.75600000000000012</v>
      </c>
      <c r="K97">
        <f t="shared" si="25"/>
        <v>1.105</v>
      </c>
    </row>
    <row r="98" spans="1:11">
      <c r="A98" t="s">
        <v>14</v>
      </c>
      <c r="B98">
        <f>3999/4000</f>
        <v>0.99975000000000003</v>
      </c>
      <c r="H98">
        <f t="shared" ref="H98:K98" si="26">H68-H91</f>
        <v>0</v>
      </c>
      <c r="I98">
        <f t="shared" si="26"/>
        <v>0</v>
      </c>
      <c r="J98">
        <f t="shared" si="26"/>
        <v>2.6199999999999987E-2</v>
      </c>
      <c r="K98">
        <f t="shared" si="26"/>
        <v>0.1166</v>
      </c>
    </row>
    <row r="99" spans="1:11">
      <c r="A99" t="s">
        <v>18</v>
      </c>
      <c r="B99">
        <v>38578</v>
      </c>
      <c r="C99">
        <v>36245</v>
      </c>
      <c r="D99">
        <v>37546</v>
      </c>
      <c r="E99">
        <v>42536</v>
      </c>
      <c r="H99">
        <f t="shared" ref="H99:K99" si="27">H69-H92</f>
        <v>0</v>
      </c>
      <c r="I99">
        <f t="shared" si="27"/>
        <v>0</v>
      </c>
      <c r="J99">
        <f t="shared" si="27"/>
        <v>0</v>
      </c>
      <c r="K99">
        <f t="shared" si="27"/>
        <v>0</v>
      </c>
    </row>
    <row r="100" spans="1:11">
      <c r="B100">
        <f>B99*100/(200*11*1000)</f>
        <v>1.7535454545454545</v>
      </c>
      <c r="C100">
        <f t="shared" ref="C100:E100" si="28">C99*100/(200*11*1000)</f>
        <v>1.6475</v>
      </c>
      <c r="D100">
        <f t="shared" si="28"/>
        <v>1.7066363636363637</v>
      </c>
      <c r="E100">
        <f t="shared" si="28"/>
        <v>1.9334545454545455</v>
      </c>
      <c r="F100">
        <f t="shared" ref="F100" si="29">AVERAGE(B100:E100)</f>
        <v>1.7602840909090911</v>
      </c>
      <c r="H100">
        <f t="shared" ref="H100:K100" si="30">H70-H93</f>
        <v>0</v>
      </c>
      <c r="I100">
        <f t="shared" si="30"/>
        <v>0</v>
      </c>
      <c r="J100">
        <f t="shared" si="30"/>
        <v>0</v>
      </c>
      <c r="K100">
        <f t="shared" si="30"/>
        <v>0</v>
      </c>
    </row>
    <row r="101" spans="1:11">
      <c r="A101" t="s">
        <v>68</v>
      </c>
      <c r="B101" t="s">
        <v>65</v>
      </c>
      <c r="H101">
        <f t="shared" ref="H101:K101" si="31">H71-H94</f>
        <v>0</v>
      </c>
      <c r="I101">
        <f t="shared" si="31"/>
        <v>0</v>
      </c>
      <c r="J101">
        <f t="shared" si="31"/>
        <v>0</v>
      </c>
      <c r="K101">
        <f t="shared" si="31"/>
        <v>0</v>
      </c>
    </row>
    <row r="102" spans="1:11">
      <c r="A102" t="s">
        <v>14</v>
      </c>
      <c r="B102">
        <f>3999/4000</f>
        <v>0.99975000000000003</v>
      </c>
    </row>
    <row r="103" spans="1:11">
      <c r="A103" t="s">
        <v>18</v>
      </c>
      <c r="B103">
        <v>118018</v>
      </c>
      <c r="C103">
        <v>129182</v>
      </c>
      <c r="D103">
        <v>134574</v>
      </c>
      <c r="E103">
        <v>112354</v>
      </c>
    </row>
    <row r="104" spans="1:11">
      <c r="A104" t="s">
        <v>69</v>
      </c>
      <c r="B104">
        <f>B103*100/(200*11*1000)</f>
        <v>5.3644545454545458</v>
      </c>
      <c r="C104">
        <f t="shared" ref="C104" si="32">C103*100/(200*11*1000)</f>
        <v>5.8719090909090905</v>
      </c>
      <c r="D104">
        <f t="shared" ref="D104" si="33">D103*100/(200*11*1000)</f>
        <v>6.117</v>
      </c>
      <c r="E104">
        <f t="shared" ref="E104" si="34">E103*100/(200*11*1000)</f>
        <v>5.1070000000000002</v>
      </c>
      <c r="F104">
        <f>AVERAGE(B104:E104)</f>
        <v>5.6150909090909087</v>
      </c>
    </row>
    <row r="106" spans="1:11">
      <c r="A106" t="s">
        <v>70</v>
      </c>
      <c r="B106" t="s">
        <v>66</v>
      </c>
    </row>
    <row r="107" spans="1:11">
      <c r="A107" t="s">
        <v>14</v>
      </c>
      <c r="B107">
        <f>3999/4000</f>
        <v>0.99975000000000003</v>
      </c>
    </row>
    <row r="108" spans="1:11">
      <c r="A108" t="s">
        <v>18</v>
      </c>
      <c r="B108">
        <v>0</v>
      </c>
      <c r="C108">
        <v>0</v>
      </c>
      <c r="D108">
        <v>0</v>
      </c>
      <c r="E108">
        <v>0</v>
      </c>
    </row>
    <row r="109" spans="1:11">
      <c r="A109" t="s">
        <v>69</v>
      </c>
      <c r="B109">
        <f>B108*100/(200*11*1000)</f>
        <v>0</v>
      </c>
      <c r="C109">
        <f t="shared" ref="C109" si="35">C108*100/(200*11*1000)</f>
        <v>0</v>
      </c>
      <c r="D109">
        <f t="shared" ref="D109" si="36">D108*100/(200*11*1000)</f>
        <v>0</v>
      </c>
      <c r="E109">
        <f t="shared" ref="E109" si="37">E108*100/(200*11*1000)</f>
        <v>0</v>
      </c>
    </row>
    <row r="110" spans="1:11">
      <c r="A110" t="s">
        <v>72</v>
      </c>
      <c r="B110" t="s">
        <v>71</v>
      </c>
    </row>
    <row r="111" spans="1:11">
      <c r="A111" t="s">
        <v>14</v>
      </c>
      <c r="B111">
        <f>3999/4000</f>
        <v>0.99975000000000003</v>
      </c>
    </row>
    <row r="112" spans="1:11">
      <c r="A112" t="s">
        <v>18</v>
      </c>
      <c r="B112">
        <v>1256</v>
      </c>
      <c r="C112">
        <v>1218</v>
      </c>
      <c r="D112">
        <v>1104</v>
      </c>
      <c r="E112">
        <v>1420</v>
      </c>
    </row>
    <row r="113" spans="1:11">
      <c r="A113" t="s">
        <v>69</v>
      </c>
      <c r="B113">
        <f>B112*100/(200*11*1000)</f>
        <v>5.7090909090909088E-2</v>
      </c>
      <c r="C113">
        <f t="shared" ref="C113" si="38">C112*100/(200*11*1000)</f>
        <v>5.5363636363636365E-2</v>
      </c>
      <c r="D113">
        <f t="shared" ref="D113" si="39">D112*100/(200*11*1000)</f>
        <v>5.0181818181818182E-2</v>
      </c>
      <c r="E113">
        <f t="shared" ref="E113" si="40">E112*100/(200*11*1000)</f>
        <v>6.4545454545454545E-2</v>
      </c>
    </row>
    <row r="115" spans="1:11">
      <c r="A115" t="s">
        <v>70</v>
      </c>
      <c r="B115" t="s">
        <v>66</v>
      </c>
    </row>
    <row r="116" spans="1:11">
      <c r="A116" t="s">
        <v>14</v>
      </c>
      <c r="B116">
        <f>3999/4000</f>
        <v>0.99975000000000003</v>
      </c>
    </row>
    <row r="117" spans="1:11">
      <c r="A117" t="s">
        <v>18</v>
      </c>
      <c r="B117">
        <v>28152</v>
      </c>
      <c r="C117">
        <v>38152</v>
      </c>
      <c r="D117">
        <v>26448</v>
      </c>
      <c r="E117">
        <v>25763</v>
      </c>
    </row>
    <row r="118" spans="1:11">
      <c r="A118" t="s">
        <v>69</v>
      </c>
      <c r="B118">
        <f>B117*100/(200*11*1000)</f>
        <v>1.2796363636363637</v>
      </c>
      <c r="C118">
        <f t="shared" ref="C118" si="41">C117*100/(200*11*1000)</f>
        <v>1.7341818181818183</v>
      </c>
      <c r="D118">
        <f t="shared" ref="D118" si="42">D117*100/(200*11*1000)</f>
        <v>1.2021818181818182</v>
      </c>
      <c r="E118">
        <f t="shared" ref="E118" si="43">E117*100/(200*11*1000)</f>
        <v>1.1710454545454545</v>
      </c>
    </row>
    <row r="119" spans="1:11">
      <c r="A119" t="s">
        <v>70</v>
      </c>
      <c r="B119" t="s">
        <v>71</v>
      </c>
    </row>
    <row r="120" spans="1:11">
      <c r="A120" t="s">
        <v>14</v>
      </c>
      <c r="B120">
        <f>3999/4000</f>
        <v>0.99975000000000003</v>
      </c>
    </row>
    <row r="121" spans="1:11">
      <c r="A121" t="s">
        <v>18</v>
      </c>
      <c r="B121">
        <v>11056</v>
      </c>
      <c r="C121">
        <v>8560</v>
      </c>
      <c r="D121">
        <v>10001</v>
      </c>
      <c r="E121">
        <v>9745</v>
      </c>
    </row>
    <row r="122" spans="1:11">
      <c r="A122" t="s">
        <v>69</v>
      </c>
      <c r="B122">
        <f>B121*100/(200*11*1000)</f>
        <v>0.50254545454545452</v>
      </c>
      <c r="C122">
        <f t="shared" ref="C122" si="44">C121*100/(200*11*1000)</f>
        <v>0.3890909090909091</v>
      </c>
      <c r="D122">
        <f t="shared" ref="D122" si="45">D121*100/(200*11*1000)</f>
        <v>0.4545909090909091</v>
      </c>
      <c r="E122">
        <f t="shared" ref="E122" si="46">E121*100/(200*11*1000)</f>
        <v>0.44295454545454543</v>
      </c>
    </row>
    <row r="127" spans="1:11">
      <c r="A127" t="s">
        <v>73</v>
      </c>
      <c r="F127" t="s">
        <v>109</v>
      </c>
    </row>
    <row r="128" spans="1:11">
      <c r="A128" t="s">
        <v>14</v>
      </c>
      <c r="G128" t="s">
        <v>88</v>
      </c>
      <c r="H128" t="s">
        <v>84</v>
      </c>
      <c r="I128" t="s">
        <v>85</v>
      </c>
      <c r="J128" t="s">
        <v>86</v>
      </c>
      <c r="K128" t="s">
        <v>87</v>
      </c>
    </row>
    <row r="129" spans="1:11">
      <c r="A129" t="s">
        <v>15</v>
      </c>
      <c r="F129" t="s">
        <v>77</v>
      </c>
      <c r="G129">
        <v>0.872</v>
      </c>
      <c r="H129">
        <f>3612/4000</f>
        <v>0.90300000000000002</v>
      </c>
      <c r="I129">
        <v>0.87824999999999998</v>
      </c>
      <c r="J129">
        <f>3496/4000</f>
        <v>0.874</v>
      </c>
      <c r="K129">
        <f>3506/4000</f>
        <v>0.87649999999999995</v>
      </c>
    </row>
    <row r="130" spans="1:11">
      <c r="F130" t="s">
        <v>78</v>
      </c>
      <c r="G130">
        <v>0.9405</v>
      </c>
      <c r="H130">
        <f>3663/4000</f>
        <v>0.91574999999999995</v>
      </c>
      <c r="I130">
        <v>0.92825000000000002</v>
      </c>
      <c r="J130">
        <f>3823/4000</f>
        <v>0.95574999999999999</v>
      </c>
      <c r="K130">
        <f>3813/4000</f>
        <v>0.95325000000000004</v>
      </c>
    </row>
    <row r="131" spans="1:11">
      <c r="A131" t="s">
        <v>20</v>
      </c>
      <c r="B131" t="s">
        <v>17</v>
      </c>
      <c r="F131" t="s">
        <v>79</v>
      </c>
      <c r="G131">
        <v>0.99675000000000002</v>
      </c>
      <c r="H131">
        <f>3974/4000</f>
        <v>0.99350000000000005</v>
      </c>
      <c r="I131">
        <v>0.99350000000000005</v>
      </c>
      <c r="J131">
        <f>3980/4000</f>
        <v>0.995</v>
      </c>
      <c r="K131">
        <f>3980/4000</f>
        <v>0.995</v>
      </c>
    </row>
    <row r="132" spans="1:11">
      <c r="A132" t="s">
        <v>12</v>
      </c>
      <c r="B132" s="1" t="s">
        <v>60</v>
      </c>
      <c r="C132" s="1" t="s">
        <v>61</v>
      </c>
      <c r="D132" s="1" t="s">
        <v>62</v>
      </c>
      <c r="E132" s="1" t="s">
        <v>11</v>
      </c>
      <c r="F132" t="s">
        <v>7</v>
      </c>
      <c r="G132">
        <v>0.99424999999999997</v>
      </c>
      <c r="H132">
        <f>3998/4000</f>
        <v>0.99950000000000006</v>
      </c>
      <c r="I132">
        <v>0.99950000000000006</v>
      </c>
      <c r="J132">
        <f>3996/4000</f>
        <v>0.999</v>
      </c>
      <c r="K132">
        <f>3996/4000</f>
        <v>0.999</v>
      </c>
    </row>
    <row r="133" spans="1:11">
      <c r="A133" t="s">
        <v>13</v>
      </c>
      <c r="B133">
        <f>12*0.375</f>
        <v>4.5</v>
      </c>
      <c r="C133">
        <f t="shared" ref="C133:D133" si="47">12*0.375</f>
        <v>4.5</v>
      </c>
      <c r="D133">
        <f t="shared" si="47"/>
        <v>4.5</v>
      </c>
      <c r="E133">
        <f>11*0.375</f>
        <v>4.125</v>
      </c>
      <c r="F133" t="s">
        <v>6</v>
      </c>
      <c r="G133">
        <v>1</v>
      </c>
      <c r="H133">
        <f>3997/4000</f>
        <v>0.99924999999999997</v>
      </c>
      <c r="I133">
        <v>0.99924999999999997</v>
      </c>
      <c r="J133">
        <f>3998/4000</f>
        <v>0.99950000000000006</v>
      </c>
      <c r="K133">
        <f>3998/4000</f>
        <v>0.99950000000000006</v>
      </c>
    </row>
    <row r="134" spans="1:11">
      <c r="A134" t="s">
        <v>14</v>
      </c>
      <c r="B134">
        <f>3977/4000</f>
        <v>0.99424999999999997</v>
      </c>
    </row>
    <row r="135" spans="1:11">
      <c r="A135" t="s">
        <v>18</v>
      </c>
      <c r="B135">
        <f xml:space="preserve"> 0</f>
        <v>0</v>
      </c>
      <c r="C135">
        <f>0</f>
        <v>0</v>
      </c>
      <c r="D135">
        <f>0</f>
        <v>0</v>
      </c>
      <c r="E135">
        <f>0</f>
        <v>0</v>
      </c>
      <c r="F135">
        <v>2</v>
      </c>
      <c r="H135">
        <v>0.52500000000000002</v>
      </c>
      <c r="I135">
        <f>2661/4000</f>
        <v>0.66525000000000001</v>
      </c>
    </row>
    <row r="136" spans="1:11">
      <c r="A136" t="s">
        <v>16</v>
      </c>
      <c r="B136">
        <f>B135*100/(200*11*4500)</f>
        <v>0</v>
      </c>
      <c r="C136">
        <f t="shared" ref="C136:D136" si="48">C135*100/(200*11*4500)</f>
        <v>0</v>
      </c>
      <c r="D136">
        <f t="shared" si="48"/>
        <v>0</v>
      </c>
    </row>
    <row r="138" spans="1:11">
      <c r="A138" t="s">
        <v>20</v>
      </c>
      <c r="B138" t="s">
        <v>64</v>
      </c>
    </row>
    <row r="139" spans="1:11">
      <c r="A139" t="s">
        <v>14</v>
      </c>
      <c r="B139">
        <f>3974/4000</f>
        <v>0.99350000000000005</v>
      </c>
    </row>
    <row r="140" spans="1:11">
      <c r="A140" t="s">
        <v>18</v>
      </c>
      <c r="B140">
        <v>35</v>
      </c>
      <c r="C140">
        <v>0</v>
      </c>
      <c r="D140">
        <v>36</v>
      </c>
      <c r="E140">
        <v>0</v>
      </c>
    </row>
    <row r="142" spans="1:11">
      <c r="A142" t="s">
        <v>20</v>
      </c>
      <c r="B142" t="s">
        <v>63</v>
      </c>
    </row>
    <row r="143" spans="1:11">
      <c r="A143" t="s">
        <v>12</v>
      </c>
      <c r="B143" s="1" t="s">
        <v>60</v>
      </c>
      <c r="C143" s="1" t="s">
        <v>61</v>
      </c>
      <c r="D143" s="1" t="s">
        <v>62</v>
      </c>
      <c r="E143" s="1" t="s">
        <v>11</v>
      </c>
    </row>
    <row r="144" spans="1:11">
      <c r="A144" t="s">
        <v>13</v>
      </c>
      <c r="B144">
        <f>12*0.375</f>
        <v>4.5</v>
      </c>
      <c r="C144">
        <f t="shared" ref="C144:D144" si="49">12*0.375</f>
        <v>4.5</v>
      </c>
      <c r="D144">
        <f t="shared" si="49"/>
        <v>4.5</v>
      </c>
      <c r="E144">
        <f>11*0.375</f>
        <v>4.125</v>
      </c>
    </row>
    <row r="145" spans="1:6">
      <c r="A145" t="s">
        <v>14</v>
      </c>
      <c r="B145">
        <f>3762/4000</f>
        <v>0.9405</v>
      </c>
    </row>
    <row r="146" spans="1:6">
      <c r="A146" t="s">
        <v>18</v>
      </c>
      <c r="B146">
        <v>4240</v>
      </c>
      <c r="C146">
        <v>2536</v>
      </c>
      <c r="D146">
        <v>2751</v>
      </c>
      <c r="E146">
        <v>2854</v>
      </c>
    </row>
    <row r="147" spans="1:6">
      <c r="A147" t="s">
        <v>16</v>
      </c>
      <c r="B147">
        <f>B146*100/(4500*1000)</f>
        <v>9.4222222222222221E-2</v>
      </c>
      <c r="C147">
        <f t="shared" ref="C147" si="50">C146*100/(4500*1000)</f>
        <v>5.6355555555555555E-2</v>
      </c>
      <c r="D147">
        <f t="shared" ref="D147" si="51">D146*100/(4500*1000)</f>
        <v>6.1133333333333331E-2</v>
      </c>
      <c r="E147">
        <f t="shared" ref="E147" si="52">E146*100/(4500*1000)</f>
        <v>6.3422222222222227E-2</v>
      </c>
    </row>
    <row r="149" spans="1:6">
      <c r="A149" t="s">
        <v>20</v>
      </c>
      <c r="B149" t="s">
        <v>65</v>
      </c>
    </row>
    <row r="150" spans="1:6">
      <c r="A150" t="s">
        <v>14</v>
      </c>
      <c r="B150">
        <f>3488/4000</f>
        <v>0.872</v>
      </c>
    </row>
    <row r="151" spans="1:6">
      <c r="A151" t="s">
        <v>18</v>
      </c>
      <c r="B151">
        <v>48865</v>
      </c>
      <c r="C151">
        <v>50265</v>
      </c>
      <c r="D151">
        <v>53641</v>
      </c>
      <c r="E151">
        <v>55201</v>
      </c>
    </row>
    <row r="152" spans="1:6">
      <c r="A152" t="s">
        <v>16</v>
      </c>
      <c r="B152">
        <f>B151*100/(4500*1000)</f>
        <v>1.0858888888888889</v>
      </c>
      <c r="C152">
        <f t="shared" ref="C152" si="53">C151*100/(4500*1000)</f>
        <v>1.117</v>
      </c>
      <c r="D152">
        <f t="shared" ref="D152" si="54">D151*100/(4500*1000)</f>
        <v>1.1920222222222223</v>
      </c>
      <c r="E152">
        <f t="shared" ref="E152" si="55">E151*100/(4500*1000)</f>
        <v>1.2266888888888889</v>
      </c>
      <c r="F152">
        <f xml:space="preserve"> SUM(B152:E152)/4</f>
        <v>1.1554</v>
      </c>
    </row>
    <row r="153" spans="1:6">
      <c r="A153" t="s">
        <v>67</v>
      </c>
      <c r="B153" t="s">
        <v>66</v>
      </c>
    </row>
    <row r="154" spans="1:6">
      <c r="A154" t="s">
        <v>14</v>
      </c>
      <c r="B154">
        <f>3998/4000</f>
        <v>0.99950000000000006</v>
      </c>
    </row>
    <row r="155" spans="1:6">
      <c r="A155" t="s">
        <v>18</v>
      </c>
      <c r="B155">
        <v>0</v>
      </c>
      <c r="C155">
        <v>0</v>
      </c>
      <c r="D155">
        <v>0</v>
      </c>
      <c r="E155">
        <v>0</v>
      </c>
    </row>
    <row r="157" spans="1:6">
      <c r="A157" t="s">
        <v>67</v>
      </c>
      <c r="B157" t="s">
        <v>17</v>
      </c>
    </row>
    <row r="158" spans="1:6">
      <c r="A158" t="s">
        <v>14</v>
      </c>
      <c r="B158">
        <f>3965/4000</f>
        <v>0.99124999999999996</v>
      </c>
    </row>
    <row r="159" spans="1:6">
      <c r="A159" t="s">
        <v>18</v>
      </c>
      <c r="B159">
        <v>0</v>
      </c>
      <c r="C159">
        <v>0</v>
      </c>
      <c r="D159">
        <v>0</v>
      </c>
      <c r="E159">
        <v>0</v>
      </c>
    </row>
    <row r="161" spans="1:5">
      <c r="A161" t="s">
        <v>67</v>
      </c>
      <c r="B161" t="s">
        <v>64</v>
      </c>
    </row>
    <row r="162" spans="1:5">
      <c r="A162" t="s">
        <v>14</v>
      </c>
      <c r="B162">
        <f>3996/4000</f>
        <v>0.999</v>
      </c>
    </row>
    <row r="163" spans="1:5">
      <c r="A163" t="s">
        <v>18</v>
      </c>
      <c r="B163">
        <v>0</v>
      </c>
      <c r="C163">
        <v>0</v>
      </c>
      <c r="D163">
        <v>0</v>
      </c>
      <c r="E163">
        <v>0</v>
      </c>
    </row>
    <row r="165" spans="1:5">
      <c r="A165" t="s">
        <v>67</v>
      </c>
      <c r="B165" t="s">
        <v>63</v>
      </c>
    </row>
    <row r="166" spans="1:5">
      <c r="A166" t="s">
        <v>14</v>
      </c>
      <c r="B166">
        <f>3746/4000</f>
        <v>0.9365</v>
      </c>
    </row>
    <row r="167" spans="1:5">
      <c r="A167" t="s">
        <v>18</v>
      </c>
      <c r="B167">
        <v>8845</v>
      </c>
      <c r="C167">
        <v>7395</v>
      </c>
      <c r="D167">
        <v>10549</v>
      </c>
      <c r="E167">
        <v>11657</v>
      </c>
    </row>
    <row r="168" spans="1:5">
      <c r="A168" s="5" t="s">
        <v>16</v>
      </c>
      <c r="B168" s="5">
        <f>B167*100/(6750*500)</f>
        <v>0.26207407407407407</v>
      </c>
      <c r="C168" s="5">
        <f>C167*100/(6750*500)</f>
        <v>0.21911111111111112</v>
      </c>
      <c r="D168" s="5">
        <f t="shared" ref="D168" si="56">D167*100/(6750*500)</f>
        <v>0.31256296296296299</v>
      </c>
      <c r="E168" s="5">
        <f t="shared" ref="E168" si="57">E167*100/(6750*500)</f>
        <v>0.34539259259259258</v>
      </c>
    </row>
    <row r="169" spans="1:5">
      <c r="A169" s="5" t="s">
        <v>67</v>
      </c>
      <c r="B169" s="5" t="s">
        <v>65</v>
      </c>
      <c r="C169" s="5"/>
      <c r="D169" s="5"/>
      <c r="E169" s="5"/>
    </row>
    <row r="170" spans="1:5">
      <c r="A170" t="s">
        <v>14</v>
      </c>
      <c r="B170">
        <f>3358/4000</f>
        <v>0.83950000000000002</v>
      </c>
    </row>
    <row r="171" spans="1:5">
      <c r="A171" t="s">
        <v>18</v>
      </c>
      <c r="B171">
        <v>31732</v>
      </c>
      <c r="C171">
        <v>30254</v>
      </c>
      <c r="D171">
        <v>33478</v>
      </c>
      <c r="E171">
        <v>28576</v>
      </c>
    </row>
    <row r="172" spans="1:5">
      <c r="A172" s="4"/>
      <c r="B172" s="4"/>
      <c r="C172" s="4"/>
      <c r="D172" s="4"/>
      <c r="E172" s="4"/>
    </row>
    <row r="173" spans="1:5">
      <c r="A173" t="s">
        <v>21</v>
      </c>
      <c r="B173" s="5" t="s">
        <v>66</v>
      </c>
      <c r="C173" s="5"/>
      <c r="D173" s="5"/>
      <c r="E173" s="5"/>
    </row>
    <row r="174" spans="1:5">
      <c r="A174" t="s">
        <v>14</v>
      </c>
      <c r="B174">
        <f>3999/4000</f>
        <v>0.99975000000000003</v>
      </c>
    </row>
    <row r="175" spans="1:5">
      <c r="A175" t="s">
        <v>18</v>
      </c>
      <c r="B175">
        <v>0</v>
      </c>
      <c r="C175">
        <v>0</v>
      </c>
      <c r="D175">
        <v>0</v>
      </c>
      <c r="E175">
        <v>0</v>
      </c>
    </row>
    <row r="177" spans="1:5">
      <c r="A177" t="s">
        <v>21</v>
      </c>
      <c r="B177" s="5" t="s">
        <v>17</v>
      </c>
      <c r="C177" s="5"/>
      <c r="D177" s="5"/>
      <c r="E177" s="5"/>
    </row>
    <row r="178" spans="1:5">
      <c r="A178" t="s">
        <v>14</v>
      </c>
      <c r="B178">
        <f>3988/4000</f>
        <v>0.997</v>
      </c>
    </row>
    <row r="179" spans="1:5">
      <c r="A179" t="s">
        <v>18</v>
      </c>
      <c r="B179">
        <v>0</v>
      </c>
      <c r="C179">
        <v>0</v>
      </c>
      <c r="D179">
        <v>0</v>
      </c>
      <c r="E179">
        <v>0</v>
      </c>
    </row>
    <row r="181" spans="1:5">
      <c r="A181" t="s">
        <v>21</v>
      </c>
      <c r="B181" t="s">
        <v>64</v>
      </c>
    </row>
    <row r="182" spans="1:5">
      <c r="A182" t="s">
        <v>12</v>
      </c>
      <c r="B182" s="1" t="s">
        <v>60</v>
      </c>
      <c r="C182" s="1" t="s">
        <v>61</v>
      </c>
      <c r="D182" s="1" t="s">
        <v>62</v>
      </c>
      <c r="E182" s="1" t="s">
        <v>11</v>
      </c>
    </row>
    <row r="183" spans="1:5">
      <c r="A183" t="s">
        <v>13</v>
      </c>
      <c r="B183">
        <f>12*0.375</f>
        <v>4.5</v>
      </c>
      <c r="C183">
        <f t="shared" ref="C183:D183" si="58">12*0.375</f>
        <v>4.5</v>
      </c>
      <c r="D183">
        <f t="shared" si="58"/>
        <v>4.5</v>
      </c>
      <c r="E183">
        <f>11*0.375</f>
        <v>4.125</v>
      </c>
    </row>
    <row r="184" spans="1:5">
      <c r="A184" t="s">
        <v>14</v>
      </c>
      <c r="B184">
        <f>3986/4000</f>
        <v>0.99650000000000005</v>
      </c>
    </row>
    <row r="185" spans="1:5">
      <c r="A185" t="s">
        <v>18</v>
      </c>
      <c r="B185">
        <v>3563</v>
      </c>
      <c r="C185">
        <v>7120</v>
      </c>
      <c r="D185">
        <v>9236</v>
      </c>
      <c r="E185">
        <v>0</v>
      </c>
    </row>
    <row r="186" spans="1:5">
      <c r="A186" t="s">
        <v>16</v>
      </c>
      <c r="B186" t="e">
        <f>B185*100/(200*11*G127)</f>
        <v>#DIV/0!</v>
      </c>
      <c r="C186" t="e">
        <f>C185*100/(200*11*G127)</f>
        <v>#DIV/0!</v>
      </c>
      <c r="D186" t="e">
        <f>D185*100/(200*11*G127)</f>
        <v>#DIV/0!</v>
      </c>
      <c r="E186" t="e">
        <f>E185*100/(200*11*G127)</f>
        <v>#DIV/0!</v>
      </c>
    </row>
    <row r="187" spans="1:5">
      <c r="A187" t="s">
        <v>15</v>
      </c>
      <c r="B187" t="e">
        <f>(200*11*G127-B185)/(D118*G127)</f>
        <v>#DIV/0!</v>
      </c>
      <c r="C187" t="e">
        <f>(200*11*G127-C185)/(D118*G127)</f>
        <v>#DIV/0!</v>
      </c>
      <c r="D187" t="e">
        <f>(200*11*G127-D185)/(D118*G127)</f>
        <v>#DIV/0!</v>
      </c>
      <c r="E187" t="e">
        <f>(200*12*G127-E185)/(D118*G127)</f>
        <v>#DIV/0!</v>
      </c>
    </row>
    <row r="188" spans="1:5">
      <c r="A188" t="s">
        <v>21</v>
      </c>
      <c r="B188" t="s">
        <v>63</v>
      </c>
    </row>
    <row r="189" spans="1:5">
      <c r="A189" t="s">
        <v>12</v>
      </c>
      <c r="B189" s="1" t="s">
        <v>60</v>
      </c>
      <c r="C189" s="1" t="s">
        <v>61</v>
      </c>
      <c r="D189" s="1" t="s">
        <v>62</v>
      </c>
      <c r="E189" s="1" t="s">
        <v>11</v>
      </c>
    </row>
    <row r="190" spans="1:5">
      <c r="A190" t="s">
        <v>13</v>
      </c>
      <c r="B190">
        <f>12*0.375</f>
        <v>4.5</v>
      </c>
      <c r="C190">
        <f t="shared" ref="C190:D190" si="59">12*0.375</f>
        <v>4.5</v>
      </c>
      <c r="D190">
        <f t="shared" si="59"/>
        <v>4.5</v>
      </c>
      <c r="E190">
        <f>11*0.375</f>
        <v>4.125</v>
      </c>
    </row>
    <row r="191" spans="1:5">
      <c r="A191" t="s">
        <v>14</v>
      </c>
      <c r="B191" t="e">
        <f>565*100/G127</f>
        <v>#DIV/0!</v>
      </c>
    </row>
    <row r="192" spans="1:5">
      <c r="A192" t="s">
        <v>18</v>
      </c>
      <c r="B192">
        <v>25616</v>
      </c>
      <c r="C192">
        <v>24245</v>
      </c>
      <c r="D192">
        <v>25252</v>
      </c>
      <c r="E192">
        <v>23535</v>
      </c>
    </row>
    <row r="193" spans="1:5">
      <c r="A193" t="s">
        <v>16</v>
      </c>
      <c r="B193">
        <f>B192*100/(200*11*610)</f>
        <v>1.9087928464977646</v>
      </c>
      <c r="C193">
        <f>C192*100/(200*11*610)</f>
        <v>1.8066318926974665</v>
      </c>
      <c r="D193">
        <f>D192*100/(200*11*610)</f>
        <v>1.8816691505216094</v>
      </c>
      <c r="E193">
        <f>E192*100/(200*12*610)</f>
        <v>1.6075819672131149</v>
      </c>
    </row>
    <row r="194" spans="1:5">
      <c r="A194" t="s">
        <v>15</v>
      </c>
      <c r="B194" t="e">
        <f>(200*11*G127-B192)/(D118*G127)</f>
        <v>#DIV/0!</v>
      </c>
      <c r="C194" t="e">
        <f>(200*11*G127-C192)/(D118*G127)</f>
        <v>#DIV/0!</v>
      </c>
      <c r="D194" t="e">
        <f>(200*11*G127-D192)/(D118*G127)</f>
        <v>#DIV/0!</v>
      </c>
      <c r="E194" t="e">
        <f>(200*12*G127-E192)/(D118*G127)</f>
        <v>#DIV/0!</v>
      </c>
    </row>
    <row r="196" spans="1:5">
      <c r="A196" t="s">
        <v>21</v>
      </c>
      <c r="B196" s="5" t="s">
        <v>65</v>
      </c>
      <c r="C196" s="5"/>
      <c r="D196" s="5"/>
      <c r="E196" s="5"/>
    </row>
    <row r="197" spans="1:5">
      <c r="A197" t="s">
        <v>14</v>
      </c>
      <c r="B197">
        <f>3399/4000</f>
        <v>0.84975000000000001</v>
      </c>
    </row>
    <row r="198" spans="1:5">
      <c r="A198" t="s">
        <v>18</v>
      </c>
      <c r="B198">
        <v>102535</v>
      </c>
      <c r="C198">
        <v>112404</v>
      </c>
      <c r="D198">
        <v>112057</v>
      </c>
      <c r="E198">
        <v>127020</v>
      </c>
    </row>
    <row r="199" spans="1:5">
      <c r="A199" t="s">
        <v>69</v>
      </c>
      <c r="B199">
        <f>B198*100/(200*11*1000)</f>
        <v>4.6606818181818186</v>
      </c>
      <c r="C199">
        <f t="shared" ref="C199" si="60">C198*100/(200*11*1000)</f>
        <v>5.1092727272727272</v>
      </c>
      <c r="D199">
        <f t="shared" ref="D199" si="61">D198*100/(200*11*1000)</f>
        <v>5.0934999999999997</v>
      </c>
      <c r="E199">
        <f t="shared" ref="E199" si="62">E198*100/(200*11*1000)</f>
        <v>5.7736363636363635</v>
      </c>
    </row>
    <row r="201" spans="1:5">
      <c r="A201" t="s">
        <v>68</v>
      </c>
      <c r="B201" t="s">
        <v>66</v>
      </c>
    </row>
    <row r="202" spans="1:5">
      <c r="A202" t="s">
        <v>14</v>
      </c>
      <c r="B202">
        <f>3997/4000</f>
        <v>0.99924999999999997</v>
      </c>
    </row>
    <row r="203" spans="1:5">
      <c r="A203" t="s">
        <v>18</v>
      </c>
      <c r="B203">
        <v>0</v>
      </c>
      <c r="C203">
        <v>0</v>
      </c>
      <c r="D203">
        <v>0</v>
      </c>
      <c r="E203">
        <v>0</v>
      </c>
    </row>
    <row r="204" spans="1:5">
      <c r="A204" s="5"/>
      <c r="B204" s="5"/>
      <c r="C204" s="5"/>
      <c r="D204" s="5"/>
      <c r="E204" s="5"/>
    </row>
    <row r="205" spans="1:5">
      <c r="A205" t="s">
        <v>68</v>
      </c>
      <c r="B205" t="s">
        <v>17</v>
      </c>
    </row>
    <row r="206" spans="1:5">
      <c r="A206" t="s">
        <v>14</v>
      </c>
      <c r="B206">
        <f>3965/4000</f>
        <v>0.99124999999999996</v>
      </c>
    </row>
    <row r="207" spans="1:5">
      <c r="A207" t="s">
        <v>18</v>
      </c>
      <c r="B207">
        <v>0</v>
      </c>
      <c r="C207">
        <v>3</v>
      </c>
      <c r="D207">
        <v>0</v>
      </c>
      <c r="E207">
        <v>0</v>
      </c>
    </row>
    <row r="209" spans="1:5">
      <c r="A209" t="s">
        <v>68</v>
      </c>
      <c r="B209" t="s">
        <v>64</v>
      </c>
    </row>
    <row r="210" spans="1:5">
      <c r="A210" t="s">
        <v>14</v>
      </c>
      <c r="B210">
        <f>3996/4000</f>
        <v>0.999</v>
      </c>
    </row>
    <row r="211" spans="1:5">
      <c r="A211" t="s">
        <v>18</v>
      </c>
      <c r="B211">
        <v>15213</v>
      </c>
      <c r="C211">
        <v>11334</v>
      </c>
      <c r="D211">
        <v>12604</v>
      </c>
      <c r="E211">
        <v>12455</v>
      </c>
    </row>
    <row r="212" spans="1:5">
      <c r="B212">
        <f>B211*100/(200*11*1000)</f>
        <v>0.6915</v>
      </c>
      <c r="C212">
        <f t="shared" ref="C212" si="63">C211*100/(200*11*1000)</f>
        <v>0.51518181818181819</v>
      </c>
      <c r="D212">
        <f t="shared" ref="D212" si="64">D211*100/(200*11*1000)</f>
        <v>0.57290909090909092</v>
      </c>
      <c r="E212">
        <f t="shared" ref="E212" si="65">E211*100/(200*11*1000)</f>
        <v>0.56613636363636366</v>
      </c>
    </row>
    <row r="213" spans="1:5">
      <c r="A213" t="s">
        <v>68</v>
      </c>
      <c r="B213" t="s">
        <v>63</v>
      </c>
    </row>
    <row r="214" spans="1:5">
      <c r="A214" t="s">
        <v>14</v>
      </c>
      <c r="B214">
        <f>3999/4000</f>
        <v>0.99975000000000003</v>
      </c>
    </row>
    <row r="215" spans="1:5">
      <c r="A215" t="s">
        <v>18</v>
      </c>
      <c r="B215">
        <v>38578</v>
      </c>
      <c r="C215">
        <v>36245</v>
      </c>
      <c r="D215">
        <v>37546</v>
      </c>
      <c r="E215">
        <v>42536</v>
      </c>
    </row>
    <row r="216" spans="1:5">
      <c r="B216">
        <f>B215*100/(200*11*1000)</f>
        <v>1.7535454545454545</v>
      </c>
      <c r="C216">
        <f t="shared" ref="C216" si="66">C215*100/(200*11*1000)</f>
        <v>1.6475</v>
      </c>
      <c r="D216">
        <f t="shared" ref="D216" si="67">D215*100/(200*11*1000)</f>
        <v>1.7066363636363637</v>
      </c>
      <c r="E216">
        <f t="shared" ref="E216" si="68">E215*100/(200*11*1000)</f>
        <v>1.9334545454545455</v>
      </c>
    </row>
    <row r="217" spans="1:5">
      <c r="A217" t="s">
        <v>68</v>
      </c>
      <c r="B217" t="s">
        <v>65</v>
      </c>
    </row>
    <row r="218" spans="1:5">
      <c r="A218" t="s">
        <v>14</v>
      </c>
      <c r="B218">
        <f>3999/4000</f>
        <v>0.99975000000000003</v>
      </c>
    </row>
    <row r="219" spans="1:5">
      <c r="A219" t="s">
        <v>18</v>
      </c>
      <c r="B219">
        <v>118018</v>
      </c>
      <c r="C219">
        <v>129182</v>
      </c>
      <c r="D219">
        <v>134574</v>
      </c>
      <c r="E219">
        <v>112354</v>
      </c>
    </row>
    <row r="220" spans="1:5">
      <c r="A220" t="s">
        <v>69</v>
      </c>
      <c r="B220">
        <f>B219*100/(200*11*1000)</f>
        <v>5.3644545454545458</v>
      </c>
      <c r="C220">
        <f t="shared" ref="C220" si="69">C219*100/(200*11*1000)</f>
        <v>5.8719090909090905</v>
      </c>
      <c r="D220">
        <f t="shared" ref="D220" si="70">D219*100/(200*11*1000)</f>
        <v>6.117</v>
      </c>
      <c r="E220">
        <f t="shared" ref="E220" si="71">E219*100/(200*11*1000)</f>
        <v>5.1070000000000002</v>
      </c>
    </row>
    <row r="222" spans="1:5">
      <c r="A222" t="s">
        <v>70</v>
      </c>
      <c r="B222" t="s">
        <v>66</v>
      </c>
    </row>
    <row r="223" spans="1:5">
      <c r="A223" t="s">
        <v>14</v>
      </c>
      <c r="B223">
        <f>3999/4000</f>
        <v>0.99975000000000003</v>
      </c>
    </row>
    <row r="224" spans="1:5">
      <c r="A224" t="s">
        <v>18</v>
      </c>
      <c r="B224">
        <v>0</v>
      </c>
      <c r="C224">
        <v>0</v>
      </c>
      <c r="D224">
        <v>0</v>
      </c>
      <c r="E224">
        <v>0</v>
      </c>
    </row>
    <row r="225" spans="1:6">
      <c r="A225" t="s">
        <v>69</v>
      </c>
      <c r="B225">
        <f>B224*100/(200*11*1000)</f>
        <v>0</v>
      </c>
      <c r="C225">
        <f t="shared" ref="C225" si="72">C224*100/(200*11*1000)</f>
        <v>0</v>
      </c>
      <c r="D225">
        <f t="shared" ref="D225" si="73">D224*100/(200*11*1000)</f>
        <v>0</v>
      </c>
      <c r="E225">
        <f t="shared" ref="E225" si="74">E224*100/(200*11*1000)</f>
        <v>0</v>
      </c>
    </row>
    <row r="226" spans="1:6">
      <c r="A226" t="s">
        <v>72</v>
      </c>
      <c r="B226" t="s">
        <v>71</v>
      </c>
    </row>
    <row r="227" spans="1:6">
      <c r="A227" t="s">
        <v>14</v>
      </c>
      <c r="B227">
        <f>3999/4000</f>
        <v>0.99975000000000003</v>
      </c>
    </row>
    <row r="228" spans="1:6">
      <c r="A228" t="s">
        <v>18</v>
      </c>
      <c r="B228">
        <v>1256</v>
      </c>
      <c r="C228">
        <v>1218</v>
      </c>
      <c r="D228">
        <v>1104</v>
      </c>
      <c r="E228">
        <v>1420</v>
      </c>
    </row>
    <row r="229" spans="1:6">
      <c r="A229" t="s">
        <v>69</v>
      </c>
      <c r="B229">
        <f>B228*100/(200*11*1000)</f>
        <v>5.7090909090909088E-2</v>
      </c>
      <c r="C229">
        <f t="shared" ref="C229" si="75">C228*100/(200*11*1000)</f>
        <v>5.5363636363636365E-2</v>
      </c>
      <c r="D229">
        <f t="shared" ref="D229" si="76">D228*100/(200*11*1000)</f>
        <v>5.0181818181818182E-2</v>
      </c>
      <c r="E229">
        <f t="shared" ref="E229" si="77">E228*100/(200*11*1000)</f>
        <v>6.4545454545454545E-2</v>
      </c>
    </row>
    <row r="231" spans="1:6">
      <c r="A231" t="s">
        <v>70</v>
      </c>
      <c r="B231" t="s">
        <v>66</v>
      </c>
    </row>
    <row r="232" spans="1:6">
      <c r="A232" t="s">
        <v>14</v>
      </c>
      <c r="B232">
        <f>3999/4000</f>
        <v>0.99975000000000003</v>
      </c>
    </row>
    <row r="233" spans="1:6">
      <c r="A233" t="s">
        <v>18</v>
      </c>
      <c r="B233">
        <v>0</v>
      </c>
      <c r="C233">
        <v>0</v>
      </c>
      <c r="D233">
        <v>0</v>
      </c>
      <c r="E233">
        <v>0</v>
      </c>
    </row>
    <row r="234" spans="1:6">
      <c r="A234" t="s">
        <v>69</v>
      </c>
      <c r="B234">
        <f>B233*100/(200*11*1000)</f>
        <v>0</v>
      </c>
      <c r="C234">
        <f t="shared" ref="C234" si="78">C233*100/(200*11*1000)</f>
        <v>0</v>
      </c>
      <c r="D234">
        <f t="shared" ref="D234" si="79">D233*100/(200*11*1000)</f>
        <v>0</v>
      </c>
      <c r="E234">
        <f t="shared" ref="E234" si="80">E233*100/(200*11*1000)</f>
        <v>0</v>
      </c>
    </row>
    <row r="235" spans="1:6">
      <c r="A235" t="s">
        <v>70</v>
      </c>
      <c r="B235" t="s">
        <v>71</v>
      </c>
    </row>
    <row r="236" spans="1:6">
      <c r="A236" t="s">
        <v>14</v>
      </c>
      <c r="B236">
        <f>3999/4000</f>
        <v>0.99975000000000003</v>
      </c>
    </row>
    <row r="237" spans="1:6">
      <c r="A237" t="s">
        <v>18</v>
      </c>
      <c r="B237">
        <v>11056</v>
      </c>
      <c r="C237">
        <v>8560</v>
      </c>
      <c r="D237">
        <v>10001</v>
      </c>
      <c r="E237">
        <v>9745</v>
      </c>
    </row>
    <row r="238" spans="1:6">
      <c r="A238" t="s">
        <v>69</v>
      </c>
      <c r="B238">
        <f>B237*100/(200*11*1000)</f>
        <v>0.50254545454545452</v>
      </c>
      <c r="C238">
        <f t="shared" ref="C238" si="81">C237*100/(200*11*1000)</f>
        <v>0.3890909090909091</v>
      </c>
      <c r="D238">
        <f t="shared" ref="D238" si="82">D237*100/(200*11*1000)</f>
        <v>0.4545909090909091</v>
      </c>
      <c r="E238">
        <f t="shared" ref="E238" si="83">E237*100/(200*11*1000)</f>
        <v>0.44295454545454543</v>
      </c>
      <c r="F238">
        <f>AVERAGE(B238:E238)</f>
        <v>0.4472954545454545</v>
      </c>
    </row>
    <row r="241" spans="1:7">
      <c r="A241" t="s">
        <v>74</v>
      </c>
      <c r="F241" t="s">
        <v>14</v>
      </c>
    </row>
    <row r="242" spans="1:7">
      <c r="F242">
        <v>20</v>
      </c>
      <c r="G242">
        <f>3997/4000</f>
        <v>0.99924999999999997</v>
      </c>
    </row>
    <row r="243" spans="1:7">
      <c r="F243">
        <v>15</v>
      </c>
      <c r="G243">
        <f>3998/4000</f>
        <v>0.99950000000000006</v>
      </c>
    </row>
    <row r="244" spans="1:7">
      <c r="F244">
        <v>12</v>
      </c>
      <c r="G244">
        <f>3974/4000</f>
        <v>0.99350000000000005</v>
      </c>
    </row>
    <row r="245" spans="1:7">
      <c r="F245">
        <v>7</v>
      </c>
      <c r="G245">
        <f>3713/4000</f>
        <v>0.92825000000000002</v>
      </c>
    </row>
    <row r="246" spans="1:7">
      <c r="F246">
        <v>4</v>
      </c>
      <c r="G246">
        <f>3513/4000</f>
        <v>0.87824999999999998</v>
      </c>
    </row>
    <row r="247" spans="1:7">
      <c r="F247">
        <v>1</v>
      </c>
      <c r="G247">
        <f>2100/4000</f>
        <v>0.52500000000000002</v>
      </c>
    </row>
    <row r="249" spans="1:7">
      <c r="A249" t="s">
        <v>75</v>
      </c>
      <c r="F249" t="s">
        <v>14</v>
      </c>
    </row>
    <row r="250" spans="1:7">
      <c r="F250">
        <v>20</v>
      </c>
      <c r="G250">
        <f>3998/4000</f>
        <v>0.99950000000000006</v>
      </c>
    </row>
    <row r="251" spans="1:7">
      <c r="F251">
        <v>15</v>
      </c>
      <c r="G251">
        <f>3996/4000</f>
        <v>0.999</v>
      </c>
    </row>
    <row r="252" spans="1:7">
      <c r="F252">
        <v>12</v>
      </c>
      <c r="G252">
        <f>3980/4000</f>
        <v>0.995</v>
      </c>
    </row>
    <row r="253" spans="1:7">
      <c r="F253">
        <v>7</v>
      </c>
      <c r="G253">
        <f>3823/4000</f>
        <v>0.95574999999999999</v>
      </c>
    </row>
    <row r="254" spans="1:7">
      <c r="F254">
        <v>4</v>
      </c>
      <c r="G254">
        <f>3496/4000</f>
        <v>0.874</v>
      </c>
    </row>
    <row r="255" spans="1:7">
      <c r="F255">
        <v>2</v>
      </c>
      <c r="G255">
        <f>2661/4000</f>
        <v>0.66525000000000001</v>
      </c>
    </row>
    <row r="257" spans="1:7">
      <c r="A257" t="s">
        <v>111</v>
      </c>
      <c r="F257" t="s">
        <v>14</v>
      </c>
    </row>
    <row r="258" spans="1:7">
      <c r="A258" t="s">
        <v>20</v>
      </c>
      <c r="B258" t="s">
        <v>17</v>
      </c>
      <c r="F258">
        <v>20</v>
      </c>
      <c r="G258">
        <f>3998/4000</f>
        <v>0.99950000000000006</v>
      </c>
    </row>
    <row r="259" spans="1:7">
      <c r="A259" t="s">
        <v>12</v>
      </c>
      <c r="B259" s="1">
        <v>5</v>
      </c>
      <c r="C259" s="1">
        <v>17</v>
      </c>
      <c r="D259" s="1">
        <v>4</v>
      </c>
      <c r="E259" s="1">
        <v>19</v>
      </c>
      <c r="F259">
        <v>15</v>
      </c>
      <c r="G259">
        <f>3996/4000</f>
        <v>0.999</v>
      </c>
    </row>
    <row r="260" spans="1:7">
      <c r="A260" t="s">
        <v>13</v>
      </c>
      <c r="B260">
        <f>12*0.375</f>
        <v>4.5</v>
      </c>
      <c r="C260">
        <f t="shared" ref="C260:D260" si="84">12*0.375</f>
        <v>4.5</v>
      </c>
      <c r="D260">
        <f t="shared" si="84"/>
        <v>4.5</v>
      </c>
      <c r="E260">
        <f>11*0.375</f>
        <v>4.125</v>
      </c>
      <c r="F260">
        <v>12</v>
      </c>
      <c r="G260">
        <f>3980/4000</f>
        <v>0.995</v>
      </c>
    </row>
    <row r="261" spans="1:7">
      <c r="A261" t="s">
        <v>14</v>
      </c>
      <c r="B261">
        <f>3977/4000</f>
        <v>0.99424999999999997</v>
      </c>
      <c r="F261">
        <v>7</v>
      </c>
      <c r="G261">
        <f>3813/4000</f>
        <v>0.95325000000000004</v>
      </c>
    </row>
    <row r="262" spans="1:7">
      <c r="A262" t="s">
        <v>18</v>
      </c>
      <c r="B262">
        <f xml:space="preserve"> 0</f>
        <v>0</v>
      </c>
      <c r="C262">
        <f>0</f>
        <v>0</v>
      </c>
      <c r="D262">
        <f>0</f>
        <v>0</v>
      </c>
      <c r="E262">
        <f>0</f>
        <v>0</v>
      </c>
      <c r="F262">
        <v>4</v>
      </c>
      <c r="G262">
        <f>3506/4000</f>
        <v>0.87649999999999995</v>
      </c>
    </row>
    <row r="263" spans="1:7">
      <c r="A263" t="s">
        <v>16</v>
      </c>
      <c r="B263">
        <f>B262*100/(1000*1000)</f>
        <v>0</v>
      </c>
      <c r="C263">
        <f>C262*100/(3400*1000)</f>
        <v>0</v>
      </c>
      <c r="D263">
        <f>D262*100/(800*1000)</f>
        <v>0</v>
      </c>
      <c r="E263">
        <f>E262*100/(3800*1000)</f>
        <v>0</v>
      </c>
    </row>
    <row r="265" spans="1:7">
      <c r="A265" t="s">
        <v>20</v>
      </c>
      <c r="B265" t="s">
        <v>64</v>
      </c>
    </row>
    <row r="266" spans="1:7">
      <c r="A266" t="s">
        <v>14</v>
      </c>
      <c r="B266">
        <f>3974/4000</f>
        <v>0.99350000000000005</v>
      </c>
    </row>
    <row r="267" spans="1:7">
      <c r="A267" t="s">
        <v>18</v>
      </c>
      <c r="B267">
        <v>35</v>
      </c>
      <c r="C267">
        <v>0</v>
      </c>
      <c r="D267">
        <v>36</v>
      </c>
      <c r="E267">
        <v>0</v>
      </c>
    </row>
    <row r="268" spans="1:7">
      <c r="A268" t="s">
        <v>16</v>
      </c>
      <c r="B268">
        <f>B267*100/(1000*1000)</f>
        <v>3.5000000000000001E-3</v>
      </c>
      <c r="C268">
        <f>C267*100/(3400*1000)</f>
        <v>0</v>
      </c>
      <c r="D268">
        <f>D267*100/(800*1000)</f>
        <v>4.4999999999999997E-3</v>
      </c>
      <c r="E268">
        <f>E267*100/(3800*1000)</f>
        <v>0</v>
      </c>
    </row>
    <row r="269" spans="1:7">
      <c r="A269" t="s">
        <v>20</v>
      </c>
      <c r="B269" t="s">
        <v>63</v>
      </c>
    </row>
    <row r="270" spans="1:7">
      <c r="A270" t="s">
        <v>12</v>
      </c>
      <c r="B270" s="1">
        <v>5</v>
      </c>
      <c r="C270" s="1">
        <v>17</v>
      </c>
      <c r="D270" s="1">
        <v>4</v>
      </c>
      <c r="E270" s="1">
        <v>19</v>
      </c>
    </row>
    <row r="271" spans="1:7">
      <c r="A271" t="s">
        <v>13</v>
      </c>
      <c r="B271">
        <f>12*0.375</f>
        <v>4.5</v>
      </c>
      <c r="C271">
        <f t="shared" ref="C271:D271" si="85">12*0.375</f>
        <v>4.5</v>
      </c>
      <c r="D271">
        <f t="shared" si="85"/>
        <v>4.5</v>
      </c>
      <c r="E271">
        <f>11*0.375</f>
        <v>4.125</v>
      </c>
    </row>
    <row r="272" spans="1:7">
      <c r="A272" t="s">
        <v>14</v>
      </c>
      <c r="B272">
        <f>3762/4000</f>
        <v>0.9405</v>
      </c>
    </row>
    <row r="273" spans="1:35" ht="15.75" customHeight="1">
      <c r="A273" t="s">
        <v>18</v>
      </c>
      <c r="B273">
        <v>240</v>
      </c>
      <c r="C273">
        <v>1536</v>
      </c>
      <c r="D273">
        <v>451</v>
      </c>
      <c r="E273">
        <v>1854</v>
      </c>
      <c r="I273" t="s">
        <v>16</v>
      </c>
      <c r="J273" t="s">
        <v>117</v>
      </c>
      <c r="P273" t="s">
        <v>16</v>
      </c>
      <c r="Q273" t="s">
        <v>117</v>
      </c>
      <c r="V273" t="s">
        <v>16</v>
      </c>
      <c r="W273" t="s">
        <v>117</v>
      </c>
    </row>
    <row r="274" spans="1:35">
      <c r="A274" t="s">
        <v>16</v>
      </c>
      <c r="B274">
        <f>B273*100/(1000*1000)</f>
        <v>2.4E-2</v>
      </c>
      <c r="C274">
        <f>C273*100/(3400*1000)</f>
        <v>4.5176470588235297E-2</v>
      </c>
      <c r="D274">
        <f>D273*100/(800*1000)</f>
        <v>5.6375000000000001E-2</v>
      </c>
      <c r="E274">
        <f>E273*100/(3800*1000)</f>
        <v>4.8789473684210528E-2</v>
      </c>
      <c r="I274" t="s">
        <v>89</v>
      </c>
      <c r="K274">
        <v>5</v>
      </c>
      <c r="L274">
        <v>17</v>
      </c>
      <c r="M274">
        <v>4</v>
      </c>
      <c r="N274">
        <v>19</v>
      </c>
      <c r="P274" t="s">
        <v>89</v>
      </c>
      <c r="R274">
        <v>5</v>
      </c>
      <c r="S274">
        <v>15</v>
      </c>
      <c r="T274">
        <v>6</v>
      </c>
      <c r="V274" t="s">
        <v>89</v>
      </c>
      <c r="X274">
        <v>11</v>
      </c>
      <c r="Y274">
        <v>11</v>
      </c>
      <c r="Z274">
        <v>11</v>
      </c>
      <c r="AA274">
        <v>12</v>
      </c>
    </row>
    <row r="275" spans="1:35">
      <c r="J275" t="s">
        <v>77</v>
      </c>
      <c r="K275">
        <v>1.3001</v>
      </c>
      <c r="L275">
        <v>1.1783823529411801</v>
      </c>
      <c r="M275">
        <v>1.4513750000000001</v>
      </c>
      <c r="N275">
        <v>1.1421315789473701</v>
      </c>
      <c r="Q275" t="s">
        <v>77</v>
      </c>
      <c r="R275">
        <v>1.2263999999999999</v>
      </c>
      <c r="S275">
        <v>1.1147666666666667</v>
      </c>
      <c r="T275">
        <v>1.3201000000000001</v>
      </c>
      <c r="W275" t="s">
        <v>77</v>
      </c>
      <c r="X275">
        <v>1.1081111111111099</v>
      </c>
      <c r="Y275">
        <v>1.1205777777777799</v>
      </c>
      <c r="Z275">
        <v>1.1236888888888901</v>
      </c>
      <c r="AA275">
        <v>1.1285333333333301</v>
      </c>
      <c r="AD275">
        <v>1.26</v>
      </c>
      <c r="AE275">
        <v>1.5229999999999999</v>
      </c>
      <c r="AF275">
        <v>4.3639999999999999</v>
      </c>
      <c r="AG275">
        <v>16.698</v>
      </c>
      <c r="AH275">
        <v>47.31</v>
      </c>
      <c r="AI275">
        <v>51.12</v>
      </c>
    </row>
    <row r="276" spans="1:35">
      <c r="A276" t="s">
        <v>20</v>
      </c>
      <c r="B276" t="s">
        <v>65</v>
      </c>
      <c r="J276" t="s">
        <v>78</v>
      </c>
      <c r="K276">
        <v>2.4E-2</v>
      </c>
      <c r="L276">
        <v>4.5176470588235297E-2</v>
      </c>
      <c r="M276">
        <v>5.6375000000000001E-2</v>
      </c>
      <c r="N276">
        <v>4.8789473684210528E-2</v>
      </c>
      <c r="Q276" t="s">
        <v>78</v>
      </c>
      <c r="R276">
        <v>0.3528</v>
      </c>
      <c r="S276">
        <v>0.16350000000000001</v>
      </c>
      <c r="T276">
        <v>0.52383333333333337</v>
      </c>
      <c r="W276" t="s">
        <v>78</v>
      </c>
      <c r="X276">
        <v>0.1744</v>
      </c>
      <c r="Y276">
        <v>0.16980000000000001</v>
      </c>
      <c r="Z276">
        <v>0.1711</v>
      </c>
      <c r="AA276">
        <v>0.2082</v>
      </c>
      <c r="AD276">
        <v>0.1633</v>
      </c>
      <c r="AE276">
        <v>0.3412</v>
      </c>
      <c r="AF276">
        <v>1.1160000000000001</v>
      </c>
      <c r="AG276">
        <v>1.585</v>
      </c>
      <c r="AH276">
        <v>37.32</v>
      </c>
      <c r="AI276">
        <v>43.11</v>
      </c>
    </row>
    <row r="277" spans="1:35">
      <c r="A277" t="s">
        <v>14</v>
      </c>
      <c r="B277">
        <f>3428/4000</f>
        <v>0.85699999999999998</v>
      </c>
      <c r="J277" t="s">
        <v>79</v>
      </c>
      <c r="K277">
        <v>3.5000000000000001E-3</v>
      </c>
      <c r="L277">
        <v>0</v>
      </c>
      <c r="M277">
        <v>4.4999999999999997E-3</v>
      </c>
      <c r="N277">
        <v>0</v>
      </c>
      <c r="Q277" t="s">
        <v>79</v>
      </c>
      <c r="R277">
        <v>3.5000000000000001E-3</v>
      </c>
      <c r="S277">
        <v>0</v>
      </c>
      <c r="T277">
        <v>3.0000000000000001E-3</v>
      </c>
      <c r="W277" t="s">
        <v>79</v>
      </c>
      <c r="X277">
        <v>0</v>
      </c>
      <c r="Y277">
        <v>0</v>
      </c>
      <c r="Z277">
        <v>0</v>
      </c>
      <c r="AA277">
        <v>0</v>
      </c>
      <c r="AD277">
        <v>0</v>
      </c>
      <c r="AE277">
        <v>0</v>
      </c>
      <c r="AF277">
        <v>9.6199999999999994E-2</v>
      </c>
      <c r="AG277">
        <v>0.2266</v>
      </c>
      <c r="AH277">
        <v>11.01</v>
      </c>
      <c r="AI277">
        <v>16.739999999999998</v>
      </c>
    </row>
    <row r="278" spans="1:35">
      <c r="A278" t="s">
        <v>18</v>
      </c>
      <c r="B278">
        <v>10001</v>
      </c>
      <c r="C278">
        <v>50265</v>
      </c>
      <c r="D278">
        <v>9211</v>
      </c>
      <c r="E278">
        <v>47201</v>
      </c>
      <c r="J278" t="s">
        <v>7</v>
      </c>
      <c r="K278">
        <v>0</v>
      </c>
      <c r="L278">
        <v>0</v>
      </c>
      <c r="M278">
        <v>0</v>
      </c>
      <c r="N278">
        <v>0</v>
      </c>
      <c r="Q278" t="s">
        <v>7</v>
      </c>
      <c r="R278">
        <v>0</v>
      </c>
      <c r="S278">
        <v>0</v>
      </c>
      <c r="T278">
        <v>0</v>
      </c>
      <c r="W278" t="s">
        <v>7</v>
      </c>
      <c r="X278">
        <v>0</v>
      </c>
      <c r="Y278">
        <v>0</v>
      </c>
      <c r="Z278">
        <v>0</v>
      </c>
      <c r="AA278">
        <v>0</v>
      </c>
      <c r="AD278">
        <v>0</v>
      </c>
      <c r="AE278">
        <v>0</v>
      </c>
      <c r="AF278">
        <v>0</v>
      </c>
      <c r="AG278">
        <v>0</v>
      </c>
      <c r="AH278">
        <v>1.26</v>
      </c>
      <c r="AI278">
        <v>2.0299999999999998</v>
      </c>
    </row>
    <row r="279" spans="1:35">
      <c r="A279" t="s">
        <v>16</v>
      </c>
      <c r="B279">
        <f>B278*100/(1000*1000)</f>
        <v>1.0001</v>
      </c>
      <c r="C279">
        <f>C278*100/(3400*1000)</f>
        <v>1.4783823529411764</v>
      </c>
      <c r="D279">
        <f>D278*100/(800*1000)</f>
        <v>1.151375</v>
      </c>
      <c r="E279">
        <f>E278*100/(3800*1000)</f>
        <v>1.2421315789473684</v>
      </c>
      <c r="J279" t="s">
        <v>6</v>
      </c>
      <c r="K279">
        <v>0</v>
      </c>
      <c r="L279">
        <v>0</v>
      </c>
      <c r="M279">
        <v>0</v>
      </c>
      <c r="N279">
        <v>0</v>
      </c>
      <c r="Q279" t="s">
        <v>6</v>
      </c>
      <c r="R279">
        <v>0</v>
      </c>
      <c r="S279">
        <v>0</v>
      </c>
      <c r="T279">
        <v>0</v>
      </c>
      <c r="V279" s="4"/>
      <c r="W279" s="4" t="s">
        <v>6</v>
      </c>
      <c r="X279" s="4">
        <v>0</v>
      </c>
      <c r="Y279" s="4">
        <v>0</v>
      </c>
      <c r="Z279" s="4">
        <v>0</v>
      </c>
      <c r="AA279" s="4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</row>
    <row r="280" spans="1:35">
      <c r="A280" t="s">
        <v>67</v>
      </c>
      <c r="B280" t="s">
        <v>66</v>
      </c>
    </row>
    <row r="281" spans="1:35">
      <c r="A281" t="s">
        <v>14</v>
      </c>
      <c r="B281">
        <f>3998/4000</f>
        <v>0.99950000000000006</v>
      </c>
      <c r="I281" t="s">
        <v>90</v>
      </c>
      <c r="P281" t="s">
        <v>90</v>
      </c>
      <c r="V281" t="s">
        <v>90</v>
      </c>
    </row>
    <row r="282" spans="1:35">
      <c r="A282" t="s">
        <v>18</v>
      </c>
      <c r="B282">
        <v>0</v>
      </c>
      <c r="C282">
        <v>0</v>
      </c>
      <c r="D282">
        <v>0</v>
      </c>
      <c r="E282">
        <v>0</v>
      </c>
      <c r="J282" t="s">
        <v>77</v>
      </c>
      <c r="K282" s="6">
        <v>1.958</v>
      </c>
      <c r="L282" s="6">
        <v>1.6029411764706001</v>
      </c>
      <c r="M282" s="6">
        <v>2.1</v>
      </c>
      <c r="N282" s="6">
        <v>1.611</v>
      </c>
      <c r="Q282" t="s">
        <v>77</v>
      </c>
      <c r="R282" s="6">
        <v>1.9683999999999999</v>
      </c>
      <c r="S282" s="6">
        <v>1.64283333333333</v>
      </c>
      <c r="T282" s="6">
        <v>2.0099999999999998</v>
      </c>
      <c r="W282" t="s">
        <v>77</v>
      </c>
      <c r="X282">
        <v>1.58094814814815</v>
      </c>
      <c r="Y282">
        <v>1.6853037037037</v>
      </c>
      <c r="Z282">
        <v>1.5845333333333333</v>
      </c>
      <c r="AA282">
        <v>1.6355851851851899</v>
      </c>
    </row>
    <row r="283" spans="1:35">
      <c r="A283" t="s">
        <v>16</v>
      </c>
      <c r="B283">
        <f>B282*100/(1000*1000)</f>
        <v>0</v>
      </c>
      <c r="C283">
        <f>C282*100/(3400*1000)</f>
        <v>0</v>
      </c>
      <c r="D283">
        <f>D282*100/(800*1000)</f>
        <v>0</v>
      </c>
      <c r="E283">
        <f>E282*100/(3800*1000)</f>
        <v>0</v>
      </c>
      <c r="J283" t="s">
        <v>78</v>
      </c>
      <c r="K283">
        <v>0.60140000000000005</v>
      </c>
      <c r="L283">
        <v>0.32116</v>
      </c>
      <c r="M283">
        <v>0.76537500000000003</v>
      </c>
      <c r="N283">
        <v>0.32650000000000001</v>
      </c>
      <c r="Q283" t="s">
        <v>78</v>
      </c>
      <c r="R283">
        <v>0.63139999999999996</v>
      </c>
      <c r="S283">
        <v>0.54720000000000002</v>
      </c>
      <c r="T283">
        <v>0.47249999999999998</v>
      </c>
      <c r="W283" t="s">
        <v>78</v>
      </c>
      <c r="X283">
        <v>0.36207407407407399</v>
      </c>
      <c r="Y283">
        <v>0.34911111111111098</v>
      </c>
      <c r="Z283">
        <v>0.35256296296296302</v>
      </c>
      <c r="AA283">
        <v>0.38539259259259301</v>
      </c>
    </row>
    <row r="284" spans="1:35">
      <c r="A284" t="s">
        <v>67</v>
      </c>
      <c r="B284" t="s">
        <v>17</v>
      </c>
      <c r="J284" t="s">
        <v>79</v>
      </c>
      <c r="K284">
        <f t="shared" ref="K284:K285" si="86">K278*100/(1000*1000)</f>
        <v>0</v>
      </c>
      <c r="L284">
        <f t="shared" ref="L284:L285" si="87">L278*100/(3400*1000)</f>
        <v>0</v>
      </c>
      <c r="M284">
        <f t="shared" ref="M284:M285" si="88">M278*100/(800*1000)</f>
        <v>0</v>
      </c>
      <c r="N284">
        <f t="shared" ref="N284:N285" si="89">N278*100/(3800*1000)</f>
        <v>0</v>
      </c>
      <c r="Q284" t="s">
        <v>79</v>
      </c>
      <c r="R284">
        <f t="shared" ref="R284:R285" si="90">R278*100/(1000*1000)</f>
        <v>0</v>
      </c>
      <c r="S284">
        <f t="shared" ref="S284:S285" si="91">S278*100/(3400*1000)</f>
        <v>0</v>
      </c>
      <c r="T284">
        <f t="shared" ref="T284:T285" si="92">T278*100/(800*1000)</f>
        <v>0</v>
      </c>
      <c r="W284" t="s">
        <v>79</v>
      </c>
      <c r="X284">
        <v>0</v>
      </c>
      <c r="Y284">
        <v>0</v>
      </c>
      <c r="Z284">
        <v>0</v>
      </c>
      <c r="AA284">
        <v>0</v>
      </c>
    </row>
    <row r="285" spans="1:35">
      <c r="A285" t="s">
        <v>14</v>
      </c>
      <c r="B285">
        <f>3965/4000</f>
        <v>0.99124999999999996</v>
      </c>
      <c r="J285" t="s">
        <v>7</v>
      </c>
      <c r="K285">
        <f t="shared" si="86"/>
        <v>0</v>
      </c>
      <c r="L285">
        <f t="shared" si="87"/>
        <v>0</v>
      </c>
      <c r="M285">
        <f t="shared" si="88"/>
        <v>0</v>
      </c>
      <c r="N285">
        <f t="shared" si="89"/>
        <v>0</v>
      </c>
      <c r="Q285" t="s">
        <v>7</v>
      </c>
      <c r="R285">
        <f t="shared" si="90"/>
        <v>0</v>
      </c>
      <c r="S285">
        <f t="shared" si="91"/>
        <v>0</v>
      </c>
      <c r="T285">
        <f t="shared" si="92"/>
        <v>0</v>
      </c>
      <c r="W285" t="s">
        <v>7</v>
      </c>
      <c r="X285">
        <v>0</v>
      </c>
      <c r="Y285">
        <v>0</v>
      </c>
      <c r="Z285">
        <v>0</v>
      </c>
      <c r="AA285">
        <v>0</v>
      </c>
    </row>
    <row r="286" spans="1:35">
      <c r="A286" t="s">
        <v>18</v>
      </c>
      <c r="B286">
        <v>0</v>
      </c>
      <c r="C286">
        <v>0</v>
      </c>
      <c r="D286">
        <v>0</v>
      </c>
      <c r="E286">
        <v>0</v>
      </c>
      <c r="J286" t="s">
        <v>6</v>
      </c>
      <c r="K286">
        <f>K280*100/(1000*1000)</f>
        <v>0</v>
      </c>
      <c r="L286">
        <f>L280*100/(3400*1000)</f>
        <v>0</v>
      </c>
      <c r="M286">
        <f>M280*100/(800*1000)</f>
        <v>0</v>
      </c>
      <c r="N286">
        <f>N280*100/(3800*1000)</f>
        <v>0</v>
      </c>
      <c r="Q286" t="s">
        <v>6</v>
      </c>
      <c r="R286">
        <f>R280*100/(1000*1000)</f>
        <v>0</v>
      </c>
      <c r="S286">
        <f>S280*100/(3400*1000)</f>
        <v>0</v>
      </c>
      <c r="T286">
        <f>T280*100/(800*1000)</f>
        <v>0</v>
      </c>
      <c r="W286" t="s">
        <v>6</v>
      </c>
      <c r="X286">
        <v>0</v>
      </c>
      <c r="Y286">
        <v>0</v>
      </c>
      <c r="Z286">
        <v>0</v>
      </c>
      <c r="AA286">
        <v>0</v>
      </c>
    </row>
    <row r="287" spans="1:35">
      <c r="A287" t="s">
        <v>16</v>
      </c>
      <c r="B287">
        <f>B286*100/(1000*1000)</f>
        <v>0</v>
      </c>
      <c r="C287">
        <f>C286*100/(3400*1000)</f>
        <v>0</v>
      </c>
      <c r="D287">
        <f>D286*100/(800*1000)</f>
        <v>0</v>
      </c>
      <c r="E287">
        <f>E286*100/(3800*1000)</f>
        <v>0</v>
      </c>
    </row>
    <row r="288" spans="1:35">
      <c r="A288" t="s">
        <v>67</v>
      </c>
      <c r="B288" t="s">
        <v>64</v>
      </c>
      <c r="I288" t="s">
        <v>91</v>
      </c>
      <c r="P288" t="s">
        <v>91</v>
      </c>
      <c r="V288" t="s">
        <v>91</v>
      </c>
    </row>
    <row r="289" spans="1:27">
      <c r="A289" t="s">
        <v>14</v>
      </c>
      <c r="B289">
        <f>3996/4000</f>
        <v>0.999</v>
      </c>
      <c r="J289" t="s">
        <v>77</v>
      </c>
      <c r="K289">
        <v>6.0179</v>
      </c>
      <c r="L289">
        <v>4.0870882352941198</v>
      </c>
      <c r="M289">
        <v>5.8348750000000003</v>
      </c>
      <c r="N289">
        <v>4.0482631578947403</v>
      </c>
      <c r="Q289" t="s">
        <v>77</v>
      </c>
      <c r="R289">
        <v>5.8266</v>
      </c>
      <c r="S289">
        <v>4.4081666666666699</v>
      </c>
      <c r="T289">
        <v>5.6660000000000004</v>
      </c>
      <c r="W289" t="s">
        <v>77</v>
      </c>
      <c r="X289">
        <v>4.0606818181818198</v>
      </c>
      <c r="Y289">
        <v>4.1092727272727299</v>
      </c>
      <c r="Z289">
        <v>4.0934999999999997</v>
      </c>
      <c r="AA289">
        <v>4.5736363636363597</v>
      </c>
    </row>
    <row r="290" spans="1:27">
      <c r="A290" t="s">
        <v>18</v>
      </c>
      <c r="B290">
        <v>0</v>
      </c>
      <c r="C290">
        <v>0</v>
      </c>
      <c r="D290">
        <v>0</v>
      </c>
      <c r="E290">
        <v>0</v>
      </c>
      <c r="J290" t="s">
        <v>78</v>
      </c>
      <c r="K290">
        <v>1.8992</v>
      </c>
      <c r="L290">
        <v>1.0216411764705799</v>
      </c>
      <c r="M290">
        <v>1.71225</v>
      </c>
      <c r="N290">
        <v>0.98067105263157905</v>
      </c>
      <c r="Q290" t="s">
        <v>78</v>
      </c>
      <c r="R290">
        <v>1.3124</v>
      </c>
      <c r="S290">
        <v>1.0760333333333334</v>
      </c>
      <c r="T290">
        <v>1.5840833333333333</v>
      </c>
      <c r="W290" t="s">
        <v>78</v>
      </c>
      <c r="X290">
        <v>0.96725000000000005</v>
      </c>
      <c r="Y290">
        <v>0.97020454545454504</v>
      </c>
      <c r="Z290">
        <v>0.99102999999999997</v>
      </c>
      <c r="AA290">
        <v>0.95152999999999999</v>
      </c>
    </row>
    <row r="291" spans="1:27">
      <c r="A291" t="s">
        <v>16</v>
      </c>
      <c r="B291">
        <f>B290*100/(1000*1000)</f>
        <v>0</v>
      </c>
      <c r="C291">
        <f>C290*100/(3400*1000)</f>
        <v>0</v>
      </c>
      <c r="D291">
        <f>D290*100/(800*1000)</f>
        <v>0</v>
      </c>
      <c r="E291">
        <f>E290*100/(3800*1000)</f>
        <v>0</v>
      </c>
      <c r="J291" t="s">
        <v>79</v>
      </c>
      <c r="K291">
        <v>0.4612</v>
      </c>
      <c r="L291">
        <v>9.9617647058824005E-2</v>
      </c>
      <c r="M291">
        <v>0.48549999999999999</v>
      </c>
      <c r="N291">
        <v>0.109510526315789</v>
      </c>
      <c r="Q291" t="s">
        <v>79</v>
      </c>
      <c r="R291">
        <v>0.33465</v>
      </c>
      <c r="S291">
        <v>0.10476666666666699</v>
      </c>
      <c r="T291">
        <v>0.47366666666666701</v>
      </c>
      <c r="W291" t="s">
        <v>79</v>
      </c>
      <c r="X291">
        <v>0.16195454545454546</v>
      </c>
      <c r="Y291">
        <v>0.123636363636364</v>
      </c>
      <c r="Z291">
        <v>0.119818181818182</v>
      </c>
      <c r="AA291">
        <v>0.12213636363636364</v>
      </c>
    </row>
    <row r="292" spans="1:27">
      <c r="A292" t="s">
        <v>67</v>
      </c>
      <c r="B292" t="s">
        <v>63</v>
      </c>
      <c r="J292" t="s">
        <v>7</v>
      </c>
      <c r="K292">
        <v>0</v>
      </c>
      <c r="L292">
        <v>0</v>
      </c>
      <c r="M292">
        <v>0</v>
      </c>
      <c r="N292">
        <v>0</v>
      </c>
      <c r="Q292" t="s">
        <v>7</v>
      </c>
      <c r="R292">
        <v>0</v>
      </c>
      <c r="S292">
        <v>0</v>
      </c>
      <c r="T292">
        <v>0</v>
      </c>
      <c r="W292" t="s">
        <v>7</v>
      </c>
      <c r="X292">
        <v>0</v>
      </c>
      <c r="Y292">
        <v>0</v>
      </c>
      <c r="Z292">
        <v>0</v>
      </c>
      <c r="AA292">
        <v>0</v>
      </c>
    </row>
    <row r="293" spans="1:27">
      <c r="A293" t="s">
        <v>14</v>
      </c>
      <c r="B293">
        <f>3746/4000</f>
        <v>0.9365</v>
      </c>
      <c r="J293" t="s">
        <v>6</v>
      </c>
      <c r="K293">
        <v>0</v>
      </c>
      <c r="L293">
        <v>0</v>
      </c>
      <c r="M293">
        <v>0</v>
      </c>
      <c r="N293">
        <v>0</v>
      </c>
      <c r="Q293" t="s">
        <v>6</v>
      </c>
      <c r="R293">
        <v>0</v>
      </c>
      <c r="S293">
        <v>0</v>
      </c>
      <c r="T293">
        <v>0</v>
      </c>
      <c r="W293" t="s">
        <v>6</v>
      </c>
      <c r="X293">
        <v>0</v>
      </c>
      <c r="Y293">
        <v>0</v>
      </c>
      <c r="Z293">
        <v>0</v>
      </c>
      <c r="AA293">
        <v>0</v>
      </c>
    </row>
    <row r="294" spans="1:27">
      <c r="A294" t="s">
        <v>18</v>
      </c>
      <c r="B294">
        <v>6014</v>
      </c>
      <c r="C294">
        <v>20457</v>
      </c>
      <c r="D294">
        <v>6123</v>
      </c>
      <c r="E294">
        <v>24152</v>
      </c>
      <c r="V294" s="5"/>
      <c r="W294" s="5"/>
      <c r="X294" s="5"/>
      <c r="Y294" s="5"/>
      <c r="Z294" s="5"/>
      <c r="AA294" s="5"/>
    </row>
    <row r="295" spans="1:27">
      <c r="A295" t="s">
        <v>16</v>
      </c>
      <c r="B295">
        <f>B294*100/(1000*1000)</f>
        <v>0.60140000000000005</v>
      </c>
      <c r="C295">
        <f>C294*100/(3400*1000)</f>
        <v>0.60167647058823526</v>
      </c>
      <c r="D295">
        <f>D294*100/(800*1000)</f>
        <v>0.76537500000000003</v>
      </c>
      <c r="E295">
        <f>E294*100/(3800*1000)</f>
        <v>0.63557894736842102</v>
      </c>
      <c r="I295" t="s">
        <v>92</v>
      </c>
      <c r="P295" t="s">
        <v>92</v>
      </c>
      <c r="V295" s="5" t="s">
        <v>92</v>
      </c>
      <c r="W295" s="5"/>
      <c r="X295" s="5"/>
      <c r="Y295" s="5"/>
      <c r="Z295" s="5"/>
      <c r="AA295" s="5"/>
    </row>
    <row r="296" spans="1:27">
      <c r="A296" s="5" t="s">
        <v>67</v>
      </c>
      <c r="B296" s="5" t="s">
        <v>65</v>
      </c>
      <c r="C296" s="5"/>
      <c r="D296" s="5"/>
      <c r="E296" s="5"/>
      <c r="J296" t="s">
        <v>77</v>
      </c>
      <c r="K296">
        <v>20.754899999999999</v>
      </c>
      <c r="L296">
        <v>15.882647058823499</v>
      </c>
      <c r="M296">
        <v>19.695499999999999</v>
      </c>
      <c r="N296">
        <v>15.041815789473601</v>
      </c>
      <c r="Q296" t="s">
        <v>77</v>
      </c>
      <c r="R296">
        <v>19.1203</v>
      </c>
      <c r="S296">
        <v>15.1785</v>
      </c>
      <c r="T296">
        <v>19.3578333333333</v>
      </c>
      <c r="W296" t="s">
        <v>77</v>
      </c>
      <c r="X296">
        <v>16.440999999999999</v>
      </c>
      <c r="Y296">
        <v>16.231000000000002</v>
      </c>
      <c r="Z296">
        <v>17.02</v>
      </c>
      <c r="AA296">
        <v>17.22</v>
      </c>
    </row>
    <row r="297" spans="1:27">
      <c r="A297" t="s">
        <v>14</v>
      </c>
      <c r="B297">
        <f>3358/4000</f>
        <v>0.83950000000000002</v>
      </c>
      <c r="J297" t="s">
        <v>78</v>
      </c>
      <c r="K297">
        <v>1.9441999999999999</v>
      </c>
      <c r="L297">
        <v>1.6059705882352899</v>
      </c>
      <c r="M297">
        <v>1.8374999999999999</v>
      </c>
      <c r="N297">
        <v>1.6884736842105299</v>
      </c>
      <c r="Q297" t="s">
        <v>78</v>
      </c>
      <c r="R297">
        <v>2.4428999999999998</v>
      </c>
      <c r="S297">
        <v>1.6859999999999999</v>
      </c>
      <c r="T297">
        <v>2.5409999999999999</v>
      </c>
      <c r="W297" t="s">
        <v>78</v>
      </c>
      <c r="X297">
        <v>1.742</v>
      </c>
      <c r="Y297">
        <v>1.6890000000000001</v>
      </c>
      <c r="Z297">
        <v>1.7110000000000001</v>
      </c>
      <c r="AA297">
        <v>1.6850000000000001</v>
      </c>
    </row>
    <row r="298" spans="1:27">
      <c r="A298" t="s">
        <v>18</v>
      </c>
      <c r="B298">
        <v>11378</v>
      </c>
      <c r="C298">
        <v>36254</v>
      </c>
      <c r="D298">
        <v>9544</v>
      </c>
      <c r="E298">
        <v>39576</v>
      </c>
      <c r="J298" t="s">
        <v>79</v>
      </c>
      <c r="K298">
        <v>0.49170000000000003</v>
      </c>
      <c r="L298">
        <v>0.22976470588235301</v>
      </c>
      <c r="M298">
        <v>0.60199999999999998</v>
      </c>
      <c r="N298">
        <v>0.203473684210526</v>
      </c>
      <c r="Q298" t="s">
        <v>79</v>
      </c>
      <c r="R298">
        <v>0.46500000000000002</v>
      </c>
      <c r="S298">
        <v>0.22550000000000001</v>
      </c>
      <c r="T298">
        <v>0.53858333333333297</v>
      </c>
      <c r="V298" s="4"/>
      <c r="W298" s="4" t="s">
        <v>79</v>
      </c>
      <c r="X298" s="4">
        <v>0.22509999999999999</v>
      </c>
      <c r="Y298" s="4">
        <v>0.21890000000000001</v>
      </c>
      <c r="Z298" s="4">
        <v>0.22109999999999999</v>
      </c>
      <c r="AA298" s="4">
        <v>0.26100000000000001</v>
      </c>
    </row>
    <row r="299" spans="1:27">
      <c r="A299" t="s">
        <v>16</v>
      </c>
      <c r="B299">
        <f>B298*100/(1000*1000)</f>
        <v>1.1377999999999999</v>
      </c>
      <c r="C299">
        <f>C298*100/(3400*1000)</f>
        <v>1.0662941176470588</v>
      </c>
      <c r="D299">
        <f>D298*100/(800*1000)</f>
        <v>1.1930000000000001</v>
      </c>
      <c r="E299">
        <f>E298*100/(3800*1000)</f>
        <v>1.0414736842105263</v>
      </c>
      <c r="J299" t="s">
        <v>7</v>
      </c>
      <c r="K299">
        <v>0</v>
      </c>
      <c r="L299">
        <v>0</v>
      </c>
      <c r="M299">
        <v>0</v>
      </c>
      <c r="N299">
        <v>0</v>
      </c>
      <c r="Q299" t="s">
        <v>7</v>
      </c>
      <c r="R299">
        <v>0</v>
      </c>
      <c r="S299">
        <v>0</v>
      </c>
      <c r="T299">
        <v>0</v>
      </c>
      <c r="W299" t="s">
        <v>7</v>
      </c>
      <c r="X299">
        <v>0</v>
      </c>
      <c r="Y299">
        <v>0</v>
      </c>
      <c r="Z299">
        <v>0</v>
      </c>
      <c r="AA299">
        <v>0</v>
      </c>
    </row>
    <row r="300" spans="1:27">
      <c r="A300" t="s">
        <v>21</v>
      </c>
      <c r="B300" s="5" t="s">
        <v>66</v>
      </c>
      <c r="C300" s="5"/>
      <c r="D300" s="5"/>
      <c r="E300" s="5"/>
      <c r="J300" t="s">
        <v>6</v>
      </c>
      <c r="K300">
        <v>0</v>
      </c>
      <c r="L300">
        <v>0</v>
      </c>
      <c r="M300">
        <v>0</v>
      </c>
      <c r="N300">
        <v>0</v>
      </c>
      <c r="Q300" t="s">
        <v>6</v>
      </c>
      <c r="R300">
        <v>0</v>
      </c>
      <c r="S300">
        <v>0</v>
      </c>
      <c r="T300">
        <v>0</v>
      </c>
      <c r="W300" t="s">
        <v>6</v>
      </c>
      <c r="X300">
        <v>0</v>
      </c>
      <c r="Y300">
        <v>0</v>
      </c>
      <c r="Z300">
        <v>0</v>
      </c>
      <c r="AA300">
        <v>0</v>
      </c>
    </row>
    <row r="301" spans="1:27">
      <c r="A301" t="s">
        <v>14</v>
      </c>
      <c r="B301">
        <f>3999/4000</f>
        <v>0.99975000000000003</v>
      </c>
    </row>
    <row r="302" spans="1:27">
      <c r="A302" t="s">
        <v>18</v>
      </c>
      <c r="B302">
        <v>0</v>
      </c>
      <c r="C302">
        <v>0</v>
      </c>
      <c r="D302">
        <v>0</v>
      </c>
      <c r="E302">
        <v>0</v>
      </c>
      <c r="I302" t="s">
        <v>93</v>
      </c>
      <c r="P302" t="s">
        <v>93</v>
      </c>
      <c r="V302" t="s">
        <v>93</v>
      </c>
    </row>
    <row r="303" spans="1:27">
      <c r="J303" t="s">
        <v>77</v>
      </c>
      <c r="K303">
        <v>48.655000000000001</v>
      </c>
      <c r="L303">
        <v>48.134999999999998</v>
      </c>
      <c r="M303">
        <v>49.63</v>
      </c>
      <c r="N303">
        <v>47.66</v>
      </c>
      <c r="Q303" t="s">
        <v>77</v>
      </c>
      <c r="R303">
        <v>49.360999999999997</v>
      </c>
      <c r="S303">
        <v>50.116</v>
      </c>
      <c r="T303">
        <v>49.32</v>
      </c>
      <c r="W303" t="s">
        <v>77</v>
      </c>
      <c r="X303">
        <v>47.112000000000002</v>
      </c>
      <c r="Y303">
        <v>46.988</v>
      </c>
      <c r="Z303">
        <v>47.23</v>
      </c>
      <c r="AA303">
        <v>47.66</v>
      </c>
    </row>
    <row r="304" spans="1:27">
      <c r="A304" t="s">
        <v>21</v>
      </c>
      <c r="B304" s="5" t="s">
        <v>17</v>
      </c>
      <c r="C304" s="5"/>
      <c r="D304" s="5"/>
      <c r="E304" s="5"/>
      <c r="J304" t="s">
        <v>78</v>
      </c>
      <c r="K304">
        <v>41.01</v>
      </c>
      <c r="L304">
        <v>36.520000000000003</v>
      </c>
      <c r="M304">
        <v>41.22</v>
      </c>
      <c r="N304">
        <v>38.1</v>
      </c>
      <c r="Q304" t="s">
        <v>78</v>
      </c>
      <c r="R304">
        <v>40.880000000000003</v>
      </c>
      <c r="S304">
        <v>37.619999999999997</v>
      </c>
      <c r="T304">
        <v>39.83</v>
      </c>
      <c r="W304" t="s">
        <v>78</v>
      </c>
      <c r="X304">
        <v>37.21</v>
      </c>
      <c r="Y304">
        <v>37.36</v>
      </c>
      <c r="Z304">
        <v>36.96</v>
      </c>
      <c r="AA304">
        <v>38.1</v>
      </c>
    </row>
    <row r="305" spans="1:27">
      <c r="A305" t="s">
        <v>14</v>
      </c>
      <c r="B305">
        <f>3988/4000</f>
        <v>0.997</v>
      </c>
      <c r="J305" t="s">
        <v>79</v>
      </c>
      <c r="K305">
        <v>13.65</v>
      </c>
      <c r="L305">
        <v>11.01</v>
      </c>
      <c r="M305">
        <v>14.21</v>
      </c>
      <c r="N305">
        <v>11.63</v>
      </c>
      <c r="Q305" t="s">
        <v>79</v>
      </c>
      <c r="R305">
        <v>13.2</v>
      </c>
      <c r="S305">
        <v>11.56</v>
      </c>
      <c r="T305">
        <v>12.96</v>
      </c>
      <c r="W305" t="s">
        <v>79</v>
      </c>
      <c r="X305">
        <v>11.12</v>
      </c>
      <c r="Y305">
        <v>11.32</v>
      </c>
      <c r="Z305">
        <v>10.96</v>
      </c>
      <c r="AA305">
        <v>12.03</v>
      </c>
    </row>
    <row r="306" spans="1:27">
      <c r="A306" t="s">
        <v>18</v>
      </c>
      <c r="B306">
        <v>0</v>
      </c>
      <c r="C306">
        <v>0</v>
      </c>
      <c r="D306">
        <v>0</v>
      </c>
      <c r="E306">
        <v>0</v>
      </c>
      <c r="J306" t="s">
        <v>7</v>
      </c>
      <c r="K306">
        <v>1.82</v>
      </c>
      <c r="L306">
        <v>1.1599999999999999</v>
      </c>
      <c r="M306">
        <v>1.78</v>
      </c>
      <c r="N306">
        <v>1.23</v>
      </c>
      <c r="Q306" t="s">
        <v>7</v>
      </c>
      <c r="R306">
        <v>1.71</v>
      </c>
      <c r="S306">
        <v>1.252</v>
      </c>
      <c r="T306">
        <v>1.6879999999999999</v>
      </c>
      <c r="W306" t="s">
        <v>7</v>
      </c>
      <c r="X306">
        <v>1.23</v>
      </c>
      <c r="Y306">
        <v>1.27</v>
      </c>
      <c r="Z306">
        <v>1.25</v>
      </c>
      <c r="AA306">
        <v>1.31</v>
      </c>
    </row>
    <row r="307" spans="1:27">
      <c r="A307" t="s">
        <v>16</v>
      </c>
      <c r="B307">
        <f>B306*100/(1000*1000)</f>
        <v>0</v>
      </c>
      <c r="C307">
        <f>C306*100/(3400*1000)</f>
        <v>0</v>
      </c>
      <c r="D307">
        <f>D306*100/(800*1000)</f>
        <v>0</v>
      </c>
      <c r="E307">
        <f>E306*100/(3800*1000)</f>
        <v>0</v>
      </c>
      <c r="J307" t="s">
        <v>6</v>
      </c>
      <c r="K307">
        <v>0</v>
      </c>
      <c r="L307">
        <v>0</v>
      </c>
      <c r="M307">
        <v>0</v>
      </c>
      <c r="N307">
        <v>0</v>
      </c>
      <c r="Q307" t="s">
        <v>6</v>
      </c>
      <c r="R307">
        <v>0</v>
      </c>
      <c r="S307">
        <v>0</v>
      </c>
      <c r="T307">
        <v>0</v>
      </c>
      <c r="W307" t="s">
        <v>6</v>
      </c>
      <c r="X307">
        <v>0</v>
      </c>
      <c r="Y307">
        <v>0</v>
      </c>
      <c r="Z307">
        <v>0</v>
      </c>
      <c r="AA307">
        <v>0</v>
      </c>
    </row>
    <row r="308" spans="1:27">
      <c r="A308" t="s">
        <v>21</v>
      </c>
      <c r="B308" t="s">
        <v>64</v>
      </c>
      <c r="I308" s="5"/>
      <c r="J308" s="5"/>
      <c r="K308" s="5"/>
      <c r="L308" s="5"/>
      <c r="M308" s="5"/>
      <c r="N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>
      <c r="A309" t="s">
        <v>14</v>
      </c>
      <c r="B309">
        <f>3957/4000</f>
        <v>0.98924999999999996</v>
      </c>
      <c r="I309" s="5" t="s">
        <v>120</v>
      </c>
      <c r="J309" s="5"/>
      <c r="K309" s="5"/>
      <c r="L309" s="5"/>
      <c r="M309" s="5"/>
      <c r="N309" s="5"/>
      <c r="P309" s="5" t="s">
        <v>120</v>
      </c>
      <c r="Q309" s="5"/>
      <c r="R309" s="5"/>
      <c r="S309" s="5"/>
      <c r="T309" s="5"/>
      <c r="U309" s="5"/>
      <c r="V309" s="5" t="s">
        <v>120</v>
      </c>
      <c r="W309" s="5"/>
      <c r="X309" s="5"/>
      <c r="Y309" s="5"/>
      <c r="Z309" s="5"/>
      <c r="AA309" s="5"/>
    </row>
    <row r="310" spans="1:27">
      <c r="A310" t="s">
        <v>18</v>
      </c>
      <c r="B310">
        <v>6612</v>
      </c>
      <c r="C310">
        <v>4067</v>
      </c>
      <c r="D310">
        <v>3884</v>
      </c>
      <c r="E310">
        <v>11214</v>
      </c>
      <c r="J310" t="s">
        <v>77</v>
      </c>
      <c r="K310">
        <v>49.01</v>
      </c>
      <c r="L310">
        <v>48.69</v>
      </c>
      <c r="M310">
        <v>49.22</v>
      </c>
      <c r="N310">
        <v>49.36</v>
      </c>
      <c r="Q310" t="s">
        <v>77</v>
      </c>
      <c r="R310">
        <v>50.96</v>
      </c>
      <c r="S310">
        <v>49.66</v>
      </c>
      <c r="T310">
        <v>51.43</v>
      </c>
      <c r="W310" t="s">
        <v>77</v>
      </c>
      <c r="X310">
        <v>51.03</v>
      </c>
      <c r="Y310">
        <v>51.65</v>
      </c>
      <c r="Z310">
        <v>51.43</v>
      </c>
      <c r="AA310">
        <v>52.65</v>
      </c>
    </row>
    <row r="311" spans="1:27">
      <c r="A311" t="s">
        <v>16</v>
      </c>
      <c r="B311">
        <f>B310*100/(1000*1000)</f>
        <v>0.66120000000000001</v>
      </c>
      <c r="C311">
        <f>C310*100/(3400*1000)</f>
        <v>0.11961764705882352</v>
      </c>
      <c r="D311">
        <f>D310*100/(800*1000)</f>
        <v>0.48549999999999999</v>
      </c>
      <c r="E311">
        <f>E310*100/(3800*1000)</f>
        <v>0.29510526315789476</v>
      </c>
      <c r="J311" t="s">
        <v>78</v>
      </c>
      <c r="K311">
        <v>45.64</v>
      </c>
      <c r="L311">
        <v>41.22</v>
      </c>
      <c r="M311">
        <v>46.2</v>
      </c>
      <c r="N311">
        <v>45.1</v>
      </c>
      <c r="Q311" t="s">
        <v>78</v>
      </c>
      <c r="R311">
        <v>46.22</v>
      </c>
      <c r="S311">
        <v>42.86</v>
      </c>
      <c r="T311">
        <v>46.32</v>
      </c>
      <c r="W311" t="s">
        <v>78</v>
      </c>
      <c r="X311">
        <v>43</v>
      </c>
      <c r="Y311">
        <v>43.41</v>
      </c>
      <c r="Z311">
        <v>43.21</v>
      </c>
      <c r="AA311">
        <v>44.22</v>
      </c>
    </row>
    <row r="312" spans="1:27">
      <c r="I312" s="4"/>
      <c r="J312" s="4" t="s">
        <v>79</v>
      </c>
      <c r="K312" s="4">
        <v>18.96</v>
      </c>
      <c r="L312" s="4">
        <v>15.32</v>
      </c>
      <c r="M312" s="4">
        <v>18.63</v>
      </c>
      <c r="N312" s="4">
        <v>19.47</v>
      </c>
      <c r="P312" s="4"/>
      <c r="Q312" s="4" t="s">
        <v>79</v>
      </c>
      <c r="R312" s="4">
        <v>19.649999999999999</v>
      </c>
      <c r="S312" s="4">
        <v>15.89</v>
      </c>
      <c r="T312" s="4">
        <v>18.96</v>
      </c>
      <c r="U312" s="4"/>
      <c r="V312" s="4"/>
      <c r="W312" s="4" t="s">
        <v>79</v>
      </c>
      <c r="X312" s="4">
        <v>16.52</v>
      </c>
      <c r="Y312" s="4">
        <v>16.13</v>
      </c>
      <c r="Z312" s="4">
        <v>16.989999999999998</v>
      </c>
      <c r="AA312" s="4">
        <v>17.86</v>
      </c>
    </row>
    <row r="313" spans="1:27">
      <c r="A313" t="s">
        <v>21</v>
      </c>
      <c r="B313" t="s">
        <v>63</v>
      </c>
      <c r="J313" t="s">
        <v>7</v>
      </c>
      <c r="K313">
        <v>2.5299999999999998</v>
      </c>
      <c r="L313">
        <v>1.95</v>
      </c>
      <c r="M313">
        <v>2.63</v>
      </c>
      <c r="N313">
        <v>2.46</v>
      </c>
      <c r="Q313" t="s">
        <v>7</v>
      </c>
      <c r="R313">
        <v>2.61</v>
      </c>
      <c r="S313">
        <v>1.99</v>
      </c>
      <c r="T313">
        <v>2.4300000000000002</v>
      </c>
      <c r="W313" t="s">
        <v>7</v>
      </c>
      <c r="X313">
        <v>1.96</v>
      </c>
      <c r="Y313">
        <v>2.06</v>
      </c>
      <c r="Z313">
        <v>1.99</v>
      </c>
      <c r="AA313">
        <v>2.15</v>
      </c>
    </row>
    <row r="314" spans="1:27">
      <c r="A314" t="s">
        <v>14</v>
      </c>
      <c r="B314">
        <f>3830/4000</f>
        <v>0.95750000000000002</v>
      </c>
      <c r="J314" t="s">
        <v>6</v>
      </c>
      <c r="K314">
        <v>0</v>
      </c>
      <c r="L314">
        <v>0</v>
      </c>
      <c r="M314">
        <v>0</v>
      </c>
      <c r="N314">
        <v>0</v>
      </c>
      <c r="Q314" t="s">
        <v>6</v>
      </c>
      <c r="R314">
        <v>0</v>
      </c>
      <c r="S314">
        <v>0</v>
      </c>
      <c r="T314">
        <v>0</v>
      </c>
      <c r="W314" t="s">
        <v>6</v>
      </c>
      <c r="X314">
        <v>0</v>
      </c>
      <c r="Y314">
        <v>0</v>
      </c>
      <c r="Z314">
        <v>0</v>
      </c>
      <c r="AA314">
        <v>0</v>
      </c>
    </row>
    <row r="315" spans="1:27">
      <c r="A315" t="s">
        <v>18</v>
      </c>
      <c r="B315">
        <v>13992</v>
      </c>
      <c r="C315">
        <v>34558</v>
      </c>
      <c r="D315">
        <v>15218</v>
      </c>
      <c r="E315">
        <v>42055</v>
      </c>
    </row>
    <row r="316" spans="1:27">
      <c r="A316" t="s">
        <v>16</v>
      </c>
      <c r="B316">
        <f>B315*100/(1000*1000)</f>
        <v>1.3992</v>
      </c>
      <c r="C316">
        <f>C315*100/(3400*1000)</f>
        <v>1.0164117647058823</v>
      </c>
      <c r="D316">
        <f>D315*100/(800*1000)</f>
        <v>1.90225</v>
      </c>
      <c r="E316">
        <f>E315*100/(3800*1000)</f>
        <v>1.1067105263157895</v>
      </c>
    </row>
    <row r="318" spans="1:27">
      <c r="A318" t="s">
        <v>21</v>
      </c>
      <c r="B318" s="5" t="s">
        <v>65</v>
      </c>
      <c r="C318" s="5"/>
      <c r="D318" s="5"/>
      <c r="E318" s="5"/>
    </row>
    <row r="319" spans="1:27">
      <c r="A319" t="s">
        <v>14</v>
      </c>
      <c r="B319">
        <f>3389/4000</f>
        <v>0.84724999999999995</v>
      </c>
      <c r="H319" t="s">
        <v>121</v>
      </c>
      <c r="I319" t="s">
        <v>22</v>
      </c>
      <c r="J319" t="s">
        <v>23</v>
      </c>
      <c r="K319" t="s">
        <v>122</v>
      </c>
    </row>
    <row r="320" spans="1:27">
      <c r="A320" t="s">
        <v>18</v>
      </c>
      <c r="B320">
        <v>60179</v>
      </c>
      <c r="C320">
        <v>203561</v>
      </c>
      <c r="D320">
        <v>46679</v>
      </c>
      <c r="E320">
        <v>184234</v>
      </c>
      <c r="H320">
        <v>4</v>
      </c>
      <c r="I320">
        <v>0.86</v>
      </c>
      <c r="J320">
        <v>1.89</v>
      </c>
      <c r="K320">
        <v>9.4700000000000006</v>
      </c>
    </row>
    <row r="321" spans="1:11">
      <c r="A321" t="s">
        <v>16</v>
      </c>
      <c r="B321">
        <f>B320*100/(1000*1000)</f>
        <v>6.0179</v>
      </c>
      <c r="C321">
        <f>C320*100/(3400*1000)</f>
        <v>5.9870882352941175</v>
      </c>
      <c r="D321">
        <f>D320*100/(800*1000)</f>
        <v>5.8348750000000003</v>
      </c>
      <c r="E321">
        <f>E320*100/(3800*1000)</f>
        <v>4.8482631578947366</v>
      </c>
      <c r="H321">
        <v>8</v>
      </c>
      <c r="I321">
        <v>0.33</v>
      </c>
      <c r="J321">
        <v>0.52</v>
      </c>
      <c r="K321">
        <v>4.45</v>
      </c>
    </row>
    <row r="322" spans="1:11">
      <c r="H322">
        <v>12</v>
      </c>
      <c r="I322">
        <v>0</v>
      </c>
      <c r="J322">
        <v>0.05</v>
      </c>
      <c r="K322">
        <v>1.89</v>
      </c>
    </row>
    <row r="323" spans="1:11">
      <c r="A323" t="s">
        <v>68</v>
      </c>
      <c r="B323" t="s">
        <v>66</v>
      </c>
      <c r="H323">
        <v>16</v>
      </c>
      <c r="I323">
        <v>0</v>
      </c>
      <c r="J323">
        <v>0</v>
      </c>
      <c r="K323">
        <v>0.74</v>
      </c>
    </row>
    <row r="324" spans="1:11">
      <c r="A324" t="s">
        <v>14</v>
      </c>
      <c r="B324">
        <f>3997/4000</f>
        <v>0.99924999999999997</v>
      </c>
      <c r="H324">
        <v>20</v>
      </c>
      <c r="I324">
        <v>0</v>
      </c>
      <c r="J324">
        <v>0</v>
      </c>
      <c r="K324">
        <v>0.08</v>
      </c>
    </row>
    <row r="325" spans="1:11">
      <c r="A325" t="s">
        <v>18</v>
      </c>
      <c r="B325">
        <v>0</v>
      </c>
      <c r="C325">
        <v>0</v>
      </c>
      <c r="D325">
        <v>0</v>
      </c>
      <c r="E325">
        <v>0</v>
      </c>
    </row>
    <row r="326" spans="1:11">
      <c r="A326" t="s">
        <v>16</v>
      </c>
      <c r="B326">
        <f>B325*100/(1000*1000)</f>
        <v>0</v>
      </c>
      <c r="C326">
        <f>C325*100/(3400*1000)</f>
        <v>0</v>
      </c>
      <c r="D326">
        <f>D325*100/(800*1000)</f>
        <v>0</v>
      </c>
      <c r="E326">
        <f>E325*100/(3800*1000)</f>
        <v>0</v>
      </c>
      <c r="F326" t="s">
        <v>112</v>
      </c>
    </row>
    <row r="327" spans="1:11">
      <c r="A327" t="s">
        <v>68</v>
      </c>
      <c r="B327" t="s">
        <v>17</v>
      </c>
    </row>
    <row r="328" spans="1:11">
      <c r="A328" t="s">
        <v>14</v>
      </c>
      <c r="B328">
        <f>3965/4000</f>
        <v>0.99124999999999996</v>
      </c>
    </row>
    <row r="329" spans="1:11">
      <c r="A329" t="s">
        <v>18</v>
      </c>
      <c r="B329">
        <v>0</v>
      </c>
      <c r="C329">
        <v>3</v>
      </c>
      <c r="D329">
        <v>0</v>
      </c>
      <c r="E329">
        <v>0</v>
      </c>
    </row>
    <row r="330" spans="1:11">
      <c r="A330" t="s">
        <v>16</v>
      </c>
      <c r="B330">
        <f>B329*100/(1000*1000)</f>
        <v>0</v>
      </c>
      <c r="C330">
        <f>C329*100/(3400*1000)</f>
        <v>8.8235294117647065E-5</v>
      </c>
      <c r="D330">
        <f>D329*100/(800*1000)</f>
        <v>0</v>
      </c>
      <c r="E330">
        <f>E329*100/(3800*1000)</f>
        <v>0</v>
      </c>
    </row>
    <row r="331" spans="1:11">
      <c r="A331" t="s">
        <v>68</v>
      </c>
      <c r="B331" t="s">
        <v>64</v>
      </c>
    </row>
    <row r="332" spans="1:11">
      <c r="A332" t="s">
        <v>14</v>
      </c>
      <c r="B332">
        <f>3996/4000</f>
        <v>0.999</v>
      </c>
    </row>
    <row r="333" spans="1:11">
      <c r="A333" t="s">
        <v>18</v>
      </c>
      <c r="B333">
        <v>5917</v>
      </c>
      <c r="C333">
        <v>18012</v>
      </c>
      <c r="D333">
        <v>6416</v>
      </c>
      <c r="E333">
        <v>15332</v>
      </c>
    </row>
    <row r="334" spans="1:11">
      <c r="A334" t="s">
        <v>16</v>
      </c>
      <c r="B334">
        <f>B333*100/(1000*1000)</f>
        <v>0.5917</v>
      </c>
      <c r="C334">
        <f>C333*100/(3400*1000)</f>
        <v>0.52976470588235292</v>
      </c>
      <c r="D334">
        <f>D333*100/(800*1000)</f>
        <v>0.80200000000000005</v>
      </c>
      <c r="E334">
        <f>E333*100/(3800*1000)</f>
        <v>0.40347368421052632</v>
      </c>
    </row>
    <row r="335" spans="1:11">
      <c r="A335" t="s">
        <v>68</v>
      </c>
      <c r="B335" t="s">
        <v>63</v>
      </c>
    </row>
    <row r="336" spans="1:11">
      <c r="A336" t="s">
        <v>14</v>
      </c>
      <c r="B336">
        <f>3752/4000</f>
        <v>0.93799999999999994</v>
      </c>
    </row>
    <row r="337" spans="1:5">
      <c r="A337" t="s">
        <v>18</v>
      </c>
      <c r="B337">
        <v>18442</v>
      </c>
      <c r="C337">
        <v>44403</v>
      </c>
      <c r="D337">
        <v>18700</v>
      </c>
      <c r="E337">
        <v>56562</v>
      </c>
    </row>
    <row r="338" spans="1:5">
      <c r="A338" t="s">
        <v>16</v>
      </c>
      <c r="B338">
        <f>B337*100/(1000*1000)</f>
        <v>1.8442000000000001</v>
      </c>
      <c r="C338">
        <f>C337*100/(3400*1000)</f>
        <v>1.3059705882352941</v>
      </c>
      <c r="D338">
        <f>D337*100/(800*1000)</f>
        <v>2.3374999999999999</v>
      </c>
      <c r="E338">
        <f>E337*100/(3800*1000)</f>
        <v>1.4884736842105264</v>
      </c>
    </row>
    <row r="339" spans="1:5">
      <c r="A339" t="s">
        <v>68</v>
      </c>
      <c r="B339" t="s">
        <v>65</v>
      </c>
    </row>
    <row r="340" spans="1:5">
      <c r="A340" t="s">
        <v>14</v>
      </c>
      <c r="B340">
        <f>3501/4000</f>
        <v>0.87524999999999997</v>
      </c>
    </row>
    <row r="341" spans="1:5">
      <c r="A341" t="s">
        <v>18</v>
      </c>
      <c r="B341">
        <v>107549</v>
      </c>
      <c r="C341">
        <v>336010</v>
      </c>
      <c r="D341">
        <v>77564</v>
      </c>
      <c r="E341">
        <v>267589</v>
      </c>
    </row>
    <row r="342" spans="1:5">
      <c r="A342" t="s">
        <v>16</v>
      </c>
      <c r="B342">
        <f>B341*100/(1000*1000)</f>
        <v>10.754899999999999</v>
      </c>
      <c r="C342">
        <f>C341*100/(3400*1000)</f>
        <v>9.8826470588235296</v>
      </c>
      <c r="D342">
        <f>D341*100/(800*1000)</f>
        <v>9.6954999999999991</v>
      </c>
      <c r="E342">
        <f>E341*100/(3800*1000)</f>
        <v>7.0418157894736844</v>
      </c>
    </row>
    <row r="344" spans="1:5">
      <c r="A344" t="s">
        <v>114</v>
      </c>
    </row>
    <row r="345" spans="1:5">
      <c r="A345" t="s">
        <v>20</v>
      </c>
      <c r="B345" t="s">
        <v>17</v>
      </c>
    </row>
    <row r="346" spans="1:5">
      <c r="A346" t="s">
        <v>12</v>
      </c>
      <c r="B346" s="1" t="s">
        <v>60</v>
      </c>
      <c r="C346" s="1" t="s">
        <v>61</v>
      </c>
      <c r="D346" s="1" t="s">
        <v>62</v>
      </c>
      <c r="E346" s="1"/>
    </row>
    <row r="347" spans="1:5">
      <c r="A347" t="s">
        <v>13</v>
      </c>
      <c r="B347">
        <f>12*0.375</f>
        <v>4.5</v>
      </c>
      <c r="C347">
        <f t="shared" ref="C347:D347" si="93">12*0.375</f>
        <v>4.5</v>
      </c>
      <c r="D347">
        <f t="shared" si="93"/>
        <v>4.5</v>
      </c>
    </row>
    <row r="348" spans="1:5">
      <c r="A348" t="s">
        <v>14</v>
      </c>
      <c r="B348">
        <f>3977/4000</f>
        <v>0.99424999999999997</v>
      </c>
    </row>
    <row r="349" spans="1:5">
      <c r="A349" t="s">
        <v>18</v>
      </c>
      <c r="B349">
        <f xml:space="preserve"> 0</f>
        <v>0</v>
      </c>
      <c r="C349">
        <f>0</f>
        <v>0</v>
      </c>
      <c r="D349">
        <f>0</f>
        <v>0</v>
      </c>
    </row>
    <row r="350" spans="1:5">
      <c r="A350" t="s">
        <v>16</v>
      </c>
      <c r="B350">
        <f>B349*100/(1000*1000)</f>
        <v>0</v>
      </c>
      <c r="C350">
        <f>C349*100/(3000*1000)</f>
        <v>0</v>
      </c>
      <c r="D350">
        <f>D349*100/(1200*1000)</f>
        <v>0</v>
      </c>
    </row>
    <row r="352" spans="1:5">
      <c r="A352" t="s">
        <v>20</v>
      </c>
      <c r="B352" t="s">
        <v>64</v>
      </c>
    </row>
    <row r="353" spans="1:5">
      <c r="A353" t="s">
        <v>14</v>
      </c>
      <c r="B353">
        <f>3974/4000</f>
        <v>0.99350000000000005</v>
      </c>
    </row>
    <row r="354" spans="1:5">
      <c r="A354" t="s">
        <v>18</v>
      </c>
      <c r="B354">
        <v>35</v>
      </c>
      <c r="C354">
        <v>0</v>
      </c>
      <c r="D354">
        <v>36</v>
      </c>
    </row>
    <row r="355" spans="1:5">
      <c r="A355" t="s">
        <v>16</v>
      </c>
      <c r="B355">
        <f>B354*100/(1000*1000)</f>
        <v>3.5000000000000001E-3</v>
      </c>
      <c r="C355">
        <f>C354*100/(3000*1000)</f>
        <v>0</v>
      </c>
      <c r="D355">
        <f>D354*100/(1200*1000)</f>
        <v>3.0000000000000001E-3</v>
      </c>
    </row>
    <row r="356" spans="1:5">
      <c r="A356" t="s">
        <v>20</v>
      </c>
      <c r="B356" t="s">
        <v>63</v>
      </c>
    </row>
    <row r="357" spans="1:5">
      <c r="A357" t="s">
        <v>14</v>
      </c>
      <c r="B357">
        <f>3782/4000</f>
        <v>0.94550000000000001</v>
      </c>
      <c r="E357" s="1"/>
    </row>
    <row r="358" spans="1:5">
      <c r="A358" t="s">
        <v>18</v>
      </c>
      <c r="B358">
        <v>3528</v>
      </c>
      <c r="C358">
        <v>16123</v>
      </c>
      <c r="D358">
        <v>6286</v>
      </c>
    </row>
    <row r="359" spans="1:5">
      <c r="A359" t="s">
        <v>16</v>
      </c>
      <c r="B359">
        <f>B358*100/(1000*1000)</f>
        <v>0.3528</v>
      </c>
      <c r="C359">
        <f>C358*100/(3000*1000)</f>
        <v>0.53743333333333332</v>
      </c>
      <c r="D359">
        <f>D358*100/(1200*1000)</f>
        <v>0.52383333333333337</v>
      </c>
    </row>
    <row r="363" spans="1:5">
      <c r="A363" t="s">
        <v>20</v>
      </c>
      <c r="B363" t="s">
        <v>65</v>
      </c>
    </row>
    <row r="364" spans="1:5">
      <c r="A364" t="s">
        <v>14</v>
      </c>
      <c r="B364">
        <f>3428/4000</f>
        <v>0.85699999999999998</v>
      </c>
    </row>
    <row r="365" spans="1:5">
      <c r="A365" t="s">
        <v>18</v>
      </c>
      <c r="B365">
        <v>12064</v>
      </c>
      <c r="C365">
        <v>33443</v>
      </c>
      <c r="D365">
        <v>11528</v>
      </c>
    </row>
    <row r="366" spans="1:5">
      <c r="A366" t="s">
        <v>16</v>
      </c>
      <c r="B366">
        <f>B365*100/(1000*1000)</f>
        <v>1.2063999999999999</v>
      </c>
      <c r="C366">
        <f>C365*100/(3000*1000)</f>
        <v>1.1147666666666667</v>
      </c>
      <c r="D366">
        <f>D365*100/(1200*1000)</f>
        <v>0.96066666666666667</v>
      </c>
    </row>
    <row r="367" spans="1:5">
      <c r="A367" t="s">
        <v>67</v>
      </c>
      <c r="B367" t="s">
        <v>66</v>
      </c>
    </row>
    <row r="368" spans="1:5">
      <c r="A368" t="s">
        <v>14</v>
      </c>
      <c r="B368">
        <f>3998/4000</f>
        <v>0.99950000000000006</v>
      </c>
    </row>
    <row r="369" spans="1:5">
      <c r="A369" t="s">
        <v>18</v>
      </c>
      <c r="B369">
        <v>0</v>
      </c>
      <c r="C369">
        <v>0</v>
      </c>
      <c r="D369">
        <v>0</v>
      </c>
    </row>
    <row r="370" spans="1:5">
      <c r="A370" t="s">
        <v>16</v>
      </c>
      <c r="B370">
        <f>B369*100/(1000*1000)</f>
        <v>0</v>
      </c>
      <c r="C370">
        <f>C369*100/(3000*1000)</f>
        <v>0</v>
      </c>
      <c r="D370">
        <f>D369*100/(1200*1000)</f>
        <v>0</v>
      </c>
    </row>
    <row r="371" spans="1:5">
      <c r="A371" t="s">
        <v>67</v>
      </c>
      <c r="B371" t="s">
        <v>17</v>
      </c>
    </row>
    <row r="372" spans="1:5">
      <c r="A372" t="s">
        <v>14</v>
      </c>
      <c r="B372">
        <f>3965/4000</f>
        <v>0.99124999999999996</v>
      </c>
    </row>
    <row r="373" spans="1:5">
      <c r="A373" t="s">
        <v>18</v>
      </c>
      <c r="B373">
        <v>0</v>
      </c>
      <c r="C373">
        <v>0</v>
      </c>
      <c r="D373">
        <v>0</v>
      </c>
    </row>
    <row r="374" spans="1:5">
      <c r="A374" t="s">
        <v>16</v>
      </c>
      <c r="B374">
        <f>B373*100/(1000*1000)</f>
        <v>0</v>
      </c>
      <c r="C374">
        <f>C373*100/(3000*1000)</f>
        <v>0</v>
      </c>
      <c r="D374">
        <f>D373*100/(1200*1000)</f>
        <v>0</v>
      </c>
    </row>
    <row r="375" spans="1:5">
      <c r="A375" t="s">
        <v>67</v>
      </c>
      <c r="B375" t="s">
        <v>64</v>
      </c>
    </row>
    <row r="376" spans="1:5">
      <c r="A376" t="s">
        <v>14</v>
      </c>
      <c r="B376">
        <f>3996/4000</f>
        <v>0.999</v>
      </c>
    </row>
    <row r="377" spans="1:5">
      <c r="A377" t="s">
        <v>18</v>
      </c>
      <c r="B377">
        <v>0</v>
      </c>
      <c r="C377">
        <v>0</v>
      </c>
      <c r="D377">
        <v>0</v>
      </c>
    </row>
    <row r="378" spans="1:5">
      <c r="A378" t="s">
        <v>16</v>
      </c>
      <c r="B378">
        <f>B377*100/(1000*1000)</f>
        <v>0</v>
      </c>
      <c r="C378">
        <f>C377*100/(3000*1000)</f>
        <v>0</v>
      </c>
      <c r="D378">
        <f>D377*100/(1200*1000)</f>
        <v>0</v>
      </c>
    </row>
    <row r="379" spans="1:5">
      <c r="A379" t="s">
        <v>67</v>
      </c>
      <c r="B379" t="s">
        <v>63</v>
      </c>
    </row>
    <row r="380" spans="1:5">
      <c r="A380" t="s">
        <v>14</v>
      </c>
      <c r="B380">
        <f>3724/4000</f>
        <v>0.93100000000000005</v>
      </c>
    </row>
    <row r="381" spans="1:5">
      <c r="A381" t="s">
        <v>18</v>
      </c>
      <c r="B381">
        <v>6314</v>
      </c>
      <c r="C381">
        <v>16416</v>
      </c>
      <c r="D381">
        <v>5670</v>
      </c>
    </row>
    <row r="382" spans="1:5">
      <c r="A382" t="s">
        <v>16</v>
      </c>
      <c r="B382">
        <f>B381*100/(1000*1000)</f>
        <v>0.63139999999999996</v>
      </c>
      <c r="C382">
        <f>C381*100/(3000*1000)</f>
        <v>0.54720000000000002</v>
      </c>
      <c r="D382">
        <f>D381*100/(1200*1000)</f>
        <v>0.47249999999999998</v>
      </c>
    </row>
    <row r="383" spans="1:5">
      <c r="A383" s="5" t="s">
        <v>67</v>
      </c>
      <c r="B383" s="5" t="s">
        <v>65</v>
      </c>
      <c r="C383" s="5"/>
      <c r="D383" s="5"/>
      <c r="E383" s="5"/>
    </row>
    <row r="384" spans="1:5">
      <c r="A384" t="s">
        <v>14</v>
      </c>
      <c r="B384">
        <f>3478/4000</f>
        <v>0.86950000000000005</v>
      </c>
    </row>
    <row r="385" spans="1:5">
      <c r="A385" t="s">
        <v>18</v>
      </c>
      <c r="B385">
        <v>16684</v>
      </c>
      <c r="C385">
        <v>31285</v>
      </c>
      <c r="D385">
        <v>14306</v>
      </c>
    </row>
    <row r="386" spans="1:5">
      <c r="A386" t="s">
        <v>16</v>
      </c>
      <c r="B386">
        <f>B385*100/(1000*1000)</f>
        <v>1.6684000000000001</v>
      </c>
      <c r="C386">
        <f>C385*100/(3000*1000)</f>
        <v>1.0428333333333333</v>
      </c>
      <c r="D386">
        <f>D385*100/(1200*1000)</f>
        <v>1.1921666666666666</v>
      </c>
    </row>
    <row r="387" spans="1:5">
      <c r="A387" t="s">
        <v>21</v>
      </c>
      <c r="B387" s="5" t="s">
        <v>66</v>
      </c>
      <c r="C387" s="5"/>
      <c r="D387" s="5"/>
      <c r="E387" s="5"/>
    </row>
    <row r="388" spans="1:5">
      <c r="A388" t="s">
        <v>14</v>
      </c>
      <c r="B388">
        <f>3999/4000</f>
        <v>0.99975000000000003</v>
      </c>
    </row>
    <row r="389" spans="1:5">
      <c r="A389" t="s">
        <v>18</v>
      </c>
      <c r="B389">
        <v>0</v>
      </c>
      <c r="C389">
        <v>0</v>
      </c>
      <c r="D389">
        <v>0</v>
      </c>
    </row>
    <row r="391" spans="1:5">
      <c r="A391" t="s">
        <v>21</v>
      </c>
      <c r="B391" s="5" t="s">
        <v>17</v>
      </c>
      <c r="C391" s="5"/>
      <c r="D391" s="5"/>
      <c r="E391" s="5"/>
    </row>
    <row r="392" spans="1:5">
      <c r="A392" t="s">
        <v>14</v>
      </c>
      <c r="B392">
        <f>3988/4000</f>
        <v>0.997</v>
      </c>
    </row>
    <row r="393" spans="1:5">
      <c r="A393" t="s">
        <v>18</v>
      </c>
      <c r="B393">
        <v>0</v>
      </c>
      <c r="C393">
        <v>0</v>
      </c>
      <c r="D393">
        <v>0</v>
      </c>
    </row>
    <row r="394" spans="1:5">
      <c r="A394" t="s">
        <v>16</v>
      </c>
      <c r="B394">
        <f>B393*100/(1000*1000)</f>
        <v>0</v>
      </c>
      <c r="C394">
        <f>C393*100/(3000*1000)</f>
        <v>0</v>
      </c>
      <c r="D394">
        <f>D393*100/(1200*1000)</f>
        <v>0</v>
      </c>
    </row>
    <row r="395" spans="1:5">
      <c r="A395" t="s">
        <v>21</v>
      </c>
      <c r="B395" t="s">
        <v>64</v>
      </c>
    </row>
    <row r="396" spans="1:5">
      <c r="A396" t="s">
        <v>14</v>
      </c>
      <c r="B396">
        <f>3917/4000</f>
        <v>0.97924999999999995</v>
      </c>
    </row>
    <row r="397" spans="1:5">
      <c r="A397" t="s">
        <v>18</v>
      </c>
      <c r="B397">
        <v>7465</v>
      </c>
      <c r="C397">
        <v>12743</v>
      </c>
      <c r="D397">
        <v>6884</v>
      </c>
    </row>
    <row r="398" spans="1:5">
      <c r="A398" t="s">
        <v>16</v>
      </c>
      <c r="B398">
        <f>B397*100/(1000*1000)</f>
        <v>0.74650000000000005</v>
      </c>
      <c r="C398">
        <f>C397*100/(3000*1000)</f>
        <v>0.42476666666666668</v>
      </c>
      <c r="D398">
        <f>D397*100/(1200*1000)</f>
        <v>0.57366666666666666</v>
      </c>
    </row>
    <row r="400" spans="1:5">
      <c r="A400" t="s">
        <v>21</v>
      </c>
      <c r="B400" t="s">
        <v>63</v>
      </c>
    </row>
    <row r="401" spans="1:5">
      <c r="A401" t="s">
        <v>14</v>
      </c>
      <c r="B401">
        <f>3785/4000</f>
        <v>0.94625000000000004</v>
      </c>
    </row>
    <row r="402" spans="1:5">
      <c r="A402" t="s">
        <v>18</v>
      </c>
      <c r="B402">
        <v>11949</v>
      </c>
      <c r="C402">
        <v>32281</v>
      </c>
      <c r="D402">
        <v>19009</v>
      </c>
    </row>
    <row r="403" spans="1:5">
      <c r="A403" t="s">
        <v>16</v>
      </c>
      <c r="B403">
        <f>B402*100/(1000*1000)</f>
        <v>1.1949000000000001</v>
      </c>
      <c r="C403">
        <f>C402*100/(3000*1000)</f>
        <v>1.0760333333333334</v>
      </c>
      <c r="D403">
        <f>D402*100/(1200*1000)</f>
        <v>1.5840833333333333</v>
      </c>
    </row>
    <row r="405" spans="1:5">
      <c r="A405" t="s">
        <v>21</v>
      </c>
      <c r="B405" s="5" t="s">
        <v>65</v>
      </c>
      <c r="C405" s="5"/>
      <c r="D405" s="5"/>
      <c r="E405" s="5"/>
    </row>
    <row r="406" spans="1:5">
      <c r="A406" t="s">
        <v>14</v>
      </c>
      <c r="B406">
        <f>3411/4000</f>
        <v>0.85275000000000001</v>
      </c>
    </row>
    <row r="407" spans="1:5">
      <c r="A407" t="s">
        <v>18</v>
      </c>
      <c r="B407">
        <v>68266</v>
      </c>
      <c r="C407">
        <v>162245</v>
      </c>
      <c r="D407">
        <v>79992</v>
      </c>
    </row>
    <row r="408" spans="1:5">
      <c r="A408" t="s">
        <v>16</v>
      </c>
      <c r="B408">
        <f>B407*100/(1000*1000)</f>
        <v>6.8266</v>
      </c>
      <c r="C408">
        <f>C407*100/(3000*1000)</f>
        <v>5.4081666666666663</v>
      </c>
      <c r="D408">
        <f>D407*100/(1200*1000)</f>
        <v>6.6660000000000004</v>
      </c>
    </row>
    <row r="410" spans="1:5">
      <c r="A410" t="s">
        <v>68</v>
      </c>
      <c r="B410" t="s">
        <v>66</v>
      </c>
    </row>
    <row r="411" spans="1:5">
      <c r="A411" t="s">
        <v>14</v>
      </c>
      <c r="B411">
        <f>3997/4000</f>
        <v>0.99924999999999997</v>
      </c>
    </row>
    <row r="412" spans="1:5">
      <c r="A412" t="s">
        <v>18</v>
      </c>
      <c r="B412">
        <v>0</v>
      </c>
      <c r="C412">
        <v>0</v>
      </c>
      <c r="D412">
        <v>0</v>
      </c>
    </row>
    <row r="413" spans="1:5">
      <c r="A413" t="s">
        <v>16</v>
      </c>
      <c r="B413">
        <f>B412*100/(1000*1000)</f>
        <v>0</v>
      </c>
      <c r="C413">
        <f>C412*100/(3400*1000)</f>
        <v>0</v>
      </c>
      <c r="D413">
        <f>D412*100/(1200*1000)</f>
        <v>0</v>
      </c>
    </row>
    <row r="414" spans="1:5">
      <c r="A414" t="s">
        <v>68</v>
      </c>
      <c r="B414" t="s">
        <v>17</v>
      </c>
    </row>
    <row r="415" spans="1:5">
      <c r="A415" t="s">
        <v>14</v>
      </c>
      <c r="B415">
        <f>3965/4000</f>
        <v>0.99124999999999996</v>
      </c>
    </row>
    <row r="416" spans="1:5">
      <c r="A416" t="s">
        <v>18</v>
      </c>
      <c r="B416">
        <v>0</v>
      </c>
      <c r="C416">
        <v>3</v>
      </c>
      <c r="D416">
        <v>0</v>
      </c>
    </row>
    <row r="417" spans="1:4">
      <c r="A417" t="s">
        <v>16</v>
      </c>
      <c r="B417">
        <f>B416*100/(1000*1000)</f>
        <v>0</v>
      </c>
      <c r="C417">
        <f>C416*100/(3000*1000)</f>
        <v>1E-4</v>
      </c>
      <c r="D417">
        <f>D416*100/(1200*1000)</f>
        <v>0</v>
      </c>
    </row>
    <row r="418" spans="1:4">
      <c r="A418" t="s">
        <v>68</v>
      </c>
      <c r="B418" t="s">
        <v>64</v>
      </c>
    </row>
    <row r="419" spans="1:4">
      <c r="A419" t="s">
        <v>14</v>
      </c>
      <c r="B419">
        <f>3996/4000</f>
        <v>0.999</v>
      </c>
    </row>
    <row r="420" spans="1:4">
      <c r="A420" t="s">
        <v>18</v>
      </c>
      <c r="B420">
        <v>7522</v>
      </c>
      <c r="C420">
        <v>17265</v>
      </c>
      <c r="D420">
        <v>8863</v>
      </c>
    </row>
    <row r="421" spans="1:4">
      <c r="A421" t="s">
        <v>16</v>
      </c>
      <c r="B421">
        <f>B420*100/(1000*1000)</f>
        <v>0.75219999999999998</v>
      </c>
      <c r="C421">
        <f>C420*100/(3000*1000)</f>
        <v>0.57550000000000001</v>
      </c>
      <c r="D421">
        <f>D420*100/(1200*1000)</f>
        <v>0.73858333333333337</v>
      </c>
    </row>
    <row r="422" spans="1:4">
      <c r="A422" t="s">
        <v>68</v>
      </c>
      <c r="B422" t="s">
        <v>63</v>
      </c>
    </row>
    <row r="423" spans="1:4">
      <c r="A423" t="s">
        <v>14</v>
      </c>
      <c r="B423">
        <f>3766/4000</f>
        <v>0.9415</v>
      </c>
    </row>
    <row r="424" spans="1:4">
      <c r="A424" t="s">
        <v>18</v>
      </c>
      <c r="B424">
        <v>13829</v>
      </c>
      <c r="C424">
        <v>34760</v>
      </c>
      <c r="D424">
        <v>19234</v>
      </c>
    </row>
    <row r="425" spans="1:4">
      <c r="A425" t="s">
        <v>16</v>
      </c>
      <c r="B425">
        <f>B424*100/(1000*1000)</f>
        <v>1.3829</v>
      </c>
      <c r="C425">
        <f>C424*100/(3000*1000)</f>
        <v>1.1586666666666667</v>
      </c>
      <c r="D425">
        <f>D424*100/(1200*1000)</f>
        <v>1.6028333333333333</v>
      </c>
    </row>
    <row r="426" spans="1:4">
      <c r="A426" t="s">
        <v>68</v>
      </c>
      <c r="B426" t="s">
        <v>65</v>
      </c>
    </row>
    <row r="427" spans="1:4">
      <c r="A427" t="s">
        <v>14</v>
      </c>
      <c r="B427">
        <f>3489/4000</f>
        <v>0.87224999999999997</v>
      </c>
    </row>
    <row r="428" spans="1:4">
      <c r="A428" t="s">
        <v>18</v>
      </c>
      <c r="B428">
        <v>131203</v>
      </c>
      <c r="C428">
        <v>335355</v>
      </c>
      <c r="D428">
        <v>112294</v>
      </c>
    </row>
    <row r="429" spans="1:4">
      <c r="A429" t="s">
        <v>16</v>
      </c>
      <c r="B429">
        <f>B428*100/(1000*1000)</f>
        <v>13.1203</v>
      </c>
      <c r="C429">
        <f>C428*100/(3000*1000)</f>
        <v>11.1785</v>
      </c>
      <c r="D429">
        <f>D428*100/(1200*1000)</f>
        <v>9.3578333333333337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</dc:creator>
  <cp:lastModifiedBy>Ruirong Chen</cp:lastModifiedBy>
  <dcterms:created xsi:type="dcterms:W3CDTF">2021-02-04T17:54:42Z</dcterms:created>
  <dcterms:modified xsi:type="dcterms:W3CDTF">2022-04-27T03:54:20Z</dcterms:modified>
</cp:coreProperties>
</file>