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roject-GAME000/"/>
    </mc:Choice>
  </mc:AlternateContent>
  <xr:revisionPtr revIDLastSave="0" documentId="13_ncr:1_{278F28EA-7820-3E4F-88C8-C397E560FEE5}" xr6:coauthVersionLast="47" xr6:coauthVersionMax="47" xr10:uidLastSave="{00000000-0000-0000-0000-000000000000}"/>
  <bookViews>
    <workbookView xWindow="42320" yWindow="500" windowWidth="29400" windowHeight="16640" activeTab="4" xr2:uid="{1E62B096-205D-1A4D-A4E9-EFBBAB73C312}"/>
  </bookViews>
  <sheets>
    <sheet name="bg_0" sheetId="2" r:id="rId1"/>
    <sheet name="bg_1" sheetId="16" r:id="rId2"/>
    <sheet name="fg_0" sheetId="7" r:id="rId3"/>
    <sheet name="Winlines" sheetId="8" r:id="rId4"/>
    <sheet name="Paytable" sheetId="9" r:id="rId5"/>
    <sheet name="GameData" sheetId="15" r:id="rId6"/>
    <sheet name="Total Game" sheetId="14" r:id="rId7"/>
    <sheet name="bg_0 Calculation" sheetId="4" r:id="rId8"/>
    <sheet name="bg_1 Calculation" sheetId="17" r:id="rId9"/>
    <sheet name="Freegame Calculation" sheetId="5" r:id="rId10"/>
    <sheet name="Report Print" sheetId="11" r:id="rId11"/>
    <sheet name="Stats" sheetId="12" r:id="rId12"/>
    <sheet name="POV" sheetId="13" r:id="rId13"/>
  </sheets>
  <definedNames>
    <definedName name="setSelectBG">'Total Game'!$H$2:$I$4</definedName>
    <definedName name="setSelectFG">'Total Game'!$K$2:$K$4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4" l="1" a="1"/>
  <c r="I48" i="4" s="1"/>
  <c r="B17" i="4" l="1" a="1"/>
  <c r="B17" i="4" s="1"/>
  <c r="E3" i="4" a="1"/>
  <c r="E3" i="4" s="1"/>
  <c r="D3" i="4" a="1"/>
  <c r="D3" i="4" s="1"/>
  <c r="C3" i="4" a="1"/>
  <c r="C3" i="4" s="1"/>
  <c r="B16" i="17" a="1"/>
  <c r="E3" i="17" a="1"/>
  <c r="E3" i="17" s="1"/>
  <c r="D3" i="17" a="1"/>
  <c r="D3" i="17" s="1"/>
  <c r="C3" i="17"/>
  <c r="C3" i="17" a="1"/>
  <c r="K41" i="16"/>
  <c r="J41" i="16"/>
  <c r="I41" i="16"/>
  <c r="H41" i="16"/>
  <c r="G41" i="16"/>
  <c r="K40" i="16"/>
  <c r="J40" i="16"/>
  <c r="I40" i="16"/>
  <c r="H40" i="16"/>
  <c r="G40" i="16"/>
  <c r="K39" i="16"/>
  <c r="J39" i="16"/>
  <c r="I39" i="16"/>
  <c r="H39" i="16"/>
  <c r="G39" i="16"/>
  <c r="K38" i="16"/>
  <c r="J38" i="16"/>
  <c r="I38" i="16"/>
  <c r="H38" i="16"/>
  <c r="G38" i="16"/>
  <c r="K37" i="16"/>
  <c r="J37" i="16"/>
  <c r="I37" i="16"/>
  <c r="H37" i="16"/>
  <c r="G37" i="16"/>
  <c r="K36" i="16"/>
  <c r="J36" i="16"/>
  <c r="I36" i="16"/>
  <c r="H36" i="16"/>
  <c r="G36" i="16"/>
  <c r="K35" i="16"/>
  <c r="J35" i="16"/>
  <c r="I35" i="16"/>
  <c r="H35" i="16"/>
  <c r="G35" i="16"/>
  <c r="K34" i="16"/>
  <c r="J34" i="16"/>
  <c r="I34" i="16"/>
  <c r="H34" i="16"/>
  <c r="G34" i="16"/>
  <c r="K33" i="16"/>
  <c r="J33" i="16"/>
  <c r="I33" i="16"/>
  <c r="H33" i="16"/>
  <c r="G33" i="16"/>
  <c r="K32" i="16"/>
  <c r="J32" i="16"/>
  <c r="I32" i="16"/>
  <c r="H32" i="16"/>
  <c r="G32" i="16"/>
  <c r="K31" i="16"/>
  <c r="J31" i="16"/>
  <c r="I31" i="16"/>
  <c r="H31" i="16"/>
  <c r="G31" i="16"/>
  <c r="K30" i="16"/>
  <c r="J30" i="16"/>
  <c r="I30" i="16"/>
  <c r="H30" i="16"/>
  <c r="G30" i="16"/>
  <c r="K29" i="16"/>
  <c r="J29" i="16"/>
  <c r="I29" i="16"/>
  <c r="H29" i="16"/>
  <c r="G29" i="16"/>
  <c r="K28" i="16"/>
  <c r="J28" i="16"/>
  <c r="I28" i="16"/>
  <c r="H28" i="16"/>
  <c r="G28" i="16"/>
  <c r="K27" i="16"/>
  <c r="J27" i="16"/>
  <c r="I27" i="16"/>
  <c r="H27" i="16"/>
  <c r="G27" i="16"/>
  <c r="K26" i="16"/>
  <c r="J26" i="16"/>
  <c r="I26" i="16"/>
  <c r="H26" i="16"/>
  <c r="G26" i="16"/>
  <c r="K25" i="16"/>
  <c r="J25" i="16"/>
  <c r="I25" i="16"/>
  <c r="H25" i="16"/>
  <c r="G25" i="16"/>
  <c r="K24" i="16"/>
  <c r="J24" i="16"/>
  <c r="I24" i="16"/>
  <c r="H24" i="16"/>
  <c r="G24" i="16"/>
  <c r="K23" i="16"/>
  <c r="J23" i="16"/>
  <c r="I23" i="16"/>
  <c r="H23" i="16"/>
  <c r="G23" i="16"/>
  <c r="K22" i="16"/>
  <c r="J22" i="16"/>
  <c r="I22" i="16"/>
  <c r="H22" i="16"/>
  <c r="G22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18" i="16"/>
  <c r="J18" i="16"/>
  <c r="I18" i="16"/>
  <c r="H18" i="16"/>
  <c r="G18" i="16"/>
  <c r="K17" i="16"/>
  <c r="J17" i="16"/>
  <c r="I17" i="16"/>
  <c r="H17" i="16"/>
  <c r="G17" i="16"/>
  <c r="K16" i="16"/>
  <c r="J16" i="16"/>
  <c r="I16" i="16"/>
  <c r="H16" i="16"/>
  <c r="G16" i="16"/>
  <c r="K15" i="16"/>
  <c r="J15" i="16"/>
  <c r="I15" i="16"/>
  <c r="H15" i="16"/>
  <c r="G15" i="16"/>
  <c r="K14" i="16"/>
  <c r="J14" i="16"/>
  <c r="I14" i="16"/>
  <c r="H14" i="16"/>
  <c r="G14" i="16"/>
  <c r="K13" i="16"/>
  <c r="J13" i="16"/>
  <c r="I13" i="16"/>
  <c r="H13" i="16"/>
  <c r="G13" i="16"/>
  <c r="K12" i="16"/>
  <c r="J12" i="16"/>
  <c r="I12" i="16"/>
  <c r="H12" i="16"/>
  <c r="G12" i="16"/>
  <c r="K11" i="16"/>
  <c r="J11" i="16"/>
  <c r="I11" i="16"/>
  <c r="H11" i="16"/>
  <c r="G11" i="16"/>
  <c r="K10" i="16"/>
  <c r="J10" i="16"/>
  <c r="I10" i="16"/>
  <c r="H10" i="16"/>
  <c r="G10" i="16"/>
  <c r="K9" i="16"/>
  <c r="J9" i="16"/>
  <c r="I9" i="16"/>
  <c r="H9" i="16"/>
  <c r="G9" i="16"/>
  <c r="K8" i="16"/>
  <c r="J8" i="16"/>
  <c r="I8" i="16"/>
  <c r="H8" i="16"/>
  <c r="G8" i="16"/>
  <c r="K7" i="16"/>
  <c r="J7" i="16"/>
  <c r="I7" i="16"/>
  <c r="H7" i="16"/>
  <c r="G7" i="16"/>
  <c r="K6" i="16"/>
  <c r="J6" i="16"/>
  <c r="I6" i="16"/>
  <c r="H6" i="16"/>
  <c r="G6" i="16"/>
  <c r="K5" i="16"/>
  <c r="J5" i="16"/>
  <c r="I5" i="16"/>
  <c r="H5" i="16"/>
  <c r="G5" i="16"/>
  <c r="K4" i="16"/>
  <c r="J4" i="16"/>
  <c r="I4" i="16"/>
  <c r="H4" i="16"/>
  <c r="G4" i="16"/>
  <c r="K3" i="16"/>
  <c r="J3" i="16"/>
  <c r="I3" i="16"/>
  <c r="H3" i="16"/>
  <c r="G3" i="16"/>
  <c r="K2" i="16"/>
  <c r="J2" i="16"/>
  <c r="I2" i="16"/>
  <c r="H2" i="16"/>
  <c r="G2" i="16"/>
  <c r="B18" i="12"/>
  <c r="B19" i="12"/>
  <c r="B17" i="12"/>
  <c r="B10" i="12"/>
  <c r="B11" i="12"/>
  <c r="I3" i="12"/>
  <c r="I4" i="12"/>
  <c r="I2" i="12"/>
  <c r="B3" i="12"/>
  <c r="B5" i="12"/>
  <c r="B4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D18" i="17" l="1"/>
  <c r="G19" i="17"/>
  <c r="E21" i="17"/>
  <c r="C23" i="17"/>
  <c r="F24" i="17"/>
  <c r="E18" i="17"/>
  <c r="C20" i="17"/>
  <c r="F21" i="17"/>
  <c r="D23" i="17"/>
  <c r="G24" i="17"/>
  <c r="C17" i="17"/>
  <c r="F18" i="17"/>
  <c r="D20" i="17"/>
  <c r="G21" i="17"/>
  <c r="E23" i="17"/>
  <c r="C25" i="17"/>
  <c r="D17" i="17"/>
  <c r="G18" i="17"/>
  <c r="E20" i="17"/>
  <c r="C22" i="17"/>
  <c r="F23" i="17"/>
  <c r="D25" i="17"/>
  <c r="E17" i="17"/>
  <c r="C19" i="17"/>
  <c r="F20" i="17"/>
  <c r="D22" i="17"/>
  <c r="G23" i="17"/>
  <c r="E25" i="17"/>
  <c r="E24" i="17"/>
  <c r="G22" i="17"/>
  <c r="D21" i="17"/>
  <c r="F19" i="17"/>
  <c r="C18" i="17"/>
  <c r="G25" i="17"/>
  <c r="D24" i="17"/>
  <c r="F22" i="17"/>
  <c r="C21" i="17"/>
  <c r="E19" i="17"/>
  <c r="G17" i="17"/>
  <c r="F25" i="17"/>
  <c r="C24" i="17"/>
  <c r="E22" i="17"/>
  <c r="G20" i="17"/>
  <c r="D19" i="17"/>
  <c r="F17" i="17"/>
  <c r="K33" i="17"/>
  <c r="K31" i="17"/>
  <c r="L38" i="17"/>
  <c r="L36" i="17"/>
  <c r="L34" i="17"/>
  <c r="L32" i="17"/>
  <c r="O33" i="17"/>
  <c r="O31" i="17"/>
  <c r="L33" i="17"/>
  <c r="L31" i="17"/>
  <c r="L37" i="17"/>
  <c r="L35" i="17"/>
  <c r="B16" i="17"/>
  <c r="Q2" i="12"/>
  <c r="N2" i="12"/>
  <c r="K2" i="12" a="1"/>
  <c r="E16" i="17" l="1"/>
  <c r="E26" i="17" s="1"/>
  <c r="F16" i="17"/>
  <c r="F26" i="17" s="1"/>
  <c r="G16" i="17"/>
  <c r="G26" i="17" s="1"/>
  <c r="C16" i="17"/>
  <c r="D16" i="17"/>
  <c r="D26" i="17" s="1"/>
  <c r="B3" i="17" a="1"/>
  <c r="B3" i="17" s="1"/>
  <c r="B30" i="17" a="1"/>
  <c r="B30" i="17" s="1"/>
  <c r="B45" i="17" a="1"/>
  <c r="B45" i="17" s="1"/>
  <c r="I30" i="17" a="1"/>
  <c r="I30" i="17" s="1"/>
  <c r="C70" i="12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I32" i="4" a="1"/>
  <c r="I32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 a="1"/>
  <c r="C3" i="5" s="1"/>
  <c r="C36" i="17" l="1"/>
  <c r="C51" i="17" s="1"/>
  <c r="C26" i="4"/>
  <c r="C17" i="4"/>
  <c r="F26" i="4"/>
  <c r="C35" i="17"/>
  <c r="C50" i="17" s="1"/>
  <c r="E26" i="4"/>
  <c r="D26" i="4"/>
  <c r="K34" i="17"/>
  <c r="O34" i="17"/>
  <c r="K32" i="17"/>
  <c r="J31" i="17"/>
  <c r="M31" i="17" s="1"/>
  <c r="N31" i="17"/>
  <c r="P31" i="17" s="1"/>
  <c r="O32" i="17"/>
  <c r="Q31" i="17"/>
  <c r="R31" i="17" s="1"/>
  <c r="C32" i="17"/>
  <c r="C47" i="17" s="1"/>
  <c r="G26" i="4"/>
  <c r="E33" i="17"/>
  <c r="E48" i="17" s="1"/>
  <c r="E36" i="17"/>
  <c r="E51" i="17" s="1"/>
  <c r="E32" i="17"/>
  <c r="E47" i="17" s="1"/>
  <c r="D32" i="17"/>
  <c r="D47" i="17" s="1"/>
  <c r="D36" i="17"/>
  <c r="D51" i="17" s="1"/>
  <c r="D35" i="17"/>
  <c r="D50" i="17" s="1"/>
  <c r="D30" i="17"/>
  <c r="D45" i="17" s="1"/>
  <c r="C26" i="17"/>
  <c r="C30" i="17"/>
  <c r="D34" i="17"/>
  <c r="D49" i="17" s="1"/>
  <c r="E30" i="17"/>
  <c r="E45" i="17" s="1"/>
  <c r="E31" i="17"/>
  <c r="E46" i="17" s="1"/>
  <c r="N34" i="17"/>
  <c r="N37" i="17"/>
  <c r="Q35" i="17"/>
  <c r="R35" i="17" s="1"/>
  <c r="Q36" i="17"/>
  <c r="R36" i="17" s="1"/>
  <c r="J36" i="17"/>
  <c r="C37" i="17"/>
  <c r="C52" i="17" s="1"/>
  <c r="D31" i="17"/>
  <c r="D46" i="17" s="1"/>
  <c r="J35" i="17"/>
  <c r="D37" i="17"/>
  <c r="D52" i="17" s="1"/>
  <c r="K38" i="17"/>
  <c r="J37" i="17"/>
  <c r="N36" i="17"/>
  <c r="Q38" i="17"/>
  <c r="R38" i="17" s="1"/>
  <c r="J33" i="17"/>
  <c r="M33" i="17" s="1"/>
  <c r="C34" i="17"/>
  <c r="C49" i="17" s="1"/>
  <c r="N32" i="17"/>
  <c r="N35" i="17"/>
  <c r="Q33" i="17"/>
  <c r="R33" i="17" s="1"/>
  <c r="Q34" i="17"/>
  <c r="R34" i="17" s="1"/>
  <c r="K36" i="17"/>
  <c r="E34" i="17"/>
  <c r="E49" i="17" s="1"/>
  <c r="Q37" i="17"/>
  <c r="R37" i="17" s="1"/>
  <c r="J32" i="17"/>
  <c r="M32" i="17" s="1"/>
  <c r="E37" i="17"/>
  <c r="E52" i="17" s="1"/>
  <c r="N38" i="17"/>
  <c r="Q32" i="17"/>
  <c r="R32" i="17" s="1"/>
  <c r="K35" i="17"/>
  <c r="O36" i="17"/>
  <c r="O37" i="17"/>
  <c r="J38" i="17"/>
  <c r="O35" i="17"/>
  <c r="C31" i="17"/>
  <c r="C46" i="17" s="1"/>
  <c r="K37" i="17"/>
  <c r="O38" i="17"/>
  <c r="J34" i="17"/>
  <c r="N33" i="17"/>
  <c r="P33" i="17" s="1"/>
  <c r="E35" i="17"/>
  <c r="E50" i="17" s="1"/>
  <c r="E38" i="17"/>
  <c r="E53" i="17" s="1"/>
  <c r="C33" i="17"/>
  <c r="C48" i="17" s="1"/>
  <c r="D38" i="17"/>
  <c r="D53" i="17" s="1"/>
  <c r="D33" i="17"/>
  <c r="D48" i="17" s="1"/>
  <c r="C38" i="17"/>
  <c r="C53" i="17" s="1"/>
  <c r="B13" i="12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K34" i="5"/>
  <c r="K32" i="5"/>
  <c r="L37" i="5"/>
  <c r="L35" i="5"/>
  <c r="L33" i="5"/>
  <c r="O34" i="5"/>
  <c r="O32" i="5"/>
  <c r="L38" i="5"/>
  <c r="L36" i="5"/>
  <c r="L34" i="5"/>
  <c r="L32" i="5"/>
  <c r="L39" i="5"/>
  <c r="L35" i="4"/>
  <c r="L34" i="4"/>
  <c r="L33" i="4"/>
  <c r="L36" i="4"/>
  <c r="K33" i="4"/>
  <c r="K35" i="4"/>
  <c r="B3" i="4" a="1"/>
  <c r="B3" i="4" s="1"/>
  <c r="B48" i="4" a="1"/>
  <c r="B48" i="4" s="1"/>
  <c r="B32" i="4" a="1"/>
  <c r="B32" i="4" s="1"/>
  <c r="F48" i="12" a="1"/>
  <c r="F70" i="12" a="1"/>
  <c r="P32" i="17" l="1"/>
  <c r="M34" i="17"/>
  <c r="P34" i="17"/>
  <c r="M38" i="17"/>
  <c r="M37" i="17"/>
  <c r="M36" i="17"/>
  <c r="J5" i="17"/>
  <c r="C45" i="17"/>
  <c r="J3" i="17" s="1"/>
  <c r="P36" i="17"/>
  <c r="J4" i="17"/>
  <c r="J10" i="17"/>
  <c r="J11" i="17" s="1"/>
  <c r="P37" i="17"/>
  <c r="P38" i="17"/>
  <c r="P35" i="17"/>
  <c r="M35" i="17"/>
  <c r="F48" i="12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F26" i="5" s="1"/>
  <c r="G16" i="5"/>
  <c r="G26" i="5" s="1"/>
  <c r="E16" i="5"/>
  <c r="E26" i="5" s="1"/>
  <c r="D16" i="5"/>
  <c r="D26" i="5" s="1"/>
  <c r="B3" i="5" a="1"/>
  <c r="B3" i="5" s="1"/>
  <c r="B30" i="5" a="1"/>
  <c r="B30" i="5" s="1"/>
  <c r="I31" i="5" a="1"/>
  <c r="I31" i="5" s="1"/>
  <c r="B45" i="5" a="1"/>
  <c r="B45" i="5" s="1"/>
  <c r="L40" i="4"/>
  <c r="L39" i="4"/>
  <c r="L38" i="4"/>
  <c r="L37" i="4"/>
  <c r="F71" i="12" a="1"/>
  <c r="F49" i="12" a="1"/>
  <c r="F26" i="12" a="1"/>
  <c r="O35" i="5" l="1"/>
  <c r="K35" i="5"/>
  <c r="O33" i="5"/>
  <c r="K33" i="5"/>
  <c r="Q32" i="5"/>
  <c r="R32" i="5" s="1"/>
  <c r="N32" i="5"/>
  <c r="P32" i="5" s="1"/>
  <c r="J32" i="5"/>
  <c r="M32" i="5" s="1"/>
  <c r="J6" i="17"/>
  <c r="J4" i="14" s="1"/>
  <c r="F26" i="12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3" i="4"/>
  <c r="O35" i="4"/>
  <c r="F72" i="12" a="1"/>
  <c r="F27" i="12" a="1"/>
  <c r="F50" i="12" a="1"/>
  <c r="M35" i="5" l="1"/>
  <c r="F50" i="12"/>
  <c r="F72" i="12"/>
  <c r="F27" i="12"/>
  <c r="M37" i="5"/>
  <c r="G21" i="4"/>
  <c r="G19" i="4"/>
  <c r="G25" i="4"/>
  <c r="G20" i="4"/>
  <c r="G24" i="4"/>
  <c r="G23" i="4"/>
  <c r="G27" i="4"/>
  <c r="G22" i="4"/>
  <c r="G18" i="4"/>
  <c r="G17" i="4"/>
  <c r="F24" i="4"/>
  <c r="F19" i="4"/>
  <c r="F27" i="4"/>
  <c r="F23" i="4"/>
  <c r="F18" i="4"/>
  <c r="F22" i="4"/>
  <c r="F21" i="4"/>
  <c r="F25" i="4"/>
  <c r="F20" i="4"/>
  <c r="F17" i="4"/>
  <c r="E27" i="4"/>
  <c r="E22" i="4"/>
  <c r="E24" i="4"/>
  <c r="E19" i="4"/>
  <c r="E21" i="4"/>
  <c r="E17" i="4"/>
  <c r="E20" i="4"/>
  <c r="E23" i="4"/>
  <c r="E18" i="4"/>
  <c r="E25" i="4"/>
  <c r="D24" i="4"/>
  <c r="D19" i="4"/>
  <c r="D23" i="4"/>
  <c r="D27" i="4"/>
  <c r="D25" i="4"/>
  <c r="D20" i="4"/>
  <c r="D18" i="4"/>
  <c r="D17" i="4"/>
  <c r="D21" i="4"/>
  <c r="D22" i="4"/>
  <c r="C24" i="4"/>
  <c r="C19" i="4"/>
  <c r="C22" i="4"/>
  <c r="C23" i="4"/>
  <c r="C18" i="4"/>
  <c r="C25" i="4"/>
  <c r="C20" i="4"/>
  <c r="C27" i="4"/>
  <c r="C21" i="4"/>
  <c r="M39" i="5"/>
  <c r="M38" i="5"/>
  <c r="J5" i="5"/>
  <c r="C45" i="5"/>
  <c r="J3" i="5" s="1"/>
  <c r="M36" i="5"/>
  <c r="J4" i="5"/>
  <c r="P37" i="5"/>
  <c r="P39" i="5"/>
  <c r="P38" i="5"/>
  <c r="F51" i="12" a="1"/>
  <c r="F73" i="12" a="1"/>
  <c r="F28" i="12" a="1"/>
  <c r="M5" i="4" l="1"/>
  <c r="M4" i="4"/>
  <c r="M3" i="4"/>
  <c r="C41" i="4"/>
  <c r="J33" i="4"/>
  <c r="M33" i="4" s="1"/>
  <c r="K36" i="4"/>
  <c r="K34" i="4"/>
  <c r="F28" i="12"/>
  <c r="F73" i="12"/>
  <c r="F51" i="12"/>
  <c r="C35" i="4"/>
  <c r="D28" i="4"/>
  <c r="C33" i="4"/>
  <c r="C38" i="4"/>
  <c r="F28" i="4"/>
  <c r="C37" i="4"/>
  <c r="C40" i="4"/>
  <c r="E32" i="4"/>
  <c r="D32" i="4"/>
  <c r="J37" i="4"/>
  <c r="K38" i="4"/>
  <c r="J40" i="4"/>
  <c r="C32" i="4"/>
  <c r="J36" i="4"/>
  <c r="K37" i="4"/>
  <c r="J34" i="4"/>
  <c r="J39" i="4"/>
  <c r="C28" i="4"/>
  <c r="J35" i="4"/>
  <c r="M35" i="4" s="1"/>
  <c r="K39" i="4"/>
  <c r="K40" i="4"/>
  <c r="J38" i="4"/>
  <c r="C36" i="4"/>
  <c r="E28" i="4"/>
  <c r="G28" i="4"/>
  <c r="N38" i="4" s="1"/>
  <c r="C34" i="4"/>
  <c r="C39" i="4"/>
  <c r="J6" i="5"/>
  <c r="E4" i="14" s="1"/>
  <c r="F4" i="14" s="1"/>
  <c r="F74" i="12" a="1"/>
  <c r="F29" i="12" a="1"/>
  <c r="F52" i="12" a="1"/>
  <c r="D33" i="4" l="1"/>
  <c r="D63" i="4" s="1"/>
  <c r="M34" i="4"/>
  <c r="M36" i="4"/>
  <c r="D41" i="4"/>
  <c r="C57" i="4"/>
  <c r="J57" i="4" s="1"/>
  <c r="C71" i="4"/>
  <c r="D48" i="4"/>
  <c r="K48" i="4" s="1"/>
  <c r="D62" i="4"/>
  <c r="C51" i="4"/>
  <c r="C65" i="4"/>
  <c r="C56" i="4"/>
  <c r="J56" i="4" s="1"/>
  <c r="C70" i="4"/>
  <c r="C62" i="4"/>
  <c r="E33" i="4"/>
  <c r="N33" i="4"/>
  <c r="P33" i="4" s="1"/>
  <c r="C50" i="4"/>
  <c r="C64" i="4"/>
  <c r="E41" i="4"/>
  <c r="C52" i="4"/>
  <c r="C66" i="4"/>
  <c r="C53" i="4"/>
  <c r="C67" i="4"/>
  <c r="C54" i="4"/>
  <c r="C68" i="4"/>
  <c r="E48" i="4"/>
  <c r="L48" i="4" s="1"/>
  <c r="E62" i="4"/>
  <c r="C55" i="4"/>
  <c r="J55" i="4" s="1"/>
  <c r="C69" i="4"/>
  <c r="C49" i="4"/>
  <c r="C63" i="4"/>
  <c r="O36" i="4"/>
  <c r="O34" i="4"/>
  <c r="Q33" i="4"/>
  <c r="R33" i="4" s="1"/>
  <c r="M38" i="4"/>
  <c r="F52" i="12"/>
  <c r="F74" i="12"/>
  <c r="F29" i="12"/>
  <c r="M37" i="4"/>
  <c r="O39" i="4"/>
  <c r="O37" i="4"/>
  <c r="E35" i="4"/>
  <c r="Q38" i="4"/>
  <c r="R38" i="4" s="1"/>
  <c r="E34" i="4"/>
  <c r="N39" i="4"/>
  <c r="N37" i="4"/>
  <c r="D40" i="4"/>
  <c r="D49" i="4"/>
  <c r="Q35" i="4"/>
  <c r="R35" i="4" s="1"/>
  <c r="N36" i="4"/>
  <c r="D36" i="4"/>
  <c r="D35" i="4"/>
  <c r="C48" i="4"/>
  <c r="J48" i="4" s="1"/>
  <c r="E37" i="4"/>
  <c r="D38" i="4"/>
  <c r="Q40" i="4"/>
  <c r="R40" i="4" s="1"/>
  <c r="M40" i="4"/>
  <c r="D37" i="4"/>
  <c r="Q34" i="4"/>
  <c r="R34" i="4" s="1"/>
  <c r="D39" i="4"/>
  <c r="E36" i="4"/>
  <c r="Q39" i="4"/>
  <c r="R39" i="4" s="1"/>
  <c r="J10" i="4"/>
  <c r="J4" i="4"/>
  <c r="E39" i="4"/>
  <c r="N35" i="4"/>
  <c r="P35" i="4" s="1"/>
  <c r="N40" i="4"/>
  <c r="M39" i="4"/>
  <c r="O38" i="4"/>
  <c r="P38" i="4" s="1"/>
  <c r="Q37" i="4"/>
  <c r="R37" i="4" s="1"/>
  <c r="D34" i="4"/>
  <c r="O40" i="4"/>
  <c r="Q36" i="4"/>
  <c r="R36" i="4" s="1"/>
  <c r="N34" i="4"/>
  <c r="E40" i="4"/>
  <c r="E38" i="4"/>
  <c r="F30" i="12" a="1"/>
  <c r="F53" i="12" a="1"/>
  <c r="F75" i="12" a="1"/>
  <c r="P34" i="4" l="1"/>
  <c r="P36" i="4"/>
  <c r="D55" i="4"/>
  <c r="K55" i="4" s="1"/>
  <c r="D69" i="4"/>
  <c r="E57" i="4"/>
  <c r="L57" i="4" s="1"/>
  <c r="E71" i="4"/>
  <c r="D53" i="4"/>
  <c r="D67" i="4"/>
  <c r="D50" i="4"/>
  <c r="D64" i="4"/>
  <c r="D54" i="4"/>
  <c r="D68" i="4"/>
  <c r="D56" i="4"/>
  <c r="K56" i="4" s="1"/>
  <c r="D70" i="4"/>
  <c r="E49" i="4"/>
  <c r="E63" i="4"/>
  <c r="G64" i="4" s="1"/>
  <c r="E50" i="4"/>
  <c r="E64" i="4"/>
  <c r="D52" i="4"/>
  <c r="D66" i="4"/>
  <c r="E51" i="4"/>
  <c r="E65" i="4"/>
  <c r="E55" i="4"/>
  <c r="L55" i="4" s="1"/>
  <c r="E69" i="4"/>
  <c r="E54" i="4"/>
  <c r="E68" i="4"/>
  <c r="D51" i="4"/>
  <c r="D65" i="4"/>
  <c r="E56" i="4"/>
  <c r="L56" i="4" s="1"/>
  <c r="E70" i="4"/>
  <c r="G66" i="4"/>
  <c r="E53" i="4"/>
  <c r="E67" i="4"/>
  <c r="E52" i="4"/>
  <c r="E66" i="4"/>
  <c r="D57" i="4"/>
  <c r="K57" i="4" s="1"/>
  <c r="D71" i="4"/>
  <c r="P39" i="4"/>
  <c r="P37" i="4"/>
  <c r="F30" i="12"/>
  <c r="F75" i="12"/>
  <c r="F53" i="12"/>
  <c r="J5" i="4"/>
  <c r="J11" i="4"/>
  <c r="D4" i="14" s="1"/>
  <c r="C4" i="14" s="1"/>
  <c r="P40" i="4"/>
  <c r="F54" i="12" a="1"/>
  <c r="F31" i="12" a="1"/>
  <c r="F76" i="12" a="1"/>
  <c r="K52" i="4" l="1"/>
  <c r="L52" i="4"/>
  <c r="K53" i="4"/>
  <c r="N4" i="4"/>
  <c r="L49" i="4" s="1"/>
  <c r="N3" i="4"/>
  <c r="K54" i="4" s="1"/>
  <c r="M10" i="4"/>
  <c r="N10" i="4" s="1"/>
  <c r="M9" i="4"/>
  <c r="N9" i="4" s="1"/>
  <c r="M8" i="4"/>
  <c r="N8" i="4" s="1"/>
  <c r="J3" i="4"/>
  <c r="J6" i="4" s="1"/>
  <c r="J3" i="14" s="1"/>
  <c r="C3" i="14" s="1"/>
  <c r="C5" i="14" s="1"/>
  <c r="G68" i="4"/>
  <c r="N5" i="4" s="1"/>
  <c r="F54" i="12"/>
  <c r="F76" i="12"/>
  <c r="F31" i="12"/>
  <c r="F32" i="12" a="1"/>
  <c r="F77" i="12" a="1"/>
  <c r="F55" i="12" a="1"/>
  <c r="J54" i="4" l="1"/>
  <c r="J53" i="4"/>
  <c r="J52" i="4"/>
  <c r="J51" i="4"/>
  <c r="K50" i="4"/>
  <c r="L51" i="4"/>
  <c r="L50" i="4"/>
  <c r="J50" i="4"/>
  <c r="J49" i="4"/>
  <c r="K49" i="4"/>
  <c r="K51" i="4"/>
  <c r="M14" i="4"/>
  <c r="N14" i="4" s="1"/>
  <c r="L54" i="4"/>
  <c r="L53" i="4"/>
  <c r="M11" i="4"/>
  <c r="N11" i="4" s="1"/>
  <c r="M13" i="4"/>
  <c r="N13" i="4" s="1"/>
  <c r="M12" i="4"/>
  <c r="N12" i="4" s="1"/>
  <c r="F32" i="12"/>
  <c r="F77" i="12"/>
  <c r="F55" i="12"/>
  <c r="F78" i="12" a="1"/>
  <c r="F33" i="12" a="1"/>
  <c r="F56" i="12" a="1"/>
  <c r="N57" i="4" l="1"/>
  <c r="F56" i="12"/>
  <c r="F78" i="12"/>
  <c r="F33" i="12"/>
  <c r="F34" i="12" a="1"/>
  <c r="F57" i="12" a="1"/>
  <c r="F79" i="12" a="1"/>
  <c r="F34" i="12" l="1"/>
  <c r="F79" i="12"/>
  <c r="F57" i="12"/>
  <c r="F80" i="12" a="1"/>
  <c r="F35" i="12" a="1"/>
  <c r="F58" i="12" a="1"/>
  <c r="F58" i="12" l="1"/>
  <c r="F80" i="12"/>
  <c r="F35" i="12"/>
  <c r="F59" i="12" a="1"/>
  <c r="F36" i="12" a="1"/>
  <c r="F81" i="12" a="1"/>
  <c r="F36" i="12" l="1"/>
  <c r="F81" i="12"/>
  <c r="F59" i="12"/>
  <c r="F60" i="12" a="1"/>
  <c r="F37" i="12" a="1"/>
  <c r="F82" i="12" a="1"/>
  <c r="F60" i="12" l="1"/>
  <c r="F82" i="12"/>
  <c r="F37" i="12"/>
  <c r="F61" i="12" a="1"/>
  <c r="F38" i="12" a="1"/>
  <c r="F83" i="12" a="1"/>
  <c r="F38" i="12" l="1"/>
  <c r="F83" i="12"/>
  <c r="F61" i="12"/>
  <c r="F84" i="12" a="1"/>
  <c r="F39" i="12" a="1"/>
  <c r="F62" i="12" a="1"/>
  <c r="F62" i="12" l="1"/>
  <c r="F84" i="12"/>
  <c r="F39" i="12"/>
  <c r="F40" i="12" a="1"/>
  <c r="F85" i="12" a="1"/>
  <c r="F63" i="12" a="1"/>
  <c r="F40" i="12" l="1"/>
  <c r="F85" i="12"/>
  <c r="F63" i="12"/>
  <c r="F86" i="12" a="1"/>
  <c r="F41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<sst xmlns="http://schemas.openxmlformats.org/spreadsheetml/2006/main" count="287" uniqueCount="111">
  <si>
    <t>Symbol</t>
  </si>
  <si>
    <t>3x</t>
  </si>
  <si>
    <t>4x</t>
  </si>
  <si>
    <t>5x</t>
  </si>
  <si>
    <t>Wild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</si>
  <si>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</si>
  <si>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</si>
  <si>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</si>
  <si>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</si>
  <si>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</si>
  <si>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</si>
  <si>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</si>
  <si>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</si>
  <si>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</si>
  <si>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</si>
  <si>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</si>
  <si>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</si>
  <si>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</si>
  <si>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</si>
  <si>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</si>
  <si>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</si>
  <si>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</si>
  <si>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</si>
  <si>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</si>
  <si>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</si>
  <si>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</si>
  <si>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</si>
  <si>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</si>
  <si>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</si>
  <si>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</si>
  <si>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</si>
  <si>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</si>
  <si>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</si>
  <si>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</si>
  <si>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</si>
  <si>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</si>
  <si>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</si>
  <si>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</si>
  <si>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</si>
  <si>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</si>
  <si>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</si>
  <si>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</si>
  <si>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</si>
  <si>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</si>
  <si>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</si>
  <si>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</si>
  <si>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</si>
  <si>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</si>
  <si>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</si>
  <si>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</si>
  <si>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</si>
  <si>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</si>
  <si>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</si>
  <si>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</si>
  <si>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</si>
  <si>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</si>
  <si>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</si>
  <si>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</si>
  <si>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</si>
  <si>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</si>
  <si>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</si>
  <si>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</si>
  <si>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</si>
  <si>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</si>
  <si>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</si>
  <si>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</si>
  <si>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</si>
  <si>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</si>
  <si>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</si>
  <si>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</si>
  <si>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</si>
  <si>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</si>
  <si>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</si>
  <si>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</si>
  <si>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</si>
  <si>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</si>
  <si>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</si>
  <si>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</si>
  <si>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</si>
  <si>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</si>
  <si>
    <t>bg_sets</t>
  </si>
  <si>
    <t>fg_sets</t>
  </si>
  <si>
    <t>setSelectBG</t>
  </si>
  <si>
    <t>setSelectFG</t>
  </si>
  <si>
    <t>setSelectBG_weight</t>
  </si>
  <si>
    <t>setSelectFG_weight</t>
  </si>
  <si>
    <t>R1</t>
  </si>
  <si>
    <t>R2</t>
  </si>
  <si>
    <t>Y1</t>
  </si>
  <si>
    <t>Y2</t>
  </si>
  <si>
    <t>B1</t>
  </si>
  <si>
    <t>B2</t>
  </si>
  <si>
    <t>G1</t>
  </si>
  <si>
    <t>G2</t>
  </si>
  <si>
    <t>G3</t>
  </si>
  <si>
    <t>Avg Colour Count</t>
  </si>
  <si>
    <t>Red</t>
  </si>
  <si>
    <t>Yellow</t>
  </si>
  <si>
    <t>Blue</t>
  </si>
  <si>
    <t>Y</t>
  </si>
  <si>
    <t>Percentages 1 Line</t>
  </si>
  <si>
    <t>RY</t>
  </si>
  <si>
    <t>RB</t>
  </si>
  <si>
    <t>YB</t>
  </si>
  <si>
    <t>RYB</t>
  </si>
  <si>
    <t>R</t>
  </si>
  <si>
    <t>B</t>
  </si>
  <si>
    <t>% Chance</t>
  </si>
  <si>
    <t>E(Multi)</t>
  </si>
  <si>
    <t>%</t>
  </si>
  <si>
    <t>Return 1 Line With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</si>
</sst>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  <numFmt numFmtId="170" formatCode="0.000%"/>
  </numFmts>
  <fonts count="2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color rgb="FF1F1F1F"/>
      <name val="Arial"/>
      <family val="2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  <xf numFmtId="43" fontId="0" fillId="0" borderId="0" xfId="1" applyFont="1" applyBorder="1"/>
    <xf numFmtId="0" fontId="9" fillId="0" borderId="48" xfId="3" applyFont="1" applyBorder="1" applyAlignment="1">
      <alignment horizontal="left"/>
    </xf>
    <xf numFmtId="0" fontId="10" fillId="0" borderId="30" xfId="3" applyFont="1" applyBorder="1"/>
    <xf numFmtId="0" fontId="10" fillId="0" borderId="49" xfId="3" applyFont="1" applyBorder="1"/>
    <xf numFmtId="0" fontId="9" fillId="0" borderId="0" xfId="3" applyFont="1" applyBorder="1" applyAlignment="1">
      <alignment horizontal="left"/>
    </xf>
    <xf numFmtId="0" fontId="10" fillId="0" borderId="0" xfId="3" applyFont="1" applyBorder="1"/>
    <xf numFmtId="0" fontId="7" fillId="0" borderId="0" xfId="3" applyFont="1" applyFill="1" applyBorder="1"/>
    <xf numFmtId="0" fontId="3" fillId="0" borderId="0" xfId="3" applyAlignment="1">
      <alignment horizontal="left"/>
    </xf>
    <xf numFmtId="0" fontId="19" fillId="0" borderId="0" xfId="3" applyFont="1" applyAlignment="1">
      <alignment horizontal="left"/>
    </xf>
    <xf numFmtId="164" fontId="10" fillId="0" borderId="32" xfId="2" applyNumberFormat="1" applyFont="1" applyBorder="1"/>
    <xf numFmtId="10" fontId="19" fillId="0" borderId="0" xfId="2" applyNumberFormat="1" applyFont="1" applyAlignment="1">
      <alignment horizontal="left"/>
    </xf>
    <xf numFmtId="170" fontId="19" fillId="0" borderId="0" xfId="2" applyNumberFormat="1" applyFont="1" applyAlignment="1">
      <alignment horizontal="left"/>
    </xf>
    <xf numFmtId="164" fontId="10" fillId="0" borderId="20" xfId="3" applyNumberFormat="1" applyFont="1" applyBorder="1"/>
    <xf numFmtId="9" fontId="10" fillId="0" borderId="49" xfId="2" applyFont="1" applyBorder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84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M17" sqref="M17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1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R1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1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R1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13-CE33-1349-B065-96070A9266A5}">
  <sheetPr>
    <tabColor rgb="FFFFFF00"/>
  </sheetPr>
  <dimension ref="A1:K41"/>
  <sheetViews>
    <sheetView zoomScale="110" zoomScaleNormal="110" workbookViewId="0">
      <selection activeCell="H15" sqref="H15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8</v>
      </c>
      <c r="B2" s="2">
        <v>8</v>
      </c>
      <c r="C2" s="2">
        <v>8</v>
      </c>
      <c r="D2" s="2">
        <v>8</v>
      </c>
      <c r="E2" s="3">
        <v>8</v>
      </c>
      <c r="G2" s="1" t="str">
        <f>VLOOKUP(A2,Paytable!$D$2:$E$12,2)</f>
        <v>G2</v>
      </c>
      <c r="H2" s="2" t="str">
        <f>VLOOKUP(B2,Paytable!$D$2:$E$12,2)</f>
        <v>G2</v>
      </c>
      <c r="I2" s="2" t="str">
        <f>VLOOKUP(C2,Paytable!$D$2:$E$12,2)</f>
        <v>G2</v>
      </c>
      <c r="J2" s="2" t="str">
        <f>VLOOKUP(D2,Paytable!$D$2:$E$12,2)</f>
        <v>G2</v>
      </c>
      <c r="K2" s="3" t="str">
        <f>VLOOKUP(E2,Paytable!$D$2:$E$12,2)</f>
        <v>G2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G3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G3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G3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G3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G3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G3</v>
      </c>
      <c r="J32" t="str">
        <f>VLOOKUP(D32,Paytable!$D$2:$E$12,2)</f>
        <v>R2</v>
      </c>
      <c r="K32" s="5" t="str">
        <f>VLOOKUP(E32,Paytable!$D$2:$E$12,2)</f>
        <v>G3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M30" sqref="M30"/>
    </sheetView>
  </sheetViews>
  <sheetFormatPr baseColWidth="10" defaultRowHeight="16" x14ac:dyDescent="0.2"/>
  <sheetData>
    <row r="1" spans="1:11" ht="17" thickBot="1" x14ac:dyDescent="0.25">
      <c r="A1" s="13" t="s">
        <v>7</v>
      </c>
      <c r="B1" s="14" t="s">
        <v>8</v>
      </c>
      <c r="C1" s="14" t="s">
        <v>9</v>
      </c>
      <c r="D1" s="14" t="s">
        <v>10</v>
      </c>
      <c r="E1" s="15" t="s">
        <v>11</v>
      </c>
      <c r="G1" s="13" t="s">
        <v>7</v>
      </c>
      <c r="H1" s="14" t="s">
        <v>8</v>
      </c>
      <c r="I1" s="14" t="s">
        <v>9</v>
      </c>
      <c r="J1" s="14" t="s">
        <v>10</v>
      </c>
      <c r="K1" s="15" t="s">
        <v>11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VLOOKUP(A2,Paytable!$D$2:$E$12,2)</f>
        <v>B1</v>
      </c>
      <c r="H2" s="2" t="str">
        <f>VLOOKUP(B2,Paytable!$D$2:$E$12,2)</f>
        <v>Y1</v>
      </c>
      <c r="I2" s="2" t="str">
        <f>VLOOKUP(C2,Paytable!$D$2:$E$12,2)</f>
        <v>Wild</v>
      </c>
      <c r="J2" s="2" t="str">
        <f>VLOOKUP(D2,Paytable!$D$2:$E$12,2)</f>
        <v>Y2</v>
      </c>
      <c r="K2" s="3" t="str">
        <f>VLOOKUP(E2,Paytable!$D$2:$E$12,2)</f>
        <v>Y2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VLOOKUP(A3,Paytable!$D$2:$E$12,2)</f>
        <v>B2</v>
      </c>
      <c r="H3" t="str">
        <f>VLOOKUP(B3,Paytable!$D$2:$E$12,2)</f>
        <v>R2</v>
      </c>
      <c r="I3" t="str">
        <f>VLOOKUP(C3,Paytable!$D$2:$E$12,2)</f>
        <v>Wild</v>
      </c>
      <c r="J3" t="str">
        <f>VLOOKUP(D3,Paytable!$D$2:$E$12,2)</f>
        <v>Wild</v>
      </c>
      <c r="K3" s="5" t="str">
        <f>VLOOKUP(E3,Paytable!$D$2:$E$12,2)</f>
        <v>Y1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VLOOKUP(A4,Paytable!$D$2:$E$12,2)</f>
        <v>Y1</v>
      </c>
      <c r="H4" t="str">
        <f>VLOOKUP(B4,Paytable!$D$2:$E$12,2)</f>
        <v>R1</v>
      </c>
      <c r="I4" t="str">
        <f>VLOOKUP(C4,Paytable!$D$2:$E$12,2)</f>
        <v>Wild</v>
      </c>
      <c r="J4" t="str">
        <f>VLOOKUP(D4,Paytable!$D$2:$E$12,2)</f>
        <v>R2</v>
      </c>
      <c r="K4" s="5" t="str">
        <f>VLOOKUP(E4,Paytable!$D$2:$E$12,2)</f>
        <v>G2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VLOOKUP(A5,Paytable!$D$2:$E$12,2)</f>
        <v>G1</v>
      </c>
      <c r="H5" t="str">
        <f>VLOOKUP(B5,Paytable!$D$2:$E$12,2)</f>
        <v>G2</v>
      </c>
      <c r="I5" t="str">
        <f>VLOOKUP(C5,Paytable!$D$2:$E$12,2)</f>
        <v>Wild</v>
      </c>
      <c r="J5" t="str">
        <f>VLOOKUP(D5,Paytable!$D$2:$E$12,2)</f>
        <v>G1</v>
      </c>
      <c r="K5" s="5" t="str">
        <f>VLOOKUP(E5,Paytable!$D$2:$E$12,2)</f>
        <v>R2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VLOOKUP(A6,Paytable!$D$2:$E$12,2)</f>
        <v>G2</v>
      </c>
      <c r="H6" t="str">
        <f>VLOOKUP(B6,Paytable!$D$2:$E$12,2)</f>
        <v>Y1</v>
      </c>
      <c r="I6" t="str">
        <f>VLOOKUP(C6,Paytable!$D$2:$E$12,2)</f>
        <v>R1</v>
      </c>
      <c r="J6" t="str">
        <f>VLOOKUP(D6,Paytable!$D$2:$E$12,2)</f>
        <v>B2</v>
      </c>
      <c r="K6" s="5" t="str">
        <f>VLOOKUP(E6,Paytable!$D$2:$E$12,2)</f>
        <v>Y2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VLOOKUP(A7,Paytable!$D$2:$E$12,2)</f>
        <v>B2</v>
      </c>
      <c r="H7" t="str">
        <f>VLOOKUP(B7,Paytable!$D$2:$E$12,2)</f>
        <v>Wild</v>
      </c>
      <c r="I7" t="str">
        <f>VLOOKUP(C7,Paytable!$D$2:$E$12,2)</f>
        <v>B1</v>
      </c>
      <c r="J7" t="str">
        <f>VLOOKUP(D7,Paytable!$D$2:$E$12,2)</f>
        <v>R2</v>
      </c>
      <c r="K7" s="5" t="str">
        <f>VLOOKUP(E7,Paytable!$D$2:$E$12,2)</f>
        <v>R2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VLOOKUP(A8,Paytable!$D$2:$E$12,2)</f>
        <v>R1</v>
      </c>
      <c r="H8" t="str">
        <f>VLOOKUP(B8,Paytable!$D$2:$E$12,2)</f>
        <v>G2</v>
      </c>
      <c r="I8" t="str">
        <f>VLOOKUP(C8,Paytable!$D$2:$E$12,2)</f>
        <v>Y2</v>
      </c>
      <c r="J8" t="str">
        <f>VLOOKUP(D8,Paytable!$D$2:$E$12,2)</f>
        <v>Y1</v>
      </c>
      <c r="K8" s="5" t="str">
        <f>VLOOKUP(E8,Paytable!$D$2:$E$12,2)</f>
        <v>G1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VLOOKUP(A9,Paytable!$D$2:$E$12,2)</f>
        <v>Wild</v>
      </c>
      <c r="H9" t="str">
        <f>VLOOKUP(B9,Paytable!$D$2:$E$12,2)</f>
        <v>R2</v>
      </c>
      <c r="I9" t="str">
        <f>VLOOKUP(C9,Paytable!$D$2:$E$12,2)</f>
        <v>G2</v>
      </c>
      <c r="J9" t="str">
        <f>VLOOKUP(D9,Paytable!$D$2:$E$12,2)</f>
        <v>Y2</v>
      </c>
      <c r="K9" s="5" t="str">
        <f>VLOOKUP(E9,Paytable!$D$2:$E$12,2)</f>
        <v>B1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VLOOKUP(A10,Paytable!$D$2:$E$12,2)</f>
        <v>G2</v>
      </c>
      <c r="H10" t="str">
        <f>VLOOKUP(B10,Paytable!$D$2:$E$12,2)</f>
        <v>G1</v>
      </c>
      <c r="I10" t="str">
        <f>VLOOKUP(C10,Paytable!$D$2:$E$12,2)</f>
        <v>Y2</v>
      </c>
      <c r="J10" t="str">
        <f>VLOOKUP(D10,Paytable!$D$2:$E$12,2)</f>
        <v>B2</v>
      </c>
      <c r="K10" s="5" t="str">
        <f>VLOOKUP(E10,Paytable!$D$2:$E$12,2)</f>
        <v>B2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VLOOKUP(A11,Paytable!$D$2:$E$12,2)</f>
        <v>B2</v>
      </c>
      <c r="H11" t="str">
        <f>VLOOKUP(B11,Paytable!$D$2:$E$12,2)</f>
        <v>Wild</v>
      </c>
      <c r="I11" t="str">
        <f>VLOOKUP(C11,Paytable!$D$2:$E$12,2)</f>
        <v>B2</v>
      </c>
      <c r="J11" t="str">
        <f>VLOOKUP(D11,Paytable!$D$2:$E$12,2)</f>
        <v>R1</v>
      </c>
      <c r="K11" s="5" t="str">
        <f>VLOOKUP(E11,Paytable!$D$2:$E$12,2)</f>
        <v>Y2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VLOOKUP(A12,Paytable!$D$2:$E$12,2)</f>
        <v>G2</v>
      </c>
      <c r="H12" t="str">
        <f>VLOOKUP(B12,Paytable!$D$2:$E$12,2)</f>
        <v>R2</v>
      </c>
      <c r="I12" t="str">
        <f>VLOOKUP(C12,Paytable!$D$2:$E$12,2)</f>
        <v>Y2</v>
      </c>
      <c r="J12" t="str">
        <f>VLOOKUP(D12,Paytable!$D$2:$E$12,2)</f>
        <v>G2</v>
      </c>
      <c r="K12" s="5" t="str">
        <f>VLOOKUP(E12,Paytable!$D$2:$E$12,2)</f>
        <v>B2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VLOOKUP(A13,Paytable!$D$2:$E$12,2)</f>
        <v>Y2</v>
      </c>
      <c r="H13" t="str">
        <f>VLOOKUP(B13,Paytable!$D$2:$E$12,2)</f>
        <v>R2</v>
      </c>
      <c r="I13" t="str">
        <f>VLOOKUP(C13,Paytable!$D$2:$E$12,2)</f>
        <v>Wild</v>
      </c>
      <c r="J13" t="str">
        <f>VLOOKUP(D13,Paytable!$D$2:$E$12,2)</f>
        <v>G1</v>
      </c>
      <c r="K13" s="5" t="str">
        <f>VLOOKUP(E13,Paytable!$D$2:$E$12,2)</f>
        <v>Y2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VLOOKUP(A14,Paytable!$D$2:$E$12,2)</f>
        <v>Y1</v>
      </c>
      <c r="H14" t="str">
        <f>VLOOKUP(B14,Paytable!$D$2:$E$12,2)</f>
        <v>Y1</v>
      </c>
      <c r="I14" t="str">
        <f>VLOOKUP(C14,Paytable!$D$2:$E$12,2)</f>
        <v>B2</v>
      </c>
      <c r="J14" t="str">
        <f>VLOOKUP(D14,Paytable!$D$2:$E$12,2)</f>
        <v>G2</v>
      </c>
      <c r="K14" s="5" t="str">
        <f>VLOOKUP(E14,Paytable!$D$2:$E$12,2)</f>
        <v>G1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VLOOKUP(A15,Paytable!$D$2:$E$12,2)</f>
        <v>G1</v>
      </c>
      <c r="H15" t="str">
        <f>VLOOKUP(B15,Paytable!$D$2:$E$12,2)</f>
        <v>Y2</v>
      </c>
      <c r="I15" t="str">
        <f>VLOOKUP(C15,Paytable!$D$2:$E$12,2)</f>
        <v>R2</v>
      </c>
      <c r="J15" t="str">
        <f>VLOOKUP(D15,Paytable!$D$2:$E$12,2)</f>
        <v>B1</v>
      </c>
      <c r="K15" s="5" t="str">
        <f>VLOOKUP(E15,Paytable!$D$2:$E$12,2)</f>
        <v>G1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VLOOKUP(A16,Paytable!$D$2:$E$12,2)</f>
        <v>R1</v>
      </c>
      <c r="H16" t="str">
        <f>VLOOKUP(B16,Paytable!$D$2:$E$12,2)</f>
        <v>B1</v>
      </c>
      <c r="I16" t="str">
        <f>VLOOKUP(C16,Paytable!$D$2:$E$12,2)</f>
        <v>B2</v>
      </c>
      <c r="J16" t="str">
        <f>VLOOKUP(D16,Paytable!$D$2:$E$12,2)</f>
        <v>Y2</v>
      </c>
      <c r="K16" s="5" t="str">
        <f>VLOOKUP(E16,Paytable!$D$2:$E$12,2)</f>
        <v>G2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VLOOKUP(A17,Paytable!$D$2:$E$12,2)</f>
        <v>Wild</v>
      </c>
      <c r="H17" t="str">
        <f>VLOOKUP(B17,Paytable!$D$2:$E$12,2)</f>
        <v>R2</v>
      </c>
      <c r="I17" t="str">
        <f>VLOOKUP(C17,Paytable!$D$2:$E$12,2)</f>
        <v>B1</v>
      </c>
      <c r="J17" t="str">
        <f>VLOOKUP(D17,Paytable!$D$2:$E$12,2)</f>
        <v>Y1</v>
      </c>
      <c r="K17" s="5" t="str">
        <f>VLOOKUP(E17,Paytable!$D$2:$E$12,2)</f>
        <v>R1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VLOOKUP(A18,Paytable!$D$2:$E$12,2)</f>
        <v>G1</v>
      </c>
      <c r="H18" t="str">
        <f>VLOOKUP(B18,Paytable!$D$2:$E$12,2)</f>
        <v>R1</v>
      </c>
      <c r="I18" t="str">
        <f>VLOOKUP(C18,Paytable!$D$2:$E$12,2)</f>
        <v>B2</v>
      </c>
      <c r="J18" t="str">
        <f>VLOOKUP(D18,Paytable!$D$2:$E$12,2)</f>
        <v>R1</v>
      </c>
      <c r="K18" s="5" t="str">
        <f>VLOOKUP(E18,Paytable!$D$2:$E$12,2)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VLOOKUP(A19,Paytable!$D$2:$E$12,2)</f>
        <v>Y2</v>
      </c>
      <c r="H19" t="str">
        <f>VLOOKUP(B19,Paytable!$D$2:$E$12,2)</f>
        <v>R1</v>
      </c>
      <c r="I19" t="str">
        <f>VLOOKUP(C19,Paytable!$D$2:$E$12,2)</f>
        <v>G1</v>
      </c>
      <c r="J19" t="str">
        <f>VLOOKUP(D19,Paytable!$D$2:$E$12,2)</f>
        <v>Wild</v>
      </c>
      <c r="K19" s="5" t="str">
        <f>VLOOKUP(E19,Paytable!$D$2:$E$12,2)</f>
        <v>Y2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VLOOKUP(A20,Paytable!$D$2:$E$12,2)</f>
        <v>B2</v>
      </c>
      <c r="H20" t="str">
        <f>VLOOKUP(B20,Paytable!$D$2:$E$12,2)</f>
        <v>G1</v>
      </c>
      <c r="I20" t="str">
        <f>VLOOKUP(C20,Paytable!$D$2:$E$12,2)</f>
        <v>Wild</v>
      </c>
      <c r="J20" t="str">
        <f>VLOOKUP(D20,Paytable!$D$2:$E$12,2)</f>
        <v>R2</v>
      </c>
      <c r="K20" s="5" t="str">
        <f>VLOOKUP(E20,Paytable!$D$2:$E$12,2)</f>
        <v>G2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VLOOKUP(A21,Paytable!$D$2:$E$12,2)</f>
        <v>Y2</v>
      </c>
      <c r="H21" t="str">
        <f>VLOOKUP(B21,Paytable!$D$2:$E$12,2)</f>
        <v>Wild</v>
      </c>
      <c r="I21" t="str">
        <f>VLOOKUP(C21,Paytable!$D$2:$E$12,2)</f>
        <v>Wild</v>
      </c>
      <c r="J21" t="str">
        <f>VLOOKUP(D21,Paytable!$D$2:$E$12,2)</f>
        <v>B2</v>
      </c>
      <c r="K21" s="5" t="str">
        <f>VLOOKUP(E21,Paytable!$D$2:$E$12,2)</f>
        <v>R2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VLOOKUP(A22,Paytable!$D$2:$E$12,2)</f>
        <v>Wild</v>
      </c>
      <c r="H22" t="str">
        <f>VLOOKUP(B22,Paytable!$D$2:$E$12,2)</f>
        <v>G2</v>
      </c>
      <c r="I22" t="str">
        <f>VLOOKUP(C22,Paytable!$D$2:$E$12,2)</f>
        <v>G1</v>
      </c>
      <c r="J22" t="str">
        <f>VLOOKUP(D22,Paytable!$D$2:$E$12,2)</f>
        <v>Wild</v>
      </c>
      <c r="K22" s="5" t="str">
        <f>VLOOKUP(E22,Paytable!$D$2:$E$12,2)</f>
        <v>G1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VLOOKUP(A23,Paytable!$D$2:$E$12,2)</f>
        <v>R1</v>
      </c>
      <c r="H23" t="str">
        <f>VLOOKUP(B23,Paytable!$D$2:$E$12,2)</f>
        <v>R2</v>
      </c>
      <c r="I23" t="str">
        <f>VLOOKUP(C23,Paytable!$D$2:$E$12,2)</f>
        <v>Y2</v>
      </c>
      <c r="J23" t="str">
        <f>VLOOKUP(D23,Paytable!$D$2:$E$12,2)</f>
        <v>R2</v>
      </c>
      <c r="K23" s="5" t="str">
        <f>VLOOKUP(E23,Paytable!$D$2:$E$12,2)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VLOOKUP(A24,Paytable!$D$2:$E$12,2)</f>
        <v>B2</v>
      </c>
      <c r="H24" t="str">
        <f>VLOOKUP(B24,Paytable!$D$2:$E$12,2)</f>
        <v>B2</v>
      </c>
      <c r="I24" t="str">
        <f>VLOOKUP(C24,Paytable!$D$2:$E$12,2)</f>
        <v>R2</v>
      </c>
      <c r="J24" t="str">
        <f>VLOOKUP(D24,Paytable!$D$2:$E$12,2)</f>
        <v>Y2</v>
      </c>
      <c r="K24" s="5" t="str">
        <f>VLOOKUP(E24,Paytable!$D$2:$E$12,2)</f>
        <v>R2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VLOOKUP(A25,Paytable!$D$2:$E$12,2)</f>
        <v>Y2</v>
      </c>
      <c r="H25" t="str">
        <f>VLOOKUP(B25,Paytable!$D$2:$E$12,2)</f>
        <v>G2</v>
      </c>
      <c r="I25" t="str">
        <f>VLOOKUP(C25,Paytable!$D$2:$E$12,2)</f>
        <v>G2</v>
      </c>
      <c r="J25" t="str">
        <f>VLOOKUP(D25,Paytable!$D$2:$E$12,2)</f>
        <v>B2</v>
      </c>
      <c r="K25" s="5" t="str">
        <f>VLOOKUP(E25,Paytable!$D$2:$E$12,2)</f>
        <v>B2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VLOOKUP(A26,Paytable!$D$2:$E$12,2)</f>
        <v>B2</v>
      </c>
      <c r="H26" t="str">
        <f>VLOOKUP(B26,Paytable!$D$2:$E$12,2)</f>
        <v>Y1</v>
      </c>
      <c r="I26" t="str">
        <f>VLOOKUP(C26,Paytable!$D$2:$E$12,2)</f>
        <v>B1</v>
      </c>
      <c r="J26" t="str">
        <f>VLOOKUP(D26,Paytable!$D$2:$E$12,2)</f>
        <v>Y2</v>
      </c>
      <c r="K26" s="5" t="str">
        <f>VLOOKUP(E26,Paytable!$D$2:$E$12,2)</f>
        <v>R1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VLOOKUP(A27,Paytable!$D$2:$E$12,2)</f>
        <v>B2</v>
      </c>
      <c r="H27" t="str">
        <f>VLOOKUP(B27,Paytable!$D$2:$E$12,2)</f>
        <v>B1</v>
      </c>
      <c r="I27" t="str">
        <f>VLOOKUP(C27,Paytable!$D$2:$E$12,2)</f>
        <v>Wild</v>
      </c>
      <c r="J27" t="str">
        <f>VLOOKUP(D27,Paytable!$D$2:$E$12,2)</f>
        <v>Y1</v>
      </c>
      <c r="K27" s="5" t="str">
        <f>VLOOKUP(E27,Paytable!$D$2:$E$12,2)</f>
        <v>G2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VLOOKUP(A28,Paytable!$D$2:$E$12,2)</f>
        <v>B2</v>
      </c>
      <c r="H28" t="str">
        <f>VLOOKUP(B28,Paytable!$D$2:$E$12,2)</f>
        <v>G1</v>
      </c>
      <c r="I28" t="str">
        <f>VLOOKUP(C28,Paytable!$D$2:$E$12,2)</f>
        <v>Y1</v>
      </c>
      <c r="J28" t="str">
        <f>VLOOKUP(D28,Paytable!$D$2:$E$12,2)</f>
        <v>G1</v>
      </c>
      <c r="K28" s="5" t="str">
        <f>VLOOKUP(E28,Paytable!$D$2:$E$12,2)</f>
        <v>G2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VLOOKUP(A29,Paytable!$D$2:$E$12,2)</f>
        <v>Y2</v>
      </c>
      <c r="H29" t="str">
        <f>VLOOKUP(B29,Paytable!$D$2:$E$12,2)</f>
        <v>B1</v>
      </c>
      <c r="I29" t="str">
        <f>VLOOKUP(C29,Paytable!$D$2:$E$12,2)</f>
        <v>G2</v>
      </c>
      <c r="J29" t="str">
        <f>VLOOKUP(D29,Paytable!$D$2:$E$12,2)</f>
        <v>Y2</v>
      </c>
      <c r="K29" s="5" t="str">
        <f>VLOOKUP(E29,Paytable!$D$2:$E$12,2)</f>
        <v>B1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VLOOKUP(A30,Paytable!$D$2:$E$12,2)</f>
        <v>R1</v>
      </c>
      <c r="H30" t="str">
        <f>VLOOKUP(B30,Paytable!$D$2:$E$12,2)</f>
        <v>R2</v>
      </c>
      <c r="I30" t="str">
        <f>VLOOKUP(C30,Paytable!$D$2:$E$12,2)</f>
        <v>R2</v>
      </c>
      <c r="J30" t="str">
        <f>VLOOKUP(D30,Paytable!$D$2:$E$12,2)</f>
        <v>B2</v>
      </c>
      <c r="K30" s="5" t="str">
        <f>VLOOKUP(E30,Paytable!$D$2:$E$12,2)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VLOOKUP(A31,Paytable!$D$2:$E$12,2)</f>
        <v>Y2</v>
      </c>
      <c r="H31" t="str">
        <f>VLOOKUP(B31,Paytable!$D$2:$E$12,2)</f>
        <v>B1</v>
      </c>
      <c r="I31" t="str">
        <f>VLOOKUP(C31,Paytable!$D$2:$E$12,2)</f>
        <v>Y2</v>
      </c>
      <c r="J31" t="str">
        <f>VLOOKUP(D31,Paytable!$D$2:$E$12,2)</f>
        <v>R2</v>
      </c>
      <c r="K31" s="5" t="str">
        <f>VLOOKUP(E31,Paytable!$D$2:$E$12,2)</f>
        <v>Y1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VLOOKUP(A32,Paytable!$D$2:$E$12,2)</f>
        <v>G1</v>
      </c>
      <c r="H32" t="str">
        <f>VLOOKUP(B32,Paytable!$D$2:$E$12,2)</f>
        <v>R2</v>
      </c>
      <c r="I32" t="str">
        <f>VLOOKUP(C32,Paytable!$D$2:$E$12,2)</f>
        <v>Wild</v>
      </c>
      <c r="J32" t="str">
        <f>VLOOKUP(D32,Paytable!$D$2:$E$12,2)</f>
        <v>R2</v>
      </c>
      <c r="K32" s="5" t="str">
        <f>VLOOKUP(E32,Paytable!$D$2:$E$12,2)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VLOOKUP(A33,Paytable!$D$2:$E$12,2)</f>
        <v>R1</v>
      </c>
      <c r="H33" t="str">
        <f>VLOOKUP(B33,Paytable!$D$2:$E$12,2)</f>
        <v>Y2</v>
      </c>
      <c r="I33" t="str">
        <f>VLOOKUP(C33,Paytable!$D$2:$E$12,2)</f>
        <v>Y1</v>
      </c>
      <c r="J33" t="str">
        <f>VLOOKUP(D33,Paytable!$D$2:$E$12,2)</f>
        <v>Wild</v>
      </c>
      <c r="K33" s="5" t="str">
        <f>VLOOKUP(E33,Paytable!$D$2:$E$12,2)</f>
        <v>Y2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VLOOKUP(A34,Paytable!$D$2:$E$12,2)</f>
        <v>B2</v>
      </c>
      <c r="H34" t="str">
        <f>VLOOKUP(B34,Paytable!$D$2:$E$12,2)</f>
        <v>B2</v>
      </c>
      <c r="I34" t="str">
        <f>VLOOKUP(C34,Paytable!$D$2:$E$12,2)</f>
        <v>R2</v>
      </c>
      <c r="J34" t="str">
        <f>VLOOKUP(D34,Paytable!$D$2:$E$12,2)</f>
        <v>B1</v>
      </c>
      <c r="K34" s="5" t="str">
        <f>VLOOKUP(E34,Paytable!$D$2:$E$12,2)</f>
        <v>G2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VLOOKUP(A35,Paytable!$D$2:$E$12,2)</f>
        <v>G1</v>
      </c>
      <c r="H35" t="str">
        <f>VLOOKUP(B35,Paytable!$D$2:$E$12,2)</f>
        <v>R1</v>
      </c>
      <c r="I35" t="str">
        <f>VLOOKUP(C35,Paytable!$D$2:$E$12,2)</f>
        <v>R2</v>
      </c>
      <c r="J35" t="str">
        <f>VLOOKUP(D35,Paytable!$D$2:$E$12,2)</f>
        <v>Y2</v>
      </c>
      <c r="K35" s="5" t="str">
        <f>VLOOKUP(E35,Paytable!$D$2:$E$12,2)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VLOOKUP(A36,Paytable!$D$2:$E$12,2)</f>
        <v>R1</v>
      </c>
      <c r="H36" t="str">
        <f>VLOOKUP(B36,Paytable!$D$2:$E$12,2)</f>
        <v>Y2</v>
      </c>
      <c r="I36" t="str">
        <f>VLOOKUP(C36,Paytable!$D$2:$E$12,2)</f>
        <v>Y2</v>
      </c>
      <c r="J36" t="str">
        <f>VLOOKUP(D36,Paytable!$D$2:$E$12,2)</f>
        <v>B1</v>
      </c>
      <c r="K36" s="5" t="str">
        <f>VLOOKUP(E36,Paytable!$D$2:$E$12,2)</f>
        <v>Y2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VLOOKUP(A37,Paytable!$D$2:$E$12,2)</f>
        <v>B2</v>
      </c>
      <c r="H37" t="str">
        <f>VLOOKUP(B37,Paytable!$D$2:$E$12,2)</f>
        <v>Y2</v>
      </c>
      <c r="I37" t="str">
        <f>VLOOKUP(C37,Paytable!$D$2:$E$12,2)</f>
        <v>R2</v>
      </c>
      <c r="J37" t="str">
        <f>VLOOKUP(D37,Paytable!$D$2:$E$12,2)</f>
        <v>G2</v>
      </c>
      <c r="K37" s="5" t="str">
        <f>VLOOKUP(E37,Paytable!$D$2:$E$12,2)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VLOOKUP(A38,Paytable!$D$2:$E$12,2)</f>
        <v>G1</v>
      </c>
      <c r="H38" t="str">
        <f>VLOOKUP(B38,Paytable!$D$2:$E$12,2)</f>
        <v>Y1</v>
      </c>
      <c r="I38" t="str">
        <f>VLOOKUP(C38,Paytable!$D$2:$E$12,2)</f>
        <v>Y1</v>
      </c>
      <c r="J38" t="str">
        <f>VLOOKUP(D38,Paytable!$D$2:$E$12,2)</f>
        <v>G2</v>
      </c>
      <c r="K38" s="5" t="str">
        <f>VLOOKUP(E38,Paytable!$D$2:$E$12,2)</f>
        <v>B2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VLOOKUP(A39,Paytable!$D$2:$E$12,2)</f>
        <v>R2</v>
      </c>
      <c r="H39" t="str">
        <f>VLOOKUP(B39,Paytable!$D$2:$E$12,2)</f>
        <v>R1</v>
      </c>
      <c r="I39" t="str">
        <f>VLOOKUP(C39,Paytable!$D$2:$E$12,2)</f>
        <v>G2</v>
      </c>
      <c r="J39" t="str">
        <f>VLOOKUP(D39,Paytable!$D$2:$E$12,2)</f>
        <v>R1</v>
      </c>
      <c r="K39" s="5" t="str">
        <f>VLOOKUP(E39,Paytable!$D$2:$E$12,2)</f>
        <v>Y2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VLOOKUP(A40,Paytable!$D$2:$E$12,2)</f>
        <v>R2</v>
      </c>
      <c r="H40" t="str">
        <f>VLOOKUP(B40,Paytable!$D$2:$E$12,2)</f>
        <v>G1</v>
      </c>
      <c r="I40" t="str">
        <f>VLOOKUP(C40,Paytable!$D$2:$E$12,2)</f>
        <v>Y2</v>
      </c>
      <c r="J40" t="str">
        <f>VLOOKUP(D40,Paytable!$D$2:$E$12,2)</f>
        <v>R2</v>
      </c>
      <c r="K40" s="5" t="str">
        <f>VLOOKUP(E40,Paytable!$D$2:$E$12,2)</f>
        <v>G2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VLOOKUP(A41,Paytable!$D$2:$E$12,2)</f>
        <v>G2</v>
      </c>
      <c r="H41" s="7" t="str">
        <f>VLOOKUP(B41,Paytable!$D$2:$E$12,2)</f>
        <v>B2</v>
      </c>
      <c r="I41" s="7" t="str">
        <f>VLOOKUP(C41,Paytable!$D$2:$E$12,2)</f>
        <v>B1</v>
      </c>
      <c r="J41" s="7" t="str">
        <f>VLOOKUP(D41,Paytable!$D$2:$E$12,2)</f>
        <v>B1</v>
      </c>
      <c r="K41" s="8" t="str">
        <f>VLOOKUP(E41,Paytable!$D$2:$E$12,2)</f>
        <v>R2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zoomScale="160" zoomScaleNormal="160" workbookViewId="0">
      <selection activeCell="G23" sqref="G23"/>
    </sheetView>
  </sheetViews>
  <sheetFormatPr baseColWidth="10" defaultRowHeight="16" x14ac:dyDescent="0.2"/>
  <sheetData>
    <row r="1" spans="1:5" ht="17" thickBot="1" x14ac:dyDescent="0.25">
      <c r="A1" s="13" t="s">
        <v>36</v>
      </c>
      <c r="B1" s="14" t="s">
        <v>37</v>
      </c>
      <c r="C1" s="14" t="s">
        <v>38</v>
      </c>
      <c r="D1" s="14" t="s">
        <v>39</v>
      </c>
      <c r="E1" s="15" t="s">
        <v>40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2"/>
  <sheetViews>
    <sheetView tabSelected="1" zoomScale="150" zoomScaleNormal="150" workbookViewId="0">
      <selection activeCell="E21" sqref="E2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6</v>
      </c>
      <c r="E1" s="11" t="s">
        <v>0</v>
      </c>
      <c r="F1" s="11" t="s">
        <v>35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2</v>
      </c>
      <c r="B3" s="108">
        <v>8</v>
      </c>
      <c r="C3" s="109">
        <v>20</v>
      </c>
      <c r="D3" s="10">
        <v>1</v>
      </c>
      <c r="E3" s="10" t="s">
        <v>86</v>
      </c>
      <c r="F3" s="10"/>
    </row>
    <row r="4" spans="1:6" x14ac:dyDescent="0.2">
      <c r="A4" s="107">
        <v>1</v>
      </c>
      <c r="B4" s="108">
        <v>4</v>
      </c>
      <c r="C4" s="109">
        <v>10</v>
      </c>
      <c r="D4" s="10">
        <v>2</v>
      </c>
      <c r="E4" s="10" t="s">
        <v>87</v>
      </c>
      <c r="F4" s="10"/>
    </row>
    <row r="5" spans="1:6" x14ac:dyDescent="0.2">
      <c r="A5" s="107">
        <v>2</v>
      </c>
      <c r="B5" s="108">
        <v>8</v>
      </c>
      <c r="C5" s="109">
        <v>20</v>
      </c>
      <c r="D5" s="10">
        <v>3</v>
      </c>
      <c r="E5" s="10" t="s">
        <v>88</v>
      </c>
      <c r="F5" s="10"/>
    </row>
    <row r="6" spans="1:6" x14ac:dyDescent="0.2">
      <c r="A6" s="107">
        <v>1</v>
      </c>
      <c r="B6" s="108">
        <v>4</v>
      </c>
      <c r="C6" s="109">
        <v>10</v>
      </c>
      <c r="D6" s="10">
        <v>4</v>
      </c>
      <c r="E6" s="10" t="s">
        <v>89</v>
      </c>
      <c r="F6" s="10"/>
    </row>
    <row r="7" spans="1:6" x14ac:dyDescent="0.2">
      <c r="A7" s="107">
        <v>2</v>
      </c>
      <c r="B7" s="108">
        <v>8</v>
      </c>
      <c r="C7" s="109">
        <v>20</v>
      </c>
      <c r="D7" s="10">
        <v>5</v>
      </c>
      <c r="E7" s="10" t="s">
        <v>90</v>
      </c>
      <c r="F7" s="10"/>
    </row>
    <row r="8" spans="1:6" x14ac:dyDescent="0.2">
      <c r="A8" s="107">
        <v>1</v>
      </c>
      <c r="B8" s="108">
        <v>4</v>
      </c>
      <c r="C8" s="109">
        <v>10</v>
      </c>
      <c r="D8" s="10">
        <v>6</v>
      </c>
      <c r="E8" s="10" t="s">
        <v>91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92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93</v>
      </c>
      <c r="F10" s="10"/>
    </row>
    <row r="11" spans="1:6" x14ac:dyDescent="0.2">
      <c r="A11" s="107">
        <v>0.5</v>
      </c>
      <c r="B11" s="108">
        <v>2</v>
      </c>
      <c r="C11" s="109">
        <v>5</v>
      </c>
      <c r="D11" s="10">
        <v>9</v>
      </c>
      <c r="E11" s="10" t="s">
        <v>94</v>
      </c>
      <c r="F11" s="10"/>
    </row>
    <row r="12" spans="1:6" ht="17" thickBot="1" x14ac:dyDescent="0.25">
      <c r="A12" s="110">
        <v>0</v>
      </c>
      <c r="B12" s="103">
        <v>0</v>
      </c>
      <c r="C12" s="111">
        <v>0</v>
      </c>
      <c r="D12" s="9">
        <v>10</v>
      </c>
      <c r="E12" s="9" t="s">
        <v>5</v>
      </c>
      <c r="F12" s="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78</v>
      </c>
      <c r="B1" t="s">
        <v>79</v>
      </c>
    </row>
    <row r="2" spans="1:2" x14ac:dyDescent="0.2">
      <c r="A2" t="s">
        <v>77</v>
      </c>
      <c r="B2">
        <v>5</v>
      </c>
    </row>
    <row r="3" spans="1:2" x14ac:dyDescent="0.2">
      <c r="A3" t="s">
        <v>31</v>
      </c>
      <c r="B3">
        <v>3</v>
      </c>
    </row>
    <row r="4" spans="1:2" x14ac:dyDescent="0.2">
      <c r="A4" t="s">
        <v>80</v>
      </c>
      <c r="B4">
        <v>2</v>
      </c>
    </row>
    <row r="5" spans="1:2" x14ac:dyDescent="0.2">
      <c r="A5" t="s">
        <v>81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M8"/>
  <sheetViews>
    <sheetView zoomScale="160" zoomScaleNormal="160" workbookViewId="0">
      <selection activeCell="E10" sqref="E10"/>
    </sheetView>
  </sheetViews>
  <sheetFormatPr baseColWidth="10" defaultRowHeight="16" x14ac:dyDescent="0.2"/>
  <cols>
    <col min="9" max="9" width="22.1640625" customWidth="1"/>
    <col min="10" max="10" width="11.1640625" customWidth="1"/>
  </cols>
  <sheetData>
    <row r="1" spans="2:13" ht="17" thickBot="1" x14ac:dyDescent="0.25"/>
    <row r="2" spans="2:13" x14ac:dyDescent="0.2">
      <c r="B2" s="147" t="s">
        <v>59</v>
      </c>
      <c r="C2" s="148" t="s">
        <v>20</v>
      </c>
      <c r="D2" s="149" t="s">
        <v>60</v>
      </c>
      <c r="E2" s="150" t="s">
        <v>49</v>
      </c>
      <c r="H2" t="s">
        <v>82</v>
      </c>
      <c r="I2" t="s">
        <v>84</v>
      </c>
      <c r="J2" t="s">
        <v>20</v>
      </c>
      <c r="L2" t="s">
        <v>83</v>
      </c>
      <c r="M2" t="s">
        <v>85</v>
      </c>
    </row>
    <row r="3" spans="2:13" x14ac:dyDescent="0.2">
      <c r="B3" s="151" t="s">
        <v>34</v>
      </c>
      <c r="C3" s="152" t="e">
        <f ca="1">SUMPRODUCT(I3:I4,J3:J4)/SUM(I3:I4)</f>
        <v>#DIV/0!</v>
      </c>
      <c r="D3" s="153"/>
      <c r="E3" s="154"/>
      <c r="H3">
        <v>0</v>
      </c>
      <c r="I3">
        <v>1</v>
      </c>
      <c r="J3">
        <f>'bg_0 Calculation'!J6</f>
        <v>0.44679199218749999</v>
      </c>
      <c r="L3">
        <v>0</v>
      </c>
      <c r="M3">
        <v>2</v>
      </c>
    </row>
    <row r="4" spans="2:13" ht="17" thickBot="1" x14ac:dyDescent="0.25">
      <c r="B4" s="151" t="s">
        <v>61</v>
      </c>
      <c r="C4" s="152" t="e">
        <f ca="1">(1/D4)*E4</f>
        <v>#DIV/0!</v>
      </c>
      <c r="D4" s="155" t="e">
        <f>'bg_0 Calculation'!J11</f>
        <v>#DIV/0!</v>
      </c>
      <c r="E4" s="144" t="e">
        <f ca="1">Paytable!F12*'Freegame Calculation'!J6</f>
        <v>#DIV/0!</v>
      </c>
      <c r="F4" s="162" t="e">
        <f ca="1">E4/5</f>
        <v>#DIV/0!</v>
      </c>
      <c r="H4">
        <v>1</v>
      </c>
      <c r="I4">
        <v>1</v>
      </c>
      <c r="J4" t="e">
        <f ca="1">'bg_1 Calculation'!J6</f>
        <v>#DIV/0!</v>
      </c>
    </row>
    <row r="5" spans="2:13" ht="17" thickBot="1" x14ac:dyDescent="0.25">
      <c r="B5" s="156" t="s">
        <v>22</v>
      </c>
      <c r="C5" s="157" t="e">
        <f ca="1">C3+C4</f>
        <v>#DIV/0!</v>
      </c>
      <c r="D5" s="145"/>
      <c r="E5" s="146"/>
    </row>
    <row r="7" spans="2:13" x14ac:dyDescent="0.2">
      <c r="D7" s="152"/>
      <c r="E7" s="163"/>
    </row>
    <row r="8" spans="2:13" x14ac:dyDescent="0.2">
      <c r="D8" s="163"/>
      <c r="F8" s="1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8"/>
  <sheetViews>
    <sheetView topLeftCell="A21" zoomScale="120" zoomScaleNormal="120" workbookViewId="0">
      <selection activeCell="L18" sqref="L18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2.332031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1" width="10.83203125" style="17"/>
    <col min="12" max="12" width="23.33203125" style="17" bestFit="1" customWidth="1"/>
    <col min="13" max="13" width="15.6640625" style="17" customWidth="1"/>
    <col min="14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71" t="s">
        <v>95</v>
      </c>
      <c r="N2" s="18" t="s">
        <v>109</v>
      </c>
      <c r="O2" s="19"/>
      <c r="P2" s="19"/>
      <c r="Q2" s="19"/>
      <c r="R2" s="18"/>
      <c r="S2" s="18"/>
    </row>
    <row r="3" spans="2:19" ht="15" x14ac:dyDescent="0.2">
      <c r="B3" s="84" t="str" cm="1">
        <f t="array" ref="B3:B13">_xlfn.ANCHORARRAY(B17)</f>
        <v>Wild</v>
      </c>
      <c r="C3" s="20" cm="1">
        <f t="array" ref="C3:C12">Paytable!C2:C11</f>
        <v>100</v>
      </c>
      <c r="D3" s="20" cm="1">
        <f t="array" ref="D3:D12">Paytable!B2:B11</f>
        <v>20</v>
      </c>
      <c r="E3" s="20" cm="1">
        <f t="array" ref="E3:E12">Paytable!A2:A11</f>
        <v>5</v>
      </c>
      <c r="F3" s="20">
        <v>0</v>
      </c>
      <c r="G3" s="34"/>
      <c r="I3" s="21" t="s">
        <v>17</v>
      </c>
      <c r="J3" s="22">
        <f>SUM(C48:E56)</f>
        <v>45751500</v>
      </c>
      <c r="L3" s="35" t="s">
        <v>96</v>
      </c>
      <c r="M3" s="172">
        <f>(SUM(C18:G19)+SUM(C17:G17))*3/40</f>
        <v>4.7249999999999996</v>
      </c>
      <c r="N3" s="115">
        <f>G64</f>
        <v>1.1124999999999999E-2</v>
      </c>
      <c r="O3" s="172"/>
      <c r="P3" s="172"/>
      <c r="Q3" s="172"/>
    </row>
    <row r="4" spans="2:19" ht="16" x14ac:dyDescent="0.2">
      <c r="B4" s="84" t="str">
        <v>R1</v>
      </c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>PRODUCT(C28:G28)</f>
        <v>102400000</v>
      </c>
      <c r="L4" s="35" t="s">
        <v>97</v>
      </c>
      <c r="M4" s="172">
        <f>(SUM(C20:G21)+SUM(C17:G17))*3/40</f>
        <v>4.7249999999999996</v>
      </c>
      <c r="N4" s="115">
        <f>G66</f>
        <v>1.0781249999999999E-2</v>
      </c>
      <c r="O4" s="35"/>
    </row>
    <row r="5" spans="2:19" ht="16" x14ac:dyDescent="0.2">
      <c r="B5" s="84" t="str">
        <v>R2</v>
      </c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>SUM(C32:E42)</f>
        <v>4344000</v>
      </c>
      <c r="L5" s="35" t="s">
        <v>98</v>
      </c>
      <c r="M5" s="172">
        <f>(SUM(C22:G23)+SUM(C17:G17))*3/40</f>
        <v>4.2750000000000004</v>
      </c>
      <c r="N5" s="115">
        <f>G68</f>
        <v>1.0468750000000001E-2</v>
      </c>
      <c r="O5" s="35"/>
    </row>
    <row r="6" spans="2:19" ht="17" thickBot="1" x14ac:dyDescent="0.25">
      <c r="B6" s="84" t="str">
        <v>Y1</v>
      </c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>
        <f>J3/J4</f>
        <v>0.44679199218749999</v>
      </c>
      <c r="L6" s="35"/>
      <c r="M6" s="91"/>
      <c r="N6" s="35"/>
      <c r="O6" s="35"/>
    </row>
    <row r="7" spans="2:19" ht="17" thickBot="1" x14ac:dyDescent="0.25">
      <c r="B7" s="84" t="str">
        <v>Y2</v>
      </c>
      <c r="C7" s="23">
        <v>10</v>
      </c>
      <c r="D7" s="23">
        <v>4</v>
      </c>
      <c r="E7" s="23">
        <v>1</v>
      </c>
      <c r="F7" s="23">
        <v>0</v>
      </c>
      <c r="G7" s="34"/>
      <c r="M7" s="17" t="s">
        <v>107</v>
      </c>
      <c r="N7" s="169" t="s">
        <v>108</v>
      </c>
      <c r="O7" s="35"/>
    </row>
    <row r="8" spans="2:19" ht="16" x14ac:dyDescent="0.2">
      <c r="B8" s="84" t="str">
        <v>B1</v>
      </c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17" t="s">
        <v>105</v>
      </c>
      <c r="M8" s="115">
        <f>G64*(1-G66)*(1-G68)</f>
        <v>1.088984938659668E-2</v>
      </c>
      <c r="N8" s="169">
        <f>M8*M3</f>
        <v>5.1454538351669313E-2</v>
      </c>
      <c r="O8" s="35"/>
    </row>
    <row r="9" spans="2:19" ht="16" x14ac:dyDescent="0.2">
      <c r="B9" s="84" t="str">
        <v>B2</v>
      </c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17" t="s">
        <v>99</v>
      </c>
      <c r="M9" s="115">
        <f>(1-G64)*G66*(1-G68)</f>
        <v>1.0549698019409177E-2</v>
      </c>
      <c r="N9" s="169">
        <f t="shared" ref="N9:N10" si="0">M9*M4</f>
        <v>4.9847323141708359E-2</v>
      </c>
      <c r="O9" s="35"/>
    </row>
    <row r="10" spans="2:19" ht="16" x14ac:dyDescent="0.2">
      <c r="B10" s="84" t="str">
        <v>G1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>
        <f>(C27*J9)*(E27*J9)*(G27*J9)/(C28*E28*G28)</f>
        <v>0</v>
      </c>
      <c r="L10" s="17" t="s">
        <v>106</v>
      </c>
      <c r="M10" s="115">
        <f>(1-G64)*(1-G66)*G68</f>
        <v>1.0240674581909181E-2</v>
      </c>
      <c r="N10" s="169">
        <f t="shared" si="0"/>
        <v>4.377888383766175E-2</v>
      </c>
      <c r="O10" s="35"/>
    </row>
    <row r="11" spans="2:19" ht="17" thickBot="1" x14ac:dyDescent="0.25">
      <c r="B11" s="84" t="str">
        <v>G2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>1/J10</f>
        <v>#DIV/0!</v>
      </c>
      <c r="L11" s="35" t="s">
        <v>101</v>
      </c>
      <c r="M11" s="115">
        <f>G64*G66*(1-G68)</f>
        <v>1.1868576965332029E-4</v>
      </c>
      <c r="N11" s="169">
        <f>M11*M3*M4</f>
        <v>2.6497339861164082E-3</v>
      </c>
      <c r="O11" s="35"/>
    </row>
    <row r="12" spans="2:19" ht="16" x14ac:dyDescent="0.2">
      <c r="B12" s="84" t="str">
        <v>G3</v>
      </c>
      <c r="C12" s="23">
        <v>5</v>
      </c>
      <c r="D12" s="23">
        <v>2</v>
      </c>
      <c r="E12" s="23">
        <v>0.5</v>
      </c>
      <c r="F12" s="23">
        <v>0</v>
      </c>
      <c r="G12" s="34"/>
      <c r="I12" s="170"/>
      <c r="J12" s="164"/>
      <c r="L12" s="35" t="s">
        <v>102</v>
      </c>
      <c r="M12" s="115">
        <f>G64*G68*(1-G66)</f>
        <v>1.1520920715332032E-4</v>
      </c>
      <c r="N12" s="169">
        <f>M12*M3*M5</f>
        <v>2.3271539787425993E-3</v>
      </c>
      <c r="O12" s="35"/>
    </row>
    <row r="13" spans="2:19" ht="16" x14ac:dyDescent="0.2">
      <c r="B13" s="84" t="str">
        <v>Scatter</v>
      </c>
      <c r="C13" s="23">
        <v>0</v>
      </c>
      <c r="D13" s="23">
        <v>0</v>
      </c>
      <c r="E13" s="23">
        <v>0</v>
      </c>
      <c r="F13" s="23">
        <v>0</v>
      </c>
      <c r="G13" s="34"/>
      <c r="L13" s="35" t="s">
        <v>103</v>
      </c>
      <c r="M13" s="115">
        <f>G66*G68*(1-G64)</f>
        <v>1.116105743408203E-4</v>
      </c>
      <c r="N13" s="169">
        <f>M13*M4*M5</f>
        <v>2.2544638450756071E-3</v>
      </c>
      <c r="O13" s="35"/>
    </row>
    <row r="14" spans="2:19" ht="17" thickBot="1" x14ac:dyDescent="0.25">
      <c r="B14" s="63"/>
      <c r="C14" s="64"/>
      <c r="D14" s="64"/>
      <c r="E14" s="64"/>
      <c r="F14" s="64"/>
      <c r="J14" s="96"/>
      <c r="L14" s="35" t="s">
        <v>104</v>
      </c>
      <c r="M14" s="115">
        <f>G64*G66*G68</f>
        <v>1.2556365966796875E-6</v>
      </c>
      <c r="N14" s="169">
        <f>M14*M3*M4*M5</f>
        <v>1.1984052691826819E-4</v>
      </c>
      <c r="O14" s="35"/>
    </row>
    <row r="15" spans="2:19" ht="14" thickBot="1" x14ac:dyDescent="0.2">
      <c r="B15" s="29"/>
      <c r="C15" s="30"/>
      <c r="D15" s="30"/>
      <c r="E15" s="30"/>
      <c r="F15" s="30"/>
      <c r="G15" s="31"/>
      <c r="J15" s="98"/>
      <c r="M15" s="100"/>
      <c r="N15" s="35"/>
      <c r="O15" s="35"/>
    </row>
    <row r="16" spans="2:19" ht="16" thickBot="1" x14ac:dyDescent="0.25">
      <c r="B16" s="74" t="s">
        <v>0</v>
      </c>
      <c r="C16" s="75" t="s">
        <v>7</v>
      </c>
      <c r="D16" s="75" t="s">
        <v>8</v>
      </c>
      <c r="E16" s="75" t="s">
        <v>9</v>
      </c>
      <c r="F16" s="75" t="s">
        <v>10</v>
      </c>
      <c r="G16" s="76" t="s">
        <v>11</v>
      </c>
      <c r="H16" s="81"/>
      <c r="J16" s="97"/>
      <c r="L16" s="35"/>
      <c r="M16" s="101"/>
    </row>
    <row r="17" spans="2:18" x14ac:dyDescent="0.15">
      <c r="B17" s="77" t="str" cm="1">
        <f t="array" ref="B17:B27">Paytable!E2:E12</f>
        <v>Wild</v>
      </c>
      <c r="C17" s="78">
        <f>COUNTIF(bg_0!G:G,$B17)</f>
        <v>0</v>
      </c>
      <c r="D17" s="78">
        <f>COUNTIF(bg_0!H:H,$B17)</f>
        <v>3</v>
      </c>
      <c r="E17" s="78">
        <f>COUNTIF(bg_0!I:I,$B17)</f>
        <v>6</v>
      </c>
      <c r="F17" s="78">
        <f>COUNTIF(bg_0!J:J,$B17)</f>
        <v>4</v>
      </c>
      <c r="G17" s="32">
        <f>COUNTIF(bg_0!K:K,$B17)</f>
        <v>3</v>
      </c>
      <c r="H17" s="35"/>
    </row>
    <row r="18" spans="2:18" ht="17" customHeight="1" x14ac:dyDescent="0.15">
      <c r="B18" s="66" t="str">
        <v>R1</v>
      </c>
      <c r="C18" s="53">
        <f>COUNTIF(bg_0!G:G,$B18)</f>
        <v>8</v>
      </c>
      <c r="D18" s="53">
        <f>COUNTIF(bg_0!H:H,$B18)</f>
        <v>5</v>
      </c>
      <c r="E18" s="53">
        <f>COUNTIF(bg_0!I:I,$B18)</f>
        <v>1</v>
      </c>
      <c r="F18" s="53">
        <f>COUNTIF(bg_0!J:J,$B18)</f>
        <v>3</v>
      </c>
      <c r="G18" s="33">
        <f>COUNTIF(bg_0!K:K,$B18)</f>
        <v>2</v>
      </c>
    </row>
    <row r="19" spans="2:18" ht="17" customHeight="1" x14ac:dyDescent="0.15">
      <c r="B19" s="66" t="str">
        <v>R2</v>
      </c>
      <c r="C19" s="53">
        <f>COUNTIF(bg_0!G:G,$B19)</f>
        <v>2</v>
      </c>
      <c r="D19" s="53">
        <f>COUNTIF(bg_0!H:H,$B19)</f>
        <v>8</v>
      </c>
      <c r="E19" s="53">
        <f>COUNTIF(bg_0!I:I,$B19)</f>
        <v>6</v>
      </c>
      <c r="F19" s="53">
        <f>COUNTIF(bg_0!J:J,$B19)</f>
        <v>7</v>
      </c>
      <c r="G19" s="33">
        <f>COUNTIF(bg_0!K:K,$B19)</f>
        <v>5</v>
      </c>
      <c r="H19" s="35"/>
    </row>
    <row r="20" spans="2:18" x14ac:dyDescent="0.15">
      <c r="B20" s="66" t="str">
        <v>Y1</v>
      </c>
      <c r="C20" s="53">
        <f>COUNTIF(bg_0!G:G,$B20)</f>
        <v>2</v>
      </c>
      <c r="D20" s="53">
        <f>COUNTIF(bg_0!H:H,$B20)</f>
        <v>5</v>
      </c>
      <c r="E20" s="53">
        <f>COUNTIF(bg_0!I:I,$B20)</f>
        <v>3</v>
      </c>
      <c r="F20" s="53">
        <f>COUNTIF(bg_0!J:J,$B20)</f>
        <v>3</v>
      </c>
      <c r="G20" s="33">
        <f>COUNTIF(bg_0!K:K,$B20)</f>
        <v>2</v>
      </c>
      <c r="H20" s="35"/>
    </row>
    <row r="21" spans="2:18" x14ac:dyDescent="0.15">
      <c r="B21" s="66" t="str">
        <v>Y2</v>
      </c>
      <c r="C21" s="53">
        <f>COUNTIF(bg_0!G:G,$B21)</f>
        <v>6</v>
      </c>
      <c r="D21" s="53">
        <f>COUNTIF(bg_0!H:H,$B21)</f>
        <v>4</v>
      </c>
      <c r="E21" s="53">
        <f>COUNTIF(bg_0!I:I,$B21)</f>
        <v>7</v>
      </c>
      <c r="F21" s="53">
        <f>COUNTIF(bg_0!J:J,$B21)</f>
        <v>7</v>
      </c>
      <c r="G21" s="33">
        <f>COUNTIF(bg_0!K:K,$B21)</f>
        <v>8</v>
      </c>
      <c r="H21" s="35"/>
    </row>
    <row r="22" spans="2:18" x14ac:dyDescent="0.15">
      <c r="B22" s="66" t="str">
        <v>B1</v>
      </c>
      <c r="C22" s="53">
        <f>COUNTIF(bg_0!G:G,$B22)</f>
        <v>1</v>
      </c>
      <c r="D22" s="53">
        <f>COUNTIF(bg_0!H:H,$B22)</f>
        <v>4</v>
      </c>
      <c r="E22" s="53">
        <f>COUNTIF(bg_0!I:I,$B22)</f>
        <v>4</v>
      </c>
      <c r="F22" s="53">
        <f>COUNTIF(bg_0!J:J,$B22)</f>
        <v>4</v>
      </c>
      <c r="G22" s="33">
        <f>COUNTIF(bg_0!K:K,$B22)</f>
        <v>2</v>
      </c>
      <c r="H22" s="35"/>
    </row>
    <row r="23" spans="2:18" x14ac:dyDescent="0.15">
      <c r="B23" s="66" t="str">
        <v>B2</v>
      </c>
      <c r="C23" s="53">
        <f>COUNTIF(bg_0!G:G,$B23)</f>
        <v>10</v>
      </c>
      <c r="D23" s="53">
        <f>COUNTIF(bg_0!H:H,$B23)</f>
        <v>3</v>
      </c>
      <c r="E23" s="53">
        <f>COUNTIF(bg_0!I:I,$B23)</f>
        <v>4</v>
      </c>
      <c r="F23" s="53">
        <f>COUNTIF(bg_0!J:J,$B23)</f>
        <v>5</v>
      </c>
      <c r="G23" s="33">
        <f>COUNTIF(bg_0!K:K,$B23)</f>
        <v>4</v>
      </c>
      <c r="H23" s="35"/>
    </row>
    <row r="24" spans="2:18" x14ac:dyDescent="0.15">
      <c r="B24" s="66" t="str">
        <v>G1</v>
      </c>
      <c r="C24" s="53">
        <f>COUNTIF(bg_0!G:G,$B24)</f>
        <v>6</v>
      </c>
      <c r="D24" s="53">
        <f>COUNTIF(bg_0!H:H,$B24)</f>
        <v>4</v>
      </c>
      <c r="E24" s="53">
        <f>COUNTIF(bg_0!I:I,$B24)</f>
        <v>2</v>
      </c>
      <c r="F24" s="53">
        <f>COUNTIF(bg_0!J:J,$B24)</f>
        <v>3</v>
      </c>
      <c r="G24" s="33">
        <f>COUNTIF(bg_0!K:K,$B24)</f>
        <v>4</v>
      </c>
      <c r="H24" s="35"/>
    </row>
    <row r="25" spans="2:18" x14ac:dyDescent="0.15">
      <c r="B25" s="66" t="str">
        <v>G2</v>
      </c>
      <c r="C25" s="53">
        <f>COUNTIF(bg_0!G:G,$B25)</f>
        <v>4</v>
      </c>
      <c r="D25" s="53">
        <f>COUNTIF(bg_0!H:H,$B25)</f>
        <v>4</v>
      </c>
      <c r="E25" s="53">
        <f>COUNTIF(bg_0!I:I,$B25)</f>
        <v>4</v>
      </c>
      <c r="F25" s="53">
        <f>COUNTIF(bg_0!J:J,$B25)</f>
        <v>4</v>
      </c>
      <c r="G25" s="33">
        <f>COUNTIF(bg_0!K:K,$B25)</f>
        <v>7</v>
      </c>
      <c r="H25" s="35"/>
    </row>
    <row r="26" spans="2:18" x14ac:dyDescent="0.15">
      <c r="B26" s="165" t="str">
        <v>G3</v>
      </c>
      <c r="C26" s="53">
        <f>COUNTIF(bg_0!G:G,$B26)</f>
        <v>1</v>
      </c>
      <c r="D26" s="53">
        <f>COUNTIF(bg_0!H:H,$B26)</f>
        <v>0</v>
      </c>
      <c r="E26" s="53">
        <f>COUNTIF(bg_0!I:I,$B26)</f>
        <v>3</v>
      </c>
      <c r="F26" s="53">
        <f>COUNTIF(bg_0!J:J,$B26)</f>
        <v>0</v>
      </c>
      <c r="G26" s="33">
        <f>COUNTIF(bg_0!K:K,$B26)</f>
        <v>3</v>
      </c>
      <c r="H26" s="35"/>
    </row>
    <row r="27" spans="2:18" ht="14" thickBot="1" x14ac:dyDescent="0.2">
      <c r="B27" s="73" t="str">
        <v>Scatter</v>
      </c>
      <c r="C27" s="67">
        <f>COUNTIF(bg_0!G:G,$B27)</f>
        <v>0</v>
      </c>
      <c r="D27" s="67">
        <f>COUNTIF(bg_0!H:H,$B27)</f>
        <v>0</v>
      </c>
      <c r="E27" s="67">
        <f>COUNTIF(bg_0!I:I,$B27)</f>
        <v>0</v>
      </c>
      <c r="F27" s="67">
        <f>COUNTIF(bg_0!J:J,$B27)</f>
        <v>0</v>
      </c>
      <c r="G27" s="68">
        <f>COUNTIF(bg_0!K:K,$B27)</f>
        <v>0</v>
      </c>
      <c r="H27" s="35"/>
    </row>
    <row r="28" spans="2:18" ht="14" thickBot="1" x14ac:dyDescent="0.2">
      <c r="B28" s="79" t="s">
        <v>22</v>
      </c>
      <c r="C28" s="80">
        <f>SUM(C17:C27)</f>
        <v>40</v>
      </c>
      <c r="D28" s="80">
        <f>SUM(D17:D27)</f>
        <v>40</v>
      </c>
      <c r="E28" s="80">
        <f>SUM(E17:E27)</f>
        <v>40</v>
      </c>
      <c r="F28" s="80">
        <f>SUM(F17:F27)</f>
        <v>40</v>
      </c>
      <c r="G28" s="36">
        <f>SUM(G17:G27)</f>
        <v>40</v>
      </c>
      <c r="H28" s="35"/>
    </row>
    <row r="29" spans="2:18" ht="14" thickBot="1" x14ac:dyDescent="0.2">
      <c r="I29" s="37" t="s">
        <v>30</v>
      </c>
      <c r="J29" s="38"/>
      <c r="K29" s="38"/>
      <c r="L29" s="38"/>
      <c r="M29" s="38"/>
      <c r="N29" s="38"/>
      <c r="O29" s="38"/>
      <c r="P29" s="38"/>
      <c r="Q29" s="38"/>
      <c r="R29" s="39"/>
    </row>
    <row r="30" spans="2:18" ht="14" thickBot="1" x14ac:dyDescent="0.2">
      <c r="B30" s="29" t="s">
        <v>27</v>
      </c>
      <c r="C30" s="30"/>
      <c r="D30" s="30"/>
      <c r="E30" s="30"/>
      <c r="F30" s="30"/>
      <c r="G30" s="30"/>
      <c r="I30" s="40"/>
      <c r="J30" s="41" t="s">
        <v>3</v>
      </c>
      <c r="K30" s="42"/>
      <c r="L30" s="42"/>
      <c r="M30" s="43"/>
      <c r="N30" s="41" t="s">
        <v>2</v>
      </c>
      <c r="O30" s="42"/>
      <c r="P30" s="42"/>
      <c r="Q30" s="41" t="s">
        <v>1</v>
      </c>
      <c r="R30" s="44"/>
    </row>
    <row r="31" spans="2:18" ht="14" thickBot="1" x14ac:dyDescent="0.2">
      <c r="B31" s="70" t="s">
        <v>0</v>
      </c>
      <c r="C31" s="71" t="s">
        <v>13</v>
      </c>
      <c r="D31" s="71" t="s">
        <v>28</v>
      </c>
      <c r="E31" s="71" t="s">
        <v>15</v>
      </c>
      <c r="F31" s="71"/>
      <c r="G31" s="72"/>
      <c r="I31" s="45" t="s">
        <v>0</v>
      </c>
      <c r="J31" s="46" t="s">
        <v>23</v>
      </c>
      <c r="K31" s="46" t="s">
        <v>24</v>
      </c>
      <c r="L31" s="46" t="s">
        <v>25</v>
      </c>
      <c r="M31" s="47" t="s">
        <v>26</v>
      </c>
      <c r="N31" s="46" t="s">
        <v>24</v>
      </c>
      <c r="O31" s="46" t="s">
        <v>25</v>
      </c>
      <c r="P31" s="47" t="s">
        <v>26</v>
      </c>
      <c r="Q31" s="46" t="s">
        <v>25</v>
      </c>
      <c r="R31" s="48" t="s">
        <v>26</v>
      </c>
    </row>
    <row r="32" spans="2:18" x14ac:dyDescent="0.15">
      <c r="B32" s="69" t="str" cm="1">
        <f t="array" ref="B32:B42">_xlfn.ANCHORARRAY(B17)</f>
        <v>Wild</v>
      </c>
      <c r="C32" s="50">
        <f>C17*D17*E17*F17*G17</f>
        <v>0</v>
      </c>
      <c r="D32" s="50">
        <f>C17*D17*E17*F17*(
+IF(D$3&gt;C$4,G18,IF(D$3&gt;D$4,G18,0))
+IF(D$3&gt;C$5,G19,IF(D$3&gt;D$5,G19,0))
+IF(D$3&gt;C$6,G20,IF(D$3&gt;D$6,G20,0))
+IF(D$3&gt;C$7,G21,IF(D$3&gt;D$7,G21,0))
+IF(D$3&gt;C$8,G22,IF(D$3&gt;D$8,G22,0))
+IF(D$3&gt;C$9,G23,IF(D$3&gt;D$9,G23,0))
+IF(D$3&gt;C$10,G24,IF(D$3&gt;D$10,G24,0))
+IF(D$3&gt;C$11,G25,IF(D$3&gt;D$11,G25,0))
+IF(D$3&gt;C$13,G27,IF(D$3&gt;D$13,G27,0)))</f>
        <v>0</v>
      </c>
      <c r="E32" s="50">
        <f>C17*D17*E17*(
+IF(E$3&gt;D$4,F18,0)
+IF(E$3&gt;D$5,F19,0)
+IF(E$3&gt;D$6,F20,0)
+IF(E$3&gt;D$7,F21,0)
+IF(E$3&gt;D$8,F22,0)
+IF(E$3&gt;D$9,F23,0)
+IF(E$3&gt;D$10,F24,0)
+IF(E$3&gt;D$11,F25,0)
)*(
+IF(E$3&gt;C$4,G18,0)
+IF(E$3&gt;C$5,G19,0)
+IF(E$3&gt;C$6,G20,0)
+IF(E$3&gt;C$7,G21,0)
+IF(E$3&gt;C$8,G22,0)
+IF(E$3&gt;C$9,G23,0)
+IF(E$3&gt;C$10,G24,0)
+IF(E$3&gt;C$11,G25,0)
+G17+G27)</f>
        <v>0</v>
      </c>
      <c r="F32" s="50"/>
      <c r="G32" s="56"/>
      <c r="I32" s="49" t="str" cm="1">
        <f t="array" ref="I32:I40">B17:B25</f>
        <v>Wild</v>
      </c>
      <c r="J32" s="50"/>
      <c r="K32" s="50"/>
      <c r="L32" s="51"/>
      <c r="M32" s="52"/>
      <c r="N32" s="50"/>
      <c r="O32" s="51"/>
      <c r="P32" s="52"/>
      <c r="Q32" s="51"/>
      <c r="R32" s="52"/>
    </row>
    <row r="33" spans="2:19" x14ac:dyDescent="0.15">
      <c r="B33" s="66" t="str">
        <v>R1</v>
      </c>
      <c r="C33" s="53">
        <f>((C18+C$17)*(D18+D$17)*(E18+E$17)*(F18+F$17)*(G18+G$17)-C$17*D$17*E$17*IF($E$3&gt;$C4,(F18+F$17)*(G18+G$17),IF($D$3&gt;$C4,F$17*(G18+G$17),F$17*G$17)))</f>
        <v>15680</v>
      </c>
      <c r="D33" s="53">
        <f>((C18+C$17)*(D18+D$17)*(E18+E$17)*(F18+F$17)-C$17*D$17*IF($E$3&gt;$D4,E$17*(F18+F$17),E$17*F$17))*(G$28-G18-G$17)</f>
        <v>109760</v>
      </c>
      <c r="E33" s="53">
        <f>((C18+C$17)*(D18+D$17)*(E18+E$17)*(F$28-F18-F$17)*G$28)-$C$17*$D$17*$E$17*($F$28-$F$17-F18)*$G$28</f>
        <v>591360</v>
      </c>
      <c r="F33" s="53"/>
      <c r="G33" s="33"/>
      <c r="I33" s="49" t="str">
        <v>R1</v>
      </c>
      <c r="J33" s="53">
        <f>IF($C$3&gt;C4,$C$17*$D$17*$E$17*$F$17*$G$17,0)</f>
        <v>0</v>
      </c>
      <c r="K33" s="53">
        <f>IF($D$3&gt;C4,$C$17*$D$17*$E$17*$F$17*G18,0)</f>
        <v>0</v>
      </c>
      <c r="L33" s="54">
        <f>IF($E$3&gt;C4,$C$17*$D$17*$E$17*F18*($G$17+G18),0)</f>
        <v>0</v>
      </c>
      <c r="M33" s="55">
        <f t="shared" ref="M33:M40" si="1">SUM(J33:L33)</f>
        <v>0</v>
      </c>
      <c r="N33" s="53">
        <f>IF($D$3&gt;D4,$C$17*$D$17*$E$17*$F$17*($G$28-$G$17-G18),0)</f>
        <v>0</v>
      </c>
      <c r="O33" s="54">
        <f>IF($E$3&gt;D4,$C$17*$D$17*$E$17*F18*($G$28-$G$17-G18),0)</f>
        <v>0</v>
      </c>
      <c r="P33" s="55">
        <f t="shared" ref="P33:P40" si="2">SUM(N33:O33)</f>
        <v>0</v>
      </c>
      <c r="Q33" s="54">
        <f>IF($E$3&gt;E4,$C$17*$D$17*$E$17*($F$28-$F$17-F18)*$G$28,0)</f>
        <v>0</v>
      </c>
      <c r="R33" s="55">
        <f t="shared" ref="R33:R40" si="3">SUM(Q33)</f>
        <v>0</v>
      </c>
    </row>
    <row r="34" spans="2:19" x14ac:dyDescent="0.15">
      <c r="B34" s="66" t="str">
        <v>R2</v>
      </c>
      <c r="C34" s="53">
        <f>((C19+C$17)*(D19+D$17)*(E19+E$17)*(F19+F$17)*(G19+G$17)-C$17*D$17*E$17*IF($E$3&gt;$C5,(F19+F$17)*(G19+G$17),IF($D$3&gt;$C5,F$17*(G19+G$17),F$17*G$17)))</f>
        <v>23232</v>
      </c>
      <c r="D34" s="53">
        <f>((C19+C$17)*(D19+D$17)*(E19+E$17)*(F19+F$17)-C$17*D$17*IF($E$3&gt;$D5,E$17*(F19+F$17),E$17*F$17))*(G$28-G19-G$17)</f>
        <v>92928</v>
      </c>
      <c r="E34" s="53">
        <f>((C19+C$17)*(D19+D$17)*(E19+E$17)*(F$28-F19-F$17)*G$28)-$C$17*$D$17*$E$17*($F$28-$F$17-F19)*$G$28</f>
        <v>306240</v>
      </c>
      <c r="F34" s="53"/>
      <c r="G34" s="33"/>
      <c r="I34" s="49" t="str">
        <v>R2</v>
      </c>
      <c r="J34" s="53">
        <f>IF($C$3&gt;C5,$C$17*$D$17*$E$17*$F$17*$G$17,0)</f>
        <v>0</v>
      </c>
      <c r="K34" s="53">
        <f>IF($D$3&gt;C5,$C$17*$D$17*$E$17*$F$17*G19,0)</f>
        <v>0</v>
      </c>
      <c r="L34" s="54">
        <f>IF($E$3&gt;C5,$C$17*$D$17*$E$17*F19*($G$17+G19),0)</f>
        <v>0</v>
      </c>
      <c r="M34" s="55">
        <f t="shared" si="1"/>
        <v>0</v>
      </c>
      <c r="N34" s="53">
        <f>IF($D$3&gt;D5,$C$17*$D$17*$E$17*$F$17*($G$28-$G$17-G19),0)</f>
        <v>0</v>
      </c>
      <c r="O34" s="54">
        <f>IF($E$3&gt;D5,$C$17*$D$17*$E$17*F19*($G$28-$G$17-G19),0)</f>
        <v>0</v>
      </c>
      <c r="P34" s="55">
        <f t="shared" si="2"/>
        <v>0</v>
      </c>
      <c r="Q34" s="54">
        <f>IF($E$3&gt;E5,$C$17*$D$17*$E$17*($F$28-$F$17-F19)*$G$28,0)</f>
        <v>0</v>
      </c>
      <c r="R34" s="55">
        <f t="shared" si="3"/>
        <v>0</v>
      </c>
    </row>
    <row r="35" spans="2:19" x14ac:dyDescent="0.15">
      <c r="B35" s="66" t="str">
        <v>Y1</v>
      </c>
      <c r="C35" s="53">
        <f>((C20+C$17)*(D20+D$17)*(E20+E$17)*(F20+F$17)*(G20+G$17)-C$17*D$17*E$17*IF($E$3&gt;$C6,(F20+F$17)*(G20+G$17),IF($D$3&gt;$C6,F$17*(G20+G$17),F$17*G$17)))</f>
        <v>5040</v>
      </c>
      <c r="D35" s="53">
        <f>((C20+C$17)*(D20+D$17)*(E20+E$17)*(F20+F$17)-C$17*D$17*IF($E$3&gt;$D6,E$17*(F20+F$17),E$17*F$17))*(G$28-G20-G$17)</f>
        <v>35280</v>
      </c>
      <c r="E35" s="53">
        <f>((C20+C$17)*(D20+D$17)*(E20+E$17)*(F$28-F20-F$17)*G$28)-$C$17*$D$17*$E$17*($F$28-$F$17-F20)*$G$28</f>
        <v>190080</v>
      </c>
      <c r="F35" s="53"/>
      <c r="G35" s="33"/>
      <c r="I35" s="49" t="str">
        <v>Y1</v>
      </c>
      <c r="J35" s="53">
        <f>IF($C$3&gt;C6,$C$17*$D$17*$E$17*$F$17*$G$17,0)</f>
        <v>0</v>
      </c>
      <c r="K35" s="53">
        <f>IF($D$3&gt;C6,$C$17*$D$17*$E$17*$F$17*G20,0)</f>
        <v>0</v>
      </c>
      <c r="L35" s="54">
        <f>IF($E$3&gt;C6,$C$17*$D$17*$E$17*F20*($G$17+G20),0)</f>
        <v>0</v>
      </c>
      <c r="M35" s="55">
        <f t="shared" si="1"/>
        <v>0</v>
      </c>
      <c r="N35" s="53">
        <f>IF($D$3&gt;D6,$C$17*$D$17*$E$17*$F$17*($G$28-$G$17-G20),0)</f>
        <v>0</v>
      </c>
      <c r="O35" s="54">
        <f>IF($E$3&gt;D6,$C$17*$D$17*$E$17*F20*($G$28-$G$17-G20),0)</f>
        <v>0</v>
      </c>
      <c r="P35" s="55">
        <f t="shared" si="2"/>
        <v>0</v>
      </c>
      <c r="Q35" s="54">
        <f>IF($E$3&gt;E6,$C$17*$D$17*$E$17*($F$28-$F$17-F20)*$G$28,0)</f>
        <v>0</v>
      </c>
      <c r="R35" s="55">
        <f t="shared" si="3"/>
        <v>0</v>
      </c>
    </row>
    <row r="36" spans="2:19" x14ac:dyDescent="0.15">
      <c r="B36" s="66" t="str">
        <v>Y2</v>
      </c>
      <c r="C36" s="53">
        <f>((C21+C$17)*(D21+D$17)*(E21+E$17)*(F21+F$17)*(G21+G$17)-C$17*D$17*E$17*IF($E$3&gt;$C7,(F21+F$17)*(G21+G$17),IF($D$3&gt;$C7,F$17*(G21+G$17),F$17*G$17)))</f>
        <v>66066</v>
      </c>
      <c r="D36" s="53">
        <f>((C21+C$17)*(D21+D$17)*(E21+E$17)*(F21+F$17)-C$17*D$17*IF($E$3&gt;$D7,E$17*(F21+F$17),E$17*F$17))*(G$28-G21-G$17)</f>
        <v>174174</v>
      </c>
      <c r="E36" s="53">
        <f>((C21+C$17)*(D21+D$17)*(E21+E$17)*(F$28-F21-F$17)*G$28)-$C$17*$D$17*$E$17*($F$28-$F$17-F21)*$G$28</f>
        <v>633360</v>
      </c>
      <c r="F36" s="53"/>
      <c r="G36" s="33"/>
      <c r="I36" s="49" t="str">
        <v>Y2</v>
      </c>
      <c r="J36" s="53">
        <f>IF($C$3&gt;C7,$C$17*$D$17*$E$17*$F$17*$G$17,0)</f>
        <v>0</v>
      </c>
      <c r="K36" s="53">
        <f>IF($D$3&gt;C7,$C$17*$D$17*$E$17*$F$17*G21,0)</f>
        <v>0</v>
      </c>
      <c r="L36" s="54">
        <f>IF($E$3&gt;C7,$C$17*$D$17*$E$17*F21*($G$17+G21),0)</f>
        <v>0</v>
      </c>
      <c r="M36" s="55">
        <f t="shared" si="1"/>
        <v>0</v>
      </c>
      <c r="N36" s="53">
        <f>IF($D$3&gt;D7,$C$17*$D$17*$E$17*$F$17*($G$28-$G$17-G21),0)</f>
        <v>0</v>
      </c>
      <c r="O36" s="54">
        <f>IF($E$3&gt;D7,$C$17*$D$17*$E$17*F21*($G$28-$G$17-G21),0)</f>
        <v>0</v>
      </c>
      <c r="P36" s="55">
        <f t="shared" si="2"/>
        <v>0</v>
      </c>
      <c r="Q36" s="54">
        <f>IF($E$3&gt;E7,$C$17*$D$17*$E$17*($F$28-$F$17-F21)*$G$28,0)</f>
        <v>0</v>
      </c>
      <c r="R36" s="55">
        <f t="shared" si="3"/>
        <v>0</v>
      </c>
    </row>
    <row r="37" spans="2:19" x14ac:dyDescent="0.15">
      <c r="B37" s="66" t="str">
        <v>B1</v>
      </c>
      <c r="C37" s="53">
        <f>((C22+C$17)*(D22+D$17)*(E22+E$17)*(F22+F$17)*(G22+G$17)-C$17*D$17*E$17*IF($E$3&gt;$C8,(F22+F$17)*(G22+G$17),IF($D$3&gt;$C8,F$17*(G22+G$17),F$17*G$17)))</f>
        <v>2800</v>
      </c>
      <c r="D37" s="53">
        <f>((C22+C$17)*(D22+D$17)*(E22+E$17)*(F22+F$17)-C$17*D$17*IF($E$3&gt;$D8,E$17*(F22+F$17),E$17*F$17))*(G$28-G22-G$17)</f>
        <v>19600</v>
      </c>
      <c r="E37" s="53">
        <f>((C22+C$17)*(D22+D$17)*(E22+E$17)*(F$28-F22-F$17)*G$28)-$C$17*$D$17*$E$17*($F$28-$F$17-F22)*$G$28</f>
        <v>89600</v>
      </c>
      <c r="F37" s="53"/>
      <c r="G37" s="33"/>
      <c r="I37" s="49" t="str">
        <v>B1</v>
      </c>
      <c r="J37" s="53">
        <f>IF($C$3&gt;C8,$C$17*$D$17*$E$17*$F$17*$G$17,0)</f>
        <v>0</v>
      </c>
      <c r="K37" s="53">
        <f>IF($D$3&gt;C8,$C$17*$D$17*$E$17*$F$17*G22,0)</f>
        <v>0</v>
      </c>
      <c r="L37" s="54">
        <f>IF($E$3&gt;C8,$C$17*$D$17*$E$17*F22*($G$17+G22),0)</f>
        <v>0</v>
      </c>
      <c r="M37" s="55">
        <f t="shared" si="1"/>
        <v>0</v>
      </c>
      <c r="N37" s="53">
        <f>IF($D$3&gt;D8,$C$17*$D$17*$E$17*$F$17*($G$28-$G$17-G22),0)</f>
        <v>0</v>
      </c>
      <c r="O37" s="54">
        <f>IF($E$3&gt;D8,$C$17*$D$17*$E$17*F22*($G$28-$G$17-G22),0)</f>
        <v>0</v>
      </c>
      <c r="P37" s="55">
        <f t="shared" si="2"/>
        <v>0</v>
      </c>
      <c r="Q37" s="54">
        <f>IF($E$3&gt;E8,$C$17*$D$17*$E$17*($F$28-$F$17-F22)*$G$28,0)</f>
        <v>0</v>
      </c>
      <c r="R37" s="55">
        <f t="shared" si="3"/>
        <v>0</v>
      </c>
      <c r="S37" s="35"/>
    </row>
    <row r="38" spans="2:19" x14ac:dyDescent="0.15">
      <c r="B38" s="66" t="str">
        <v>B2</v>
      </c>
      <c r="C38" s="53">
        <f>((C23+C$17)*(D23+D$17)*(E23+E$17)*(F23+F$17)*(G23+G$17)-C$17*D$17*E$17*IF($E$3&gt;$C9,(F23+F$17)*(G23+G$17),IF($D$3&gt;$C9,F$17*(G23+G$17),F$17*G$17)))</f>
        <v>37800</v>
      </c>
      <c r="D38" s="53">
        <f>((C23+C$17)*(D23+D$17)*(E23+E$17)*(F23+F$17)-C$17*D$17*IF($E$3&gt;$D9,E$17*(F23+F$17),E$17*F$17))*(G$28-G23-G$17)</f>
        <v>178200</v>
      </c>
      <c r="E38" s="53">
        <f>((C23+C$17)*(D23+D$17)*(E23+E$17)*(F$28-F23-F$17)*G$28)-$C$17*$D$17*$E$17*($F$28-$F$17-F23)*$G$28</f>
        <v>744000</v>
      </c>
      <c r="F38" s="53"/>
      <c r="G38" s="33"/>
      <c r="I38" s="49" t="str">
        <v>B2</v>
      </c>
      <c r="J38" s="53">
        <f>IF($C$3&gt;C9,$C$17*$D$17*$E$17*$F$17*$G$17,0)</f>
        <v>0</v>
      </c>
      <c r="K38" s="53">
        <f>IF($D$3&gt;C9,$C$17*$D$17*$E$17*$F$17*G23,0)</f>
        <v>0</v>
      </c>
      <c r="L38" s="54">
        <f>IF($E$3&gt;C9,$C$17*$D$17*$E$17*F23*($G$17+G23),0)</f>
        <v>0</v>
      </c>
      <c r="M38" s="55">
        <f t="shared" si="1"/>
        <v>0</v>
      </c>
      <c r="N38" s="53">
        <f>IF($D$3&gt;D9,$C$17*$D$17*$E$17*$F$17*($G$28-$G$17-G23),0)</f>
        <v>0</v>
      </c>
      <c r="O38" s="54">
        <f>IF($E$3&gt;D9,$C$17*$D$17*$E$17*F23*($G$28-$G$17-G23),0)</f>
        <v>0</v>
      </c>
      <c r="P38" s="55">
        <f t="shared" si="2"/>
        <v>0</v>
      </c>
      <c r="Q38" s="54">
        <f>IF($E$3&gt;E9,$C$17*$D$17*$E$17*($F$28-$F$17-F23)*$G$28,0)</f>
        <v>0</v>
      </c>
      <c r="R38" s="55">
        <f t="shared" si="3"/>
        <v>0</v>
      </c>
      <c r="S38" s="35"/>
    </row>
    <row r="39" spans="2:19" x14ac:dyDescent="0.15">
      <c r="B39" s="66" t="str">
        <v>G1</v>
      </c>
      <c r="C39" s="53">
        <f>((C24+C$17)*(D24+D$17)*(E24+E$17)*(F24+F$17)*(G24+G$17)-C$17*D$17*E$17*IF($E$3&gt;$C10,(F24+F$17)*(G24+G$17),IF($D$3&gt;$C10,F$17*(G24+G$17),F$17*G$17)))</f>
        <v>16464</v>
      </c>
      <c r="D39" s="53">
        <f>((C24+C$17)*(D24+D$17)*(E24+E$17)*(F24+F$17)-C$17*D$17*IF($E$3&gt;$D10,E$17*(F24+F$17),E$17*F$17))*(G$28-G24-G$17)</f>
        <v>77616</v>
      </c>
      <c r="E39" s="53">
        <f>((C24+C$17)*(D24+D$17)*(E24+E$17)*(F$28-F24-F$17)*G$28)-$C$17*$D$17*$E$17*($F$28-$F$17-F24)*$G$28</f>
        <v>443520</v>
      </c>
      <c r="F39" s="53"/>
      <c r="G39" s="33"/>
      <c r="I39" s="49" t="str">
        <v>G1</v>
      </c>
      <c r="J39" s="53">
        <f>IF($C$3&gt;C10,$C$17*$D$17*$E$17*$F$17*$G$17,0)</f>
        <v>0</v>
      </c>
      <c r="K39" s="53">
        <f>IF($D$3&gt;C10,$C$17*$D$17*$E$17*$F$17*G24,0)</f>
        <v>0</v>
      </c>
      <c r="L39" s="54">
        <f>IF($E$3&gt;C10,$C$17*$D$17*$E$17*F24*($G$17+G24),0)</f>
        <v>0</v>
      </c>
      <c r="M39" s="55">
        <f t="shared" si="1"/>
        <v>0</v>
      </c>
      <c r="N39" s="53">
        <f>IF($D$3&gt;D10,$C$17*$D$17*$E$17*$F$17*($G$28-$G$17-G24),0)</f>
        <v>0</v>
      </c>
      <c r="O39" s="54">
        <f>IF($E$3&gt;D10,$C$17*$D$17*$E$17*F24*($G$28-$G$17-G24),0)</f>
        <v>0</v>
      </c>
      <c r="P39" s="55">
        <f t="shared" si="2"/>
        <v>0</v>
      </c>
      <c r="Q39" s="54">
        <f>IF($E$3&gt;E10,$C$17*$D$17*$E$17*($F$28-$F$17-F24)*$G$28,0)</f>
        <v>0</v>
      </c>
      <c r="R39" s="55">
        <f t="shared" si="3"/>
        <v>0</v>
      </c>
      <c r="S39" s="35"/>
    </row>
    <row r="40" spans="2:19" ht="14" thickBot="1" x14ac:dyDescent="0.2">
      <c r="B40" s="66" t="str">
        <v>G2</v>
      </c>
      <c r="C40" s="53">
        <f>((C25+C$17)*(D25+D$17)*(E25+E$17)*(F25+F$17)*(G25+G$17)-C$17*D$17*E$17*IF($E$3&gt;$C11,(F25+F$17)*(G25+G$17),IF($D$3&gt;$C11,F$17*(G25+G$17),F$17*G$17)))</f>
        <v>22400</v>
      </c>
      <c r="D40" s="53">
        <f>((C25+C$17)*(D25+D$17)*(E25+E$17)*(F25+F$17)-C$17*D$17*IF($E$3&gt;$D11,E$17*(F25+F$17),E$17*F$17))*(G$28-G25-G$17)</f>
        <v>67200</v>
      </c>
      <c r="E40" s="53">
        <f>((C25+C$17)*(D25+D$17)*(E25+E$17)*(F$28-F25-F$17)*G$28)-$C$17*$D$17*$E$17*($F$28-$F$17-F25)*$G$28</f>
        <v>358400</v>
      </c>
      <c r="F40" s="53"/>
      <c r="G40" s="33"/>
      <c r="I40" s="57" t="str">
        <v>G2</v>
      </c>
      <c r="J40" s="58">
        <f>IF($C$3&gt;C11,$C$17*$D$17*$E$17*$F$17*$G$17,0)</f>
        <v>0</v>
      </c>
      <c r="K40" s="58">
        <f>IF($D$3&gt;C11,$C$17*$D$17*$E$17*$F$17*G25,0)</f>
        <v>0</v>
      </c>
      <c r="L40" s="59">
        <f>IF($E$3&gt;C11,$C$17*$D$17*$E$17*F25*($G$17+G25),0)</f>
        <v>0</v>
      </c>
      <c r="M40" s="60">
        <f t="shared" si="1"/>
        <v>0</v>
      </c>
      <c r="N40" s="58">
        <f>IF($D$3&gt;D11,$C$17*$D$17*$E$17*$F$17*($G$28-$G$17-G25),0)</f>
        <v>0</v>
      </c>
      <c r="O40" s="59">
        <f>IF($E$3&gt;D11,$C$17*$D$17*$E$17*F25*($G$28-$G$17-G25),0)</f>
        <v>0</v>
      </c>
      <c r="P40" s="60">
        <f t="shared" si="2"/>
        <v>0</v>
      </c>
      <c r="Q40" s="59">
        <f>IF($E$3&gt;E11,$C$17*$D$17*$E$17*($F$28-$F$17-F25)*$G$28,0)</f>
        <v>0</v>
      </c>
      <c r="R40" s="60">
        <f t="shared" si="3"/>
        <v>0</v>
      </c>
    </row>
    <row r="41" spans="2:19" x14ac:dyDescent="0.15">
      <c r="B41" s="165" t="str">
        <v>G3</v>
      </c>
      <c r="C41" s="53">
        <f>((C26+C$17)*(D26+D$17)*(E26+E$17)*(F26+F$17)*(G26+G$17)-C$17*D$17*E$17*IF($E$3&gt;$C12,(F26+F$17)*(G26+G$17),IF($D$3&gt;$C12,F$17*(G26+G$17),F$17*G$17)))</f>
        <v>648</v>
      </c>
      <c r="D41" s="53">
        <f>((C26+C$17)*(D26+D$17)*(E26+E$17)*(F26+F$17)-C$17*D$17*IF($E$3&gt;$D12,E$17*(F26+F$17),E$17*F$17))*(G$28-G26-G$17)</f>
        <v>3672</v>
      </c>
      <c r="E41" s="53">
        <f>((C26+C$17)*(D26+D$17)*(E26+E$17)*(F$28-F26-F$17)*G$28)-$C$17*$D$17*$E$17*($F$28-$F$17-F26)*$G$28</f>
        <v>38880</v>
      </c>
      <c r="F41" s="166"/>
      <c r="G41" s="167"/>
      <c r="I41" s="168"/>
      <c r="J41" s="169"/>
      <c r="K41" s="169"/>
      <c r="L41" s="169"/>
      <c r="M41" s="169"/>
      <c r="N41" s="169"/>
      <c r="O41" s="169"/>
      <c r="P41" s="169"/>
      <c r="Q41" s="169"/>
      <c r="R41" s="169"/>
    </row>
    <row r="42" spans="2:19" ht="14" thickBot="1" x14ac:dyDescent="0.2">
      <c r="B42" s="73" t="str">
        <v>Scatter</v>
      </c>
      <c r="C42" s="67">
        <v>0</v>
      </c>
      <c r="D42" s="67">
        <v>0</v>
      </c>
      <c r="E42" s="67">
        <v>0</v>
      </c>
      <c r="F42" s="67"/>
      <c r="G42" s="68"/>
    </row>
    <row r="43" spans="2:19" x14ac:dyDescent="0.15">
      <c r="B43" s="65"/>
      <c r="C43" s="35"/>
      <c r="D43" s="35"/>
      <c r="E43" s="35"/>
      <c r="F43" s="35"/>
      <c r="G43" s="35"/>
    </row>
    <row r="45" spans="2:19" ht="14" thickBot="1" x14ac:dyDescent="0.2"/>
    <row r="46" spans="2:19" ht="14" thickBot="1" x14ac:dyDescent="0.2">
      <c r="B46" s="29" t="s">
        <v>29</v>
      </c>
      <c r="C46" s="30"/>
      <c r="D46" s="30"/>
      <c r="E46" s="30"/>
      <c r="F46" s="30"/>
      <c r="G46" s="30"/>
      <c r="I46" s="29" t="s">
        <v>110</v>
      </c>
      <c r="J46" s="30"/>
      <c r="K46" s="30"/>
      <c r="L46" s="30"/>
      <c r="M46" s="30"/>
      <c r="N46" s="30"/>
    </row>
    <row r="47" spans="2:19" ht="14" thickBot="1" x14ac:dyDescent="0.2">
      <c r="B47" s="70" t="s">
        <v>0</v>
      </c>
      <c r="C47" s="71" t="s">
        <v>13</v>
      </c>
      <c r="D47" s="71" t="s">
        <v>28</v>
      </c>
      <c r="E47" s="71" t="s">
        <v>15</v>
      </c>
      <c r="F47" s="71"/>
      <c r="G47" s="72"/>
      <c r="I47" s="70" t="s">
        <v>0</v>
      </c>
      <c r="J47" s="71" t="s">
        <v>13</v>
      </c>
      <c r="K47" s="71" t="s">
        <v>28</v>
      </c>
      <c r="L47" s="71" t="s">
        <v>15</v>
      </c>
      <c r="M47" s="71"/>
      <c r="N47" s="72"/>
    </row>
    <row r="48" spans="2:19" x14ac:dyDescent="0.15">
      <c r="B48" s="69" t="str" cm="1">
        <f t="array" ref="B48:B58">_xlfn.ANCHORARRAY(B17)</f>
        <v>Wild</v>
      </c>
      <c r="C48" s="50">
        <f>C32*C3*$J$8</f>
        <v>0</v>
      </c>
      <c r="D48" s="50">
        <f t="shared" ref="D48:E48" si="4">D32*D3*$J$8</f>
        <v>0</v>
      </c>
      <c r="E48" s="50">
        <f t="shared" si="4"/>
        <v>0</v>
      </c>
      <c r="F48" s="50"/>
      <c r="G48" s="56"/>
      <c r="I48" s="69" t="str" cm="1">
        <f t="array" ref="I48:I58">_xlfn.ANCHORARRAY(B17)</f>
        <v>Wild</v>
      </c>
      <c r="J48" s="50">
        <f>C48</f>
        <v>0</v>
      </c>
      <c r="K48" s="50">
        <f t="shared" ref="K48:L48" si="5">D48</f>
        <v>0</v>
      </c>
      <c r="L48" s="50">
        <f t="shared" si="5"/>
        <v>0</v>
      </c>
      <c r="M48" s="50"/>
      <c r="N48" s="56"/>
    </row>
    <row r="49" spans="2:14" x14ac:dyDescent="0.15">
      <c r="B49" s="66" t="str">
        <v>R1</v>
      </c>
      <c r="C49" s="50">
        <f t="shared" ref="C49:E49" si="6">C33*C4*$J$8</f>
        <v>1568000</v>
      </c>
      <c r="D49" s="50">
        <f t="shared" si="6"/>
        <v>4390400</v>
      </c>
      <c r="E49" s="50">
        <f t="shared" si="6"/>
        <v>5913600</v>
      </c>
      <c r="F49" s="53"/>
      <c r="G49" s="33"/>
      <c r="I49" s="66" t="str">
        <v>R1</v>
      </c>
      <c r="J49" s="50">
        <f>C49*$M$3*(1+$M$4*$N$4)*(1+$M$5*$N$5)</f>
        <v>8134678.2129316023</v>
      </c>
      <c r="K49" s="50">
        <f t="shared" ref="K49:L49" si="7">D49*$M$3*(1+$M$4*$N$4)*(1+$M$5*$N$5)</f>
        <v>22777098.996208489</v>
      </c>
      <c r="L49" s="50">
        <f t="shared" si="7"/>
        <v>30679357.83162776</v>
      </c>
      <c r="M49" s="53"/>
      <c r="N49" s="33"/>
    </row>
    <row r="50" spans="2:14" x14ac:dyDescent="0.15">
      <c r="B50" s="66" t="str">
        <v>R2</v>
      </c>
      <c r="C50" s="50">
        <f t="shared" ref="C50:E50" si="8">C34*C5*$J$8</f>
        <v>1161600</v>
      </c>
      <c r="D50" s="50">
        <f t="shared" si="8"/>
        <v>1858560</v>
      </c>
      <c r="E50" s="50">
        <f t="shared" si="8"/>
        <v>1531200</v>
      </c>
      <c r="F50" s="53"/>
      <c r="G50" s="33"/>
      <c r="I50" s="66" t="str">
        <v>R2</v>
      </c>
      <c r="J50" s="50">
        <f>C50*$M$3*(1+$M$4*$N$4)*(1+$M$5*$N$5)</f>
        <v>6026302.4312125966</v>
      </c>
      <c r="K50" s="50">
        <f t="shared" ref="K50" si="9">D50*$M$3*(1+$M$4*$N$4)*(1+$M$5*$N$5)</f>
        <v>9642083.8899401538</v>
      </c>
      <c r="L50" s="50">
        <f t="shared" ref="L50" si="10">E50*$M$3*(1+$M$4*$N$4)*(1+$M$5*$N$5)</f>
        <v>7943762.2956893304</v>
      </c>
      <c r="M50" s="53"/>
      <c r="N50" s="33"/>
    </row>
    <row r="51" spans="2:14" x14ac:dyDescent="0.15">
      <c r="B51" s="66" t="str">
        <v>Y1</v>
      </c>
      <c r="C51" s="50">
        <f t="shared" ref="C51:E51" si="11">C35*C6*$J$8</f>
        <v>504000</v>
      </c>
      <c r="D51" s="50">
        <f t="shared" si="11"/>
        <v>1411200</v>
      </c>
      <c r="E51" s="50">
        <f t="shared" si="11"/>
        <v>1900800</v>
      </c>
      <c r="F51" s="53"/>
      <c r="G51" s="33"/>
      <c r="I51" s="66" t="str">
        <v>Y1</v>
      </c>
      <c r="J51" s="50">
        <f>C51*$M$4*(1+$M$3*$N$3)*(1+$M$5*$N$5)</f>
        <v>2618759.0158292945</v>
      </c>
      <c r="K51" s="50">
        <f t="shared" ref="K51:L51" si="12">D51*$M$4*(1+$M$3*$N$3)*(1+$M$5*$N$5)</f>
        <v>7332525.2443220234</v>
      </c>
      <c r="L51" s="50">
        <f t="shared" si="12"/>
        <v>9876462.5739847682</v>
      </c>
      <c r="M51" s="53"/>
      <c r="N51" s="33"/>
    </row>
    <row r="52" spans="2:14" x14ac:dyDescent="0.15">
      <c r="B52" s="66" t="str">
        <v>Y2</v>
      </c>
      <c r="C52" s="50">
        <f t="shared" ref="C52:E52" si="13">C36*C7*$J$8</f>
        <v>3303300</v>
      </c>
      <c r="D52" s="50">
        <f t="shared" si="13"/>
        <v>3483480</v>
      </c>
      <c r="E52" s="50">
        <f t="shared" si="13"/>
        <v>3166800</v>
      </c>
      <c r="F52" s="53"/>
      <c r="G52" s="33"/>
      <c r="I52" s="66" t="str">
        <v>Y2</v>
      </c>
      <c r="J52" s="50">
        <f>C52*$M$4*(1+$M$3*$N$3)*(1+$M$5*$N$5)</f>
        <v>17163783.049581163</v>
      </c>
      <c r="K52" s="50">
        <f t="shared" ref="K52" si="14">D52*$M$4*(1+$M$3*$N$3)*(1+$M$5*$N$5)</f>
        <v>18099989.397740137</v>
      </c>
      <c r="L52" s="50">
        <f t="shared" ref="L52" si="15">E52*$M$4*(1+$M$3*$N$3)*(1+$M$5*$N$5)</f>
        <v>16454535.816127397</v>
      </c>
      <c r="M52" s="53"/>
      <c r="N52" s="33"/>
    </row>
    <row r="53" spans="2:14" x14ac:dyDescent="0.15">
      <c r="B53" s="66" t="str">
        <v>B1</v>
      </c>
      <c r="C53" s="50">
        <f t="shared" ref="C53:E53" si="16">C37*C8*$J$8</f>
        <v>280000</v>
      </c>
      <c r="D53" s="50">
        <f t="shared" si="16"/>
        <v>784000</v>
      </c>
      <c r="E53" s="50">
        <f t="shared" si="16"/>
        <v>896000</v>
      </c>
      <c r="F53" s="53"/>
      <c r="G53" s="33"/>
      <c r="I53" s="66" t="str">
        <v>B1</v>
      </c>
      <c r="J53" s="50">
        <f>C53*$M$5*(1+$M$3*$N$3)*(1+$M$4*$N$4)</f>
        <v>1324103.2033351683</v>
      </c>
      <c r="K53" s="50">
        <f t="shared" ref="K53:L53" si="17">D53*$M$5*(1+$M$3*$N$3)*(1+$M$4*$N$4)</f>
        <v>3707488.969338472</v>
      </c>
      <c r="L53" s="50">
        <f t="shared" si="17"/>
        <v>4237130.2506725388</v>
      </c>
      <c r="M53" s="53"/>
      <c r="N53" s="33"/>
    </row>
    <row r="54" spans="2:14" x14ac:dyDescent="0.15">
      <c r="B54" s="66" t="str">
        <v>B2</v>
      </c>
      <c r="C54" s="50">
        <f t="shared" ref="C54:E54" si="18">C38*C9*$J$8</f>
        <v>1890000</v>
      </c>
      <c r="D54" s="50">
        <f t="shared" si="18"/>
        <v>3564000</v>
      </c>
      <c r="E54" s="50">
        <f t="shared" si="18"/>
        <v>3720000</v>
      </c>
      <c r="F54" s="53"/>
      <c r="G54" s="33"/>
      <c r="I54" s="66" t="str">
        <v>B2</v>
      </c>
      <c r="J54" s="50">
        <f>C54*$M$5*(1+$M$3*$N$3)*(1+$M$4*$N$4)</f>
        <v>8937696.6225123871</v>
      </c>
      <c r="K54" s="50">
        <f t="shared" ref="K54" si="19">D54*$M$5*(1+$M$3*$N$3)*(1+$M$4*$N$4)</f>
        <v>16853942.202451933</v>
      </c>
      <c r="L54" s="50">
        <f t="shared" ref="L54" si="20">E54*$M$5*(1+$M$3*$N$3)*(1+$M$4*$N$4)</f>
        <v>17591656.844310094</v>
      </c>
      <c r="M54" s="53"/>
      <c r="N54" s="33"/>
    </row>
    <row r="55" spans="2:14" x14ac:dyDescent="0.15">
      <c r="B55" s="66" t="str">
        <v>G1</v>
      </c>
      <c r="C55" s="50">
        <f t="shared" ref="C55:E55" si="21">C39*C10*$J$8</f>
        <v>411600</v>
      </c>
      <c r="D55" s="50">
        <f t="shared" si="21"/>
        <v>776160</v>
      </c>
      <c r="E55" s="50">
        <f t="shared" si="21"/>
        <v>1108800</v>
      </c>
      <c r="F55" s="53"/>
      <c r="G55" s="33"/>
      <c r="I55" s="66" t="str">
        <v>G1</v>
      </c>
      <c r="J55" s="50">
        <f t="shared" ref="J49:J57" si="22">C55</f>
        <v>411600</v>
      </c>
      <c r="K55" s="50">
        <f t="shared" ref="K49:K57" si="23">D55</f>
        <v>776160</v>
      </c>
      <c r="L55" s="50">
        <f t="shared" ref="L49:L57" si="24">E55</f>
        <v>1108800</v>
      </c>
      <c r="M55" s="53"/>
      <c r="N55" s="33"/>
    </row>
    <row r="56" spans="2:14" x14ac:dyDescent="0.15">
      <c r="B56" s="66" t="str">
        <v>G2</v>
      </c>
      <c r="C56" s="50">
        <f t="shared" ref="C56:E57" si="25">C40*C11*$J$8</f>
        <v>560000</v>
      </c>
      <c r="D56" s="50">
        <f t="shared" si="25"/>
        <v>672000</v>
      </c>
      <c r="E56" s="50">
        <f t="shared" si="25"/>
        <v>896000</v>
      </c>
      <c r="F56" s="53"/>
      <c r="G56" s="33"/>
      <c r="I56" s="66" t="str">
        <v>G2</v>
      </c>
      <c r="J56" s="50">
        <f t="shared" si="22"/>
        <v>560000</v>
      </c>
      <c r="K56" s="50">
        <f t="shared" si="23"/>
        <v>672000</v>
      </c>
      <c r="L56" s="50">
        <f t="shared" si="24"/>
        <v>896000</v>
      </c>
      <c r="M56" s="53"/>
      <c r="N56" s="33"/>
    </row>
    <row r="57" spans="2:14" x14ac:dyDescent="0.15">
      <c r="B57" s="165" t="str">
        <v>G3</v>
      </c>
      <c r="C57" s="50">
        <f t="shared" si="25"/>
        <v>16200</v>
      </c>
      <c r="D57" s="50">
        <f t="shared" si="25"/>
        <v>36720</v>
      </c>
      <c r="E57" s="50">
        <f t="shared" si="25"/>
        <v>97200</v>
      </c>
      <c r="F57" s="166"/>
      <c r="G57" s="167"/>
      <c r="I57" s="165" t="str">
        <v>G3</v>
      </c>
      <c r="J57" s="50">
        <f t="shared" si="22"/>
        <v>16200</v>
      </c>
      <c r="K57" s="50">
        <f t="shared" si="23"/>
        <v>36720</v>
      </c>
      <c r="L57" s="50">
        <f t="shared" si="24"/>
        <v>97200</v>
      </c>
      <c r="M57" s="166"/>
      <c r="N57" s="177">
        <f>SUM(J48:L58)/PRODUCT(C28:G28)</f>
        <v>2.0896097348419467</v>
      </c>
    </row>
    <row r="58" spans="2:14" ht="14" thickBot="1" x14ac:dyDescent="0.2">
      <c r="B58" s="73" t="str">
        <v>Scatter</v>
      </c>
      <c r="C58" s="67">
        <v>0</v>
      </c>
      <c r="D58" s="67">
        <v>0</v>
      </c>
      <c r="E58" s="67">
        <v>0</v>
      </c>
      <c r="F58" s="67"/>
      <c r="G58" s="68"/>
      <c r="I58" s="73" t="str">
        <v>Scatter</v>
      </c>
      <c r="J58" s="67">
        <v>0</v>
      </c>
      <c r="K58" s="67">
        <v>0</v>
      </c>
      <c r="L58" s="67">
        <v>0</v>
      </c>
      <c r="M58" s="67"/>
      <c r="N58" s="68"/>
    </row>
    <row r="59" spans="2:14" ht="14" thickBot="1" x14ac:dyDescent="0.2"/>
    <row r="60" spans="2:14" ht="14" thickBot="1" x14ac:dyDescent="0.2">
      <c r="B60" s="29" t="s">
        <v>100</v>
      </c>
      <c r="C60" s="30"/>
      <c r="D60" s="30"/>
      <c r="E60" s="30"/>
      <c r="F60" s="30"/>
      <c r="G60" s="30"/>
      <c r="I60" s="18"/>
      <c r="L60" s="171"/>
    </row>
    <row r="61" spans="2:14" ht="16" thickBot="1" x14ac:dyDescent="0.25">
      <c r="B61" s="70" t="s">
        <v>0</v>
      </c>
      <c r="C61" s="71" t="s">
        <v>13</v>
      </c>
      <c r="D61" s="71" t="s">
        <v>28</v>
      </c>
      <c r="E61" s="71" t="s">
        <v>15</v>
      </c>
      <c r="F61" s="71"/>
      <c r="G61" s="72"/>
      <c r="I61" s="35"/>
      <c r="L61" s="174"/>
    </row>
    <row r="62" spans="2:14" ht="15" x14ac:dyDescent="0.2">
      <c r="B62" s="69" t="s">
        <v>4</v>
      </c>
      <c r="C62" s="173">
        <f>C32/PRODUCT($C$28:$G$28)</f>
        <v>0</v>
      </c>
      <c r="D62" s="173">
        <f t="shared" ref="D62:E62" si="26">D32/PRODUCT($C$28:$G$28)</f>
        <v>0</v>
      </c>
      <c r="E62" s="173">
        <f t="shared" si="26"/>
        <v>0</v>
      </c>
      <c r="F62" s="50"/>
      <c r="G62" s="56"/>
      <c r="J62" s="35"/>
      <c r="L62" s="175"/>
    </row>
    <row r="63" spans="2:14" ht="15" x14ac:dyDescent="0.2">
      <c r="B63" s="66" t="s">
        <v>86</v>
      </c>
      <c r="C63" s="173">
        <f t="shared" ref="C63:E63" si="27">C33/PRODUCT($C$28:$G$28)</f>
        <v>1.53125E-4</v>
      </c>
      <c r="D63" s="173">
        <f t="shared" si="27"/>
        <v>1.0718749999999999E-3</v>
      </c>
      <c r="E63" s="173">
        <f t="shared" si="27"/>
        <v>5.7749999999999998E-3</v>
      </c>
      <c r="F63" s="53"/>
      <c r="G63" s="33"/>
      <c r="K63" s="35"/>
      <c r="L63" s="175"/>
    </row>
    <row r="64" spans="2:14" x14ac:dyDescent="0.15">
      <c r="B64" s="66" t="s">
        <v>87</v>
      </c>
      <c r="C64" s="173">
        <f t="shared" ref="C64:E64" si="28">C34/PRODUCT($C$28:$G$28)</f>
        <v>2.26875E-4</v>
      </c>
      <c r="D64" s="173">
        <f t="shared" si="28"/>
        <v>9.075E-4</v>
      </c>
      <c r="E64" s="173">
        <f t="shared" si="28"/>
        <v>2.9906249999999998E-3</v>
      </c>
      <c r="F64" s="53" t="s">
        <v>96</v>
      </c>
      <c r="G64" s="176">
        <f>SUM(C63:E64)</f>
        <v>1.1124999999999999E-2</v>
      </c>
    </row>
    <row r="65" spans="2:20" x14ac:dyDescent="0.15">
      <c r="B65" s="66" t="s">
        <v>88</v>
      </c>
      <c r="C65" s="173">
        <f t="shared" ref="C65:E65" si="29">C35/PRODUCT($C$28:$G$28)</f>
        <v>4.921875E-5</v>
      </c>
      <c r="D65" s="173">
        <f t="shared" si="29"/>
        <v>3.4453125E-4</v>
      </c>
      <c r="E65" s="173">
        <f t="shared" si="29"/>
        <v>1.85625E-3</v>
      </c>
      <c r="F65" s="53"/>
      <c r="G65" s="33"/>
    </row>
    <row r="66" spans="2:20" x14ac:dyDescent="0.15">
      <c r="B66" s="66" t="s">
        <v>89</v>
      </c>
      <c r="C66" s="173">
        <f t="shared" ref="C66:E66" si="30">C36/PRODUCT($C$28:$G$28)</f>
        <v>6.4517578125000002E-4</v>
      </c>
      <c r="D66" s="173">
        <f t="shared" si="30"/>
        <v>1.7009179687500001E-3</v>
      </c>
      <c r="E66" s="173">
        <f t="shared" si="30"/>
        <v>6.1851562499999997E-3</v>
      </c>
      <c r="F66" s="53" t="s">
        <v>97</v>
      </c>
      <c r="G66" s="176">
        <f>SUM(C65:E66)</f>
        <v>1.0781249999999999E-2</v>
      </c>
    </row>
    <row r="67" spans="2:20" x14ac:dyDescent="0.15">
      <c r="B67" s="66" t="s">
        <v>90</v>
      </c>
      <c r="C67" s="173">
        <f t="shared" ref="C67:E67" si="31">C37/PRODUCT($C$28:$G$28)</f>
        <v>2.7343750000000001E-5</v>
      </c>
      <c r="D67" s="173">
        <f t="shared" si="31"/>
        <v>1.9140625000000001E-4</v>
      </c>
      <c r="E67" s="173">
        <f t="shared" si="31"/>
        <v>8.7500000000000002E-4</v>
      </c>
      <c r="F67" s="53"/>
      <c r="G67" s="33"/>
    </row>
    <row r="68" spans="2:20" x14ac:dyDescent="0.15">
      <c r="B68" s="66" t="s">
        <v>91</v>
      </c>
      <c r="C68" s="173">
        <f t="shared" ref="C68:E68" si="32">C38/PRODUCT($C$28:$G$28)</f>
        <v>3.69140625E-4</v>
      </c>
      <c r="D68" s="173">
        <f t="shared" si="32"/>
        <v>1.740234375E-3</v>
      </c>
      <c r="E68" s="173">
        <f t="shared" si="32"/>
        <v>7.2656250000000004E-3</v>
      </c>
      <c r="F68" s="53" t="s">
        <v>98</v>
      </c>
      <c r="G68" s="176">
        <f>SUM(C67:E68)</f>
        <v>1.0468750000000001E-2</v>
      </c>
      <c r="H68" s="86"/>
      <c r="I68" s="86"/>
      <c r="J68" s="86"/>
      <c r="K68" s="86"/>
      <c r="L68" s="86"/>
      <c r="M68" s="86"/>
    </row>
    <row r="69" spans="2:20" x14ac:dyDescent="0.15">
      <c r="B69" s="66" t="s">
        <v>92</v>
      </c>
      <c r="C69" s="173">
        <f t="shared" ref="C69:E69" si="33">C39/PRODUCT($C$28:$G$28)</f>
        <v>1.6078125000000001E-4</v>
      </c>
      <c r="D69" s="173">
        <f t="shared" si="33"/>
        <v>7.5796874999999996E-4</v>
      </c>
      <c r="E69" s="173">
        <f t="shared" si="33"/>
        <v>4.33125E-3</v>
      </c>
      <c r="F69" s="53"/>
      <c r="G69" s="33"/>
      <c r="H69" s="86"/>
      <c r="I69" s="86"/>
      <c r="J69" s="86"/>
      <c r="K69" s="86"/>
      <c r="L69" s="86"/>
      <c r="M69" s="86"/>
    </row>
    <row r="70" spans="2:20" x14ac:dyDescent="0.15">
      <c r="B70" s="66" t="s">
        <v>93</v>
      </c>
      <c r="C70" s="173">
        <f t="shared" ref="C70:E70" si="34">C40/PRODUCT($C$28:$G$28)</f>
        <v>2.1875E-4</v>
      </c>
      <c r="D70" s="173">
        <f t="shared" si="34"/>
        <v>6.5625000000000004E-4</v>
      </c>
      <c r="E70" s="173">
        <f t="shared" si="34"/>
        <v>3.5000000000000001E-3</v>
      </c>
      <c r="F70" s="53"/>
      <c r="G70" s="33"/>
      <c r="H70" s="86"/>
      <c r="I70" s="86"/>
      <c r="J70" s="86"/>
      <c r="K70" s="86"/>
      <c r="L70" s="86"/>
      <c r="M70" s="86"/>
    </row>
    <row r="71" spans="2:20" x14ac:dyDescent="0.15">
      <c r="B71" s="165" t="s">
        <v>94</v>
      </c>
      <c r="C71" s="173">
        <f t="shared" ref="C71:E71" si="35">C41/PRODUCT($C$28:$G$28)</f>
        <v>6.3281249999999997E-6</v>
      </c>
      <c r="D71" s="173">
        <f t="shared" si="35"/>
        <v>3.5859375000000003E-5</v>
      </c>
      <c r="E71" s="173">
        <f t="shared" si="35"/>
        <v>3.7968749999999998E-4</v>
      </c>
      <c r="F71" s="166"/>
      <c r="G71" s="167"/>
    </row>
    <row r="72" spans="2:20" ht="14" thickBot="1" x14ac:dyDescent="0.2">
      <c r="B72" s="73" t="s">
        <v>5</v>
      </c>
      <c r="C72" s="67">
        <v>0</v>
      </c>
      <c r="D72" s="67">
        <v>0</v>
      </c>
      <c r="E72" s="67">
        <v>0</v>
      </c>
      <c r="F72" s="67"/>
      <c r="G72" s="68"/>
    </row>
    <row r="74" spans="2:20" x14ac:dyDescent="0.15">
      <c r="N74" s="86"/>
      <c r="O74" s="86"/>
      <c r="P74" s="86"/>
      <c r="R74" s="93"/>
      <c r="S74" s="93"/>
      <c r="T74" s="93"/>
    </row>
    <row r="75" spans="2:20" x14ac:dyDescent="0.15">
      <c r="N75" s="86"/>
      <c r="O75" s="86"/>
      <c r="P75" s="86"/>
      <c r="R75" s="93"/>
      <c r="S75" s="93"/>
      <c r="T75" s="93"/>
    </row>
    <row r="76" spans="2:20" x14ac:dyDescent="0.15">
      <c r="N76" s="86"/>
      <c r="O76" s="86"/>
      <c r="P76" s="86"/>
      <c r="R76" s="93"/>
      <c r="S76" s="93"/>
      <c r="T76" s="93"/>
    </row>
    <row r="77" spans="2:20" x14ac:dyDescent="0.15">
      <c r="N77" s="86"/>
      <c r="O77" s="86"/>
      <c r="P77" s="86"/>
      <c r="R77" s="93"/>
      <c r="S77" s="93"/>
      <c r="T77" s="93"/>
    </row>
    <row r="78" spans="2:20" x14ac:dyDescent="0.15">
      <c r="N78" s="86"/>
      <c r="O78" s="86"/>
      <c r="P78" s="86"/>
      <c r="R78" s="93"/>
      <c r="S78" s="93"/>
      <c r="T78" s="93"/>
    </row>
    <row r="79" spans="2:20" x14ac:dyDescent="0.15">
      <c r="N79" s="86"/>
      <c r="O79" s="86"/>
      <c r="P79" s="86"/>
      <c r="R79" s="93"/>
      <c r="S79" s="93"/>
      <c r="T79" s="93"/>
    </row>
    <row r="80" spans="2:20" x14ac:dyDescent="0.15">
      <c r="N80" s="86"/>
      <c r="O80" s="86"/>
      <c r="P80" s="86"/>
      <c r="R80" s="93"/>
      <c r="S80" s="93"/>
      <c r="T80" s="93"/>
    </row>
    <row r="81" spans="3:20" x14ac:dyDescent="0.15">
      <c r="N81" s="86"/>
      <c r="O81" s="86"/>
      <c r="P81" s="86"/>
      <c r="R81" s="93"/>
      <c r="S81" s="93"/>
      <c r="T81" s="93"/>
    </row>
    <row r="82" spans="3:20" x14ac:dyDescent="0.15">
      <c r="N82" s="86"/>
      <c r="O82" s="86"/>
      <c r="P82" s="86"/>
      <c r="R82" s="93"/>
      <c r="S82" s="93"/>
      <c r="T82" s="93"/>
    </row>
    <row r="83" spans="3:20" x14ac:dyDescent="0.15">
      <c r="N83" s="86"/>
      <c r="O83" s="86"/>
      <c r="P83" s="86"/>
      <c r="R83" s="93"/>
      <c r="S83" s="93"/>
      <c r="T83" s="93"/>
    </row>
    <row r="88" spans="3:20" x14ac:dyDescent="0.15">
      <c r="C88" s="94"/>
      <c r="D88" s="94"/>
      <c r="E88" s="94"/>
    </row>
    <row r="89" spans="3:20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20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20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20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20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20" x14ac:dyDescent="0.15">
      <c r="C94" s="94"/>
      <c r="D94" s="94"/>
      <c r="E94" s="94"/>
      <c r="G94" s="95"/>
      <c r="H94" s="95"/>
      <c r="I94" s="95"/>
      <c r="O94" s="85"/>
      <c r="P94" s="85"/>
      <c r="Q94" s="85"/>
    </row>
    <row r="95" spans="3:20" x14ac:dyDescent="0.15">
      <c r="C95" s="94"/>
      <c r="D95" s="94"/>
      <c r="E95" s="94"/>
      <c r="G95" s="95"/>
      <c r="H95" s="95"/>
      <c r="I95" s="95"/>
      <c r="O95" s="85"/>
      <c r="P95" s="85"/>
      <c r="Q95" s="85"/>
    </row>
    <row r="96" spans="3:20" x14ac:dyDescent="0.15">
      <c r="C96" s="94"/>
      <c r="D96" s="94"/>
      <c r="E96" s="94"/>
      <c r="G96" s="95"/>
      <c r="H96" s="95"/>
      <c r="I96" s="95"/>
      <c r="O96" s="85"/>
      <c r="P96" s="85"/>
      <c r="Q96" s="85"/>
    </row>
    <row r="97" spans="3:17" x14ac:dyDescent="0.15">
      <c r="C97" s="94"/>
      <c r="D97" s="94"/>
      <c r="E97" s="94"/>
      <c r="G97" s="95"/>
      <c r="H97" s="95"/>
      <c r="I97" s="95"/>
      <c r="O97" s="85"/>
      <c r="P97" s="85"/>
      <c r="Q97" s="85"/>
    </row>
    <row r="98" spans="3:17" x14ac:dyDescent="0.15">
      <c r="C98" s="94"/>
      <c r="D98" s="94"/>
      <c r="E98" s="94"/>
      <c r="G98" s="95"/>
      <c r="H98" s="95"/>
      <c r="I98" s="95"/>
    </row>
  </sheetData>
  <conditionalFormatting sqref="B16:B27">
    <cfRule type="containsText" dxfId="83" priority="13" stopIfTrue="1" operator="containsText" text="Iron Man">
      <formula>NOT(ISERROR(SEARCH("Iron Man",B16)))</formula>
    </cfRule>
    <cfRule type="containsText" dxfId="82" priority="14" stopIfTrue="1" operator="containsText" text="War Machine">
      <formula>NOT(ISERROR(SEARCH("War Machine",B16)))</formula>
    </cfRule>
    <cfRule type="containsText" dxfId="81" priority="15" stopIfTrue="1" operator="containsText" text="D Machine">
      <formula>NOT(ISERROR(SEARCH("D Machine",B16)))</formula>
    </cfRule>
    <cfRule type="containsText" dxfId="80" priority="16" stopIfTrue="1" operator="containsText" text="C MAchine">
      <formula>NOT(ISERROR(SEARCH("C MAchine",B16)))</formula>
    </cfRule>
    <cfRule type="containsText" dxfId="79" priority="17" stopIfTrue="1" operator="containsText" text="B Machine">
      <formula>NOT(ISERROR(SEARCH("B Machine",B16)))</formula>
    </cfRule>
    <cfRule type="containsText" dxfId="78" priority="18" stopIfTrue="1" operator="containsText" text="A Machine">
      <formula>NOT(ISERROR(SEARCH("A Machine",B16)))</formula>
    </cfRule>
  </conditionalFormatting>
  <conditionalFormatting sqref="B31:B42">
    <cfRule type="containsText" dxfId="77" priority="19" stopIfTrue="1" operator="containsText" text="Iron Man">
      <formula>NOT(ISERROR(SEARCH("Iron Man",B31)))</formula>
    </cfRule>
    <cfRule type="containsText" dxfId="76" priority="20" stopIfTrue="1" operator="containsText" text="War Machine">
      <formula>NOT(ISERROR(SEARCH("War Machine",B31)))</formula>
    </cfRule>
    <cfRule type="containsText" dxfId="75" priority="21" stopIfTrue="1" operator="containsText" text="D Machine">
      <formula>NOT(ISERROR(SEARCH("D Machine",B31)))</formula>
    </cfRule>
    <cfRule type="containsText" dxfId="74" priority="22" stopIfTrue="1" operator="containsText" text="C MAchine">
      <formula>NOT(ISERROR(SEARCH("C MAchine",B31)))</formula>
    </cfRule>
    <cfRule type="containsText" dxfId="73" priority="23" stopIfTrue="1" operator="containsText" text="B Machine">
      <formula>NOT(ISERROR(SEARCH("B Machine",B31)))</formula>
    </cfRule>
    <cfRule type="containsText" dxfId="72" priority="24" stopIfTrue="1" operator="containsText" text="A Machine">
      <formula>NOT(ISERROR(SEARCH("A Machine",B31)))</formula>
    </cfRule>
  </conditionalFormatting>
  <conditionalFormatting sqref="B47:B58">
    <cfRule type="containsText" dxfId="71" priority="31" stopIfTrue="1" operator="containsText" text="Iron Man">
      <formula>NOT(ISERROR(SEARCH("Iron Man",B47)))</formula>
    </cfRule>
    <cfRule type="containsText" dxfId="70" priority="32" stopIfTrue="1" operator="containsText" text="War Machine">
      <formula>NOT(ISERROR(SEARCH("War Machine",B47)))</formula>
    </cfRule>
    <cfRule type="containsText" dxfId="69" priority="33" stopIfTrue="1" operator="containsText" text="D Machine">
      <formula>NOT(ISERROR(SEARCH("D Machine",B47)))</formula>
    </cfRule>
    <cfRule type="containsText" dxfId="68" priority="34" stopIfTrue="1" operator="containsText" text="C MAchine">
      <formula>NOT(ISERROR(SEARCH("C MAchine",B47)))</formula>
    </cfRule>
    <cfRule type="containsText" dxfId="67" priority="35" stopIfTrue="1" operator="containsText" text="B Machine">
      <formula>NOT(ISERROR(SEARCH("B Machine",B47)))</formula>
    </cfRule>
    <cfRule type="containsText" dxfId="66" priority="36" stopIfTrue="1" operator="containsText" text="A Machine">
      <formula>NOT(ISERROR(SEARCH("A Machine",B47)))</formula>
    </cfRule>
  </conditionalFormatting>
  <conditionalFormatting sqref="I31:I41">
    <cfRule type="containsText" dxfId="65" priority="43" stopIfTrue="1" operator="containsText" text="Iron Man">
      <formula>NOT(ISERROR(SEARCH("Iron Man",I31)))</formula>
    </cfRule>
    <cfRule type="containsText" dxfId="64" priority="44" stopIfTrue="1" operator="containsText" text="War Machine">
      <formula>NOT(ISERROR(SEARCH("War Machine",I31)))</formula>
    </cfRule>
    <cfRule type="containsText" dxfId="63" priority="45" stopIfTrue="1" operator="containsText" text="D Machine">
      <formula>NOT(ISERROR(SEARCH("D Machine",I31)))</formula>
    </cfRule>
    <cfRule type="containsText" dxfId="62" priority="46" stopIfTrue="1" operator="containsText" text="C MAchine">
      <formula>NOT(ISERROR(SEARCH("C MAchine",I31)))</formula>
    </cfRule>
    <cfRule type="containsText" dxfId="61" priority="47" stopIfTrue="1" operator="containsText" text="B Machine">
      <formula>NOT(ISERROR(SEARCH("B Machine",I31)))</formula>
    </cfRule>
    <cfRule type="containsText" dxfId="60" priority="48" stopIfTrue="1" operator="containsText" text="A Machine">
      <formula>NOT(ISERROR(SEARCH("A Machine",I31)))</formula>
    </cfRule>
  </conditionalFormatting>
  <conditionalFormatting sqref="B61:B72">
    <cfRule type="containsText" dxfId="59" priority="7" stopIfTrue="1" operator="containsText" text="Iron Man">
      <formula>NOT(ISERROR(SEARCH("Iron Man",B61)))</formula>
    </cfRule>
    <cfRule type="containsText" dxfId="58" priority="8" stopIfTrue="1" operator="containsText" text="War Machine">
      <formula>NOT(ISERROR(SEARCH("War Machine",B61)))</formula>
    </cfRule>
    <cfRule type="containsText" dxfId="57" priority="9" stopIfTrue="1" operator="containsText" text="D Machine">
      <formula>NOT(ISERROR(SEARCH("D Machine",B61)))</formula>
    </cfRule>
    <cfRule type="containsText" dxfId="56" priority="10" stopIfTrue="1" operator="containsText" text="C MAchine">
      <formula>NOT(ISERROR(SEARCH("C MAchine",B61)))</formula>
    </cfRule>
    <cfRule type="containsText" dxfId="55" priority="11" stopIfTrue="1" operator="containsText" text="B Machine">
      <formula>NOT(ISERROR(SEARCH("B Machine",B61)))</formula>
    </cfRule>
    <cfRule type="containsText" dxfId="54" priority="12" stopIfTrue="1" operator="containsText" text="A Machine">
      <formula>NOT(ISERROR(SEARCH("A Machine",B61)))</formula>
    </cfRule>
  </conditionalFormatting>
  <conditionalFormatting sqref="I47:I58">
    <cfRule type="containsText" dxfId="5" priority="1" stopIfTrue="1" operator="containsText" text="Iron Man">
      <formula>NOT(ISERROR(SEARCH("Iron Man",I47)))</formula>
    </cfRule>
    <cfRule type="containsText" dxfId="4" priority="2" stopIfTrue="1" operator="containsText" text="War Machine">
      <formula>NOT(ISERROR(SEARCH("War Machine",I47)))</formula>
    </cfRule>
    <cfRule type="containsText" dxfId="3" priority="3" stopIfTrue="1" operator="containsText" text="D Machine">
      <formula>NOT(ISERROR(SEARCH("D Machine",I47)))</formula>
    </cfRule>
    <cfRule type="containsText" dxfId="2" priority="4" stopIfTrue="1" operator="containsText" text="C MAchine">
      <formula>NOT(ISERROR(SEARCH("C MAchine",I47)))</formula>
    </cfRule>
    <cfRule type="containsText" dxfId="1" priority="5" stopIfTrue="1" operator="containsText" text="B Machine">
      <formula>NOT(ISERROR(SEARCH("B Machine",I47)))</formula>
    </cfRule>
    <cfRule type="containsText" dxfId="0" priority="6" stopIfTrue="1" operator="containsText" text="A Machine">
      <formula>NOT(ISERROR(SEARCH("A Machine",I47)))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C47-BB19-A242-94EF-D3FCCC4341EC}">
  <sheetPr>
    <tabColor rgb="FF92D050"/>
  </sheetPr>
  <dimension ref="B2:T94"/>
  <sheetViews>
    <sheetView zoomScale="120" zoomScaleNormal="120" workbookViewId="0">
      <selection activeCell="J7" sqref="J7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L3" s="35"/>
      <c r="M3" s="89"/>
      <c r="N3" s="90"/>
      <c r="O3" s="90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L4" s="35"/>
      <c r="M4" s="91"/>
      <c r="N4" s="35"/>
      <c r="O4" s="35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  <c r="L5" s="35"/>
      <c r="M5" s="91"/>
      <c r="N5" s="35"/>
      <c r="O5" s="35"/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102" t="e">
        <f ca="1">J3/J4</f>
        <v>#DIV/0!</v>
      </c>
      <c r="L6" s="35"/>
      <c r="M6" s="91"/>
      <c r="N6" s="35"/>
      <c r="O6" s="35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L8" s="35"/>
      <c r="M8" s="91"/>
      <c r="N8" s="35"/>
      <c r="O8" s="35"/>
    </row>
    <row r="9" spans="2:19" ht="16" x14ac:dyDescent="0.2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4" t="s">
        <v>31</v>
      </c>
      <c r="J9" s="25">
        <v>3</v>
      </c>
      <c r="L9" s="35"/>
      <c r="M9" s="91"/>
      <c r="N9" s="35"/>
      <c r="O9" s="35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32</v>
      </c>
      <c r="J10" s="88" t="e">
        <f ca="1">(C25*J9)*(E25*J9)*(G25*J9)/(C26*E26*G26)</f>
        <v>#DIV/0!</v>
      </c>
      <c r="L10" s="35"/>
      <c r="M10" s="115"/>
      <c r="N10" s="35"/>
      <c r="O10" s="35"/>
    </row>
    <row r="11" spans="2:19" ht="17" thickBot="1" x14ac:dyDescent="0.25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33</v>
      </c>
      <c r="J11" s="87" t="e">
        <f ca="1">1/J10</f>
        <v>#DIV/0!</v>
      </c>
      <c r="L11" s="35"/>
      <c r="M11" s="91"/>
      <c r="N11" s="35"/>
      <c r="O11" s="35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  <c r="J15" s="97"/>
      <c r="L15" s="35"/>
      <c r="M15" s="101"/>
    </row>
    <row r="16" spans="2:19" x14ac:dyDescent="0.15">
      <c r="B16" s="77" t="e" cm="1" vm="2">
        <f t="array" aca="1" ref="B16" ca="1">Paytable!E2:E12</f>
        <v>#VALUE!</v>
      </c>
      <c r="C16" s="78">
        <f ca="1">COUNTIF(bg_1!G:G,$B16)</f>
        <v>0</v>
      </c>
      <c r="D16" s="78">
        <f ca="1">COUNTIF(bg_1!H:H,$B16)</f>
        <v>0</v>
      </c>
      <c r="E16" s="78">
        <f ca="1">COUNTIF(bg_1!I:I,$B16)</f>
        <v>0</v>
      </c>
      <c r="F16" s="78">
        <f ca="1">COUNTIF(bg_1!J:J,$B16)</f>
        <v>0</v>
      </c>
      <c r="G16" s="78">
        <f ca="1">COUNTIF(bg_1!K:K,$B16)</f>
        <v>0</v>
      </c>
      <c r="H16" s="35"/>
    </row>
    <row r="17" spans="2:18" ht="17" customHeight="1" x14ac:dyDescent="0.15">
      <c r="B17" s="66"/>
      <c r="C17" s="53">
        <f>COUNTIF(bg_1!G:G,$B17)</f>
        <v>0</v>
      </c>
      <c r="D17" s="53">
        <f>COUNTIF(bg_1!H:H,$B17)</f>
        <v>0</v>
      </c>
      <c r="E17" s="53">
        <f>COUNTIF(bg_1!I:I,$B17)</f>
        <v>0</v>
      </c>
      <c r="F17" s="53">
        <f>COUNTIF(bg_1!J:J,$B17)</f>
        <v>0</v>
      </c>
      <c r="G17" s="33">
        <f>COUNTIF(bg_1!K:K,$B17)</f>
        <v>0</v>
      </c>
    </row>
    <row r="18" spans="2:18" ht="17" customHeight="1" x14ac:dyDescent="0.15">
      <c r="B18" s="66"/>
      <c r="C18" s="53">
        <f>COUNTIF(bg_1!G:G,$B18)</f>
        <v>0</v>
      </c>
      <c r="D18" s="53">
        <f>COUNTIF(bg_1!H:H,$B18)</f>
        <v>0</v>
      </c>
      <c r="E18" s="53">
        <f>COUNTIF(bg_1!I:I,$B18)</f>
        <v>0</v>
      </c>
      <c r="F18" s="53">
        <f>COUNTIF(bg_1!J:J,$B18)</f>
        <v>0</v>
      </c>
      <c r="G18" s="33">
        <f>COUNTIF(bg_1!K:K,$B18)</f>
        <v>0</v>
      </c>
      <c r="H18" s="35"/>
    </row>
    <row r="19" spans="2:18" x14ac:dyDescent="0.15">
      <c r="B19" s="66"/>
      <c r="C19" s="53">
        <f>COUNTIF(bg_1!G:G,$B19)</f>
        <v>0</v>
      </c>
      <c r="D19" s="53">
        <f>COUNTIF(bg_1!H:H,$B19)</f>
        <v>0</v>
      </c>
      <c r="E19" s="53">
        <f>COUNTIF(bg_1!I:I,$B19)</f>
        <v>0</v>
      </c>
      <c r="F19" s="53">
        <f>COUNTIF(bg_1!J:J,$B19)</f>
        <v>0</v>
      </c>
      <c r="G19" s="33">
        <f>COUNTIF(bg_1!K:K,$B19)</f>
        <v>0</v>
      </c>
      <c r="H19" s="35"/>
    </row>
    <row r="20" spans="2:18" x14ac:dyDescent="0.15">
      <c r="B20" s="66"/>
      <c r="C20" s="53">
        <f>COUNTIF(bg_1!G:G,$B20)</f>
        <v>0</v>
      </c>
      <c r="D20" s="53">
        <f>COUNTIF(bg_1!H:H,$B20)</f>
        <v>0</v>
      </c>
      <c r="E20" s="53">
        <f>COUNTIF(bg_1!I:I,$B20)</f>
        <v>0</v>
      </c>
      <c r="F20" s="53">
        <f>COUNTIF(bg_1!J:J,$B20)</f>
        <v>0</v>
      </c>
      <c r="G20" s="33">
        <f>COUNTIF(bg_1!K:K,$B20)</f>
        <v>0</v>
      </c>
      <c r="H20" s="35"/>
    </row>
    <row r="21" spans="2:18" x14ac:dyDescent="0.15">
      <c r="B21" s="66"/>
      <c r="C21" s="53">
        <f>COUNTIF(bg_1!G:G,$B21)</f>
        <v>0</v>
      </c>
      <c r="D21" s="53">
        <f>COUNTIF(bg_1!H:H,$B21)</f>
        <v>0</v>
      </c>
      <c r="E21" s="53">
        <f>COUNTIF(bg_1!I:I,$B21)</f>
        <v>0</v>
      </c>
      <c r="F21" s="53">
        <f>COUNTIF(bg_1!J:J,$B21)</f>
        <v>0</v>
      </c>
      <c r="G21" s="33">
        <f>COUNTIF(bg_1!K:K,$B21)</f>
        <v>0</v>
      </c>
      <c r="H21" s="35"/>
    </row>
    <row r="22" spans="2:18" x14ac:dyDescent="0.15">
      <c r="B22" s="66"/>
      <c r="C22" s="53">
        <f>COUNTIF(bg_1!G:G,$B22)</f>
        <v>0</v>
      </c>
      <c r="D22" s="53">
        <f>COUNTIF(bg_1!H:H,$B22)</f>
        <v>0</v>
      </c>
      <c r="E22" s="53">
        <f>COUNTIF(bg_1!I:I,$B22)</f>
        <v>0</v>
      </c>
      <c r="F22" s="53">
        <f>COUNTIF(bg_1!J:J,$B22)</f>
        <v>0</v>
      </c>
      <c r="G22" s="33">
        <f>COUNTIF(bg_1!K:K,$B22)</f>
        <v>0</v>
      </c>
      <c r="H22" s="35"/>
    </row>
    <row r="23" spans="2:18" x14ac:dyDescent="0.15">
      <c r="B23" s="66"/>
      <c r="C23" s="53">
        <f>COUNTIF(bg_1!G:G,$B23)</f>
        <v>0</v>
      </c>
      <c r="D23" s="53">
        <f>COUNTIF(bg_1!H:H,$B23)</f>
        <v>0</v>
      </c>
      <c r="E23" s="53">
        <f>COUNTIF(bg_1!I:I,$B23)</f>
        <v>0</v>
      </c>
      <c r="F23" s="53">
        <f>COUNTIF(bg_1!J:J,$B23)</f>
        <v>0</v>
      </c>
      <c r="G23" s="33">
        <f>COUNTIF(bg_1!K:K,$B23)</f>
        <v>0</v>
      </c>
      <c r="H23" s="35"/>
    </row>
    <row r="24" spans="2:18" x14ac:dyDescent="0.15">
      <c r="B24" s="66"/>
      <c r="C24" s="53">
        <f>COUNTIF(bg_1!G:G,$B24)</f>
        <v>0</v>
      </c>
      <c r="D24" s="53">
        <f>COUNTIF(bg_1!H:H,$B24)</f>
        <v>0</v>
      </c>
      <c r="E24" s="53">
        <f>COUNTIF(bg_1!I:I,$B24)</f>
        <v>0</v>
      </c>
      <c r="F24" s="53">
        <f>COUNTIF(bg_1!J:J,$B24)</f>
        <v>0</v>
      </c>
      <c r="G24" s="33">
        <f>COUNTIF(bg_1!K:K,$B24)</f>
        <v>0</v>
      </c>
      <c r="H24" s="35"/>
    </row>
    <row r="25" spans="2:18" ht="14" thickBot="1" x14ac:dyDescent="0.2">
      <c r="B25" s="73"/>
      <c r="C25" s="67">
        <f>COUNTIF(bg_1!G:G,$B25)</f>
        <v>0</v>
      </c>
      <c r="D25" s="67">
        <f>COUNTIF(bg_1!H:H,$B25)</f>
        <v>0</v>
      </c>
      <c r="E25" s="67">
        <f>COUNTIF(bg_1!I:I,$B25)</f>
        <v>0</v>
      </c>
      <c r="F25" s="67">
        <f>COUNTIF(bg_1!J:J,$B25)</f>
        <v>0</v>
      </c>
      <c r="G25" s="68">
        <f>COUNTIF(bg_1!K:K,$B25)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>
      <c r="I27" s="37" t="s">
        <v>30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5" t="s">
        <v>0</v>
      </c>
      <c r="J29" s="46" t="s">
        <v>23</v>
      </c>
      <c r="K29" s="46" t="s">
        <v>24</v>
      </c>
      <c r="L29" s="46" t="s">
        <v>25</v>
      </c>
      <c r="M29" s="47" t="s">
        <v>26</v>
      </c>
      <c r="N29" s="46" t="s">
        <v>24</v>
      </c>
      <c r="O29" s="46" t="s">
        <v>25</v>
      </c>
      <c r="P29" s="47" t="s">
        <v>26</v>
      </c>
      <c r="Q29" s="46" t="s">
        <v>25</v>
      </c>
      <c r="R29" s="48" t="s">
        <v>26</v>
      </c>
    </row>
    <row r="30" spans="2:18" x14ac:dyDescent="0.15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0</v>
      </c>
      <c r="F30" s="50"/>
      <c r="G30" s="56"/>
      <c r="I30" s="49" t="e" cm="1" vm="1">
        <f t="array" aca="1" ref="I30:I38" ca="1">B16:B24</f>
        <v>#VALUE!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>
        <f ca="1"/>
        <v>0</v>
      </c>
      <c r="J31" s="53">
        <f t="shared" ref="J31:J38" ca="1" si="3">IF($C$3&gt;C4,$C$16*$D$16*$E$16*$F$16*$G$16,0)</f>
        <v>0</v>
      </c>
      <c r="K31" s="53">
        <f t="shared" ref="K31:K38" si="4">IF($D$3&gt;C4,$C$16*$D$16*$E$16*$F$16*G17,0)</f>
        <v>0</v>
      </c>
      <c r="L31" s="54">
        <f t="shared" ref="L31:L38" si="5">IF($E$3&gt;C4,$C$16*$D$16*$E$16*F17*($G$16+G17),0)</f>
        <v>0</v>
      </c>
      <c r="M31" s="55">
        <f t="shared" ref="M31:M38" ca="1" si="6">SUM(J31:L31)</f>
        <v>0</v>
      </c>
      <c r="N31" s="53">
        <f t="shared" ref="N31:N38" ca="1" si="7">IF($D$3&gt;D4,$C$16*$D$16*$E$16*$F$16*($G$26-$G$16-G17),0)</f>
        <v>0</v>
      </c>
      <c r="O31" s="54">
        <f t="shared" ref="O31:O38" si="8">IF($E$3&gt;D4,$C$16*$D$16*$E$16*F17*($G$26-$G$16-G17),0)</f>
        <v>0</v>
      </c>
      <c r="P31" s="55">
        <f t="shared" ref="P31:P38" ca="1" si="9">SUM(N31:O31)</f>
        <v>0</v>
      </c>
      <c r="Q31" s="54">
        <f t="shared" ref="Q31:Q38" ca="1" si="10">IF($E$3&gt;E4,$C$16*$D$16*$E$16*($F$26-$F$16-F17)*$G$26,0)</f>
        <v>0</v>
      </c>
      <c r="R31" s="55">
        <f t="shared" ref="R31:R38" ca="1" si="11">SUM(Q31)</f>
        <v>0</v>
      </c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ca="1" si="3"/>
        <v>0</v>
      </c>
      <c r="K32" s="53">
        <f t="shared" ca="1" si="4"/>
        <v>0</v>
      </c>
      <c r="L32" s="54">
        <f t="shared" si="5"/>
        <v>0</v>
      </c>
      <c r="M32" s="55">
        <f t="shared" ca="1" si="6"/>
        <v>0</v>
      </c>
      <c r="N32" s="53">
        <f t="shared" ca="1" si="7"/>
        <v>0</v>
      </c>
      <c r="O32" s="54">
        <f t="shared" ca="1" si="8"/>
        <v>0</v>
      </c>
      <c r="P32" s="55">
        <f t="shared" ca="1" si="9"/>
        <v>0</v>
      </c>
      <c r="Q32" s="54">
        <f t="shared" ca="1" si="10"/>
        <v>0</v>
      </c>
      <c r="R32" s="55">
        <f t="shared" ca="1" si="11"/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ca="1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ca="1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ca="1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ca="1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ht="14" thickBot="1" x14ac:dyDescent="0.2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57">
        <f ca="1"/>
        <v>0</v>
      </c>
      <c r="J38" s="58">
        <f t="shared" ca="1" si="3"/>
        <v>0</v>
      </c>
      <c r="K38" s="58">
        <f t="shared" ca="1" si="4"/>
        <v>0</v>
      </c>
      <c r="L38" s="59">
        <f t="shared" si="5"/>
        <v>0</v>
      </c>
      <c r="M38" s="60">
        <f t="shared" ca="1" si="6"/>
        <v>0</v>
      </c>
      <c r="N38" s="58">
        <f t="shared" ca="1" si="7"/>
        <v>0</v>
      </c>
      <c r="O38" s="59">
        <f t="shared" ca="1" si="8"/>
        <v>0</v>
      </c>
      <c r="P38" s="60">
        <f t="shared" ca="1" si="9"/>
        <v>0</v>
      </c>
      <c r="Q38" s="59">
        <f t="shared" ca="1" si="10"/>
        <v>0</v>
      </c>
      <c r="R38" s="60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13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13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13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13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13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13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53" priority="1" stopIfTrue="1" operator="containsText" text="Iron Man">
      <formula>NOT(ISERROR(SEARCH("Iron Man",B15)))</formula>
    </cfRule>
    <cfRule type="containsText" dxfId="52" priority="2" stopIfTrue="1" operator="containsText" text="War Machine">
      <formula>NOT(ISERROR(SEARCH("War Machine",B15)))</formula>
    </cfRule>
    <cfRule type="containsText" dxfId="51" priority="3" stopIfTrue="1" operator="containsText" text="D Machine">
      <formula>NOT(ISERROR(SEARCH("D Machine",B15)))</formula>
    </cfRule>
    <cfRule type="containsText" dxfId="50" priority="4" stopIfTrue="1" operator="containsText" text="C MAchine">
      <formula>NOT(ISERROR(SEARCH("C MAchine",B15)))</formula>
    </cfRule>
    <cfRule type="containsText" dxfId="49" priority="5" stopIfTrue="1" operator="containsText" text="B Machine">
      <formula>NOT(ISERROR(SEARCH("B Machine",B15)))</formula>
    </cfRule>
    <cfRule type="containsText" dxfId="48" priority="6" stopIfTrue="1" operator="containsText" text="A Machine">
      <formula>NOT(ISERROR(SEARCH("A Machine",B15)))</formula>
    </cfRule>
  </conditionalFormatting>
  <conditionalFormatting sqref="B29:B39">
    <cfRule type="containsText" dxfId="47" priority="7" stopIfTrue="1" operator="containsText" text="Iron Man">
      <formula>NOT(ISERROR(SEARCH("Iron Man",B29)))</formula>
    </cfRule>
    <cfRule type="containsText" dxfId="46" priority="8" stopIfTrue="1" operator="containsText" text="War Machine">
      <formula>NOT(ISERROR(SEARCH("War Machine",B29)))</formula>
    </cfRule>
    <cfRule type="containsText" dxfId="45" priority="9" stopIfTrue="1" operator="containsText" text="D Machine">
      <formula>NOT(ISERROR(SEARCH("D Machine",B29)))</formula>
    </cfRule>
    <cfRule type="containsText" dxfId="44" priority="10" stopIfTrue="1" operator="containsText" text="C MAchine">
      <formula>NOT(ISERROR(SEARCH("C MAchine",B29)))</formula>
    </cfRule>
    <cfRule type="containsText" dxfId="43" priority="11" stopIfTrue="1" operator="containsText" text="B Machine">
      <formula>NOT(ISERROR(SEARCH("B Machine",B29)))</formula>
    </cfRule>
    <cfRule type="containsText" dxfId="42" priority="12" stopIfTrue="1" operator="containsText" text="A Machine">
      <formula>NOT(ISERROR(SEARCH("A Machine",B29)))</formula>
    </cfRule>
  </conditionalFormatting>
  <conditionalFormatting sqref="B44:B54">
    <cfRule type="containsText" dxfId="41" priority="13" stopIfTrue="1" operator="containsText" text="Iron Man">
      <formula>NOT(ISERROR(SEARCH("Iron Man",B44)))</formula>
    </cfRule>
    <cfRule type="containsText" dxfId="40" priority="14" stopIfTrue="1" operator="containsText" text="War Machine">
      <formula>NOT(ISERROR(SEARCH("War Machine",B44)))</formula>
    </cfRule>
    <cfRule type="containsText" dxfId="39" priority="15" stopIfTrue="1" operator="containsText" text="D Machine">
      <formula>NOT(ISERROR(SEARCH("D Machine",B44)))</formula>
    </cfRule>
    <cfRule type="containsText" dxfId="38" priority="16" stopIfTrue="1" operator="containsText" text="C MAchine">
      <formula>NOT(ISERROR(SEARCH("C MAchine",B44)))</formula>
    </cfRule>
    <cfRule type="containsText" dxfId="37" priority="17" stopIfTrue="1" operator="containsText" text="B Machine">
      <formula>NOT(ISERROR(SEARCH("B Machine",B44)))</formula>
    </cfRule>
    <cfRule type="containsText" dxfId="36" priority="18" stopIfTrue="1" operator="containsText" text="A Machine">
      <formula>NOT(ISERROR(SEARCH("A Machine",B44)))</formula>
    </cfRule>
  </conditionalFormatting>
  <conditionalFormatting sqref="I29:I38">
    <cfRule type="containsText" dxfId="35" priority="19" stopIfTrue="1" operator="containsText" text="Iron Man">
      <formula>NOT(ISERROR(SEARCH("Iron Man",I29)))</formula>
    </cfRule>
    <cfRule type="containsText" dxfId="34" priority="20" stopIfTrue="1" operator="containsText" text="War Machine">
      <formula>NOT(ISERROR(SEARCH("War Machine",I29)))</formula>
    </cfRule>
    <cfRule type="containsText" dxfId="33" priority="21" stopIfTrue="1" operator="containsText" text="D Machine">
      <formula>NOT(ISERROR(SEARCH("D Machine",I29)))</formula>
    </cfRule>
    <cfRule type="containsText" dxfId="32" priority="22" stopIfTrue="1" operator="containsText" text="C MAchine">
      <formula>NOT(ISERROR(SEARCH("C MAchine",I29)))</formula>
    </cfRule>
    <cfRule type="containsText" dxfId="31" priority="23" stopIfTrue="1" operator="containsText" text="B Machine">
      <formula>NOT(ISERROR(SEARCH("B Machine",I29)))</formula>
    </cfRule>
    <cfRule type="containsText" dxfId="30" priority="24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12</v>
      </c>
      <c r="C2" s="83" t="s">
        <v>13</v>
      </c>
      <c r="D2" s="83" t="s">
        <v>14</v>
      </c>
      <c r="E2" s="83" t="s">
        <v>15</v>
      </c>
      <c r="F2" s="83" t="s">
        <v>16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e" cm="1" vm="1">
        <f t="array" aca="1" ref="B3" ca="1">_xlfn.ANCHORARRAY(B16)</f>
        <v>#VALUE!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17</v>
      </c>
      <c r="J3" s="22">
        <f ca="1">SUM(C45:E53)</f>
        <v>0</v>
      </c>
      <c r="M3" s="61"/>
      <c r="N3" s="62"/>
      <c r="O3" s="62"/>
      <c r="P3" s="62"/>
      <c r="Q3" s="62"/>
    </row>
    <row r="4" spans="2:19" ht="16" x14ac:dyDescent="0.2">
      <c r="B4" s="84"/>
      <c r="C4" s="23">
        <v>20</v>
      </c>
      <c r="D4" s="23">
        <v>8</v>
      </c>
      <c r="E4" s="23">
        <v>2</v>
      </c>
      <c r="F4" s="23">
        <v>0</v>
      </c>
      <c r="G4" s="34"/>
      <c r="I4" s="24" t="s">
        <v>18</v>
      </c>
      <c r="J4" s="25">
        <f ca="1">PRODUCT(C26:G26)</f>
        <v>0</v>
      </c>
      <c r="M4" s="63"/>
    </row>
    <row r="5" spans="2:19" ht="16" x14ac:dyDescent="0.2">
      <c r="B5" s="84"/>
      <c r="C5" s="23">
        <v>10</v>
      </c>
      <c r="D5" s="23">
        <v>4</v>
      </c>
      <c r="E5" s="23">
        <v>1</v>
      </c>
      <c r="F5" s="23">
        <v>0</v>
      </c>
      <c r="G5" s="34"/>
      <c r="I5" s="24" t="s">
        <v>19</v>
      </c>
      <c r="J5" s="26">
        <f ca="1">SUM(C30:E39)</f>
        <v>0</v>
      </c>
    </row>
    <row r="6" spans="2:19" ht="17" thickBot="1" x14ac:dyDescent="0.25">
      <c r="B6" s="84"/>
      <c r="C6" s="23">
        <v>20</v>
      </c>
      <c r="D6" s="23">
        <v>8</v>
      </c>
      <c r="E6" s="23">
        <v>2</v>
      </c>
      <c r="F6" s="23">
        <v>0</v>
      </c>
      <c r="G6" s="34"/>
      <c r="I6" s="27" t="s">
        <v>20</v>
      </c>
      <c r="J6" s="28" t="e">
        <f ca="1">J3/J4</f>
        <v>#DIV/0!</v>
      </c>
      <c r="M6" s="63"/>
    </row>
    <row r="7" spans="2:19" ht="17" thickBot="1" x14ac:dyDescent="0.25">
      <c r="B7" s="84"/>
      <c r="C7" s="23">
        <v>10</v>
      </c>
      <c r="D7" s="23">
        <v>4</v>
      </c>
      <c r="E7" s="23">
        <v>1</v>
      </c>
      <c r="F7" s="23">
        <v>0</v>
      </c>
      <c r="G7" s="34"/>
      <c r="M7" s="63"/>
    </row>
    <row r="8" spans="2:19" ht="16" x14ac:dyDescent="0.2">
      <c r="B8" s="84"/>
      <c r="C8" s="23">
        <v>20</v>
      </c>
      <c r="D8" s="23">
        <v>8</v>
      </c>
      <c r="E8" s="23">
        <v>2</v>
      </c>
      <c r="F8" s="23">
        <v>0</v>
      </c>
      <c r="G8" s="34"/>
      <c r="I8" s="21" t="s">
        <v>21</v>
      </c>
      <c r="J8" s="22">
        <v>5</v>
      </c>
      <c r="M8" s="63"/>
    </row>
    <row r="9" spans="2:19" ht="17" thickBot="1" x14ac:dyDescent="0.25">
      <c r="B9" s="84"/>
      <c r="C9" s="23">
        <v>10</v>
      </c>
      <c r="D9" s="23">
        <v>4</v>
      </c>
      <c r="E9" s="23">
        <v>1</v>
      </c>
      <c r="F9" s="23">
        <v>0</v>
      </c>
      <c r="G9" s="34"/>
      <c r="I9" s="27" t="s">
        <v>31</v>
      </c>
      <c r="J9" s="119">
        <v>3</v>
      </c>
      <c r="M9" s="63"/>
    </row>
    <row r="10" spans="2:19" ht="16" x14ac:dyDescent="0.2">
      <c r="B10" s="84"/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/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/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7</v>
      </c>
      <c r="D15" s="75" t="s">
        <v>8</v>
      </c>
      <c r="E15" s="75" t="s">
        <v>9</v>
      </c>
      <c r="F15" s="75" t="s">
        <v>10</v>
      </c>
      <c r="G15" s="76" t="s">
        <v>11</v>
      </c>
      <c r="H15" s="81"/>
    </row>
    <row r="16" spans="2:19" x14ac:dyDescent="0.15">
      <c r="B16" s="77" t="e" cm="1" vm="2">
        <f t="array" aca="1" ref="B16" ca="1">Paytable!E2:E12</f>
        <v>#VALUE!</v>
      </c>
      <c r="C16" s="78">
        <f ca="1">COUNTIF(fg_0!G:G,$B16)</f>
        <v>0</v>
      </c>
      <c r="D16" s="78">
        <f ca="1">COUNTIF(fg_0!H:H,$B16)</f>
        <v>0</v>
      </c>
      <c r="E16" s="78">
        <f ca="1">COUNTIF(fg_0!I:I,$B16)</f>
        <v>0</v>
      </c>
      <c r="F16" s="78">
        <f ca="1">COUNTIF(fg_0!J:J,$B16)</f>
        <v>0</v>
      </c>
      <c r="G16" s="78">
        <f ca="1">COUNTIF(fg_0!K:K,$B16)</f>
        <v>0</v>
      </c>
      <c r="H16" s="35"/>
    </row>
    <row r="17" spans="2:18" ht="17" customHeight="1" x14ac:dyDescent="0.15">
      <c r="B17" s="66"/>
      <c r="C17" s="53">
        <f>COUNTIF(fg_0!G:G,$B17)</f>
        <v>0</v>
      </c>
      <c r="D17" s="53">
        <f>COUNTIF(fg_0!H:H,$B17)</f>
        <v>0</v>
      </c>
      <c r="E17" s="53">
        <f>COUNTIF(fg_0!I:I,$B17)</f>
        <v>0</v>
      </c>
      <c r="F17" s="53">
        <f>COUNTIF(fg_0!J:J,$B17)</f>
        <v>0</v>
      </c>
      <c r="G17" s="33">
        <f>COUNTIF(fg_0!K:K,$B17)</f>
        <v>0</v>
      </c>
    </row>
    <row r="18" spans="2:18" ht="17" customHeight="1" x14ac:dyDescent="0.15">
      <c r="B18" s="66"/>
      <c r="C18" s="53">
        <f>COUNTIF(fg_0!G:G,$B18)</f>
        <v>0</v>
      </c>
      <c r="D18" s="53">
        <f>COUNTIF(fg_0!H:H,$B18)</f>
        <v>0</v>
      </c>
      <c r="E18" s="53">
        <f>COUNTIF(fg_0!I:I,$B18)</f>
        <v>0</v>
      </c>
      <c r="F18" s="53">
        <f>COUNTIF(fg_0!J:J,$B18)</f>
        <v>0</v>
      </c>
      <c r="G18" s="33">
        <f>COUNTIF(fg_0!K:K,$B18)</f>
        <v>0</v>
      </c>
      <c r="H18" s="35"/>
    </row>
    <row r="19" spans="2:18" x14ac:dyDescent="0.15">
      <c r="B19" s="66"/>
      <c r="C19" s="53">
        <f>COUNTIF(fg_0!G:G,$B19)</f>
        <v>0</v>
      </c>
      <c r="D19" s="53">
        <f>COUNTIF(fg_0!H:H,$B19)</f>
        <v>0</v>
      </c>
      <c r="E19" s="53">
        <f>COUNTIF(fg_0!I:I,$B19)</f>
        <v>0</v>
      </c>
      <c r="F19" s="53">
        <f>COUNTIF(fg_0!J:J,$B19)</f>
        <v>0</v>
      </c>
      <c r="G19" s="33">
        <f>COUNTIF(fg_0!K:K,$B19)</f>
        <v>0</v>
      </c>
      <c r="H19" s="35"/>
    </row>
    <row r="20" spans="2:18" x14ac:dyDescent="0.15">
      <c r="B20" s="66"/>
      <c r="C20" s="53">
        <f>COUNTIF(fg_0!G:G,$B20)</f>
        <v>0</v>
      </c>
      <c r="D20" s="53">
        <f>COUNTIF(fg_0!H:H,$B20)</f>
        <v>0</v>
      </c>
      <c r="E20" s="53">
        <f>COUNTIF(fg_0!I:I,$B20)</f>
        <v>0</v>
      </c>
      <c r="F20" s="53">
        <f>COUNTIF(fg_0!J:J,$B20)</f>
        <v>0</v>
      </c>
      <c r="G20" s="33">
        <f>COUNTIF(fg_0!K:K,$B20)</f>
        <v>0</v>
      </c>
      <c r="H20" s="35"/>
    </row>
    <row r="21" spans="2:18" x14ac:dyDescent="0.15">
      <c r="B21" s="66"/>
      <c r="C21" s="53">
        <f>COUNTIF(fg_0!G:G,$B21)</f>
        <v>0</v>
      </c>
      <c r="D21" s="53">
        <f>COUNTIF(fg_0!H:H,$B21)</f>
        <v>0</v>
      </c>
      <c r="E21" s="53">
        <f>COUNTIF(fg_0!I:I,$B21)</f>
        <v>0</v>
      </c>
      <c r="F21" s="53">
        <f>COUNTIF(fg_0!J:J,$B21)</f>
        <v>0</v>
      </c>
      <c r="G21" s="33">
        <f>COUNTIF(fg_0!K:K,$B21)</f>
        <v>0</v>
      </c>
      <c r="H21" s="35"/>
    </row>
    <row r="22" spans="2:18" x14ac:dyDescent="0.15">
      <c r="B22" s="66"/>
      <c r="C22" s="53">
        <f>COUNTIF(fg_0!G:G,$B22)</f>
        <v>0</v>
      </c>
      <c r="D22" s="53">
        <f>COUNTIF(fg_0!H:H,$B22)</f>
        <v>0</v>
      </c>
      <c r="E22" s="53">
        <f>COUNTIF(fg_0!I:I,$B22)</f>
        <v>0</v>
      </c>
      <c r="F22" s="53">
        <f>COUNTIF(fg_0!J:J,$B22)</f>
        <v>0</v>
      </c>
      <c r="G22" s="33">
        <f>COUNTIF(fg_0!K:K,$B22)</f>
        <v>0</v>
      </c>
      <c r="H22" s="35"/>
    </row>
    <row r="23" spans="2:18" x14ac:dyDescent="0.15">
      <c r="B23" s="66"/>
      <c r="C23" s="53">
        <f>COUNTIF(fg_0!G:G,$B23)</f>
        <v>0</v>
      </c>
      <c r="D23" s="53">
        <f>COUNTIF(fg_0!H:H,$B23)</f>
        <v>0</v>
      </c>
      <c r="E23" s="53">
        <f>COUNTIF(fg_0!I:I,$B23)</f>
        <v>0</v>
      </c>
      <c r="F23" s="53">
        <f>COUNTIF(fg_0!J:J,$B23)</f>
        <v>0</v>
      </c>
      <c r="G23" s="33">
        <f>COUNTIF(fg_0!K:K,$B23)</f>
        <v>0</v>
      </c>
      <c r="H23" s="35"/>
    </row>
    <row r="24" spans="2:18" x14ac:dyDescent="0.15">
      <c r="B24" s="66"/>
      <c r="C24" s="53">
        <f>COUNTIF(fg_0!G:G,$B24)</f>
        <v>0</v>
      </c>
      <c r="D24" s="53">
        <f>COUNTIF(fg_0!H:H,$B24)</f>
        <v>0</v>
      </c>
      <c r="E24" s="53">
        <f>COUNTIF(fg_0!I:I,$B24)</f>
        <v>0</v>
      </c>
      <c r="F24" s="53">
        <f>COUNTIF(fg_0!J:J,$B24)</f>
        <v>0</v>
      </c>
      <c r="G24" s="33">
        <f>COUNTIF(fg_0!K:K,$B24)</f>
        <v>0</v>
      </c>
      <c r="H24" s="35"/>
    </row>
    <row r="25" spans="2:18" ht="14" thickBot="1" x14ac:dyDescent="0.2">
      <c r="B25" s="73"/>
      <c r="C25" s="67">
        <f>COUNTIF(fg_0!G:G,$B25)</f>
        <v>0</v>
      </c>
      <c r="D25" s="67">
        <f>COUNTIF(fg_0!H:H,$B25)</f>
        <v>0</v>
      </c>
      <c r="E25" s="67">
        <f>COUNTIF(fg_0!I:I,$B25)</f>
        <v>0</v>
      </c>
      <c r="F25" s="67">
        <f>COUNTIF(fg_0!J:J,$B25)</f>
        <v>0</v>
      </c>
      <c r="G25" s="68">
        <f>COUNTIF(fg_0!K:K,$B25)</f>
        <v>0</v>
      </c>
      <c r="H25" s="35"/>
    </row>
    <row r="26" spans="2:18" ht="14" thickBot="1" x14ac:dyDescent="0.2">
      <c r="B26" s="79" t="s">
        <v>22</v>
      </c>
      <c r="C26" s="80">
        <f ca="1">SUM(C16:C25)</f>
        <v>0</v>
      </c>
      <c r="D26" s="80">
        <f ca="1">SUM(D16:D25)</f>
        <v>0</v>
      </c>
      <c r="E26" s="80">
        <f ca="1">SUM(E16:E25)</f>
        <v>0</v>
      </c>
      <c r="F26" s="80">
        <f ca="1">SUM(F16:F25)</f>
        <v>0</v>
      </c>
      <c r="G26" s="36">
        <f ca="1">SUM(G16:G25)</f>
        <v>0</v>
      </c>
      <c r="H26" s="35"/>
    </row>
    <row r="27" spans="2:18" ht="14" thickBot="1" x14ac:dyDescent="0.2"/>
    <row r="28" spans="2:18" ht="14" thickBot="1" x14ac:dyDescent="0.2">
      <c r="B28" s="29" t="s">
        <v>27</v>
      </c>
      <c r="C28" s="30"/>
      <c r="D28" s="30"/>
      <c r="E28" s="30"/>
      <c r="F28" s="30"/>
      <c r="G28" s="30"/>
      <c r="I28" s="37" t="s">
        <v>30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13</v>
      </c>
      <c r="D29" s="71" t="s">
        <v>28</v>
      </c>
      <c r="E29" s="71" t="s">
        <v>15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e" cm="1" vm="1">
        <f t="array" aca="1" ref="B30" ca="1">_xlfn.ANCHORARRAY(B16)</f>
        <v>#VALUE!</v>
      </c>
      <c r="C30" s="50">
        <f ca="1">C16*D16*E16*F16*G16</f>
        <v>0</v>
      </c>
      <c r="D30" s="50">
        <f ca="1"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0</v>
      </c>
      <c r="E30" s="50">
        <f ca="1"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0</v>
      </c>
      <c r="F30" s="50"/>
      <c r="G30" s="56"/>
      <c r="I30" s="45" t="s">
        <v>0</v>
      </c>
      <c r="J30" s="46" t="s">
        <v>23</v>
      </c>
      <c r="K30" s="46" t="s">
        <v>24</v>
      </c>
      <c r="L30" s="46" t="s">
        <v>25</v>
      </c>
      <c r="M30" s="47" t="s">
        <v>26</v>
      </c>
      <c r="N30" s="46" t="s">
        <v>24</v>
      </c>
      <c r="O30" s="46" t="s">
        <v>25</v>
      </c>
      <c r="P30" s="47" t="s">
        <v>26</v>
      </c>
      <c r="Q30" s="46" t="s">
        <v>25</v>
      </c>
      <c r="R30" s="48" t="s">
        <v>26</v>
      </c>
    </row>
    <row r="31" spans="2:18" x14ac:dyDescent="0.15">
      <c r="B31" s="66"/>
      <c r="C31" s="53">
        <f t="shared" ref="C31:C38" ca="1" si="0">((C17+C$16)*(D17+D$16)*(E17+E$16)*(F17+F$16)*(G17+G$16)-C$16*D$16*E$16*IF($E$3&gt;$C4,(F17+F$16)*(G17+G$16),IF($D$3&gt;$C4,F$16*(G17+G$16),F$16*G$16)))</f>
        <v>0</v>
      </c>
      <c r="D31" s="53">
        <f t="shared" ref="D31:D38" ca="1" si="1">((C17+C$16)*(D17+D$16)*(E17+E$16)*(F17+F$16)-C$16*D$16*IF($E$3&gt;$D4,E$16*(F17+F$16),E$16*F$16))*(G$26-G17-G$16)</f>
        <v>0</v>
      </c>
      <c r="E31" s="53">
        <f t="shared" ref="E31:E38" ca="1" si="2">((C17+C$16)*(D17+D$16)*(E17+E$16)*(F$26-F17-F$16)*G$26)-$C$16*$D$16*$E$16*($F$26-$F$16-F17)*$G$26</f>
        <v>0</v>
      </c>
      <c r="F31" s="53"/>
      <c r="G31" s="33"/>
      <c r="I31" s="49" t="e" cm="1" vm="1">
        <f t="array" aca="1" ref="I31:I39" ca="1">B16:B24</f>
        <v>#VALUE!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/>
      <c r="C32" s="53">
        <f t="shared" ca="1" si="0"/>
        <v>0</v>
      </c>
      <c r="D32" s="53">
        <f t="shared" ca="1" si="1"/>
        <v>0</v>
      </c>
      <c r="E32" s="53">
        <f t="shared" ca="1" si="2"/>
        <v>0</v>
      </c>
      <c r="F32" s="53"/>
      <c r="G32" s="33"/>
      <c r="I32" s="49">
        <f ca="1"/>
        <v>0</v>
      </c>
      <c r="J32" s="53">
        <f t="shared" ref="J32:J39" ca="1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ca="1" si="6">SUM(J32:L32)</f>
        <v>0</v>
      </c>
      <c r="N32" s="53">
        <f t="shared" ref="N32:N39" ca="1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ca="1" si="9">SUM(N32:O32)</f>
        <v>0</v>
      </c>
      <c r="Q32" s="54">
        <f t="shared" ref="Q32:Q39" ca="1" si="10">IF($E$3&gt;E4,$C$16*$D$16*$E$16*($F$26-$F$16-F17)*$G$26,0)</f>
        <v>0</v>
      </c>
      <c r="R32" s="55">
        <f t="shared" ref="R32:R39" ca="1" si="11">SUM(Q32)</f>
        <v>0</v>
      </c>
    </row>
    <row r="33" spans="2:19" x14ac:dyDescent="0.15">
      <c r="B33" s="66"/>
      <c r="C33" s="53">
        <f t="shared" ca="1" si="0"/>
        <v>0</v>
      </c>
      <c r="D33" s="53">
        <f t="shared" ca="1" si="1"/>
        <v>0</v>
      </c>
      <c r="E33" s="53">
        <f t="shared" ca="1" si="2"/>
        <v>0</v>
      </c>
      <c r="F33" s="53"/>
      <c r="G33" s="33"/>
      <c r="I33" s="49">
        <f ca="1"/>
        <v>0</v>
      </c>
      <c r="J33" s="53">
        <f t="shared" ca="1" si="3"/>
        <v>0</v>
      </c>
      <c r="K33" s="53">
        <f t="shared" ca="1" si="4"/>
        <v>0</v>
      </c>
      <c r="L33" s="54">
        <f t="shared" si="5"/>
        <v>0</v>
      </c>
      <c r="M33" s="55">
        <f t="shared" ca="1" si="6"/>
        <v>0</v>
      </c>
      <c r="N33" s="53">
        <f t="shared" ca="1" si="7"/>
        <v>0</v>
      </c>
      <c r="O33" s="54">
        <f t="shared" ca="1" si="8"/>
        <v>0</v>
      </c>
      <c r="P33" s="55">
        <f t="shared" ca="1" si="9"/>
        <v>0</v>
      </c>
      <c r="Q33" s="54">
        <f t="shared" ca="1" si="10"/>
        <v>0</v>
      </c>
      <c r="R33" s="55">
        <f t="shared" ca="1" si="11"/>
        <v>0</v>
      </c>
    </row>
    <row r="34" spans="2:19" x14ac:dyDescent="0.15">
      <c r="B34" s="66"/>
      <c r="C34" s="53">
        <f t="shared" ca="1" si="0"/>
        <v>0</v>
      </c>
      <c r="D34" s="53">
        <f t="shared" ca="1" si="1"/>
        <v>0</v>
      </c>
      <c r="E34" s="53">
        <f t="shared" ca="1" si="2"/>
        <v>0</v>
      </c>
      <c r="F34" s="53"/>
      <c r="G34" s="33"/>
      <c r="I34" s="49">
        <f ca="1"/>
        <v>0</v>
      </c>
      <c r="J34" s="53">
        <f t="shared" ca="1" si="3"/>
        <v>0</v>
      </c>
      <c r="K34" s="53">
        <f t="shared" si="4"/>
        <v>0</v>
      </c>
      <c r="L34" s="54">
        <f t="shared" si="5"/>
        <v>0</v>
      </c>
      <c r="M34" s="55">
        <f t="shared" ca="1" si="6"/>
        <v>0</v>
      </c>
      <c r="N34" s="53">
        <f t="shared" ca="1" si="7"/>
        <v>0</v>
      </c>
      <c r="O34" s="54">
        <f t="shared" si="8"/>
        <v>0</v>
      </c>
      <c r="P34" s="55">
        <f t="shared" ca="1" si="9"/>
        <v>0</v>
      </c>
      <c r="Q34" s="54">
        <f t="shared" ca="1" si="10"/>
        <v>0</v>
      </c>
      <c r="R34" s="55">
        <f t="shared" ca="1" si="11"/>
        <v>0</v>
      </c>
    </row>
    <row r="35" spans="2:19" x14ac:dyDescent="0.15">
      <c r="B35" s="66"/>
      <c r="C35" s="53">
        <f t="shared" ca="1" si="0"/>
        <v>0</v>
      </c>
      <c r="D35" s="53">
        <f t="shared" ca="1" si="1"/>
        <v>0</v>
      </c>
      <c r="E35" s="53">
        <f t="shared" ca="1" si="2"/>
        <v>0</v>
      </c>
      <c r="F35" s="53"/>
      <c r="G35" s="33"/>
      <c r="I35" s="49">
        <f ca="1"/>
        <v>0</v>
      </c>
      <c r="J35" s="53">
        <f t="shared" ca="1" si="3"/>
        <v>0</v>
      </c>
      <c r="K35" s="53">
        <f t="shared" ca="1" si="4"/>
        <v>0</v>
      </c>
      <c r="L35" s="54">
        <f t="shared" si="5"/>
        <v>0</v>
      </c>
      <c r="M35" s="55">
        <f t="shared" ca="1" si="6"/>
        <v>0</v>
      </c>
      <c r="N35" s="53">
        <f t="shared" ca="1" si="7"/>
        <v>0</v>
      </c>
      <c r="O35" s="54">
        <f t="shared" ca="1" si="8"/>
        <v>0</v>
      </c>
      <c r="P35" s="55">
        <f t="shared" ca="1" si="9"/>
        <v>0</v>
      </c>
      <c r="Q35" s="54">
        <f t="shared" ca="1" si="10"/>
        <v>0</v>
      </c>
      <c r="R35" s="55">
        <f t="shared" ca="1" si="11"/>
        <v>0</v>
      </c>
      <c r="S35" s="35"/>
    </row>
    <row r="36" spans="2:19" x14ac:dyDescent="0.15">
      <c r="B36" s="66"/>
      <c r="C36" s="53">
        <f t="shared" ca="1" si="0"/>
        <v>0</v>
      </c>
      <c r="D36" s="53">
        <f t="shared" ca="1" si="1"/>
        <v>0</v>
      </c>
      <c r="E36" s="53">
        <f t="shared" ca="1" si="2"/>
        <v>0</v>
      </c>
      <c r="F36" s="53"/>
      <c r="G36" s="33"/>
      <c r="I36" s="49">
        <f ca="1"/>
        <v>0</v>
      </c>
      <c r="J36" s="53">
        <f t="shared" ca="1" si="3"/>
        <v>0</v>
      </c>
      <c r="K36" s="53">
        <f t="shared" si="4"/>
        <v>0</v>
      </c>
      <c r="L36" s="54">
        <f t="shared" si="5"/>
        <v>0</v>
      </c>
      <c r="M36" s="55">
        <f t="shared" ca="1" si="6"/>
        <v>0</v>
      </c>
      <c r="N36" s="53">
        <f t="shared" ca="1" si="7"/>
        <v>0</v>
      </c>
      <c r="O36" s="54">
        <f t="shared" si="8"/>
        <v>0</v>
      </c>
      <c r="P36" s="55">
        <f t="shared" ca="1" si="9"/>
        <v>0</v>
      </c>
      <c r="Q36" s="54">
        <f t="shared" ca="1" si="10"/>
        <v>0</v>
      </c>
      <c r="R36" s="55">
        <f t="shared" ca="1" si="11"/>
        <v>0</v>
      </c>
      <c r="S36" s="35"/>
    </row>
    <row r="37" spans="2:19" x14ac:dyDescent="0.15">
      <c r="B37" s="66"/>
      <c r="C37" s="53">
        <f t="shared" ca="1" si="0"/>
        <v>0</v>
      </c>
      <c r="D37" s="53">
        <f t="shared" ca="1" si="1"/>
        <v>0</v>
      </c>
      <c r="E37" s="53">
        <f t="shared" ca="1" si="2"/>
        <v>0</v>
      </c>
      <c r="F37" s="53"/>
      <c r="G37" s="33"/>
      <c r="I37" s="49">
        <f ca="1"/>
        <v>0</v>
      </c>
      <c r="J37" s="53">
        <f t="shared" ca="1" si="3"/>
        <v>0</v>
      </c>
      <c r="K37" s="53">
        <f t="shared" ca="1" si="4"/>
        <v>0</v>
      </c>
      <c r="L37" s="54">
        <f t="shared" si="5"/>
        <v>0</v>
      </c>
      <c r="M37" s="55">
        <f t="shared" ca="1" si="6"/>
        <v>0</v>
      </c>
      <c r="N37" s="53">
        <f t="shared" ca="1" si="7"/>
        <v>0</v>
      </c>
      <c r="O37" s="54">
        <f t="shared" ca="1" si="8"/>
        <v>0</v>
      </c>
      <c r="P37" s="55">
        <f t="shared" ca="1" si="9"/>
        <v>0</v>
      </c>
      <c r="Q37" s="54">
        <f t="shared" ca="1" si="10"/>
        <v>0</v>
      </c>
      <c r="R37" s="55">
        <f t="shared" ca="1" si="11"/>
        <v>0</v>
      </c>
      <c r="S37" s="35"/>
    </row>
    <row r="38" spans="2:19" x14ac:dyDescent="0.15">
      <c r="B38" s="66"/>
      <c r="C38" s="53">
        <f t="shared" ca="1" si="0"/>
        <v>0</v>
      </c>
      <c r="D38" s="53">
        <f t="shared" ca="1" si="1"/>
        <v>0</v>
      </c>
      <c r="E38" s="53">
        <f t="shared" ca="1" si="2"/>
        <v>0</v>
      </c>
      <c r="F38" s="53"/>
      <c r="G38" s="33"/>
      <c r="I38" s="49">
        <f ca="1"/>
        <v>0</v>
      </c>
      <c r="J38" s="53">
        <f t="shared" ca="1" si="3"/>
        <v>0</v>
      </c>
      <c r="K38" s="53">
        <f t="shared" ca="1" si="4"/>
        <v>0</v>
      </c>
      <c r="L38" s="54">
        <f t="shared" si="5"/>
        <v>0</v>
      </c>
      <c r="M38" s="55">
        <f t="shared" ca="1" si="6"/>
        <v>0</v>
      </c>
      <c r="N38" s="53">
        <f t="shared" ca="1" si="7"/>
        <v>0</v>
      </c>
      <c r="O38" s="54">
        <f t="shared" ca="1" si="8"/>
        <v>0</v>
      </c>
      <c r="P38" s="55">
        <f t="shared" ca="1" si="9"/>
        <v>0</v>
      </c>
      <c r="Q38" s="54">
        <f t="shared" ca="1" si="10"/>
        <v>0</v>
      </c>
      <c r="R38" s="55">
        <f t="shared" ca="1" si="11"/>
        <v>0</v>
      </c>
    </row>
    <row r="39" spans="2:19" ht="14" thickBot="1" x14ac:dyDescent="0.2">
      <c r="B39" s="73"/>
      <c r="C39" s="67">
        <v>0</v>
      </c>
      <c r="D39" s="67">
        <v>0</v>
      </c>
      <c r="E39" s="67">
        <v>0</v>
      </c>
      <c r="F39" s="67"/>
      <c r="G39" s="68"/>
      <c r="I39" s="57">
        <f ca="1"/>
        <v>0</v>
      </c>
      <c r="J39" s="58">
        <f t="shared" ca="1" si="3"/>
        <v>0</v>
      </c>
      <c r="K39" s="58">
        <f t="shared" ca="1" si="4"/>
        <v>0</v>
      </c>
      <c r="L39" s="59">
        <f t="shared" si="5"/>
        <v>0</v>
      </c>
      <c r="M39" s="60">
        <f t="shared" ca="1" si="6"/>
        <v>0</v>
      </c>
      <c r="N39" s="58">
        <f t="shared" ca="1" si="7"/>
        <v>0</v>
      </c>
      <c r="O39" s="59">
        <f t="shared" ca="1" si="8"/>
        <v>0</v>
      </c>
      <c r="P39" s="60">
        <f t="shared" ca="1" si="9"/>
        <v>0</v>
      </c>
      <c r="Q39" s="59">
        <f t="shared" ca="1" si="10"/>
        <v>0</v>
      </c>
      <c r="R39" s="60">
        <f t="shared" ca="1" si="11"/>
        <v>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29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13</v>
      </c>
      <c r="D44" s="71" t="s">
        <v>28</v>
      </c>
      <c r="E44" s="71" t="s">
        <v>15</v>
      </c>
      <c r="F44" s="71"/>
      <c r="G44" s="72"/>
    </row>
    <row r="45" spans="2:19" x14ac:dyDescent="0.15">
      <c r="B45" s="69" t="e" cm="1" vm="1">
        <f t="array" aca="1" ref="B45" ca="1">_xlfn.ANCHORARRAY(B16)</f>
        <v>#VALUE!</v>
      </c>
      <c r="C45" s="50">
        <f ca="1">C30*C3*$J$8</f>
        <v>0</v>
      </c>
      <c r="D45" s="50">
        <f t="shared" ref="D45:E45" ca="1" si="12">D30*D3*$J$8</f>
        <v>0</v>
      </c>
      <c r="E45" s="50">
        <f t="shared" ca="1" si="12"/>
        <v>0</v>
      </c>
      <c r="F45" s="50"/>
      <c r="G45" s="56"/>
    </row>
    <row r="46" spans="2:19" x14ac:dyDescent="0.15">
      <c r="B46" s="66"/>
      <c r="C46" s="50">
        <f t="shared" ref="C46:E53" ca="1" si="13">C31*C4*$J$8</f>
        <v>0</v>
      </c>
      <c r="D46" s="50">
        <f t="shared" ca="1" si="13"/>
        <v>0</v>
      </c>
      <c r="E46" s="50">
        <f t="shared" ca="1" si="13"/>
        <v>0</v>
      </c>
      <c r="F46" s="53"/>
      <c r="G46" s="33"/>
    </row>
    <row r="47" spans="2:19" x14ac:dyDescent="0.15">
      <c r="B47" s="66"/>
      <c r="C47" s="50">
        <f t="shared" ca="1" si="13"/>
        <v>0</v>
      </c>
      <c r="D47" s="50">
        <f t="shared" ca="1" si="13"/>
        <v>0</v>
      </c>
      <c r="E47" s="50">
        <f t="shared" ca="1" si="13"/>
        <v>0</v>
      </c>
      <c r="F47" s="53"/>
      <c r="G47" s="33"/>
    </row>
    <row r="48" spans="2:19" x14ac:dyDescent="0.15">
      <c r="B48" s="66"/>
      <c r="C48" s="50">
        <f t="shared" ca="1" si="13"/>
        <v>0</v>
      </c>
      <c r="D48" s="50">
        <f t="shared" ca="1" si="13"/>
        <v>0</v>
      </c>
      <c r="E48" s="50">
        <f t="shared" ca="1" si="13"/>
        <v>0</v>
      </c>
      <c r="F48" s="53"/>
      <c r="G48" s="33"/>
    </row>
    <row r="49" spans="2:7" x14ac:dyDescent="0.15">
      <c r="B49" s="66"/>
      <c r="C49" s="50">
        <f t="shared" ca="1" si="13"/>
        <v>0</v>
      </c>
      <c r="D49" s="50">
        <f t="shared" ca="1" si="13"/>
        <v>0</v>
      </c>
      <c r="E49" s="50">
        <f t="shared" ca="1" si="13"/>
        <v>0</v>
      </c>
      <c r="F49" s="53"/>
      <c r="G49" s="33"/>
    </row>
    <row r="50" spans="2:7" x14ac:dyDescent="0.15">
      <c r="B50" s="66"/>
      <c r="C50" s="50">
        <f t="shared" ca="1" si="13"/>
        <v>0</v>
      </c>
      <c r="D50" s="50">
        <f t="shared" ca="1" si="13"/>
        <v>0</v>
      </c>
      <c r="E50" s="50">
        <f t="shared" ca="1" si="13"/>
        <v>0</v>
      </c>
      <c r="F50" s="53"/>
      <c r="G50" s="33"/>
    </row>
    <row r="51" spans="2:7" x14ac:dyDescent="0.15">
      <c r="B51" s="66"/>
      <c r="C51" s="50">
        <f t="shared" ca="1" si="13"/>
        <v>0</v>
      </c>
      <c r="D51" s="50">
        <f t="shared" ca="1" si="13"/>
        <v>0</v>
      </c>
      <c r="E51" s="50">
        <f t="shared" ca="1" si="13"/>
        <v>0</v>
      </c>
      <c r="F51" s="53"/>
      <c r="G51" s="33"/>
    </row>
    <row r="52" spans="2:7" x14ac:dyDescent="0.15">
      <c r="B52" s="66"/>
      <c r="C52" s="50">
        <f t="shared" ca="1" si="13"/>
        <v>0</v>
      </c>
      <c r="D52" s="50">
        <f t="shared" ca="1" si="13"/>
        <v>0</v>
      </c>
      <c r="E52" s="50">
        <f t="shared" ca="1" si="13"/>
        <v>0</v>
      </c>
      <c r="F52" s="53"/>
      <c r="G52" s="33"/>
    </row>
    <row r="53" spans="2:7" x14ac:dyDescent="0.15">
      <c r="B53" s="66"/>
      <c r="C53" s="50">
        <f t="shared" ca="1" si="13"/>
        <v>0</v>
      </c>
      <c r="D53" s="50">
        <f t="shared" ca="1" si="13"/>
        <v>0</v>
      </c>
      <c r="E53" s="50">
        <f t="shared" ca="1" si="13"/>
        <v>0</v>
      </c>
      <c r="F53" s="53"/>
      <c r="G53" s="33"/>
    </row>
    <row r="54" spans="2:7" ht="14" thickBot="1" x14ac:dyDescent="0.2">
      <c r="B54" s="73"/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9" priority="1" stopIfTrue="1" operator="containsText" text="Iron Man">
      <formula>NOT(ISERROR(SEARCH("Iron Man",B15)))</formula>
    </cfRule>
    <cfRule type="containsText" dxfId="28" priority="2" stopIfTrue="1" operator="containsText" text="War Machine">
      <formula>NOT(ISERROR(SEARCH("War Machine",B15)))</formula>
    </cfRule>
    <cfRule type="containsText" dxfId="27" priority="3" stopIfTrue="1" operator="containsText" text="D Machine">
      <formula>NOT(ISERROR(SEARCH("D Machine",B15)))</formula>
    </cfRule>
    <cfRule type="containsText" dxfId="26" priority="4" stopIfTrue="1" operator="containsText" text="C MAchine">
      <formula>NOT(ISERROR(SEARCH("C MAchine",B15)))</formula>
    </cfRule>
    <cfRule type="containsText" dxfId="25" priority="5" stopIfTrue="1" operator="containsText" text="B Machine">
      <formula>NOT(ISERROR(SEARCH("B Machine",B15)))</formula>
    </cfRule>
    <cfRule type="containsText" dxfId="24" priority="6" stopIfTrue="1" operator="containsText" text="A Machine">
      <formula>NOT(ISERROR(SEARCH("A Machine",B15)))</formula>
    </cfRule>
  </conditionalFormatting>
  <conditionalFormatting sqref="B29:B39">
    <cfRule type="containsText" dxfId="23" priority="7" stopIfTrue="1" operator="containsText" text="Iron Man">
      <formula>NOT(ISERROR(SEARCH("Iron Man",B29)))</formula>
    </cfRule>
    <cfRule type="containsText" dxfId="22" priority="8" stopIfTrue="1" operator="containsText" text="War Machine">
      <formula>NOT(ISERROR(SEARCH("War Machine",B29)))</formula>
    </cfRule>
    <cfRule type="containsText" dxfId="21" priority="9" stopIfTrue="1" operator="containsText" text="D Machine">
      <formula>NOT(ISERROR(SEARCH("D Machine",B29)))</formula>
    </cfRule>
    <cfRule type="containsText" dxfId="20" priority="10" stopIfTrue="1" operator="containsText" text="C MAchine">
      <formula>NOT(ISERROR(SEARCH("C MAchine",B29)))</formula>
    </cfRule>
    <cfRule type="containsText" dxfId="19" priority="11" stopIfTrue="1" operator="containsText" text="B Machine">
      <formula>NOT(ISERROR(SEARCH("B Machine",B29)))</formula>
    </cfRule>
    <cfRule type="containsText" dxfId="18" priority="12" stopIfTrue="1" operator="containsText" text="A Machine">
      <formula>NOT(ISERROR(SEARCH("A Machine",B29)))</formula>
    </cfRule>
  </conditionalFormatting>
  <conditionalFormatting sqref="B44:B54">
    <cfRule type="containsText" dxfId="17" priority="13" stopIfTrue="1" operator="containsText" text="Iron Man">
      <formula>NOT(ISERROR(SEARCH("Iron Man",B44)))</formula>
    </cfRule>
    <cfRule type="containsText" dxfId="16" priority="14" stopIfTrue="1" operator="containsText" text="War Machine">
      <formula>NOT(ISERROR(SEARCH("War Machine",B44)))</formula>
    </cfRule>
    <cfRule type="containsText" dxfId="15" priority="15" stopIfTrue="1" operator="containsText" text="D Machine">
      <formula>NOT(ISERROR(SEARCH("D Machine",B44)))</formula>
    </cfRule>
    <cfRule type="containsText" dxfId="14" priority="16" stopIfTrue="1" operator="containsText" text="C MAchine">
      <formula>NOT(ISERROR(SEARCH("C MAchine",B44)))</formula>
    </cfRule>
    <cfRule type="containsText" dxfId="13" priority="17" stopIfTrue="1" operator="containsText" text="B Machine">
      <formula>NOT(ISERROR(SEARCH("B Machine",B44)))</formula>
    </cfRule>
    <cfRule type="containsText" dxfId="12" priority="18" stopIfTrue="1" operator="containsText" text="A Machine">
      <formula>NOT(ISERROR(SEARCH("A Machine",B44)))</formula>
    </cfRule>
  </conditionalFormatting>
  <conditionalFormatting sqref="I30:I39">
    <cfRule type="containsText" dxfId="11" priority="19" stopIfTrue="1" operator="containsText" text="Iron Man">
      <formula>NOT(ISERROR(SEARCH("Iron Man",I30)))</formula>
    </cfRule>
    <cfRule type="containsText" dxfId="10" priority="20" stopIfTrue="1" operator="containsText" text="War Machine">
      <formula>NOT(ISERROR(SEARCH("War Machine",I30)))</formula>
    </cfRule>
    <cfRule type="containsText" dxfId="9" priority="21" stopIfTrue="1" operator="containsText" text="D Machine">
      <formula>NOT(ISERROR(SEARCH("D Machine",I30)))</formula>
    </cfRule>
    <cfRule type="containsText" dxfId="8" priority="22" stopIfTrue="1" operator="containsText" text="C MAchine">
      <formula>NOT(ISERROR(SEARCH("C MAchine",I30)))</formula>
    </cfRule>
    <cfRule type="containsText" dxfId="7" priority="23" stopIfTrue="1" operator="containsText" text="B Machine">
      <formula>NOT(ISERROR(SEARCH("B Machine",I30)))</formula>
    </cfRule>
    <cfRule type="containsText" dxfId="6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62</v>
      </c>
    </row>
    <row r="2" spans="1:2" x14ac:dyDescent="0.2">
      <c r="A2" t="s">
        <v>63</v>
      </c>
      <c r="B2">
        <v>100000000</v>
      </c>
    </row>
    <row r="3" spans="1:2" x14ac:dyDescent="0.2">
      <c r="A3" t="s">
        <v>64</v>
      </c>
      <c r="B3">
        <v>118307913.5</v>
      </c>
    </row>
    <row r="4" spans="1:2" x14ac:dyDescent="0.2">
      <c r="A4" t="s">
        <v>65</v>
      </c>
      <c r="B4">
        <v>114772017</v>
      </c>
    </row>
    <row r="5" spans="1:2" x14ac:dyDescent="0.2">
      <c r="A5" t="s">
        <v>66</v>
      </c>
      <c r="B5">
        <v>3535896.5</v>
      </c>
    </row>
    <row r="6" spans="1:2" x14ac:dyDescent="0.2">
      <c r="A6" t="s">
        <v>67</v>
      </c>
      <c r="B6">
        <v>380304</v>
      </c>
    </row>
    <row r="8" spans="1:2" x14ac:dyDescent="0.2">
      <c r="A8" t="s">
        <v>20</v>
      </c>
      <c r="B8">
        <v>118.3079135</v>
      </c>
    </row>
    <row r="9" spans="1:2" x14ac:dyDescent="0.2">
      <c r="A9" t="s">
        <v>68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69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70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topLeftCell="A15" workbookViewId="0">
      <selection activeCell="S19" sqref="S19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10.83203125" hidden="1" customWidth="1"/>
  </cols>
  <sheetData>
    <row r="1" spans="1:18" x14ac:dyDescent="0.2">
      <c r="A1" s="120" t="s">
        <v>58</v>
      </c>
      <c r="B1" s="121"/>
      <c r="C1" s="121"/>
      <c r="D1" s="121"/>
      <c r="E1" s="121"/>
      <c r="F1" s="121"/>
      <c r="H1" t="s">
        <v>71</v>
      </c>
      <c r="K1" t="s">
        <v>22</v>
      </c>
      <c r="N1" t="s">
        <v>34</v>
      </c>
      <c r="Q1" t="s">
        <v>61</v>
      </c>
    </row>
    <row r="2" spans="1:18" x14ac:dyDescent="0.2">
      <c r="H2" t="s">
        <v>72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41</v>
      </c>
      <c r="B3" s="122">
        <f>VLOOKUP("RTP",'Report Print'!A:B,2,FALSE)/100</f>
        <v>1.1830791350000001</v>
      </c>
      <c r="H3" t="s">
        <v>73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42</v>
      </c>
      <c r="B4" s="122">
        <f>VLOOKUP("BASE WIN",'Report Print'!A:B,2,FALSE)/VLOOKUP("SPIN COUNT",'Report Print'!A:B,2,FALSE)</f>
        <v>1.1477201699999999</v>
      </c>
      <c r="H4" t="s">
        <v>74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43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44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45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46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47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75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48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76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68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69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70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51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52</v>
      </c>
      <c r="B23" s="131" t="s">
        <v>53</v>
      </c>
      <c r="C23" s="132" t="s">
        <v>54</v>
      </c>
      <c r="D23" s="133" t="s">
        <v>55</v>
      </c>
      <c r="E23" s="132" t="s">
        <v>50</v>
      </c>
      <c r="F23" s="134" t="s">
        <v>20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56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52</v>
      </c>
      <c r="B45" s="131" t="s">
        <v>53</v>
      </c>
      <c r="C45" s="132" t="s">
        <v>54</v>
      </c>
      <c r="D45" s="133" t="s">
        <v>55</v>
      </c>
      <c r="E45" s="132" t="s">
        <v>50</v>
      </c>
      <c r="F45" s="134" t="s">
        <v>20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57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52</v>
      </c>
      <c r="B67" s="131" t="s">
        <v>53</v>
      </c>
      <c r="C67" s="132" t="s">
        <v>54</v>
      </c>
      <c r="D67" s="133" t="s">
        <v>55</v>
      </c>
      <c r="E67" s="132" t="s">
        <v>50</v>
      </c>
      <c r="F67" s="134" t="s">
        <v>20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bg_0</vt:lpstr>
      <vt:lpstr>bg_1</vt:lpstr>
      <vt:lpstr>fg_0</vt:lpstr>
      <vt:lpstr>Winlines</vt:lpstr>
      <vt:lpstr>Paytable</vt:lpstr>
      <vt:lpstr>GameData</vt:lpstr>
      <vt:lpstr>Total Game</vt:lpstr>
      <vt:lpstr>bg_0 Calculation</vt:lpstr>
      <vt:lpstr>bg_1 Calculation</vt:lpstr>
      <vt:lpstr>Freegame Calculation</vt:lpstr>
      <vt:lpstr>Report Print</vt:lpstr>
      <vt:lpstr>Stats</vt:lpstr>
      <vt:lpstr>POV</vt:lpstr>
      <vt:lpstr>setSelectBG</vt:lpstr>
      <vt:lpstr>setSelectFG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2025-02-24T11:17:35Z</dcterms:modified>
</cp:coreProperties>
</file>