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countries" sheetId="2" r:id="rId5"/>
    <sheet state="visible" name="continents" sheetId="3" r:id="rId6"/>
    <sheet state="visible" name="brazil" sheetId="4" r:id="rId7"/>
    <sheet state="visible" name="canada" sheetId="5" r:id="rId8"/>
    <sheet state="visible" name="germany" sheetId="6" r:id="rId9"/>
    <sheet state="visible" name="india" sheetId="7" r:id="rId10"/>
    <sheet state="visible" name="bangladesh" sheetId="8" r:id="rId11"/>
    <sheet state="visible" name="malaysiya" sheetId="9" r:id="rId12"/>
    <sheet state="visible" name="mexico" sheetId="10" r:id="rId13"/>
    <sheet state="visible" name="NZ" sheetId="11" r:id="rId14"/>
    <sheet state="visible" name="US" sheetId="12" r:id="rId15"/>
    <sheet state="visible" name="others" sheetId="13" r:id="rId16"/>
    <sheet state="visible" name="city" sheetId="14" r:id="rId17"/>
  </sheets>
  <definedNames/>
  <calcPr/>
</workbook>
</file>

<file path=xl/sharedStrings.xml><?xml version="1.0" encoding="utf-8"?>
<sst xmlns="http://schemas.openxmlformats.org/spreadsheetml/2006/main" count="1783" uniqueCount="1705">
  <si>
    <t>Continents and regions</t>
  </si>
  <si>
    <t>Africa → Africans</t>
  </si>
  <si>
    <t>Antarctica → Antarcticans</t>
  </si>
  <si>
    <t>Asia → Asians</t>
  </si>
  <si>
    <t>Australia → Australians</t>
  </si>
  <si>
    <t>Europe → Europeans</t>
  </si>
  <si>
    <t>North America → North Americans</t>
  </si>
  <si>
    <t>South America → South Americans</t>
  </si>
  <si>
    <t>Central America → Central Americans</t>
  </si>
  <si>
    <t>Americas → Americans</t>
  </si>
  <si>
    <t>Oceania → Oceanians</t>
  </si>
  <si>
    <t>Middle East → Middle Easterners</t>
  </si>
  <si>
    <t>Countries</t>
  </si>
  <si>
    <t>Afghanistan → Afghans</t>
  </si>
  <si>
    <t>Albania → Albanians</t>
  </si>
  <si>
    <t>Algeria → Algerians</t>
  </si>
  <si>
    <t>Andorra → Andorrans</t>
  </si>
  <si>
    <t>Angola → Angolans</t>
  </si>
  <si>
    <t>Antigua → Antiguans</t>
  </si>
  <si>
    <t>Argentina → Argentines</t>
  </si>
  <si>
    <t>Armenia → Armenians</t>
  </si>
  <si>
    <t>Austria → Austrians</t>
  </si>
  <si>
    <t>Barbuda → Barbudans</t>
  </si>
  <si>
    <t>Belize → Belizeans</t>
  </si>
  <si>
    <t>Bolivia → Bolivians</t>
  </si>
  <si>
    <t>Bosnia and Herzegovina → Bosnians and herzegovinians (mostly referred as bosnians)</t>
  </si>
  <si>
    <t>Botswana → Botswanans (also "Motswana")</t>
  </si>
  <si>
    <t>Brunei → Bruneians</t>
  </si>
  <si>
    <t>Bulgaria → Bulgarians</t>
  </si>
  <si>
    <t>Burundi → Burundians</t>
  </si>
  <si>
    <t>Cambodia → Cambodians</t>
  </si>
  <si>
    <t>Canada → Canadians</t>
  </si>
  <si>
    <t>Chile → Chileans</t>
  </si>
  <si>
    <t>Colombia → Colombians</t>
  </si>
  <si>
    <t>Costa Rica → Costa Ricans</t>
  </si>
  <si>
    <t>Croatia → Croatians (also "Croats")</t>
  </si>
  <si>
    <t>Cuba → Cubans</t>
  </si>
  <si>
    <t>Czech Republic → Czechs</t>
  </si>
  <si>
    <t>Dominican Republic → Dominicans</t>
  </si>
  <si>
    <t>El Salvador → Salvadorans</t>
  </si>
  <si>
    <t>Eritrea → Eritreans</t>
  </si>
  <si>
    <t>Estonia → Estonians</t>
  </si>
  <si>
    <t>Ethiopia → Ethiopians</t>
  </si>
  <si>
    <t>Fiji → Fijian, Fijindians</t>
  </si>
  <si>
    <t>Galatia → Galatians</t>
  </si>
  <si>
    <t>Gambia → Gambians</t>
  </si>
  <si>
    <t>Georgia → Georgians</t>
  </si>
  <si>
    <t>Germany → Germans</t>
  </si>
  <si>
    <t>Guatemala → Guatemalans</t>
  </si>
  <si>
    <t>Guinea → Guineans</t>
  </si>
  <si>
    <t>Haiti → Haitians</t>
  </si>
  <si>
    <t>Honduras → Hondurans</t>
  </si>
  <si>
    <t>Hungary → Hungarians</t>
  </si>
  <si>
    <t>India → Indians</t>
  </si>
  <si>
    <t>Indonesia → Indonesians</t>
  </si>
  <si>
    <t>Israel → Israelis</t>
  </si>
  <si>
    <t>Jamaica → Jamaicans</t>
  </si>
  <si>
    <t>Kenya → Kenyans</t>
  </si>
  <si>
    <t>Kiribati → Kiribatians (also "I-Kiribati")</t>
  </si>
  <si>
    <t>North Korea → North Koreans</t>
  </si>
  <si>
    <t>South Korea → South Koreans</t>
  </si>
  <si>
    <t>Kosovo → Kosovans (also "Kosovars")</t>
  </si>
  <si>
    <t>Laos → Laos (also "Laotians")</t>
  </si>
  <si>
    <t>Latvia → Latvians</t>
  </si>
  <si>
    <t>Liberia → Liberians</t>
  </si>
  <si>
    <t>Libya → Libyans</t>
  </si>
  <si>
    <t>Lithuania → Lithuanians</t>
  </si>
  <si>
    <t>Malawi → Malawians</t>
  </si>
  <si>
    <t>Malaysia → Malaysians</t>
  </si>
  <si>
    <t>Mali → Malians</t>
  </si>
  <si>
    <t>Mauritania → Mauritanians</t>
  </si>
  <si>
    <t>Mexico → Mexicans</t>
  </si>
  <si>
    <t>Micronesia → Micronesians</t>
  </si>
  <si>
    <t>Moldova → Moldovans</t>
  </si>
  <si>
    <t>Mongolia → Mongolians (also "Mongols")</t>
  </si>
  <si>
    <t>Monaco → Monacans (also "Monegasque")</t>
  </si>
  <si>
    <t>Morocco → Moroccans</t>
  </si>
  <si>
    <t>Mozambique → Mozambicans</t>
  </si>
  <si>
    <t>Myanmar → Myanmans (also "Burmese")</t>
  </si>
  <si>
    <t>Namibia → Namibians</t>
  </si>
  <si>
    <t>Nauru → Nauruans</t>
  </si>
  <si>
    <t>Nicaragua → Nicaraguans</t>
  </si>
  <si>
    <t>Nigeria → Nigerians</t>
  </si>
  <si>
    <t>North Macedonia → Macedonians</t>
  </si>
  <si>
    <t>Pakistan → Pakistanis</t>
  </si>
  <si>
    <t>Palau → Palauans</t>
  </si>
  <si>
    <t>Papua New Guinea → Papua New Guineans</t>
  </si>
  <si>
    <t>Paraguay → Paraguayans</t>
  </si>
  <si>
    <t>Persia → Persians</t>
  </si>
  <si>
    <t>Poland - Poles/Polish</t>
  </si>
  <si>
    <t>Puerto Rico → Puerto Ricans</t>
  </si>
  <si>
    <t>Romania → Romanians</t>
  </si>
  <si>
    <t>Russia → Russians</t>
  </si>
  <si>
    <t>Rwanda → Rwandans (also "Rwandese")</t>
  </si>
  <si>
    <t>Saint Lucia → Saint Lucians</t>
  </si>
  <si>
    <t>Samoa → Samoans</t>
  </si>
  <si>
    <t>Saudi Arabia → Saudi Arabians (also "Saudis")</t>
  </si>
  <si>
    <t>Serbia → Serbians (also "Serbs")</t>
  </si>
  <si>
    <t>Sierra Leone → Sierra Leoneans</t>
  </si>
  <si>
    <t>Singapore → Singaporeans</t>
  </si>
  <si>
    <t>Slovakia → Slovakians (also "Slovaks")</t>
  </si>
  <si>
    <t>Slovenia → Slovenians (also "Slovenes")</t>
  </si>
  <si>
    <t>Somalia → Somalis</t>
  </si>
  <si>
    <t>South Africa → South Africans</t>
  </si>
  <si>
    <t>Sri Lanka → Sri Lankans</t>
  </si>
  <si>
    <t>St. Kitts and Nevis → Kittitians, Nevisians</t>
  </si>
  <si>
    <t>Syria → Syrians</t>
  </si>
  <si>
    <t>Tanzania → Tanzanians</t>
  </si>
  <si>
    <t>Tonga → Tongans</t>
  </si>
  <si>
    <t>Tunisia → Tunisians</t>
  </si>
  <si>
    <t>Turkey → Turks</t>
  </si>
  <si>
    <t>Tuvalu → Tuvaluans</t>
  </si>
  <si>
    <t>Uganda → Ugandans</t>
  </si>
  <si>
    <t>United States → Americans</t>
  </si>
  <si>
    <t>Uruguay → Uruguayans</t>
  </si>
  <si>
    <t>Vanuatu → Vanuatuans (also "Ni-Vanuatu")</t>
  </si>
  <si>
    <t>Venezuela → Venezuelans</t>
  </si>
  <si>
    <t>Zambia → Zambians</t>
  </si>
  <si>
    <t>Zimbabwe → Zimbabweans</t>
  </si>
  <si>
    <t>Constituent states, provinces and regions</t>
  </si>
  <si>
    <t>Abkhazia → Abkhazians (also "Abkhaz")</t>
  </si>
  <si>
    <t>Alaska → Alaskans</t>
  </si>
  <si>
    <t>Alberta → Albertans</t>
  </si>
  <si>
    <t>Algarve → Algarvians</t>
  </si>
  <si>
    <t>Andalusia → Andalusians</t>
  </si>
  <si>
    <t>Arizona → Arizonans</t>
  </si>
  <si>
    <t>Arkansas → Arkansans</t>
  </si>
  <si>
    <t>Asturias → Asturians</t>
  </si>
  <si>
    <t>Bago Region → Bagoans</t>
  </si>
  <si>
    <t>Bangka Island → Bangkans</t>
  </si>
  <si>
    <t>Bavaria → Bavarians</t>
  </si>
  <si>
    <t>Bay Of Plenty → Bayer, Plentonians</t>
  </si>
  <si>
    <t>Bohemia → Bohemians</t>
  </si>
  <si>
    <t>Borneo → Borneans</t>
  </si>
  <si>
    <t>British Columbia → British Columbians</t>
  </si>
  <si>
    <t>Brittany → Bretons</t>
  </si>
  <si>
    <t>California → Californians</t>
  </si>
  <si>
    <t>Canterbury → Cantabrians</t>
  </si>
  <si>
    <t>Carinthia → Carinthians</t>
  </si>
  <si>
    <t>Colorado → Coloradans</t>
  </si>
  <si>
    <t>Corsica → Corsicans</t>
  </si>
  <si>
    <t>Crete → Cretans</t>
  </si>
  <si>
    <t>Crimea → Crimeans</t>
  </si>
  <si>
    <t>Cumbria → Cumbrians</t>
  </si>
  <si>
    <t>Dalmatia → Dalmatians</t>
  </si>
  <si>
    <t>Delaware → Delawareans</t>
  </si>
  <si>
    <t>District of Columbia → Washingtonians</t>
  </si>
  <si>
    <t>Extremadura → Extremadurans</t>
  </si>
  <si>
    <t>Florida → Floridans (more commonly "Floridians" below)</t>
  </si>
  <si>
    <t>Galicia → Galicians</t>
  </si>
  <si>
    <t>Galilee → Galileans</t>
  </si>
  <si>
    <t>Gaza Strip → Gazans</t>
  </si>
  <si>
    <t>Hawaiʻi → Hawaiians[a]</t>
  </si>
  <si>
    <t>Hebrides → Hebrideans</t>
  </si>
  <si>
    <t>Idaho → Idahoans</t>
  </si>
  <si>
    <t>Illinois → Illinoisans</t>
  </si>
  <si>
    <t>Indiana → Hoosiers</t>
  </si>
  <si>
    <t>Iowa → Iowans</t>
  </si>
  <si>
    <t>Jakarta → Jakartans</t>
  </si>
  <si>
    <t>Java → Javans (also "Javanese")</t>
  </si>
  <si>
    <t>Johor → Johoreans</t>
  </si>
  <si>
    <t>Judea → Judeans</t>
  </si>
  <si>
    <t>Kansas → Kansans</t>
  </si>
  <si>
    <t>Karelia → Karelians</t>
  </si>
  <si>
    <t>Kayah State → Kayahans</t>
  </si>
  <si>
    <t>Kedah → Kedahans</t>
  </si>
  <si>
    <t>Kentucky → Kentuckians</t>
  </si>
  <si>
    <t>Kerala → Keralite</t>
  </si>
  <si>
    <t>Khyber Pakhtunkhwa → Pathans</t>
  </si>
  <si>
    <t>Liguria → Ligurians</t>
  </si>
  <si>
    <t>Louisiana → Louisianans (also "Louisianians")</t>
  </si>
  <si>
    <t>Madeira → Madeirans</t>
  </si>
  <si>
    <t>Malacca → Malaccans</t>
  </si>
  <si>
    <t>Majorca → Majorcans</t>
  </si>
  <si>
    <t>Mandalay Region → Mandalayans</t>
  </si>
  <si>
    <t>Manitoba → Manitobans</t>
  </si>
  <si>
    <t>Maryland → Marylanders</t>
  </si>
  <si>
    <t>Masuria → Masurians</t>
  </si>
  <si>
    <t>Menorca → Menorcans</t>
  </si>
  <si>
    <t>Minnesota → Minnesotans</t>
  </si>
  <si>
    <t>Mississippi → Mississippians</t>
  </si>
  <si>
    <t>Missouri → Missourians</t>
  </si>
  <si>
    <t>Moluccas → Moluccans</t>
  </si>
  <si>
    <t>Montana → Montanans</t>
  </si>
  <si>
    <t>Moravia → Moravians</t>
  </si>
  <si>
    <t>Nebraska → Nebraskans</t>
  </si>
  <si>
    <t>Nevada → Nevadans</t>
  </si>
  <si>
    <t>New Jersey → New Jerseyans</t>
  </si>
  <si>
    <t>New Mexico → New Mexicans (also "Neomexicanos", "Neomejicanos")</t>
  </si>
  <si>
    <t>New South Wales → New South Welshmen</t>
  </si>
  <si>
    <t>Newfoundland and Labrador → Newfoundlanders, Labradorians</t>
  </si>
  <si>
    <t>Normandy → Normans</t>
  </si>
  <si>
    <t>North Dakota → North Dakotans</t>
  </si>
  <si>
    <t>Northwest Territories → Northwest Territorians</t>
  </si>
  <si>
    <t>Nova Scotia → Nova Scotians</t>
  </si>
  <si>
    <t>Ohio → Ohioans</t>
  </si>
  <si>
    <t>Oklahoma → Oklahomans</t>
  </si>
  <si>
    <t>Ontario → Ontarians</t>
  </si>
  <si>
    <t>Oregon → Oregonians</t>
  </si>
  <si>
    <t>Otago → Otagans</t>
  </si>
  <si>
    <t>Papua → Papuans</t>
  </si>
  <si>
    <t>Patagonia → Patagonians</t>
  </si>
  <si>
    <t>Pennsylvania → Pennsylvanians</t>
  </si>
  <si>
    <t>Pomerania → Pomeranians</t>
  </si>
  <si>
    <t>Samogitia → Samogitians</t>
  </si>
  <si>
    <t>Sabah → Sabahans</t>
  </si>
  <si>
    <t>Sardinia → Sardinians (also "Sards")</t>
  </si>
  <si>
    <t>Saskatchewan → Saskatchewanians (also "Saskatchewanite")</t>
  </si>
  <si>
    <t>Silesia → Silesians</t>
  </si>
  <si>
    <t>Slavonia → Slavonians</t>
  </si>
  <si>
    <t>South Australia → South Australians</t>
  </si>
  <si>
    <t>South Dakota → South Dakotans</t>
  </si>
  <si>
    <t>Styria → Styrians</t>
  </si>
  <si>
    <t>Sumatra → Sumatrans</t>
  </si>
  <si>
    <t>Sumba → Sumbans</t>
  </si>
  <si>
    <t>Sumbawa → Sumbawans</t>
  </si>
  <si>
    <t>Syrmia → Syrmians</t>
  </si>
  <si>
    <t>Tahiti → Tahitians</t>
  </si>
  <si>
    <t>Tamil Nadu → Tamilan</t>
  </si>
  <si>
    <t>Taranaki → Taranakians</t>
  </si>
  <si>
    <t>Tasmania → Tasmanians (informally "Taswegians")</t>
  </si>
  <si>
    <t>Tennessee → Tennesseans</t>
  </si>
  <si>
    <t>Texas → Texans</t>
  </si>
  <si>
    <t>Thuringia → Thuringians</t>
  </si>
  <si>
    <t>Transnistria → Transnistrians</t>
  </si>
  <si>
    <t>Transylvania → Transylvanians</t>
  </si>
  <si>
    <t>Umbria → Umbrians</t>
  </si>
  <si>
    <t>Utah → Utahns (also "Utahans")</t>
  </si>
  <si>
    <t>Victoria → Victorians</t>
  </si>
  <si>
    <t>Virginia → Virginians</t>
  </si>
  <si>
    <t>Waikato → Waikatorians</t>
  </si>
  <si>
    <t>Wake Island → Wakeans</t>
  </si>
  <si>
    <t>Wallachia → Wallachians</t>
  </si>
  <si>
    <t>Western Australia → Western Australians, West Australians (informally, "Westralians")</t>
  </si>
  <si>
    <t>West Papua → West Papuans</t>
  </si>
  <si>
    <t>Westphalia → Westphalians</t>
  </si>
  <si>
    <t>Wisconsin → Wisconsinites</t>
  </si>
  <si>
    <t>Cities</t>
  </si>
  <si>
    <t>Aberdeen → Aberdonians</t>
  </si>
  <si>
    <t>Adelaide → Adelaideans</t>
  </si>
  <si>
    <t>Alexandria → Alexandrians</t>
  </si>
  <si>
    <t>Albuquerque → Albuquerqueans (also "Burqueños" or the feminine "Burqueñas")</t>
  </si>
  <si>
    <t>Annapolis → Annapolitans</t>
  </si>
  <si>
    <t>Atlanta → Atlantans</t>
  </si>
  <si>
    <t>Baltimore → Baltimoreans</t>
  </si>
  <si>
    <t>Bath → Bathonians</t>
  </si>
  <si>
    <t>Bristol → Bristolians</t>
  </si>
  <si>
    <t>Brockton → Brocktonians</t>
  </si>
  <si>
    <t>Bogotá → Bogotans</t>
  </si>
  <si>
    <t>Canberra → Canberrans</t>
  </si>
  <si>
    <t>Charlotte → Charlotteans</t>
  </si>
  <si>
    <t>Chattanooga → Chattanoogans</t>
  </si>
  <si>
    <t>Chicago → Chicagoans</t>
  </si>
  <si>
    <t>Cincinnati → Cincinnatians</t>
  </si>
  <si>
    <t>Clitheroe → Clitheronians</t>
  </si>
  <si>
    <t>Coimbatore → Coimbatoreians</t>
  </si>
  <si>
    <t>Coventry → Coventrians[15]</t>
  </si>
  <si>
    <t>Danu → Danuans</t>
  </si>
  <si>
    <t>Derby → Derbeians</t>
  </si>
  <si>
    <t>Dundee → Dundonians</t>
  </si>
  <si>
    <t>El Paso → El Pasoans, El Paseños</t>
  </si>
  <si>
    <t>Galway → Galwegians</t>
  </si>
  <si>
    <t>Glasgow → Glaswegians</t>
  </si>
  <si>
    <t>Hanoi → Hanoians</t>
  </si>
  <si>
    <t>Hobart → Hobartians</t>
  </si>
  <si>
    <t>Indianapolis → Indianapolitans</t>
  </si>
  <si>
    <t>Istanbul → Istanbulites</t>
  </si>
  <si>
    <t>Izmir → Izmirians</t>
  </si>
  <si>
    <t>Kalamazoo → Kalamazooans</t>
  </si>
  <si>
    <t>Kyiv → Kyivans</t>
  </si>
  <si>
    <t>Kolkata → Calcuttans</t>
  </si>
  <si>
    <t>Las Vegas → Las Vegans</t>
  </si>
  <si>
    <t>Liverpool → Liverpudlians</t>
  </si>
  <si>
    <t>Madera → Maderans</t>
  </si>
  <si>
    <t>Manchester → Mancunians</t>
  </si>
  <si>
    <t>Manila → Manilans (also "Manileños" or the feminine "Manileñas")</t>
  </si>
  <si>
    <t>Mecca → Meccans</t>
  </si>
  <si>
    <t>Medina → Medinans</t>
  </si>
  <si>
    <t>Miami → Miamians</t>
  </si>
  <si>
    <t>Milwaukee → Milwaukeeans</t>
  </si>
  <si>
    <t>Minneapolis → Minneapolitans</t>
  </si>
  <si>
    <t>Naypyidaw → Naypyidawans</t>
  </si>
  <si>
    <t>Ngawi city → Ngawians</t>
  </si>
  <si>
    <t>Oklahoma City → Oklahoma Cityans</t>
  </si>
  <si>
    <t>Ottawa → Ottawans</t>
  </si>
  <si>
    <t>Philadelphia → Philadelphians</t>
  </si>
  <si>
    <t>Pisa → Pisans</t>
  </si>
  <si>
    <t>Pueblo → Puebloans</t>
  </si>
  <si>
    <t>Regina → Reginans</t>
  </si>
  <si>
    <t>Riga → Rigans</t>
  </si>
  <si>
    <t>Rome → Romans</t>
  </si>
  <si>
    <t>Sacramento → Sacramentans</t>
  </si>
  <si>
    <t>Salem → Salemians</t>
  </si>
  <si>
    <t>San Antonio → San Antonians</t>
  </si>
  <si>
    <t>San Diego → San Diegans</t>
  </si>
  <si>
    <t>San Francisco → San Franciscans</t>
  </si>
  <si>
    <t>San Jose → San Joseans</t>
  </si>
  <si>
    <t>Sarasota → Sarasotans</t>
  </si>
  <si>
    <t>Sioux City → Sioux Cityans</t>
  </si>
  <si>
    <t>Springville → Springvillians</t>
  </si>
  <si>
    <t>Sofia → Sofians</t>
  </si>
  <si>
    <t>St. Louis → St. Louisans</t>
  </si>
  <si>
    <t>Surabaya → Surabayans</t>
  </si>
  <si>
    <t>Tauranga → Taurangians</t>
  </si>
  <si>
    <t>Thebes → Thebans</t>
  </si>
  <si>
    <t>Toledo, Ohio → Toledoans</t>
  </si>
  <si>
    <t>Tucson → Tucsonians, Tucsonans</t>
  </si>
  <si>
    <t>Tulsa → Tulsans</t>
  </si>
  <si>
    <t>Utica → Uticans</t>
  </si>
  <si>
    <t>Valencia → Valencians</t>
  </si>
  <si>
    <t>Vilnius → Vilnians</t>
  </si>
  <si>
    <t>Waco, TX → Wacoans</t>
  </si>
  <si>
    <t>Yuma → Yumians</t>
  </si>
  <si>
    <t>-ian</t>
  </si>
  <si>
    <t>Argentina → Argentinians ("Argentine" is more common)</t>
  </si>
  <si>
    <t>Artsakh → Artsakhians</t>
  </si>
  <si>
    <t>Azerbaijan → Azerbaijanians (also "Azerbaijanis" and "Azeris")</t>
  </si>
  <si>
    <t>Bahamas → Bahamians</t>
  </si>
  <si>
    <t>Barbados → Barbadians (also "Bajans")</t>
  </si>
  <si>
    <t>Belarus → Belarusians</t>
  </si>
  <si>
    <t>Belgium → Belgians</t>
  </si>
  <si>
    <t>Brazil → Brazilians</t>
  </si>
  <si>
    <t>Cameroon → Cameroonians</t>
  </si>
  <si>
    <t>Cayman Islands → Caymanians</t>
  </si>
  <si>
    <t>Chad → Chadians</t>
  </si>
  <si>
    <t>Comoros → Comorians</t>
  </si>
  <si>
    <t>Ecuador → Ecuadorians</t>
  </si>
  <si>
    <t>Egypt → Egyptians</t>
  </si>
  <si>
    <t>Ghana → Ghanaians</t>
  </si>
  <si>
    <t>Gibraltar → Gibraltarians</t>
  </si>
  <si>
    <t>Grenada → Grenadians</t>
  </si>
  <si>
    <t>Iran → Iranians</t>
  </si>
  <si>
    <t>Italy → Italians</t>
  </si>
  <si>
    <t>Jordan → Jordanians</t>
  </si>
  <si>
    <t>Laos → Laotians</t>
  </si>
  <si>
    <t>Maldives → Maldivians</t>
  </si>
  <si>
    <t>Palestine → Palestinians</t>
  </si>
  <si>
    <t>Peru → Peruvians</t>
  </si>
  <si>
    <t>Saint Vincent → Vincentians</t>
  </si>
  <si>
    <t>Trinidad and Tobago → Trinidadians, Tobagonians (also "Trinbagonians")</t>
  </si>
  <si>
    <t>Ukraine → Ukrainians</t>
  </si>
  <si>
    <t>Constituent states, provinces, regions and cities</t>
  </si>
  <si>
    <t>Aarhus → Aarhusians</t>
  </si>
  <si>
    <t>Adelaide → Adelaidians</t>
  </si>
  <si>
    <t>Alabama → Alabamians</t>
  </si>
  <si>
    <t>Argyll → Argathelians</t>
  </si>
  <si>
    <t>Athens → Athenians</t>
  </si>
  <si>
    <t>Ayeyarwady Region → Ayeyarwadians</t>
  </si>
  <si>
    <t>Banat → Banatians</t>
  </si>
  <si>
    <t>Ballarat → Ballaratians</t>
  </si>
  <si>
    <t>Bareilly → Bareillian</t>
  </si>
  <si>
    <t>Bengaluru → Bangloreans, Bengalurigaru</t>
  </si>
  <si>
    <t>Banten → Bantenians (also "Banteneses", "Banteners")</t>
  </si>
  <si>
    <t>Belgrade → Belgradians (also "Belgraders")</t>
  </si>
  <si>
    <t>Bermuda → Bermudians (also "Bermudans")</t>
  </si>
  <si>
    <t>Birmingham, Alabama → Birminghamians</t>
  </si>
  <si>
    <t>Blackburn → Blackburnians</t>
  </si>
  <si>
    <t>Blackpool → Blackpudlians</t>
  </si>
  <si>
    <t>Bangkok → Bangkokians</t>
  </si>
  <si>
    <t>Boston → Bostonians</t>
  </si>
  <si>
    <t>Bracknell → Bracknellians</t>
  </si>
  <si>
    <t>Bradford → Bradfordians</t>
  </si>
  <si>
    <t>Brighton → Brightonians</t>
  </si>
  <si>
    <t>Brisbane → Brisbanians (also "Brisbanites")</t>
  </si>
  <si>
    <t>Bukovina → Bukovinian</t>
  </si>
  <si>
    <t>Burgundy → Burgundians</t>
  </si>
  <si>
    <t>Calgary → Calgarians</t>
  </si>
  <si>
    <t>Canary Islands → Canarians</t>
  </si>
  <si>
    <t>Canterbury, New Zealand → Cantabrians</t>
  </si>
  <si>
    <t>Cape Town - Capetonians</t>
  </si>
  <si>
    <t>Castile → Castilians</t>
  </si>
  <si>
    <t>Catalonia → Catalonians (also ""Catalan"")</t>
  </si>
  <si>
    <t>Cedar Rapids → Cedar Rapidians</t>
  </si>
  <si>
    <t>Chelmsford → Chelmsfordians</t>
  </si>
  <si>
    <t>Chester → Cestrians</t>
  </si>
  <si>
    <t>Chin State → Chinians</t>
  </si>
  <si>
    <t>Chittagong → Chittagonians</t>
  </si>
  <si>
    <t>Christchurch → Christchurchians (also "Christchurchers")</t>
  </si>
  <si>
    <t>Cirebon → Cirebonians</t>
  </si>
  <si>
    <t>Corinth → Corinthians</t>
  </si>
  <si>
    <t>Coventry → Coventrians</t>
  </si>
  <si>
    <t>Darwin → Darwinians</t>
  </si>
  <si>
    <t>Dayton → Daytonians</t>
  </si>
  <si>
    <t>Devon → Devonians</t>
  </si>
  <si>
    <t>Duluth → Duluthians</t>
  </si>
  <si>
    <t>Edmonton → Edmontonians</t>
  </si>
  <si>
    <t>Florida → Floridians</t>
  </si>
  <si>
    <t>Fort Worth → Fort Worthians</t>
  </si>
  <si>
    <t>Fredericton → Frederictonians</t>
  </si>
  <si>
    <t>Greenville → Greenvillians</t>
  </si>
  <si>
    <t>Hamilton → Hamiltonians</t>
  </si>
  <si>
    <t>Harrow → Harrovians</t>
  </si>
  <si>
    <t>Hartlepool → Hartlepudlians</t>
  </si>
  <si>
    <t>Hereford → Herefordians</t>
  </si>
  <si>
    <t>Herzegovina → Herzegovinians</t>
  </si>
  <si>
    <t>Hesse → Hessians</t>
  </si>
  <si>
    <t>Houston → Houstonians</t>
  </si>
  <si>
    <t>Isles of Scilly → Scillonians</t>
  </si>
  <si>
    <t>Iowa City → Iowa Citians</t>
  </si>
  <si>
    <t>Jessup → Jessupians</t>
  </si>
  <si>
    <t>Kachin State → Kachinians</t>
  </si>
  <si>
    <t>Kansas City → Kansas Citians</t>
  </si>
  <si>
    <t>Kingston → Kingstonians</t>
  </si>
  <si>
    <t>Laguna → Lagunians (also "Laguneño", "Lagunense")</t>
  </si>
  <si>
    <t>Lancashire → Lancastrians</t>
  </si>
  <si>
    <t>Lancaster → Lancastrians</t>
  </si>
  <si>
    <t>Lesbos → Lesbians</t>
  </si>
  <si>
    <t>Lethbridge → Lethbridgians</t>
  </si>
  <si>
    <t>Lexington → Lexingtonians</t>
  </si>
  <si>
    <t>Liverpool → Liverpudlians (also, informally, "Scousers")</t>
  </si>
  <si>
    <t>Louisiana → Louisianians (also "Louisianans")</t>
  </si>
  <si>
    <t>Louisville → Louisvillians</t>
  </si>
  <si>
    <t>Madison → Madisonians</t>
  </si>
  <si>
    <t>Madrid → Madrilenians</t>
  </si>
  <si>
    <t>Maharashtra → Maharashtrians (also "Marathis")</t>
  </si>
  <si>
    <t>McKinney → McKinnians</t>
  </si>
  <si>
    <t>Melbourne → Melburnians</t>
  </si>
  <si>
    <t>Memphis → Memphians</t>
  </si>
  <si>
    <t>Michigan → Michiganians (also "Michiganders")</t>
  </si>
  <si>
    <t>Mobile, Alabama → Mobilian</t>
  </si>
  <si>
    <t>Nelson → Nelsonians</t>
  </si>
  <si>
    <t>New Guinea → New Guinians</t>
  </si>
  <si>
    <t>New Orleans → New Orleanians</t>
  </si>
  <si>
    <t>North Carolina → North Carolinians</t>
  </si>
  <si>
    <t>Northern Territory → Territorians</t>
  </si>
  <si>
    <t>Paris → Parisians</t>
  </si>
  <si>
    <t>Perlis → Perlisians</t>
  </si>
  <si>
    <t>Perak → Perakians</t>
  </si>
  <si>
    <t>Peterborough → Peterborians</t>
  </si>
  <si>
    <t>Phoenix → Phoenicians</t>
  </si>
  <si>
    <t>Plymouth → Plymothians</t>
  </si>
  <si>
    <t>Port Harcourt → Harcourtians</t>
  </si>
  <si>
    <t>Podgorica → Podgoricians</t>
  </si>
  <si>
    <t>Preston, Lancashire →Prestonians</t>
  </si>
  <si>
    <t>Prince George's County → Prince Georgians</t>
  </si>
  <si>
    <t>Quezon (Tayabas) → Quezonians (also "Quezonin", "Tayabasin", with the Tayabas Tagalog suffix -(h)in)</t>
  </si>
  <si>
    <t>Rivers State → Riverians</t>
  </si>
  <si>
    <t>Rochdale → Rochdalians</t>
  </si>
  <si>
    <t>Rochester, New York → Rochesterians</t>
  </si>
  <si>
    <t>Rockwall, Texas → Rockwallians</t>
  </si>
  <si>
    <t>Rockwall County, Texas → Rockwallians</t>
  </si>
  <si>
    <t>Saint Petersburg → Saint Petersburgians (also "Saint Petersburgers")</t>
  </si>
  <si>
    <t>Sarawak → Sarawakians</t>
  </si>
  <si>
    <t>Saskatchewan → Saskatchewanians</t>
  </si>
  <si>
    <t>Saskatoon → Saskatonians</t>
  </si>
  <si>
    <t>Savannah → Savannahians[16]</t>
  </si>
  <si>
    <t>Shrewsbury → Salopians</t>
  </si>
  <si>
    <t>Sicily → Sicilians</t>
  </si>
  <si>
    <t>Solihull → Silhillians</t>
  </si>
  <si>
    <t>South Carolina → South Carolinians</t>
  </si>
  <si>
    <t>Stockport → Stopfordians</t>
  </si>
  <si>
    <t>Swindon → Swindonians</t>
  </si>
  <si>
    <t>Tanintharyi Region → Tanintharians</t>
  </si>
  <si>
    <t>Tel Aviv, Israel → Tel Avivians</t>
  </si>
  <si>
    <t>Telford → Telfordians</t>
  </si>
  <si>
    <t>Thrace → Thracians</t>
  </si>
  <si>
    <t>Towcester → Towcestrians</t>
  </si>
  <si>
    <t>Truro → Truronians</t>
  </si>
  <si>
    <t>Tuban, East Java → Tubanians</t>
  </si>
  <si>
    <t>Tucson → Tucsonians</t>
  </si>
  <si>
    <t>Washington → Washingtonians</t>
  </si>
  <si>
    <t>Wellington → Wellingtonians</t>
  </si>
  <si>
    <t>Wilmington → Wilmingtonians</t>
  </si>
  <si>
    <t>Yukon → Yukonians</t>
  </si>
  <si>
    <t>-anian</t>
  </si>
  <si>
    <t>Guam → Guamanians</t>
  </si>
  <si>
    <t>Mawlamyine → Mawlamanians</t>
  </si>
  <si>
    <t>-nian</t>
  </si>
  <si>
    <t>Bendigo → Bendigonians</t>
  </si>
  <si>
    <t>Buffalo → Buffalonians</t>
  </si>
  <si>
    <t>Cork → Corkonians</t>
  </si>
  <si>
    <t>Naga → Naganians</t>
  </si>
  <si>
    <t>Panama → Panamanians</t>
  </si>
  <si>
    <t>Sligo → Sligonians</t>
  </si>
  <si>
    <t>Tampa → Tampanians</t>
  </si>
  <si>
    <t>Tobago → Tobagonians</t>
  </si>
  <si>
    <t>Toronto → Torontonians</t>
  </si>
  <si>
    <t>Torquay → Torquinians</t>
  </si>
  <si>
    <t>Trinidad and Tobago → Trinbagonians</t>
  </si>
  <si>
    <t>Wa → Wanians</t>
  </si>
  <si>
    <t>-in(e)</t>
  </si>
  <si>
    <t>Argentina → Argentines (and less commonly as "Argentinians")</t>
  </si>
  <si>
    <t>Byzantium → Byzantines</t>
  </si>
  <si>
    <t>Florence → Florentines (also Latin "Florentia")</t>
  </si>
  <si>
    <t>Gilbert Islands → Gilbertines (as by Robert Louis Stevenson, but Gilbertese was more usual)</t>
  </si>
  <si>
    <t>The Levant → Levantines</t>
  </si>
  <si>
    <t>Montenegro → Montenegrins</t>
  </si>
  <si>
    <t>Palatinate → Palatines</t>
  </si>
  <si>
    <t>Philippines → Philippine, Filipino (feminine: "Filipina", see below)</t>
  </si>
  <si>
    <t>Philistia → Philistines</t>
  </si>
  <si>
    <t>-(h)in</t>
  </si>
  <si>
    <t>The Tayabas Tagalog suffix -(h)in, which is mostly used by the natives in the province of Quezon, is also used for their local or native demonyms in English.</t>
  </si>
  <si>
    <t>Quezon (Tayabas) → Quezonins, Tayabasins (also "Quezonians")</t>
  </si>
  <si>
    <t>Lucena → Lucenahins</t>
  </si>
  <si>
    <t>Tayabas → Tayabasins (also "Tayabense")</t>
  </si>
  <si>
    <t>Lucban → Lucbanins</t>
  </si>
  <si>
    <t>Infanta → Infantahins</t>
  </si>
  <si>
    <t>Sariaya → Sariayahins</t>
  </si>
  <si>
    <t>Brgy. Ilayang/Ibabang Talim → Talimin</t>
  </si>
  <si>
    <t>Brgy. Isabang → Isabangin (both in Lucena and Tayabas)</t>
  </si>
  <si>
    <t>Brgy. Morong → Morongin</t>
  </si>
  <si>
    <t>-a(ñ/n)o/a, -e(ñ/n)o/a, or -i(ñ/n)o/a</t>
  </si>
  <si>
    <t>Adaptations from the standard Spanish suffix -e(ñ/n)o (sometimes using a final -a instead of -o for a female, following the standard Spanish suffix -e(ñ/n)a)</t>
  </si>
  <si>
    <t>Countries and regions</t>
  </si>
  <si>
    <t>Bicol → Bicolanos</t>
  </si>
  <si>
    <t>Cebu → Cebuanos</t>
  </si>
  <si>
    <t>El Salvador → Salvadoreños (also "Salvadorans")</t>
  </si>
  <si>
    <t>New Mexico → Neomexicanos, Neomejicanos (also "New Mexicans")</t>
  </si>
  <si>
    <t>Philippines → Filipinos</t>
  </si>
  <si>
    <t>Albuquerque → Burqueños (also "Albuquerqueans")</t>
  </si>
  <si>
    <t>Belo Horizonte → Belo-horizontinos</t>
  </si>
  <si>
    <t>Buenos Aires → Porteños (when referring to the Autonomous City of Buenos Aires) or "Bonaerense" (if referring to the Province of Buenos Aires)</t>
  </si>
  <si>
    <t>Caguas - Caguenos</t>
  </si>
  <si>
    <t>Cainta → Cainteños</t>
  </si>
  <si>
    <t>Cavite → Caviteños</t>
  </si>
  <si>
    <t>Daraga → Daragueños</t>
  </si>
  <si>
    <t>Davao City → Davaoeños</t>
  </si>
  <si>
    <t>Iriga → Irigueños</t>
  </si>
  <si>
    <t>Legazpi → Legazpeños</t>
  </si>
  <si>
    <t>Ligao → Ligaoeños</t>
  </si>
  <si>
    <t>Los Angeles → Angelenos</t>
  </si>
  <si>
    <t>Madrid → Madrileños</t>
  </si>
  <si>
    <t>Manila → Manileños (also "Manilans")</t>
  </si>
  <si>
    <t>Masbate → Masbateños</t>
  </si>
  <si>
    <t>Naga → Nagueños</t>
  </si>
  <si>
    <t>San Pablo → San Pableños</t>
  </si>
  <si>
    <t>São Paulo → Paulistanos</t>
  </si>
  <si>
    <t>Tabaco → Tabaqueños</t>
  </si>
  <si>
    <t>Tauranga → Taurangans</t>
  </si>
  <si>
    <t>Zamboanga City → Zamboangueño people</t>
  </si>
  <si>
    <t>-ite</t>
  </si>
  <si>
    <t>Akron → Akronites</t>
  </si>
  <si>
    <t>Andhra - Andhrites</t>
  </si>
  <si>
    <t>Ann Arbor → Ann Arborites</t>
  </si>
  <si>
    <t>Austin → Austinites</t>
  </si>
  <si>
    <t>Bagansiapiapi → Bagansiapiapites</t>
  </si>
  <si>
    <t>Baku → Bakuvites</t>
  </si>
  <si>
    <t>Bergen County, New Jersey → Bergenites</t>
  </si>
  <si>
    <t>Boulder → Boulderites</t>
  </si>
  <si>
    <t>Brisbane → Brisbanites (also "Brisbanian")</t>
  </si>
  <si>
    <t>Bronx → Bronxites</t>
  </si>
  <si>
    <t>Brooklyn → Brooklynites[17]</t>
  </si>
  <si>
    <t>Carson City, Nevada → Carsonites</t>
  </si>
  <si>
    <t>Chennai → Chennaiites</t>
  </si>
  <si>
    <t>Dallas → Dallasites</t>
  </si>
  <si>
    <t>Decatur → Decaturites</t>
  </si>
  <si>
    <t>Delhi → Delhites</t>
  </si>
  <si>
    <t>Denton, Texas → Dentonites</t>
  </si>
  <si>
    <t>Denver → Denverites</t>
  </si>
  <si>
    <t>Dhaka → Dhakaites (more commonly "Dhakaiya")</t>
  </si>
  <si>
    <t>Dubai → Dubaiites</t>
  </si>
  <si>
    <t>Dunedin → Dunedinites</t>
  </si>
  <si>
    <t>Durban → Durbanites</t>
  </si>
  <si>
    <t>Erie, Pennsylvania → Erieites</t>
  </si>
  <si>
    <t>Gaya → Gayaites</t>
  </si>
  <si>
    <t>Guelph → Guelphites</t>
  </si>
  <si>
    <t>Irmo, South Carolina → Irmites</t>
  </si>
  <si>
    <t>Israel → Israelites (also "Israeli", depending on the usage; see below)</t>
  </si>
  <si>
    <t>Jerusalem → Jerusalemites</t>
  </si>
  <si>
    <t>Karachi → Karachiites</t>
  </si>
  <si>
    <t>Kerala → Keralites</t>
  </si>
  <si>
    <t>Kweyol → Kweyolites</t>
  </si>
  <si>
    <t>Labuan Bajo → Labuan Bajoites</t>
  </si>
  <si>
    <t>Leicester → Leicesterite</t>
  </si>
  <si>
    <t>Manhattan → Manhattanites</t>
  </si>
  <si>
    <t>Mon State → Monites</t>
  </si>
  <si>
    <t>Moscow → Muscovites (also Latin "Muscovia")</t>
  </si>
  <si>
    <t>Montpelier, Vermont → Montpelierites</t>
  </si>
  <si>
    <t>Mumbai → Mumbaiites, Mumbaikars</t>
  </si>
  <si>
    <t>New Hampshire → New Hampshirites</t>
  </si>
  <si>
    <t>Norman, Oklahoma → Normanites</t>
  </si>
  <si>
    <t>Oban → Obanites</t>
  </si>
  <si>
    <t>Odesa → Odesites</t>
  </si>
  <si>
    <t>Pahang → Pahangite (also "Pahangese")</t>
  </si>
  <si>
    <t>Patna → Patnaites</t>
  </si>
  <si>
    <t>Penang → Penangite</t>
  </si>
  <si>
    <t>Perth → Perthites (also "Perthian" and "Perthling")</t>
  </si>
  <si>
    <t>Pullman → Pullmanites</t>
  </si>
  <si>
    <t>Putney → Putneyites</t>
  </si>
  <si>
    <t>Queens → Queensites[18]</t>
  </si>
  <si>
    <t>Reading → Readingites</t>
  </si>
  <si>
    <t>Reno, Nevada → Renoites</t>
  </si>
  <si>
    <t>Ruskin, Florida → Ruskinites</t>
  </si>
  <si>
    <t>Saint Paul, Minnesota → Saint Paulites</t>
  </si>
  <si>
    <t>Salem → Salemites</t>
  </si>
  <si>
    <t>Seattle → Seattleites</t>
  </si>
  <si>
    <t>Seoul → Seoulites</t>
  </si>
  <si>
    <t>Shiloh → Shilonites (as in: "Ahijah the Shilonite")</t>
  </si>
  <si>
    <t>Shillong → Shillongite (also "Nong Shillong" and "Nong Sor")</t>
  </si>
  <si>
    <t>Smyrna, Georgia → Smynite</t>
  </si>
  <si>
    <t>Spokane → Spokanites</t>
  </si>
  <si>
    <t>Sydney → Sydneyites (also "Sydneysider")</t>
  </si>
  <si>
    <t>Telangana→ Telanganites</t>
  </si>
  <si>
    <t>Tokyo → Tokyoites</t>
  </si>
  <si>
    <t>Vancouver → Vancouverites</t>
  </si>
  <si>
    <t>Vizag → Vizagites</t>
  </si>
  <si>
    <t>Warangal → Warangalites</t>
  </si>
  <si>
    <t>Wenham, Massachusetts → Wenhamites</t>
  </si>
  <si>
    <t>Westchester County, New York → Westchesterites</t>
  </si>
  <si>
    <t>Whittier, California → Whittierites</t>
  </si>
  <si>
    <t>Winston-Salem → Winston-Salemites</t>
  </si>
  <si>
    <t>Wrexham → Wrexhamites</t>
  </si>
  <si>
    <t>Wyoming → Wyomingites</t>
  </si>
  <si>
    <t>Yangon → Yangonites</t>
  </si>
  <si>
    <t>-(e)r</t>
  </si>
  <si>
    <t>Amsterdam → Amsterdammers</t>
  </si>
  <si>
    <t>Auckland → Aucklanders</t>
  </si>
  <si>
    <t>Bakersfield, CA → Bakersfielder</t>
  </si>
  <si>
    <t>Beijing → Beijingers</t>
  </si>
  <si>
    <t>Belgrade → Belgraders</t>
  </si>
  <si>
    <t>Bergen → Bergeners</t>
  </si>
  <si>
    <t>Berlin → Berliners</t>
  </si>
  <si>
    <t>Bucharest → Bucharesters</t>
  </si>
  <si>
    <t>Budapest → Budapesters</t>
  </si>
  <si>
    <t>Cleveland → Clevelanders</t>
  </si>
  <si>
    <t>Cook Islands → Cook Islanders</t>
  </si>
  <si>
    <t>Copenhagen → Copenhageners</t>
  </si>
  <si>
    <t>Detroit → Detroiters</t>
  </si>
  <si>
    <t>Dublin → Dubliners</t>
  </si>
  <si>
    <t>Dresden → Dresdeners</t>
  </si>
  <si>
    <t>Fife → Fifers</t>
  </si>
  <si>
    <t>Frankfurt → Frankfurters</t>
  </si>
  <si>
    <t>Greenland → Greenlanders (also "Greenlandic")</t>
  </si>
  <si>
    <t>Hamburg → Hamburgers</t>
  </si>
  <si>
    <t>Hannover → Hannoveraners</t>
  </si>
  <si>
    <t>Hong Kong → Hongkonger, Hong Kongers (also "Hong Kongese", "Hongkongese")</t>
  </si>
  <si>
    <t>Iceland → Icelanders (also "Icelandic")</t>
  </si>
  <si>
    <t>Kosovo[a] → Kosovars (also "Kosovan")</t>
  </si>
  <si>
    <t>Leeds → Loiners</t>
  </si>
  <si>
    <t>Leipzig → Leipzigers</t>
  </si>
  <si>
    <t>Liechtenstein → Liechtensteiners</t>
  </si>
  <si>
    <t>Little Rock, AR → Little Rockers</t>
  </si>
  <si>
    <t>London → Londoners</t>
  </si>
  <si>
    <t>Lorraine → Lorrainers</t>
  </si>
  <si>
    <t>Luxembourg → Luxembourgers</t>
  </si>
  <si>
    <t>Maine → Mainers</t>
  </si>
  <si>
    <t>Michigan → Michiganders</t>
  </si>
  <si>
    <t>Montreal → Montrealers</t>
  </si>
  <si>
    <t>Netherlands → Netherlanders (also "Dutchman" and "Hollanders")</t>
  </si>
  <si>
    <t>New Brunswick → New Brunswickers</t>
  </si>
  <si>
    <t>New England → New Englanders</t>
  </si>
  <si>
    <t>New York → New Yorkers</t>
  </si>
  <si>
    <t>New Zealand → New Zealanders (see below; irregular forms)</t>
  </si>
  <si>
    <t>Newfoundland → Newfoundlanders</t>
  </si>
  <si>
    <t>Oakland → Oaklanders</t>
  </si>
  <si>
    <t>Pangkal Pinang → Pangkalpinangers</t>
  </si>
  <si>
    <t>Pittsburgh → Pittsburghers</t>
  </si>
  <si>
    <t>Prague → Praguers</t>
  </si>
  <si>
    <t>Prince Edward Island → Prince Edward Islander</t>
  </si>
  <si>
    <t>Puntland → Puntlanders</t>
  </si>
  <si>
    <t>Quebec → Quebeckers, Quebecers (also "Quebecois(e)"; though see below, irregular forms)</t>
  </si>
  <si>
    <t>Queensland → Queenslanders</t>
  </si>
  <si>
    <t>Rhineland → Rhinelanders</t>
  </si>
  <si>
    <t>Rhode Island → Rhode Islanders</t>
  </si>
  <si>
    <t>Rotterdam → Rotterdammers</t>
  </si>
  <si>
    <t>Saigon → Saigoners</t>
  </si>
  <si>
    <t>Solomon Islands → Solomon Islanders</t>
  </si>
  <si>
    <t>Stockholm → Stockholmers</t>
  </si>
  <si>
    <t>Stuttgart → Stuttgarters</t>
  </si>
  <si>
    <t>Tallinn → Tallinners</t>
  </si>
  <si>
    <t>Vermont → Vermonters</t>
  </si>
  <si>
    <t>Winnipeg → Winnipeggers</t>
  </si>
  <si>
    <t>Yellowknife → Yellowknifers</t>
  </si>
  <si>
    <t>York (UK) → Yorkers (also "Yorkies")</t>
  </si>
  <si>
    <t>Yukon → Yukoners</t>
  </si>
  <si>
    <t>Zurich → Zurichers</t>
  </si>
  <si>
    <t>Often used for European locations and Canadian locations</t>
  </si>
  <si>
    <t>-(i)sh</t>
  </si>
  <si>
    <t>(Usually suffixed to a truncated form of the toponym, or place-name.)</t>
  </si>
  <si>
    <t>"-ish" is usually proper only as an adjective. See note below list.</t>
  </si>
  <si>
    <t>Åland → Ålandish people (demonym "Ålandic")</t>
  </si>
  <si>
    <t>Bangka Island → Bangkish</t>
  </si>
  <si>
    <t>Britain, Great Britain and United Kingdom → British people (demonym "Britons")</t>
  </si>
  <si>
    <t>Cornwall → Cornish people (demonym "Cornishmen, Cornishwomen")</t>
  </si>
  <si>
    <t>Denmark → Danish people (demonym "Danes")</t>
  </si>
  <si>
    <t>England → English people (demonym "Englishmen, Englishwomen")</t>
  </si>
  <si>
    <t>Finland → Finnish people (demonym "Finns", "Finnic")</t>
  </si>
  <si>
    <t>Flanders → Flemish people (demonym "Flemings")</t>
  </si>
  <si>
    <t>Ireland → Irish people (demonym "Irishmen, Irishwomen")</t>
  </si>
  <si>
    <t>Kent → Kentish people</t>
  </si>
  <si>
    <t>Kurdistan → Kurdish people (demonym "Kurds")</t>
  </si>
  <si>
    <t>Lombok → Lombokish people</t>
  </si>
  <si>
    <t>Luxembourg → Luxembourgish people (demonym "Luxembourgers")</t>
  </si>
  <si>
    <t>Niger → Nigerish (also "Nigerien")</t>
  </si>
  <si>
    <t>Northern Ireland → Northern Irish people</t>
  </si>
  <si>
    <t>Poland → Polish people (demonym "Poles")</t>
  </si>
  <si>
    <t>Scotland → Scottish people (demonym "Scots", "Scotsmen, Scotswomen")</t>
  </si>
  <si>
    <t>Spain → Spanish people (demonym "Spaniards")</t>
  </si>
  <si>
    <t>Sweden → Swedish people (demonym "Swedes")</t>
  </si>
  <si>
    <t>Turkey → Turkish people (demonym "Turks")</t>
  </si>
  <si>
    <t>Wales → Welsh people (demonym "Welshmen, Welshwomen", "Walian")</t>
  </si>
  <si>
    <t>-ene</t>
  </si>
  <si>
    <t>Cairo → Cairenes</t>
  </si>
  <si>
    <t>Cyrenaica → Cyrenes</t>
  </si>
  <si>
    <t>Damascus → Damascenes</t>
  </si>
  <si>
    <t>Nazareth → Nazarenes</t>
  </si>
  <si>
    <t>Palmyra → Palmyrenes</t>
  </si>
  <si>
    <t>Slovenia → Slovenes (also "Slovenians")</t>
  </si>
  <si>
    <t>Often used for Middle Eastern locations and European locations.</t>
  </si>
  <si>
    <t>-ensian</t>
  </si>
  <si>
    <t>Kingston-upon-Hull (UK) → Hullensians</t>
  </si>
  <si>
    <t>Leeds (UK) → Leodensians</t>
  </si>
  <si>
    <t>Reading (UK) → Readingensians</t>
  </si>
  <si>
    <t>-ard</t>
  </si>
  <si>
    <t>Spain → Spaniards (also "Spanish")</t>
  </si>
  <si>
    <t>Savoy → Savoyards</t>
  </si>
  <si>
    <t>Montagne → Montagnards</t>
  </si>
  <si>
    <t>Shafter, CA → Shaftards</t>
  </si>
  <si>
    <t>-ese, -nese or -lese</t>
  </si>
  <si>
    <t>Abruzzo → Abruzzese</t>
  </si>
  <si>
    <t>Ajman → Ajmanese</t>
  </si>
  <si>
    <t>Aragon → Aragonese</t>
  </si>
  <si>
    <t>Aceh → Acehnese</t>
  </si>
  <si>
    <t>Assam → Assamese</t>
  </si>
  <si>
    <t>Bali → Balinese</t>
  </si>
  <si>
    <t>Bengal → Bengalese</t>
  </si>
  <si>
    <t>Benin → Beninese (also "Beninois")</t>
  </si>
  <si>
    <t>Bergen → Bergenese</t>
  </si>
  <si>
    <t>Bern → Bernese</t>
  </si>
  <si>
    <t>Bearn → Bearnese</t>
  </si>
  <si>
    <t>Bhutan → Bhutanese</t>
  </si>
  <si>
    <t>Bologna → Bolognese</t>
  </si>
  <si>
    <t>Botswana → Botswanese</t>
  </si>
  <si>
    <t>Burkina Faso → Burkinese (also "Burkinabé")</t>
  </si>
  <si>
    <t>Calabria → Calabrese</t>
  </si>
  <si>
    <t>Cirebon, West Java → Cirebonese</t>
  </si>
  <si>
    <t>China → Chinese</t>
  </si>
  <si>
    <t>Congo → Congolese</t>
  </si>
  <si>
    <t>Da Lat → Dalatese</t>
  </si>
  <si>
    <t>East Timor → East Timorese</t>
  </si>
  <si>
    <t>Faroe Islands → Faroese</t>
  </si>
  <si>
    <t>Emirate of Fujairah → Fujairahnese</t>
  </si>
  <si>
    <t>Gabon → Gabonese (also "Gabonais", "Gabonaise")</t>
  </si>
  <si>
    <t>Genoa → Genovese, Genoese</t>
  </si>
  <si>
    <t>Gilbert Islands → Gilbertese (also "Gilbertine")</t>
  </si>
  <si>
    <t>Grenadines → Grenadinese</t>
  </si>
  <si>
    <t>Guangdong (Canton) → Cantonese</t>
  </si>
  <si>
    <t>Guyana → Guyanese</t>
  </si>
  <si>
    <t>Hainan → Hainanese</t>
  </si>
  <si>
    <t>Hong Kong → Hongkongese</t>
  </si>
  <si>
    <t>Hunan → Hunanese</t>
  </si>
  <si>
    <t>Japan → Japanese (also "Nipponese")</t>
  </si>
  <si>
    <t>Java → Javanese (also "Javans")</t>
  </si>
  <si>
    <t>Kawthaung → Kawthaunggese</t>
  </si>
  <si>
    <t>Kelantan → Kelantanese</t>
  </si>
  <si>
    <t>Kokang → Kokanggese</t>
  </si>
  <si>
    <t>Lebanon → Lebanese</t>
  </si>
  <si>
    <t>Leon → Leonese</t>
  </si>
  <si>
    <t>London → Londonese</t>
  </si>
  <si>
    <t>Macao → Macanese</t>
  </si>
  <si>
    <t>Malta → Maltese</t>
  </si>
  <si>
    <t>Manila → Manilese</t>
  </si>
  <si>
    <t>Marshall Islands → Marshallese</t>
  </si>
  <si>
    <t>Milan → Milanese</t>
  </si>
  <si>
    <t>Myanmar/Burma → Burmese (though see below; irregular forms)</t>
  </si>
  <si>
    <t>Nanjing (Nanking/Nankin)→ Nankinese</t>
  </si>
  <si>
    <t>Navarre → Navarrese</t>
  </si>
  <si>
    <t>Negeri Sembilan → Negeri Sembilanese</t>
  </si>
  <si>
    <t>Pahang → Pahangese (also "Pahangite")</t>
  </si>
  <si>
    <t>Pa Laung → Palaunggese</t>
  </si>
  <si>
    <t>Pa'O → Paonese</t>
  </si>
  <si>
    <t>Piedmont → Piedmontese</t>
  </si>
  <si>
    <t>Pittsburgh → Pittsburghese (as used routinely by residents of Pittsburgh referring only to the accent/dialect)</t>
  </si>
  <si>
    <t>Portugal → Portuguese</t>
  </si>
  <si>
    <t>Rakhine State → Arakanese</t>
  </si>
  <si>
    <t>Ras Al Khaimah → Khaimahnese</t>
  </si>
  <si>
    <t>Rwanda → Rwandese (also "Rwandans")</t>
  </si>
  <si>
    <t>Saba → Sabanese</t>
  </si>
  <si>
    <t>Sagaing Region → Sagainggese</t>
  </si>
  <si>
    <t>San Marino → Sammarinese</t>
  </si>
  <si>
    <t>Sark → Sarkese</t>
  </si>
  <si>
    <t>Sassari → Sassarese</t>
  </si>
  <si>
    <t>Senegal → Senegalese</t>
  </si>
  <si>
    <t>Shan State → Shanese</t>
  </si>
  <si>
    <t>Shanghai → Shanghaiese</t>
  </si>
  <si>
    <t>Emirate of Sharjah → Sharjahnese</t>
  </si>
  <si>
    <t>Siam → Siamese</t>
  </si>
  <si>
    <t>Sikkim → Sikkimese</t>
  </si>
  <si>
    <t>(South) Sudan → (South) Sudanese</t>
  </si>
  <si>
    <t>Suriname → Surinamese</t>
  </si>
  <si>
    <t>Swindon → Swindonese</t>
  </si>
  <si>
    <t>Taiwan → Taiwanese</t>
  </si>
  <si>
    <t>Taunggyi → Taunggese</t>
  </si>
  <si>
    <t>Tegal, Central Java → Tegalese</t>
  </si>
  <si>
    <t>Togo → Togolese</t>
  </si>
  <si>
    <t>Turin → Torinese</t>
  </si>
  <si>
    <t>Umm Al Quwain → Quwainese</t>
  </si>
  <si>
    <t>Vienna → Viennese</t>
  </si>
  <si>
    <t>Vietnam → Vietnamese</t>
  </si>
  <si>
    <t>"-ese" is usually considered proper only as an adjective, or to refer to the entirety.[citation needed] Thus, "a Chinese person" is used rather than "a Chinese".[citation needed] Often used for Italian and East Asian, from the Italian suffix -ese, which is originally from the Latin adjectival ending -ensis, designating origin from a place: thus Hispaniensis (Spanish), Danensis (Danish), etc. The use in demonyms for Francophone locations is motivated by the similar-sounding French suffix -ais(e), which is at least in part a relative (&lt; lat. -ensis or -iscus, or rather both).</t>
  </si>
  <si>
    <t>-i(e) or -i(ya)</t>
  </si>
  <si>
    <t>Afghanistan → Afghanistanis (also "Afghans")</t>
  </si>
  <si>
    <t>Azerbaijan → Azerbaijanis (less commonly "Azeris", also "Azerbaijanians")</t>
  </si>
  <si>
    <t>Bahrain → Bahrainis</t>
  </si>
  <si>
    <t>Bangladesh → Bangladeshis</t>
  </si>
  <si>
    <t>Eswatini (Swaziland) → Swazis, Swatis</t>
  </si>
  <si>
    <t>Iraq → Iraqis</t>
  </si>
  <si>
    <t>Kazakhstan → Kazakhstanis (also "Kazakhs")</t>
  </si>
  <si>
    <t>Kurdistan → Kurdistanis (also "Kurdish", "Kurds")</t>
  </si>
  <si>
    <t>Kuwait → Kuwaitis</t>
  </si>
  <si>
    <t>Kyrgyzstan → Kyrgyzstanis (also "Kyrgyz")</t>
  </si>
  <si>
    <t>Nepal → Nepalis (also "Nepalese")</t>
  </si>
  <si>
    <t>Oman → Omanis</t>
  </si>
  <si>
    <t>Qatar → Qataris</t>
  </si>
  <si>
    <t>Tajikistan → Tajikistanis (also "Tajiks")</t>
  </si>
  <si>
    <t>Thailand → Thais</t>
  </si>
  <si>
    <t>Trinidad and Tobago → Trini</t>
  </si>
  <si>
    <t>Turkmenistan → Turkmenistanis (also "Turkmen")</t>
  </si>
  <si>
    <t>United Arab Emirates → Emiratis</t>
  </si>
  <si>
    <t>Uzbekistan → Uzbekistanis (also "Uzbeks")</t>
  </si>
  <si>
    <t>Yemen → Yemenis</t>
  </si>
  <si>
    <t>States, provinces, counties, and cities</t>
  </si>
  <si>
    <t>Allahabad → Allahabadis</t>
  </si>
  <si>
    <t>Azawad → Azawadis</t>
  </si>
  <si>
    <t>Azra → Azragis</t>
  </si>
  <si>
    <t>Balochistan → Balochistanis (also "Baloch", "Baluch", "Baluchi")</t>
  </si>
  <si>
    <t>Barisal → Barisalis (also "Borishali")</t>
  </si>
  <si>
    <t>Beirut → Beirutis</t>
  </si>
  <si>
    <t>Bangladesh, West Bengal → Bengalis</t>
  </si>
  <si>
    <t>Bharat → Bharatiya</t>
  </si>
  <si>
    <t>Bihar → Biharis</t>
  </si>
  <si>
    <t>Birmingham (UK) → Brummies</t>
  </si>
  <si>
    <t>Dagestan → Dagestanis</t>
  </si>
  <si>
    <t>Dhaka → Dhakaiya (less commonly "Dhakaites")</t>
  </si>
  <si>
    <t>Faridabad → Faridabadis</t>
  </si>
  <si>
    <t>Glasgow → Weegie[19] (predominantly used by those not from Glasgow, slightly pejorative), Glaswegian (better)</t>
  </si>
  <si>
    <t>Gujarat → Gujaratis (also "Guju")</t>
  </si>
  <si>
    <t>Hazara → Hazaragis (also "Azragi")</t>
  </si>
  <si>
    <t>Hyderabad → Hyderabadis</t>
  </si>
  <si>
    <t>Kerala → Malayalis (also "Malayalee", "Keralite")</t>
  </si>
  <si>
    <t>Kumaon → Kumaonis (also "Kumaiye")</t>
  </si>
  <si>
    <t>Lahore → Lahoris</t>
  </si>
  <si>
    <t>Punjab → Punjabis</t>
  </si>
  <si>
    <t>Rajasthan → Rajasthanis</t>
  </si>
  <si>
    <t>Rangpur → Rangpuris</t>
  </si>
  <si>
    <t>Sindh → Sindhis</t>
  </si>
  <si>
    <t>Sylhet → Sylhetis (also "Siloti")</t>
  </si>
  <si>
    <t>Tel Aviv → Tel Avivi (also "Tel Avivim" (plural))</t>
  </si>
  <si>
    <t>Yorkshire → Yorkies (also "Yorkshireman", "Tyke")</t>
  </si>
  <si>
    <t>Mostly for Middle Eastern and South Asian locales. -i is encountered also in Latinate names for the various people that ancient Romans encountered (e.g. Allemanni, Helvetii). -i.e. is rather used for English places.</t>
  </si>
  <si>
    <t>-iot or -iote</t>
  </si>
  <si>
    <t>Chios → Chiots</t>
  </si>
  <si>
    <t>Corfu → Corfiots</t>
  </si>
  <si>
    <t>Cyprus → Cypriots ("Cyprian" before 1960 independence of Cyprus)</t>
  </si>
  <si>
    <t>Phanar → Phanariotes</t>
  </si>
  <si>
    <t>Used especially for Greek locations. Backformation from Cypriot, itself based in Greek -ώτης.</t>
  </si>
  <si>
    <t>-k</t>
  </si>
  <si>
    <t>Greece → Greeks</t>
  </si>
  <si>
    <t>Slovakia → Slovaks</t>
  </si>
  <si>
    <t>-asque</t>
  </si>
  <si>
    <t>Bergamo → Bergamasque</t>
  </si>
  <si>
    <t>Menton → Mentonasque</t>
  </si>
  <si>
    <t>Basque Country → Basque</t>
  </si>
  <si>
    <t>Sanremo → Sanremasque</t>
  </si>
  <si>
    <t>Often used for Italian and French locations.</t>
  </si>
  <si>
    <t>-(we)gian</t>
  </si>
  <si>
    <t>Dawei → Dawegians</t>
  </si>
  <si>
    <t>Galloway → Galwegians</t>
  </si>
  <si>
    <t>Magway Region → Magwegians</t>
  </si>
  <si>
    <t>Norway → Norwegians</t>
  </si>
  <si>
    <t>Poway, CA→ Powegians</t>
  </si>
  <si>
    <t>Tasmania→ Taswegians</t>
  </si>
  <si>
    <t>-onian</t>
  </si>
  <si>
    <t>Connacht → Connachtonians</t>
  </si>
  <si>
    <t>Cork → Corkonians[20]</t>
  </si>
  <si>
    <t>Halifax → Haligonians</t>
  </si>
  <si>
    <t>Lesotho → Lesothonians</t>
  </si>
  <si>
    <t>Newport → Newportonians</t>
  </si>
  <si>
    <t>Oxford → Oxonians</t>
  </si>
  <si>
    <t>Often used for British and Irish locations.</t>
  </si>
  <si>
    <t>-vian</t>
  </si>
  <si>
    <t>Barrow-in-Furness → Barrovians[21]</t>
  </si>
  <si>
    <t>Moose Jaw → Moose Javians</t>
  </si>
  <si>
    <t>Oamaru → Oamaruvians</t>
  </si>
  <si>
    <t>Oslo → Oslovians</t>
  </si>
  <si>
    <t>Warsaw → Warsovians</t>
  </si>
  <si>
    <t>Waterloo → Waterluvians[22]</t>
  </si>
  <si>
    <t>Wythenshawe → Wythenshavians</t>
  </si>
  <si>
    <t>-ois(e), -ais(e)</t>
  </si>
  <si>
    <t>Benin → Beninois(e) (also "Beninese")</t>
  </si>
  <si>
    <t>Gabon → Gabonais(e) (also "Gabonese")</t>
  </si>
  <si>
    <t>Seychelles → Seychellois(e)</t>
  </si>
  <si>
    <t>Quebec → Quebecois(e) (also "Quebecker"; most common within Canada)</t>
  </si>
  <si>
    <t>While derived from French, these are also official demonyms in English.</t>
  </si>
  <si>
    <t>From Latin or Latinization</t>
  </si>
  <si>
    <t>Alsace → Alsatians (Alsatia)</t>
  </si>
  <si>
    <t>Ashbourne → Ashburnians (Essiburns)</t>
  </si>
  <si>
    <t>Cambridge → Cantabrigians</t>
  </si>
  <si>
    <t>Colchester → Colcestrians</t>
  </si>
  <si>
    <t>Courland → Couronians (Curonia)</t>
  </si>
  <si>
    <t>Exeter → Exonians</t>
  </si>
  <si>
    <t>Guernsey → Sarnians (Sarnia)</t>
  </si>
  <si>
    <t>Halifax → Haligonian</t>
  </si>
  <si>
    <t>Leeds → Leodensians (Ledesia)</t>
  </si>
  <si>
    <t>Lviv → Leopolitans (Leopolis)</t>
  </si>
  <si>
    <t>Manchester → Mancunians (Mancunia)</t>
  </si>
  <si>
    <t>Melbourne → Melburnians (Melburnia)</t>
  </si>
  <si>
    <t>Naples → Neapolitans (Neapolis)</t>
  </si>
  <si>
    <t>Newcastle → Novocastrians (Novum Castrum)</t>
  </si>
  <si>
    <t>Orkney Islands → Orcadians (Orcadia)</t>
  </si>
  <si>
    <t>Oswestry → Oswestrians (Oswestria)</t>
  </si>
  <si>
    <t>Shropshire → Salopians (Salopia)</t>
  </si>
  <si>
    <t>Tripoli → Tripolitans (Tripolis)</t>
  </si>
  <si>
    <t>Venice → Venetians</t>
  </si>
  <si>
    <t>Wolverhampton → Wulfrunians</t>
  </si>
  <si>
    <t>Country name</t>
  </si>
  <si>
    <t>Adjectivals</t>
  </si>
  <si>
    <t>Demonyms</t>
  </si>
  <si>
    <t>Abkhazia</t>
  </si>
  <si>
    <t>Abkhazian, Abkhaz</t>
  </si>
  <si>
    <t>Abkhazians</t>
  </si>
  <si>
    <t>Afghanistan</t>
  </si>
  <si>
    <t>Afghan</t>
  </si>
  <si>
    <t>Afghans</t>
  </si>
  <si>
    <t>Albania</t>
  </si>
  <si>
    <t>Albanian</t>
  </si>
  <si>
    <t>Albanians</t>
  </si>
  <si>
    <t>Algeria</t>
  </si>
  <si>
    <t>Algerian</t>
  </si>
  <si>
    <t>Algerians</t>
  </si>
  <si>
    <t>American Samoa</t>
  </si>
  <si>
    <t>American Samoan</t>
  </si>
  <si>
    <t>American Samoans</t>
  </si>
  <si>
    <t>Andorra</t>
  </si>
  <si>
    <t>Andorran</t>
  </si>
  <si>
    <t>Andorrans</t>
  </si>
  <si>
    <t>Angola</t>
  </si>
  <si>
    <t>Angolan</t>
  </si>
  <si>
    <t>Angolans</t>
  </si>
  <si>
    <t>Anguilla</t>
  </si>
  <si>
    <t>Anguillan</t>
  </si>
  <si>
    <t>Anguillans</t>
  </si>
  <si>
    <t>Antigua and Barbuda</t>
  </si>
  <si>
    <t>Antiguan, Barbudan</t>
  </si>
  <si>
    <t>Antiguans, Barbudans</t>
  </si>
  <si>
    <t>Argentina</t>
  </si>
  <si>
    <t>Argentine, Argentinean, Argentinian</t>
  </si>
  <si>
    <t>Argentines, Argentineans, Argentinians</t>
  </si>
  <si>
    <t>Armenia</t>
  </si>
  <si>
    <t>Armenian</t>
  </si>
  <si>
    <t>Armenians</t>
  </si>
  <si>
    <t>Aruba</t>
  </si>
  <si>
    <t>Aruban</t>
  </si>
  <si>
    <t>Arubans</t>
  </si>
  <si>
    <t>Australia</t>
  </si>
  <si>
    <t>Australian</t>
  </si>
  <si>
    <t>Australians</t>
  </si>
  <si>
    <t>"Aussies"</t>
  </si>
  <si>
    <t>Austria</t>
  </si>
  <si>
    <t>Austrian</t>
  </si>
  <si>
    <t>Austrians</t>
  </si>
  <si>
    <t>Azerbaijan</t>
  </si>
  <si>
    <t>Azerbaijani, Azeri</t>
  </si>
  <si>
    <t>Azerbaijanis, Azeris</t>
  </si>
  <si>
    <t>Bahamas</t>
  </si>
  <si>
    <t>Bahamian</t>
  </si>
  <si>
    <t>Bahamians</t>
  </si>
  <si>
    <t>Bahrain</t>
  </si>
  <si>
    <t>Bahraini</t>
  </si>
  <si>
    <t>Bahrainis</t>
  </si>
  <si>
    <t>Bangladesh</t>
  </si>
  <si>
    <t>Bangladeshi</t>
  </si>
  <si>
    <t>Bangladeshis</t>
  </si>
  <si>
    <t>Barbados</t>
  </si>
  <si>
    <t>Barbadian  ("Bajan")</t>
  </si>
  <si>
    <t>Barbadians</t>
  </si>
  <si>
    <t>"Bajans"</t>
  </si>
  <si>
    <t>Belarus</t>
  </si>
  <si>
    <t>Belarusian</t>
  </si>
  <si>
    <t>Belarusians</t>
  </si>
  <si>
    <t>Belgium</t>
  </si>
  <si>
    <t>Belgian</t>
  </si>
  <si>
    <t>Belgians</t>
  </si>
  <si>
    <t>Belize</t>
  </si>
  <si>
    <t>Belizean</t>
  </si>
  <si>
    <t>Belizeans</t>
  </si>
  <si>
    <t>Benin</t>
  </si>
  <si>
    <t>Beninese, Beninois</t>
  </si>
  <si>
    <t>Bermuda</t>
  </si>
  <si>
    <t>Bermudian, Bermudan</t>
  </si>
  <si>
    <t>Bermudians, Bermudans</t>
  </si>
  <si>
    <t>Bhutan</t>
  </si>
  <si>
    <t>Bhutanese</t>
  </si>
  <si>
    <t>Bolivia</t>
  </si>
  <si>
    <t>Bolivian</t>
  </si>
  <si>
    <t>Bolivians</t>
  </si>
  <si>
    <t>Bosnia and Herzegovina</t>
  </si>
  <si>
    <t>Bosnian, Bosniak, Herzegovinian</t>
  </si>
  <si>
    <t>Bosnians, Bosniaks, Herzegovinians</t>
  </si>
  <si>
    <t>Botswana</t>
  </si>
  <si>
    <t>Motswana (*pl.*Batswana), Botswanan</t>
  </si>
  <si>
    <t>Batswana, Botswanans</t>
  </si>
  <si>
    <t>Brazil</t>
  </si>
  <si>
    <t>Brazilian</t>
  </si>
  <si>
    <t>Brazilians</t>
  </si>
  <si>
    <t>British Virgin Islands</t>
  </si>
  <si>
    <t>British Virgin Island</t>
  </si>
  <si>
    <t>British Virgin Islanders</t>
  </si>
  <si>
    <t>Brunei</t>
  </si>
  <si>
    <t>Bruneian</t>
  </si>
  <si>
    <t>Bruneians</t>
  </si>
  <si>
    <t>Bulgaria</t>
  </si>
  <si>
    <t>Bulgarian</t>
  </si>
  <si>
    <t>Bulgarians</t>
  </si>
  <si>
    <t>Burkina Fasoa</t>
  </si>
  <si>
    <t>Burkinabe</t>
  </si>
  <si>
    <t>Burmab</t>
  </si>
  <si>
    <t>Burmese</t>
  </si>
  <si>
    <t>Bamar, Burmese</t>
  </si>
  <si>
    <t>Burundi</t>
  </si>
  <si>
    <t>Burundian</t>
  </si>
  <si>
    <t>Burundians</t>
  </si>
  <si>
    <t>Cambodia</t>
  </si>
  <si>
    <t>Cambodian</t>
  </si>
  <si>
    <t>Cambodians</t>
  </si>
  <si>
    <t>Cameroon</t>
  </si>
  <si>
    <t>Cameroonian</t>
  </si>
  <si>
    <t>Cameroonians</t>
  </si>
  <si>
    <t>Canada</t>
  </si>
  <si>
    <t>Canadian</t>
  </si>
  <si>
    <t>Canadians</t>
  </si>
  <si>
    <t>Cape Verde</t>
  </si>
  <si>
    <t>Cape Verdean</t>
  </si>
  <si>
    <t>Cape Verdeans</t>
  </si>
  <si>
    <t>Cayman Islands</t>
  </si>
  <si>
    <t>Caymanian</t>
  </si>
  <si>
    <t>Caymanians</t>
  </si>
  <si>
    <t>Central African Republic</t>
  </si>
  <si>
    <t>Central African</t>
  </si>
  <si>
    <t>Central Africans</t>
  </si>
  <si>
    <t>Chad</t>
  </si>
  <si>
    <t>Chadian</t>
  </si>
  <si>
    <t>Chadians</t>
  </si>
  <si>
    <t>Chile</t>
  </si>
  <si>
    <t>Chilean</t>
  </si>
  <si>
    <t>Chileans</t>
  </si>
  <si>
    <t>People's Republic of China</t>
  </si>
  <si>
    <t>Chinese</t>
  </si>
  <si>
    <t>Republic of China</t>
  </si>
  <si>
    <t>See *Taiwan*, below</t>
  </si>
  <si>
    <t>Christmas Island</t>
  </si>
  <si>
    <t>Christmas Islanders</t>
  </si>
  <si>
    <t>Cocos (Keeling) Islands</t>
  </si>
  <si>
    <t>Cocos Island</t>
  </si>
  <si>
    <t>Cocos Islanders</t>
  </si>
  <si>
    <t>Colombia</t>
  </si>
  <si>
    <t>Colombian</t>
  </si>
  <si>
    <t>Colombians</t>
  </si>
  <si>
    <t>Comoros</t>
  </si>
  <si>
    <t>Comorian</t>
  </si>
  <si>
    <t>Comorians</t>
  </si>
  <si>
    <t>Dem. Republic of the Congo</t>
  </si>
  <si>
    <t>Congolese, Congo</t>
  </si>
  <si>
    <t>Congolese</t>
  </si>
  <si>
    <t>Republic of the Congo</t>
  </si>
  <si>
    <t>Cook Islands</t>
  </si>
  <si>
    <t>Cook Island</t>
  </si>
  <si>
    <t>Cook Islanders</t>
  </si>
  <si>
    <t>Costa Rica</t>
  </si>
  <si>
    <t>Costa Rican</t>
  </si>
  <si>
    <t>Costa Ricans</t>
  </si>
  <si>
    <t>"Ticos"</t>
  </si>
  <si>
    <t>Côte d'Ivoire</t>
  </si>
  <si>
    <t>(disambiguation)|</t>
  </si>
  <si>
    <t>Ivorians</t>
  </si>
  <si>
    <t>Croatia</t>
  </si>
  <si>
    <t>Croatian</t>
  </si>
  <si>
    <t>Croatians, Croats</t>
  </si>
  <si>
    <t>Cuba</t>
  </si>
  <si>
    <t>Cuban</t>
  </si>
  <si>
    <t>Cubans</t>
  </si>
  <si>
    <t>Cyprus</t>
  </si>
  <si>
    <t>Cypriot</t>
  </si>
  <si>
    <t>Cypriots</t>
  </si>
  <si>
    <t>Czech Republic</t>
  </si>
  <si>
    <t>Czech</t>
  </si>
  <si>
    <t>Czechs</t>
  </si>
  <si>
    <t>Denmark</t>
  </si>
  <si>
    <t>Danish</t>
  </si>
  <si>
    <t>Danes</t>
  </si>
  <si>
    <t>Djibouti</t>
  </si>
  <si>
    <t>Djiboutian</t>
  </si>
  <si>
    <t>Djiboutians</t>
  </si>
  <si>
    <t>Dominica</t>
  </si>
  <si>
    <t>Dominicand</t>
  </si>
  <si>
    <t>Dominicansd</t>
  </si>
  <si>
    <t>Dominican Republic</t>
  </si>
  <si>
    <t>Dominicane</t>
  </si>
  <si>
    <t>Dominicanse</t>
  </si>
  <si>
    <t>"Quisqueyanos"</t>
  </si>
  <si>
    <t>East Timor</t>
  </si>
  <si>
    <t>Timorese</t>
  </si>
  <si>
    <t>"Maubere"</t>
  </si>
  <si>
    <t>Ecuador</t>
  </si>
  <si>
    <t>Ecuadorian</t>
  </si>
  <si>
    <t>Ecuadorians</t>
  </si>
  <si>
    <t>Egypt</t>
  </si>
  <si>
    <t>Egyptian</t>
  </si>
  <si>
    <t>Egyptians</t>
  </si>
  <si>
    <t>El Salvador</t>
  </si>
  <si>
    <t>Salvadoran</t>
  </si>
  <si>
    <t>Salvadorans</t>
  </si>
  <si>
    <t>England</t>
  </si>
  <si>
    <t>English</t>
  </si>
  <si>
    <t>Equatorial Guinea</t>
  </si>
  <si>
    <t>Equatorial Guinean, Equatoguinean</t>
  </si>
  <si>
    <t>Equatorial Guineans, Equatoguineans</t>
  </si>
  <si>
    <t>Eritrea</t>
  </si>
  <si>
    <t>Eritrean</t>
  </si>
  <si>
    <t>Eritreans</t>
  </si>
  <si>
    <t>Estonia</t>
  </si>
  <si>
    <t>Estonian</t>
  </si>
  <si>
    <t>Estonians</t>
  </si>
  <si>
    <t>Ethiopia</t>
  </si>
  <si>
    <t>Ethiopian</t>
  </si>
  <si>
    <t>Ethiopians</t>
  </si>
  <si>
    <t>Falkland Islands</t>
  </si>
  <si>
    <t>Falkland Island</t>
  </si>
  <si>
    <t>Falkland Islanders</t>
  </si>
  <si>
    <t>"Belongers"</t>
  </si>
  <si>
    <t>Faroe Islands</t>
  </si>
  <si>
    <t>Faroese</t>
  </si>
  <si>
    <t>Fiji</t>
  </si>
  <si>
    <t>Fijian</t>
  </si>
  <si>
    <t>Fijians</t>
  </si>
  <si>
    <t>Finland</t>
  </si>
  <si>
    <t>Finnish</t>
  </si>
  <si>
    <t>Finns</t>
  </si>
  <si>
    <t>France</t>
  </si>
  <si>
    <t>French</t>
  </si>
  <si>
    <t>French (or Frenchman/Frenchwoman)</t>
  </si>
  <si>
    <t>French Guiana</t>
  </si>
  <si>
    <t>French Guianese</t>
  </si>
  <si>
    <t>French Polynesia</t>
  </si>
  <si>
    <t>French Polynesian</t>
  </si>
  <si>
    <t>French Polynesians, Tahitians</t>
  </si>
  <si>
    <t>Gabon</t>
  </si>
  <si>
    <t>Gabonese</t>
  </si>
  <si>
    <t>Gambia</t>
  </si>
  <si>
    <t>Gambian</t>
  </si>
  <si>
    <t>Gambians</t>
  </si>
  <si>
    <t>Georgia</t>
  </si>
  <si>
    <t>Georgian</t>
  </si>
  <si>
    <t>Georgians</t>
  </si>
  <si>
    <t>Germany</t>
  </si>
  <si>
    <t>German</t>
  </si>
  <si>
    <t>Germans</t>
  </si>
  <si>
    <t>Ghana</t>
  </si>
  <si>
    <t>Ghanaian</t>
  </si>
  <si>
    <t>Ghanaians</t>
  </si>
  <si>
    <t>Gibraltar</t>
  </si>
  <si>
    <t>Gibraltarians</t>
  </si>
  <si>
    <t>Llanitos</t>
  </si>
  <si>
    <t>Great Britain</t>
  </si>
  <si>
    <t>British</t>
  </si>
  <si>
    <t>Britons</t>
  </si>
  <si>
    <t>*see*Other words for "British"</t>
  </si>
  <si>
    <t>Greece</t>
  </si>
  <si>
    <t>Greek, Grecianf, Hellenic</t>
  </si>
  <si>
    <t>Greeks, Greciansf, Hellenes</t>
  </si>
  <si>
    <t>Greenland</t>
  </si>
  <si>
    <t>Greenlandic</t>
  </si>
  <si>
    <t>Greenlanders</t>
  </si>
  <si>
    <t>Grenada</t>
  </si>
  <si>
    <t>Grenadian</t>
  </si>
  <si>
    <t>Grenadians</t>
  </si>
  <si>
    <t>Guadeloupe</t>
  </si>
  <si>
    <t>Guadeloupians</t>
  </si>
  <si>
    <t>Guam</t>
  </si>
  <si>
    <t>Guamanian</t>
  </si>
  <si>
    <t>Guamanians</t>
  </si>
  <si>
    <t>Guatemala</t>
  </si>
  <si>
    <t>Guatemalan</t>
  </si>
  <si>
    <t>Guatemalans</t>
  </si>
  <si>
    <t>Guinea</t>
  </si>
  <si>
    <t>Guinean</t>
  </si>
  <si>
    <t>Guineans</t>
  </si>
  <si>
    <t>Guinea-Bissau</t>
  </si>
  <si>
    <t>Guyana</t>
  </si>
  <si>
    <t>Guyanese</t>
  </si>
  <si>
    <t>Haiti</t>
  </si>
  <si>
    <t>Haitian</t>
  </si>
  <si>
    <t>Haitians</t>
  </si>
  <si>
    <t>Ayisyen</t>
  </si>
  <si>
    <t>Honduras</t>
  </si>
  <si>
    <t>Honduran</t>
  </si>
  <si>
    <t>Hondurans</t>
  </si>
  <si>
    <t>"Catrachos"</t>
  </si>
  <si>
    <t>Hong Kong</t>
  </si>
  <si>
    <t>Hong Kong, Hongkongese</t>
  </si>
  <si>
    <t>Hongkongers, Hongkongese</t>
  </si>
  <si>
    <t>"Hongers"</t>
  </si>
  <si>
    <t>Hungary</t>
  </si>
  <si>
    <t>Hungarian, Magyar</t>
  </si>
  <si>
    <t>Hungarians, Magyars</t>
  </si>
  <si>
    <t>Iceland</t>
  </si>
  <si>
    <t>Icelandic</t>
  </si>
  <si>
    <t>Icelanders</t>
  </si>
  <si>
    <t>India</t>
  </si>
  <si>
    <t>Indian</t>
  </si>
  <si>
    <t>Indians</t>
  </si>
  <si>
    <t>Indonesia</t>
  </si>
  <si>
    <t>Indonesian</t>
  </si>
  <si>
    <t>Indonesians</t>
  </si>
  <si>
    <t>Iran</t>
  </si>
  <si>
    <t>Iranian</t>
  </si>
  <si>
    <t>Iranians</t>
  </si>
  <si>
    <t>Iraq</t>
  </si>
  <si>
    <t>Iraqi</t>
  </si>
  <si>
    <t>Iraqis</t>
  </si>
  <si>
    <t>Ireland</t>
  </si>
  <si>
    <t>Irish</t>
  </si>
  <si>
    <t>Isle of Man</t>
  </si>
  <si>
    <t>Manx</t>
  </si>
  <si>
    <t>Israel</t>
  </si>
  <si>
    <t>Israeli</t>
  </si>
  <si>
    <t>Israelis</t>
  </si>
  <si>
    <t>Italy</t>
  </si>
  <si>
    <t>Italian, Italicf</t>
  </si>
  <si>
    <t>Italians, Italicsf</t>
  </si>
  <si>
    <t>Jamaica</t>
  </si>
  <si>
    <t>Jamaican</t>
  </si>
  <si>
    <t>Jamaicans</t>
  </si>
  <si>
    <t>Japan</t>
  </si>
  <si>
    <t>Japanese</t>
  </si>
  <si>
    <t>Jordan</t>
  </si>
  <si>
    <t>Jordanian</t>
  </si>
  <si>
    <t>Jordanians</t>
  </si>
  <si>
    <t>Kazakhstan</t>
  </si>
  <si>
    <t>Kazakh, Kazakhstani</t>
  </si>
  <si>
    <t>Kazakhstanis, Kazakhs</t>
  </si>
  <si>
    <t>Kenya</t>
  </si>
  <si>
    <t>Kenyan</t>
  </si>
  <si>
    <t>Kenyans</t>
  </si>
  <si>
    <t>Kiribati</t>
  </si>
  <si>
    <t>I-Kiribati</t>
  </si>
  <si>
    <t>North Korea</t>
  </si>
  <si>
    <t>North Korean</t>
  </si>
  <si>
    <t>Koreans</t>
  </si>
  <si>
    <t>South Korea</t>
  </si>
  <si>
    <t>South Korean</t>
  </si>
  <si>
    <t>Kosovo</t>
  </si>
  <si>
    <t>Kosovar, Kosovan</t>
  </si>
  <si>
    <t>Kosovars</t>
  </si>
  <si>
    <t>Kuwait</t>
  </si>
  <si>
    <t>Kuwaiti</t>
  </si>
  <si>
    <t>Kuwaitis</t>
  </si>
  <si>
    <t>Kyrgyzstan</t>
  </si>
  <si>
    <t>Kyrgyzstani, Kyrgyz, Kirgiz, Kirghiz</t>
  </si>
  <si>
    <t>Kyrgyzstanis, Kyrgyz, Kirgiz, Kirghiz</t>
  </si>
  <si>
    <t>Laos</t>
  </si>
  <si>
    <t>Laotian, Lao</t>
  </si>
  <si>
    <t>Laotians, Laos</t>
  </si>
  <si>
    <t>Latvia</t>
  </si>
  <si>
    <t>Latvian</t>
  </si>
  <si>
    <t>Latvians, Letts</t>
  </si>
  <si>
    <t>Lebanon</t>
  </si>
  <si>
    <t>Lebanese</t>
  </si>
  <si>
    <t>Lesotho</t>
  </si>
  <si>
    <t>Basotho</t>
  </si>
  <si>
    <t>Liberia</t>
  </si>
  <si>
    <t>Liberian</t>
  </si>
  <si>
    <t>Liberians</t>
  </si>
  <si>
    <t>Libya</t>
  </si>
  <si>
    <t>Libyan</t>
  </si>
  <si>
    <t>Libyans</t>
  </si>
  <si>
    <t>Liechtenstein</t>
  </si>
  <si>
    <t>Liechtensteiners</t>
  </si>
  <si>
    <t>Lithuania</t>
  </si>
  <si>
    <t>Lithuanian</t>
  </si>
  <si>
    <t>Lithuanians</t>
  </si>
  <si>
    <t>Luxembourg</t>
  </si>
  <si>
    <t>Luxembourgers</t>
  </si>
  <si>
    <t>Macau</t>
  </si>
  <si>
    <t>Macanese, Chinese</t>
  </si>
  <si>
    <t>Republic of Macedonia</t>
  </si>
  <si>
    <t>Macedonian</t>
  </si>
  <si>
    <t>Macedonians</t>
  </si>
  <si>
    <t>Madagascar</t>
  </si>
  <si>
    <t>Malagasy</t>
  </si>
  <si>
    <t>Malawi</t>
  </si>
  <si>
    <t>Malawian</t>
  </si>
  <si>
    <t>Malawians</t>
  </si>
  <si>
    <t>Malaysia</t>
  </si>
  <si>
    <t>Malaysian</t>
  </si>
  <si>
    <t>Malaysians</t>
  </si>
  <si>
    <t>Maldives</t>
  </si>
  <si>
    <t>Maldivian</t>
  </si>
  <si>
    <t>Maldivians</t>
  </si>
  <si>
    <t>Mali</t>
  </si>
  <si>
    <t>Malian</t>
  </si>
  <si>
    <t>Malians</t>
  </si>
  <si>
    <t>Malta</t>
  </si>
  <si>
    <t>Maltese</t>
  </si>
  <si>
    <t>Marshall Islands</t>
  </si>
  <si>
    <t>Marshallese</t>
  </si>
  <si>
    <t>Martinique</t>
  </si>
  <si>
    <t>Martiniquais, Martinican</t>
  </si>
  <si>
    <t>Martiniquais</t>
  </si>
  <si>
    <t>Mauritania</t>
  </si>
  <si>
    <t>Mauritanian</t>
  </si>
  <si>
    <t>Mauritanians</t>
  </si>
  <si>
    <t>Mauritius</t>
  </si>
  <si>
    <t>Mauritian</t>
  </si>
  <si>
    <t>Mauritians</t>
  </si>
  <si>
    <t>Mayotte</t>
  </si>
  <si>
    <t>Mahoran</t>
  </si>
  <si>
    <t>Mahorais</t>
  </si>
  <si>
    <t>Mexico</t>
  </si>
  <si>
    <t>Mexican</t>
  </si>
  <si>
    <t>Mexicans</t>
  </si>
  <si>
    <t>Micronesia</t>
  </si>
  <si>
    <t>Micronesian</t>
  </si>
  <si>
    <t>Micronesians</t>
  </si>
  <si>
    <t>Moldova</t>
  </si>
  <si>
    <t>Moldovan</t>
  </si>
  <si>
    <t>Moldovans</t>
  </si>
  <si>
    <t>Monaco</t>
  </si>
  <si>
    <t>Monégasque, Monacan</t>
  </si>
  <si>
    <t>Monégasques, Monacans</t>
  </si>
  <si>
    <t>Mongolia</t>
  </si>
  <si>
    <t>Mongolian</t>
  </si>
  <si>
    <t>Mongolians, Mongols</t>
  </si>
  <si>
    <t>Montenegro</t>
  </si>
  <si>
    <t>Montenegrin</t>
  </si>
  <si>
    <t>Montenegrins</t>
  </si>
  <si>
    <t>Montserrat</t>
  </si>
  <si>
    <t>Montserratian</t>
  </si>
  <si>
    <t>Montserratians</t>
  </si>
  <si>
    <t>Morocco</t>
  </si>
  <si>
    <t>Moroccan</t>
  </si>
  <si>
    <t>Moroccans</t>
  </si>
  <si>
    <t>Mozambique</t>
  </si>
  <si>
    <t>Mozambican</t>
  </si>
  <si>
    <t>Mozambicans</t>
  </si>
  <si>
    <t>Namibia</t>
  </si>
  <si>
    <t>Namibian</t>
  </si>
  <si>
    <t>Namibians</t>
  </si>
  <si>
    <t>Nauru</t>
  </si>
  <si>
    <t>Nauruan</t>
  </si>
  <si>
    <t>Nauruans</t>
  </si>
  <si>
    <t>Nepal</t>
  </si>
  <si>
    <t>Nepali</t>
  </si>
  <si>
    <t>Nepalese</t>
  </si>
  <si>
    <t>Netherlands</t>
  </si>
  <si>
    <t>Dutch</t>
  </si>
  <si>
    <t>Netherlands Antilles</t>
  </si>
  <si>
    <t>Dutch Antillean</t>
  </si>
  <si>
    <t>Dutch Antilleans</t>
  </si>
  <si>
    <t>New Caledonia</t>
  </si>
  <si>
    <t>New Caledonian</t>
  </si>
  <si>
    <t>New Caledonians</t>
  </si>
  <si>
    <t>New Zealand</t>
  </si>
  <si>
    <t>New Zealanders</t>
  </si>
  <si>
    <t>"Kiwis"</t>
  </si>
  <si>
    <t>Nicaragua</t>
  </si>
  <si>
    <t>Nicaraguan</t>
  </si>
  <si>
    <t>Nicaraguans</t>
  </si>
  <si>
    <t>Niue</t>
  </si>
  <si>
    <t>Niuean</t>
  </si>
  <si>
    <t>Niueans</t>
  </si>
  <si>
    <t>Niger</t>
  </si>
  <si>
    <t>Nigerien</t>
  </si>
  <si>
    <t>Nigeriens</t>
  </si>
  <si>
    <t>Nigeria</t>
  </si>
  <si>
    <t>Nigerian</t>
  </si>
  <si>
    <t>Nigerians</t>
  </si>
  <si>
    <t>Norway</t>
  </si>
  <si>
    <t>Norwegian</t>
  </si>
  <si>
    <t>Norwegians</t>
  </si>
  <si>
    <t>Northern Ireland</t>
  </si>
  <si>
    <t>Northern Irish / Irish</t>
  </si>
  <si>
    <t>Irish / Northern Irish</t>
  </si>
  <si>
    <t>Northern Marianas</t>
  </si>
  <si>
    <t>Northern Marianan</t>
  </si>
  <si>
    <t>Northern Marianans</t>
  </si>
  <si>
    <t>Oman</t>
  </si>
  <si>
    <t>Omani</t>
  </si>
  <si>
    <t>Omanis</t>
  </si>
  <si>
    <t>Pakistan</t>
  </si>
  <si>
    <t>Pakistani</t>
  </si>
  <si>
    <t>Pakistanis</t>
  </si>
  <si>
    <t>Palestinian territories</t>
  </si>
  <si>
    <t>Palestinian</t>
  </si>
  <si>
    <t>Palestinians</t>
  </si>
  <si>
    <t>Palau</t>
  </si>
  <si>
    <t>Palauan</t>
  </si>
  <si>
    <t>Palauans</t>
  </si>
  <si>
    <t>Panama</t>
  </si>
  <si>
    <t>Panamanian</t>
  </si>
  <si>
    <t>Panamanians</t>
  </si>
  <si>
    <t>Papua New Guinea</t>
  </si>
  <si>
    <t>Papua New Guinean, Papuan</t>
  </si>
  <si>
    <t>Papua New Guineans, Papuans</t>
  </si>
  <si>
    <t>Paraguay</t>
  </si>
  <si>
    <t>Paraguayan</t>
  </si>
  <si>
    <t>Paraguayans</t>
  </si>
  <si>
    <t>Peru</t>
  </si>
  <si>
    <t>Peruvian</t>
  </si>
  <si>
    <t>Peruvians</t>
  </si>
  <si>
    <t>Philippines</t>
  </si>
  <si>
    <t>Philippine, Filipino</t>
  </si>
  <si>
    <t>Filipinos (sing. Filipino/Filipina (man/woman))</t>
  </si>
  <si>
    <t>Pinoys</t>
  </si>
  <si>
    <t>Pitcairn Island</t>
  </si>
  <si>
    <t>Pitcairn Islanders</t>
  </si>
  <si>
    <t>Poland</t>
  </si>
  <si>
    <t>Polish</t>
  </si>
  <si>
    <t>Poles</t>
  </si>
  <si>
    <t>Portugal</t>
  </si>
  <si>
    <t>Portuguese</t>
  </si>
  <si>
    <t>Puerto Rico</t>
  </si>
  <si>
    <t>Puerto Rican</t>
  </si>
  <si>
    <t>Puerto Ricans, Boricuas</t>
  </si>
  <si>
    <t>Qatar</t>
  </si>
  <si>
    <t>Qatari</t>
  </si>
  <si>
    <t>Qataris</t>
  </si>
  <si>
    <t>Republic of Ireland</t>
  </si>
  <si>
    <t>Irish / Southern Irishg</t>
  </si>
  <si>
    <t>Réunion</t>
  </si>
  <si>
    <t>Réunionese, Réunionnais</t>
  </si>
  <si>
    <t>Romania</t>
  </si>
  <si>
    <t>Romanian</t>
  </si>
  <si>
    <t>Romanians</t>
  </si>
  <si>
    <t>Russia</t>
  </si>
  <si>
    <t>Russian</t>
  </si>
  <si>
    <t>Russians</t>
  </si>
  <si>
    <t>Rwanda</t>
  </si>
  <si>
    <t>Rwandan</t>
  </si>
  <si>
    <t>Rwandans</t>
  </si>
  <si>
    <t>St. Helena</t>
  </si>
  <si>
    <t>St. Helenian</t>
  </si>
  <si>
    <t>St. Helenians</t>
  </si>
  <si>
    <t>St. Kitts and Nevis</t>
  </si>
  <si>
    <t>Kittitian, Nevisian</t>
  </si>
  <si>
    <t>Kittitians, Nevisians</t>
  </si>
  <si>
    <t>St. Lucia</t>
  </si>
  <si>
    <t>St. Lucian</t>
  </si>
  <si>
    <t>St. Lucians</t>
  </si>
  <si>
    <t>Saint-Pierre and Miquelon</t>
  </si>
  <si>
    <t>Saint-Pierrais, Miquelonnais</t>
  </si>
  <si>
    <t>St. Vincent and the Grenadines</t>
  </si>
  <si>
    <t>St. Vincentian, Vincentian</t>
  </si>
  <si>
    <t>St. Vincentians, Vincentians</t>
  </si>
  <si>
    <t>Samoa</t>
  </si>
  <si>
    <t>Samoan</t>
  </si>
  <si>
    <t>Samoans</t>
  </si>
  <si>
    <t>San Marino</t>
  </si>
  <si>
    <t>Sammarinese</t>
  </si>
  <si>
    <t>São Tomé and Príncipe</t>
  </si>
  <si>
    <t>São Toméan</t>
  </si>
  <si>
    <t>São Toméans</t>
  </si>
  <si>
    <t>Saudi Arabia</t>
  </si>
  <si>
    <t>Saudi, Saudi Arabian</t>
  </si>
  <si>
    <t>Saudis, Saudi Arabians</t>
  </si>
  <si>
    <t>Scotland</t>
  </si>
  <si>
    <t>Scots, Scottish, Scotchh</t>
  </si>
  <si>
    <t>Scots</t>
  </si>
  <si>
    <t>Senegal</t>
  </si>
  <si>
    <t>Senegalese</t>
  </si>
  <si>
    <t>Serbia</t>
  </si>
  <si>
    <t>Serbian</t>
  </si>
  <si>
    <t>Serbians, Serbs</t>
  </si>
  <si>
    <t>Seychelles</t>
  </si>
  <si>
    <t>Seychellois</t>
  </si>
  <si>
    <t>Sierra Leone</t>
  </si>
  <si>
    <t>Sierra Leonean</t>
  </si>
  <si>
    <t>Sierra Leoneans</t>
  </si>
  <si>
    <t>Singapore</t>
  </si>
  <si>
    <t>Singaporeans</t>
  </si>
  <si>
    <t>Slovakia</t>
  </si>
  <si>
    <t>Slovak</t>
  </si>
  <si>
    <t>Slovaks</t>
  </si>
  <si>
    <t>Slovenia</t>
  </si>
  <si>
    <t>Slovene, Slovenian</t>
  </si>
  <si>
    <t>Slovenians, Slovenes</t>
  </si>
  <si>
    <t>Solomon Islands</t>
  </si>
  <si>
    <t>Solomon Island</t>
  </si>
  <si>
    <t>Solomon Islanders</t>
  </si>
  <si>
    <t>Somalia</t>
  </si>
  <si>
    <t>Somali</t>
  </si>
  <si>
    <t>Somalis</t>
  </si>
  <si>
    <t>South Africa</t>
  </si>
  <si>
    <t>South African</t>
  </si>
  <si>
    <t>South Africans</t>
  </si>
  <si>
    <t>South Ossetia</t>
  </si>
  <si>
    <t>South Ossetian</t>
  </si>
  <si>
    <t>South Ossetians</t>
  </si>
  <si>
    <t>Spain</t>
  </si>
  <si>
    <t>Spanish</t>
  </si>
  <si>
    <t>Spaniards</t>
  </si>
  <si>
    <t>Sri Lanka</t>
  </si>
  <si>
    <t>Sri Lankan</t>
  </si>
  <si>
    <t>Sri Lankans</t>
  </si>
  <si>
    <t>Sudan</t>
  </si>
  <si>
    <t>Sudanese</t>
  </si>
  <si>
    <t>Surinam</t>
  </si>
  <si>
    <t>Surinamese</t>
  </si>
  <si>
    <t>Surinamers</t>
  </si>
  <si>
    <t>Swaziland</t>
  </si>
  <si>
    <t>Swazi</t>
  </si>
  <si>
    <t>Swazis</t>
  </si>
  <si>
    <t>Sweden</t>
  </si>
  <si>
    <t>Swedish</t>
  </si>
  <si>
    <t>Swedes</t>
  </si>
  <si>
    <t>Switzerland</t>
  </si>
  <si>
    <t>Swiss</t>
  </si>
  <si>
    <t>Syria</t>
  </si>
  <si>
    <t>Syrian</t>
  </si>
  <si>
    <t>Syrians</t>
  </si>
  <si>
    <t>Taiwan</t>
  </si>
  <si>
    <t>Taiwanese</t>
  </si>
  <si>
    <t>Tajikistan</t>
  </si>
  <si>
    <t>Tajikistani</t>
  </si>
  <si>
    <t>Tajikistanis, Tajiks</t>
  </si>
  <si>
    <t>Tanzania</t>
  </si>
  <si>
    <t>Tanzanian</t>
  </si>
  <si>
    <t>Tanzanians</t>
  </si>
  <si>
    <t>Thailand</t>
  </si>
  <si>
    <t>Thai</t>
  </si>
  <si>
    <t>Togo</t>
  </si>
  <si>
    <t>Togolese</t>
  </si>
  <si>
    <t>Tonga</t>
  </si>
  <si>
    <t>Tongan</t>
  </si>
  <si>
    <t>Tongans</t>
  </si>
  <si>
    <t>Trinidad and Tobago</t>
  </si>
  <si>
    <t>Trinidadian, Tobagonian</t>
  </si>
  <si>
    <t>Trinidadians, Tobagonians</t>
  </si>
  <si>
    <t>"Trinis", "Trinibagonians"</t>
  </si>
  <si>
    <t>Tunisia</t>
  </si>
  <si>
    <t>Tunisian</t>
  </si>
  <si>
    <t>Tunisians</t>
  </si>
  <si>
    <t>Turkey</t>
  </si>
  <si>
    <t>Turkish</t>
  </si>
  <si>
    <t>Turks</t>
  </si>
  <si>
    <t>Turkmenistan</t>
  </si>
  <si>
    <t>Turkmen</t>
  </si>
  <si>
    <t>Turkmens</t>
  </si>
  <si>
    <t>Turks and Caicos Islands</t>
  </si>
  <si>
    <t>*none*</t>
  </si>
  <si>
    <t>Turks and Caicos Islanders</t>
  </si>
  <si>
    <t>Tuvalu</t>
  </si>
  <si>
    <t>Tuvaluan</t>
  </si>
  <si>
    <t>Tuvaluans</t>
  </si>
  <si>
    <t>Uganda</t>
  </si>
  <si>
    <t>Ugandan</t>
  </si>
  <si>
    <t>Ugandans</t>
  </si>
  <si>
    <t>Ukraine</t>
  </si>
  <si>
    <t>Ukrainian</t>
  </si>
  <si>
    <t>Ukrainians</t>
  </si>
  <si>
    <t>United Arab Emirates</t>
  </si>
  <si>
    <t>Emirati, Emirian</t>
  </si>
  <si>
    <t>Emiratis, Emirians</t>
  </si>
  <si>
    <t>United Kingdom</t>
  </si>
  <si>
    <t>United States</t>
  </si>
  <si>
    <t>Americani, U.S.</t>
  </si>
  <si>
    <t>Americansj</t>
  </si>
  <si>
    <t>Uruguay</t>
  </si>
  <si>
    <t>Uruguayan</t>
  </si>
  <si>
    <t>Uruguayans</t>
  </si>
  <si>
    <t>Uzbekistan</t>
  </si>
  <si>
    <t>Uzbekistani, Uzbek</t>
  </si>
  <si>
    <t>Uzbekistanis, Uzbeks</t>
  </si>
  <si>
    <t>Vanuatu</t>
  </si>
  <si>
    <t>Ni-Vanuatu, Vanuatuan</t>
  </si>
  <si>
    <t>Ni-Vanuatu</t>
  </si>
  <si>
    <t>Venezuela</t>
  </si>
  <si>
    <t>Venezuelan</t>
  </si>
  <si>
    <t>Venezuelans</t>
  </si>
  <si>
    <t>Vietnam</t>
  </si>
  <si>
    <t>Vietnamese</t>
  </si>
  <si>
    <t>Virgin Islands</t>
  </si>
  <si>
    <t>Virgin Island</t>
  </si>
  <si>
    <t>Virgin Islanders</t>
  </si>
  <si>
    <t>Wales</t>
  </si>
  <si>
    <t>Welsh</t>
  </si>
  <si>
    <t>Wallis and Futuna</t>
  </si>
  <si>
    <t>Wallisian, Futunan</t>
  </si>
  <si>
    <t>Wallisians, Futunans</t>
  </si>
  <si>
    <t>Western Sahara</t>
  </si>
  <si>
    <t>Sahraw, Sahrawian, Sahraouian</t>
  </si>
  <si>
    <t>Sahrawis, Sahraouis</t>
  </si>
  <si>
    <t>Yemen</t>
  </si>
  <si>
    <t>Yemeni</t>
  </si>
  <si>
    <t>Yemenis</t>
  </si>
  <si>
    <t>Zambia</t>
  </si>
  <si>
    <t>Zambian</t>
  </si>
  <si>
    <t>Zambians</t>
  </si>
  <si>
    <t>Zimbabwe</t>
  </si>
  <si>
    <t>Zimbabwean</t>
  </si>
  <si>
    <t>Zimbabweans</t>
  </si>
  <si>
    <t>Name</t>
  </si>
  <si>
    <t>Adjective</t>
  </si>
  <si>
    <t>Demonym</t>
  </si>
  <si>
    <t>*Afro-Eurasia*</t>
  </si>
  <si>
    <t>*Afro-Eurasian*</t>
  </si>
  <si>
    <t>*Afro-Eurasians*</t>
  </si>
  <si>
    <t>Africa</t>
  </si>
  <si>
    <t>African</t>
  </si>
  <si>
    <t>Africans</t>
  </si>
  <si>
    <t>*Eurasia*</t>
  </si>
  <si>
    <t>*Eurasian*</t>
  </si>
  <si>
    <t>*Eurasians*</t>
  </si>
  <si>
    <t>Asia</t>
  </si>
  <si>
    <t>Asian</t>
  </si>
  <si>
    <t>Asians</t>
  </si>
  <si>
    <t>*Middle East*</t>
  </si>
  <si>
    <t>*Middle Eastern*</t>
  </si>
  <si>
    <t>*Middle Easterners*</t>
  </si>
  <si>
    <t>Europe</t>
  </si>
  <si>
    <t>European</t>
  </si>
  <si>
    <t>Europeans</t>
  </si>
  <si>
    <t>*America*</t>
  </si>
  <si>
    <t>*American*</t>
  </si>
  <si>
    <t>*Americans*</t>
  </si>
  <si>
    <t>North America</t>
  </si>
  <si>
    <t>North American</t>
  </si>
  <si>
    <t>*North Americans*</t>
  </si>
  <si>
    <t>*Caribbean*</t>
  </si>
  <si>
    <t>*Caribbeans*</t>
  </si>
  <si>
    <t>*West Indies*</t>
  </si>
  <si>
    <t>*West Indian*</t>
  </si>
  <si>
    <t>*West Indians*</t>
  </si>
  <si>
    <t>*Central America*</t>
  </si>
  <si>
    <t>*Central American*</t>
  </si>
  <si>
    <t>*Central Americans*</t>
  </si>
  <si>
    <t>*Northern America*</t>
  </si>
  <si>
    <t>*Northern American*</t>
  </si>
  <si>
    <t>*Northern Americans*</t>
  </si>
  <si>
    <t>South America</t>
  </si>
  <si>
    <t>South American</t>
  </si>
  <si>
    <t>*South Americans*</t>
  </si>
  <si>
    <t>Antarctica</t>
  </si>
  <si>
    <t>*Antarctic*</t>
  </si>
  <si>
    <t>*Antarcticans*</t>
  </si>
  <si>
    <t>*Oceania*</t>
  </si>
  <si>
    <t>*Oceanian*</t>
  </si>
  <si>
    <t>*Oceanians*</t>
  </si>
  <si>
    <t>*Australasia*</t>
  </si>
  <si>
    <t>*Australasian*</t>
  </si>
  <si>
    <t>*Australasians*</t>
  </si>
  <si>
    <t>Australiaa</t>
  </si>
  <si>
    <t>Australiana</t>
  </si>
  <si>
    <t>Australiansa</t>
  </si>
  <si>
    <t>*Zealandia*</t>
  </si>
  <si>
    <t>*Zealandian*</t>
  </si>
  <si>
    <t>*Zealandians*</t>
  </si>
  <si>
    <t>*Pacific Islands*</t>
  </si>
  <si>
    <t>*Pacific Islanders*</t>
  </si>
  <si>
    <t>mm8j 8hb</t>
  </si>
  <si>
    <t>Adjective/Demonym</t>
  </si>
  <si>
    <t>Acre (AC)</t>
  </si>
  <si>
    <t>Acrean</t>
  </si>
  <si>
    <t>Alagoas (AL)</t>
  </si>
  <si>
    <t>Alagoan</t>
  </si>
  <si>
    <t>Amapá (AP)</t>
  </si>
  <si>
    <t>Amapaense</t>
  </si>
  <si>
    <t>Amazonas (AM)</t>
  </si>
  <si>
    <t>Amazonense</t>
  </si>
  <si>
    <t>Bahia (BA)</t>
  </si>
  <si>
    <t>Bahian</t>
  </si>
  <si>
    <t>Ceará (CE)</t>
  </si>
  <si>
    <t>Cearense</t>
  </si>
  <si>
    <t>Espírito Santo (ES)</t>
  </si>
  <si>
    <t>Capixaba or Espiritossantense</t>
  </si>
  <si>
    <t>Federal District (DF)</t>
  </si>
  <si>
    <t>Brasiliense</t>
  </si>
  <si>
    <t>Goiás (GO)</t>
  </si>
  <si>
    <t>Goian</t>
  </si>
  <si>
    <t>Maranhão (MA)</t>
  </si>
  <si>
    <t>Maranhense</t>
  </si>
  <si>
    <t>Mato Grosso (MG)</t>
  </si>
  <si>
    <t>Matogrossense</t>
  </si>
  <si>
    <t>Mato Grosso do Sul (MS)</t>
  </si>
  <si>
    <t>Sul-matogrossense</t>
  </si>
  <si>
    <t>Minas Gerais (MG)</t>
  </si>
  <si>
    <t>Mineiran</t>
  </si>
  <si>
    <t>Pará (PA)</t>
  </si>
  <si>
    <t>Paraense</t>
  </si>
  <si>
    <t>Paraíba (PB)</t>
  </si>
  <si>
    <t>Paraiban</t>
  </si>
  <si>
    <t>Paraná (PR)</t>
  </si>
  <si>
    <t>Paranaense</t>
  </si>
  <si>
    <t>Pernambuco (PE)</t>
  </si>
  <si>
    <t>Pernambucan</t>
  </si>
  <si>
    <t>Piauí (PI)</t>
  </si>
  <si>
    <t>Piauiense</t>
  </si>
  <si>
    <t>Rio de Janeiro (RJ)</t>
  </si>
  <si>
    <t>Fluminense</t>
  </si>
  <si>
    <t>Rio Grande do Norte (RN)</t>
  </si>
  <si>
    <t>Potiguar or Norte-riograndense</t>
  </si>
  <si>
    <t>Rio Grande do Sul (RS)</t>
  </si>
  <si>
    <t>Gaúcho or Sul-riograndense</t>
  </si>
  <si>
    <t>Rondônia (RO)</t>
  </si>
  <si>
    <t>Rondonian or Rondoniense</t>
  </si>
  <si>
    <t>Roraima (RR)</t>
  </si>
  <si>
    <t>Roraimense</t>
  </si>
  <si>
    <t>Santa Catarina (SC)</t>
  </si>
  <si>
    <t>Catarinense</t>
  </si>
  <si>
    <t>São Paulo (SP)</t>
  </si>
  <si>
    <t>Paulista</t>
  </si>
  <si>
    <t>Sergipe (SE)</t>
  </si>
  <si>
    <t>Sergipan</t>
  </si>
  <si>
    <t>Tocantins (TO)</t>
  </si>
  <si>
    <t>Tocantinense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</si>
</sst>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rgb="FF202122"/>
      <name val="Sans-serif"/>
    </font>
    <font>
      <sz val="11.0"/>
      <color rgb="FF202122"/>
      <name val="Sans-serif"/>
    </font>
    <font>
      <u/>
      <sz val="11.0"/>
      <color rgb="FF3366CC"/>
      <name val="Sans-serif"/>
    </font>
    <font>
      <i/>
      <u/>
      <sz val="11.0"/>
      <color rgb="FF3366CC"/>
      <name val="Sans-serif"/>
    </font>
    <font>
      <u/>
      <sz val="8.0"/>
      <color rgb="FF3366CC"/>
      <name val="Sans-serif"/>
    </font>
    <font>
      <i/>
      <u/>
      <sz val="8.0"/>
      <color rgb="FF3366CC"/>
      <name val="Sans-serif"/>
    </font>
    <font>
      <b/>
      <i/>
      <sz val="11.0"/>
      <color rgb="FF202122"/>
      <name val="Sans-serif"/>
    </font>
    <font>
      <i/>
      <u/>
      <sz val="11.0"/>
      <color rgb="FF3366CC"/>
      <name val="Sans-serif"/>
    </font>
    <font>
      <u/>
      <sz val="11.0"/>
      <color rgb="FF3366CC"/>
      <name val="Sans-serif"/>
    </font>
    <font>
      <i/>
      <u/>
      <sz val="8.0"/>
      <color rgb="FF3366CC"/>
      <name val="Sans-serif"/>
    </font>
    <font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0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wrapText="0"/>
    </xf>
    <xf borderId="0" fillId="0" fontId="6" numFmtId="0" xfId="0" applyAlignment="1" applyFont="1">
      <alignment horizontal="left" readingOrder="0" shrinkToFit="0" wrapText="0"/>
    </xf>
    <xf borderId="0" fillId="2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horizontal="left" readingOrder="0" shrinkToFit="0" wrapText="1"/>
    </xf>
    <xf borderId="0" fillId="0" fontId="10" numFmtId="0" xfId="0" applyAlignment="1" applyFont="1">
      <alignment readingOrder="0" shrinkToFit="0" wrapText="0"/>
    </xf>
    <xf borderId="0" fillId="0" fontId="11" numFmtId="0" xfId="0" applyFont="1"/>
    <xf borderId="0" fillId="3" fontId="12" numFmtId="0" xfId="0" applyAlignment="1" applyFill="1" applyFont="1">
      <alignment readingOrder="0"/>
    </xf>
    <xf borderId="0" fillId="3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Newfoundland_and_Labrador" TargetMode="External"/><Relationship Id="rId194" Type="http://schemas.openxmlformats.org/officeDocument/2006/relationships/hyperlink" Target="https://en.wikipedia.org/wiki/Nova_Scotia" TargetMode="External"/><Relationship Id="rId193" Type="http://schemas.openxmlformats.org/officeDocument/2006/relationships/hyperlink" Target="https://en.wikipedia.org/wiki/Northwest_Territories" TargetMode="External"/><Relationship Id="rId192" Type="http://schemas.openxmlformats.org/officeDocument/2006/relationships/hyperlink" Target="https://en.wikipedia.org/wiki/North_Dakota" TargetMode="External"/><Relationship Id="rId191" Type="http://schemas.openxmlformats.org/officeDocument/2006/relationships/hyperlink" Target="https://en.wikipedia.org/wiki/Normandy" TargetMode="External"/><Relationship Id="rId187" Type="http://schemas.openxmlformats.org/officeDocument/2006/relationships/hyperlink" Target="https://en.wikipedia.org/wiki/New_Jersey" TargetMode="External"/><Relationship Id="rId186" Type="http://schemas.openxmlformats.org/officeDocument/2006/relationships/hyperlink" Target="https://en.wikipedia.org/wiki/Nevada" TargetMode="External"/><Relationship Id="rId185" Type="http://schemas.openxmlformats.org/officeDocument/2006/relationships/hyperlink" Target="https://en.wikipedia.org/wiki/Nebraska" TargetMode="External"/><Relationship Id="rId184" Type="http://schemas.openxmlformats.org/officeDocument/2006/relationships/hyperlink" Target="https://en.wikipedia.org/wiki/Moravia" TargetMode="External"/><Relationship Id="rId189" Type="http://schemas.openxmlformats.org/officeDocument/2006/relationships/hyperlink" Target="https://en.wikipedia.org/wiki/New_South_Wales" TargetMode="External"/><Relationship Id="rId188" Type="http://schemas.openxmlformats.org/officeDocument/2006/relationships/hyperlink" Target="https://en.wikipedia.org/wiki/New_Mexico" TargetMode="External"/><Relationship Id="rId183" Type="http://schemas.openxmlformats.org/officeDocument/2006/relationships/hyperlink" Target="https://en.wikipedia.org/wiki/Montana" TargetMode="External"/><Relationship Id="rId182" Type="http://schemas.openxmlformats.org/officeDocument/2006/relationships/hyperlink" Target="https://en.wikipedia.org/wiki/Maluku_Islands" TargetMode="External"/><Relationship Id="rId181" Type="http://schemas.openxmlformats.org/officeDocument/2006/relationships/hyperlink" Target="https://en.wikipedia.org/wiki/Missouri" TargetMode="External"/><Relationship Id="rId180" Type="http://schemas.openxmlformats.org/officeDocument/2006/relationships/hyperlink" Target="https://en.wikipedia.org/wiki/Mississippi" TargetMode="External"/><Relationship Id="rId176" Type="http://schemas.openxmlformats.org/officeDocument/2006/relationships/hyperlink" Target="https://en.wikipedia.org/wiki/Maryland" TargetMode="External"/><Relationship Id="rId175" Type="http://schemas.openxmlformats.org/officeDocument/2006/relationships/hyperlink" Target="https://en.wikipedia.org/wiki/Manitoba" TargetMode="External"/><Relationship Id="rId174" Type="http://schemas.openxmlformats.org/officeDocument/2006/relationships/hyperlink" Target="https://en.wikipedia.org/wiki/Mandalay_Region" TargetMode="External"/><Relationship Id="rId173" Type="http://schemas.openxmlformats.org/officeDocument/2006/relationships/hyperlink" Target="https://en.wikipedia.org/wiki/Majorca" TargetMode="External"/><Relationship Id="rId179" Type="http://schemas.openxmlformats.org/officeDocument/2006/relationships/hyperlink" Target="https://en.wikipedia.org/wiki/Minnesota" TargetMode="External"/><Relationship Id="rId178" Type="http://schemas.openxmlformats.org/officeDocument/2006/relationships/hyperlink" Target="https://en.wikipedia.org/wiki/Menorca" TargetMode="External"/><Relationship Id="rId177" Type="http://schemas.openxmlformats.org/officeDocument/2006/relationships/hyperlink" Target="https://en.wikipedia.org/wiki/Masuria" TargetMode="External"/><Relationship Id="rId198" Type="http://schemas.openxmlformats.org/officeDocument/2006/relationships/hyperlink" Target="https://en.wikipedia.org/wiki/Oregon" TargetMode="External"/><Relationship Id="rId197" Type="http://schemas.openxmlformats.org/officeDocument/2006/relationships/hyperlink" Target="https://en.wikipedia.org/wiki/Ontario" TargetMode="External"/><Relationship Id="rId196" Type="http://schemas.openxmlformats.org/officeDocument/2006/relationships/hyperlink" Target="https://en.wikipedia.org/wiki/Oklahoma" TargetMode="External"/><Relationship Id="rId195" Type="http://schemas.openxmlformats.org/officeDocument/2006/relationships/hyperlink" Target="https://en.wikipedia.org/wiki/Ohio" TargetMode="External"/><Relationship Id="rId199" Type="http://schemas.openxmlformats.org/officeDocument/2006/relationships/hyperlink" Target="https://en.wikipedia.org/wiki/Otago" TargetMode="External"/><Relationship Id="rId150" Type="http://schemas.openxmlformats.org/officeDocument/2006/relationships/hyperlink" Target="https://en.wikipedia.org/wiki/Gaza_Strip" TargetMode="External"/><Relationship Id="rId392" Type="http://schemas.openxmlformats.org/officeDocument/2006/relationships/hyperlink" Target="https://en.wikipedia.org/wiki/Hartlepool" TargetMode="External"/><Relationship Id="rId391" Type="http://schemas.openxmlformats.org/officeDocument/2006/relationships/hyperlink" Target="https://en.wikipedia.org/wiki/Harrow,_London" TargetMode="External"/><Relationship Id="rId390" Type="http://schemas.openxmlformats.org/officeDocument/2006/relationships/hyperlink" Target="https://en.wikipedia.org/wiki/Hamilton,_Ontario" TargetMode="External"/><Relationship Id="rId1" Type="http://schemas.openxmlformats.org/officeDocument/2006/relationships/hyperlink" Target="https://en.wikipedia.org/wiki/Africa" TargetMode="External"/><Relationship Id="rId2" Type="http://schemas.openxmlformats.org/officeDocument/2006/relationships/hyperlink" Target="https://en.wikipedia.org/wiki/Antarctica" TargetMode="External"/><Relationship Id="rId3" Type="http://schemas.openxmlformats.org/officeDocument/2006/relationships/hyperlink" Target="https://en.wikipedia.org/wiki/Asia" TargetMode="External"/><Relationship Id="rId149" Type="http://schemas.openxmlformats.org/officeDocument/2006/relationships/hyperlink" Target="https://en.wikipedia.org/wiki/Galilee" TargetMode="External"/><Relationship Id="rId4" Type="http://schemas.openxmlformats.org/officeDocument/2006/relationships/hyperlink" Target="https://en.wikipedia.org/wiki/Australia" TargetMode="External"/><Relationship Id="rId148" Type="http://schemas.openxmlformats.org/officeDocument/2006/relationships/hyperlink" Target="https://en.wikipedia.org/wiki/Galicia,_Spain" TargetMode="External"/><Relationship Id="rId9" Type="http://schemas.openxmlformats.org/officeDocument/2006/relationships/hyperlink" Target="https://en.wikipedia.org/wiki/Americas" TargetMode="External"/><Relationship Id="rId143" Type="http://schemas.openxmlformats.org/officeDocument/2006/relationships/hyperlink" Target="https://en.wikipedia.org/wiki/Dalmatia" TargetMode="External"/><Relationship Id="rId385" Type="http://schemas.openxmlformats.org/officeDocument/2006/relationships/hyperlink" Target="https://en.wikipedia.org/wiki/Edmonton" TargetMode="External"/><Relationship Id="rId142" Type="http://schemas.openxmlformats.org/officeDocument/2006/relationships/hyperlink" Target="https://en.wikipedia.org/wiki/Cumbria" TargetMode="External"/><Relationship Id="rId384" Type="http://schemas.openxmlformats.org/officeDocument/2006/relationships/hyperlink" Target="https://en.wikipedia.org/wiki/Duluth" TargetMode="External"/><Relationship Id="rId141" Type="http://schemas.openxmlformats.org/officeDocument/2006/relationships/hyperlink" Target="https://en.wikipedia.org/wiki/Crimea" TargetMode="External"/><Relationship Id="rId383" Type="http://schemas.openxmlformats.org/officeDocument/2006/relationships/hyperlink" Target="https://en.wikipedia.org/wiki/Devon" TargetMode="External"/><Relationship Id="rId140" Type="http://schemas.openxmlformats.org/officeDocument/2006/relationships/hyperlink" Target="https://en.wikipedia.org/wiki/Crete" TargetMode="External"/><Relationship Id="rId382" Type="http://schemas.openxmlformats.org/officeDocument/2006/relationships/hyperlink" Target="https://en.wikipedia.org/wiki/Dayton" TargetMode="External"/><Relationship Id="rId5" Type="http://schemas.openxmlformats.org/officeDocument/2006/relationships/hyperlink" Target="https://en.wikipedia.org/wiki/Europe" TargetMode="External"/><Relationship Id="rId147" Type="http://schemas.openxmlformats.org/officeDocument/2006/relationships/hyperlink" Target="https://en.wikipedia.org/wiki/Florida" TargetMode="External"/><Relationship Id="rId389" Type="http://schemas.openxmlformats.org/officeDocument/2006/relationships/hyperlink" Target="https://en.wikipedia.org/wiki/Greenville,_South_Carolina" TargetMode="External"/><Relationship Id="rId6" Type="http://schemas.openxmlformats.org/officeDocument/2006/relationships/hyperlink" Target="https://en.wikipedia.org/wiki/North_America" TargetMode="External"/><Relationship Id="rId146" Type="http://schemas.openxmlformats.org/officeDocument/2006/relationships/hyperlink" Target="https://en.wikipedia.org/wiki/Extremadura" TargetMode="External"/><Relationship Id="rId388" Type="http://schemas.openxmlformats.org/officeDocument/2006/relationships/hyperlink" Target="https://en.wikipedia.org/wiki/Fredericton" TargetMode="External"/><Relationship Id="rId7" Type="http://schemas.openxmlformats.org/officeDocument/2006/relationships/hyperlink" Target="https://en.wikipedia.org/wiki/South_America" TargetMode="External"/><Relationship Id="rId145" Type="http://schemas.openxmlformats.org/officeDocument/2006/relationships/hyperlink" Target="https://en.wikipedia.org/wiki/District_of_Columbia" TargetMode="External"/><Relationship Id="rId387" Type="http://schemas.openxmlformats.org/officeDocument/2006/relationships/hyperlink" Target="https://en.wikipedia.org/wiki/Fort_Worth,_Texas" TargetMode="External"/><Relationship Id="rId8" Type="http://schemas.openxmlformats.org/officeDocument/2006/relationships/hyperlink" Target="https://en.wikipedia.org/wiki/Central_America" TargetMode="External"/><Relationship Id="rId144" Type="http://schemas.openxmlformats.org/officeDocument/2006/relationships/hyperlink" Target="https://en.wikipedia.org/wiki/Delaware" TargetMode="External"/><Relationship Id="rId386" Type="http://schemas.openxmlformats.org/officeDocument/2006/relationships/hyperlink" Target="https://en.wikipedia.org/wiki/Florida" TargetMode="External"/><Relationship Id="rId381" Type="http://schemas.openxmlformats.org/officeDocument/2006/relationships/hyperlink" Target="https://en.wikipedia.org/wiki/Darwin,_Northern_Territory" TargetMode="External"/><Relationship Id="rId380" Type="http://schemas.openxmlformats.org/officeDocument/2006/relationships/hyperlink" Target="https://en.wikipedia.org/wiki/Coventry" TargetMode="External"/><Relationship Id="rId139" Type="http://schemas.openxmlformats.org/officeDocument/2006/relationships/hyperlink" Target="https://en.wikipedia.org/wiki/Corsica" TargetMode="External"/><Relationship Id="rId138" Type="http://schemas.openxmlformats.org/officeDocument/2006/relationships/hyperlink" Target="https://en.wikipedia.org/wiki/Colorado" TargetMode="External"/><Relationship Id="rId137" Type="http://schemas.openxmlformats.org/officeDocument/2006/relationships/hyperlink" Target="https://en.wikipedia.org/wiki/Carinthia" TargetMode="External"/><Relationship Id="rId379" Type="http://schemas.openxmlformats.org/officeDocument/2006/relationships/hyperlink" Target="https://en.wikipedia.org/wiki/Corinth" TargetMode="External"/><Relationship Id="rId132" Type="http://schemas.openxmlformats.org/officeDocument/2006/relationships/hyperlink" Target="https://en.wikipedia.org/wiki/Borneo" TargetMode="External"/><Relationship Id="rId374" Type="http://schemas.openxmlformats.org/officeDocument/2006/relationships/hyperlink" Target="https://en.wikipedia.org/wiki/Chester" TargetMode="External"/><Relationship Id="rId131" Type="http://schemas.openxmlformats.org/officeDocument/2006/relationships/hyperlink" Target="https://en.wikipedia.org/wiki/Bohemia" TargetMode="External"/><Relationship Id="rId373" Type="http://schemas.openxmlformats.org/officeDocument/2006/relationships/hyperlink" Target="https://en.wikipedia.org/wiki/Chelmsford" TargetMode="External"/><Relationship Id="rId130" Type="http://schemas.openxmlformats.org/officeDocument/2006/relationships/hyperlink" Target="https://en.wikipedia.org/wiki/Bay_Of_Plenty" TargetMode="External"/><Relationship Id="rId372" Type="http://schemas.openxmlformats.org/officeDocument/2006/relationships/hyperlink" Target="https://en.wikipedia.org/wiki/Cedar_Rapids,_Iowa" TargetMode="External"/><Relationship Id="rId371" Type="http://schemas.openxmlformats.org/officeDocument/2006/relationships/hyperlink" Target="https://en.wikipedia.org/wiki/Catalonia" TargetMode="External"/><Relationship Id="rId136" Type="http://schemas.openxmlformats.org/officeDocument/2006/relationships/hyperlink" Target="https://en.wikipedia.org/wiki/Canterbury" TargetMode="External"/><Relationship Id="rId378" Type="http://schemas.openxmlformats.org/officeDocument/2006/relationships/hyperlink" Target="https://en.wikipedia.org/wiki/Cirebon" TargetMode="External"/><Relationship Id="rId135" Type="http://schemas.openxmlformats.org/officeDocument/2006/relationships/hyperlink" Target="https://en.wikipedia.org/wiki/California" TargetMode="External"/><Relationship Id="rId377" Type="http://schemas.openxmlformats.org/officeDocument/2006/relationships/hyperlink" Target="https://en.wikipedia.org/wiki/Christchurch" TargetMode="External"/><Relationship Id="rId134" Type="http://schemas.openxmlformats.org/officeDocument/2006/relationships/hyperlink" Target="https://en.wikipedia.org/wiki/Brittany" TargetMode="External"/><Relationship Id="rId376" Type="http://schemas.openxmlformats.org/officeDocument/2006/relationships/hyperlink" Target="https://en.wikipedia.org/wiki/Chittagong" TargetMode="External"/><Relationship Id="rId133" Type="http://schemas.openxmlformats.org/officeDocument/2006/relationships/hyperlink" Target="https://en.wikipedia.org/wiki/British_Columbia" TargetMode="External"/><Relationship Id="rId375" Type="http://schemas.openxmlformats.org/officeDocument/2006/relationships/hyperlink" Target="https://en.wikipedia.org/wiki/Chin_State" TargetMode="External"/><Relationship Id="rId172" Type="http://schemas.openxmlformats.org/officeDocument/2006/relationships/hyperlink" Target="https://en.wikipedia.org/wiki/Malacca" TargetMode="External"/><Relationship Id="rId171" Type="http://schemas.openxmlformats.org/officeDocument/2006/relationships/hyperlink" Target="https://en.wikipedia.org/wiki/Madeira" TargetMode="External"/><Relationship Id="rId170" Type="http://schemas.openxmlformats.org/officeDocument/2006/relationships/hyperlink" Target="https://en.wikipedia.org/wiki/Louisiana" TargetMode="External"/><Relationship Id="rId165" Type="http://schemas.openxmlformats.org/officeDocument/2006/relationships/hyperlink" Target="https://en.wikipedia.org/wiki/Kedah" TargetMode="External"/><Relationship Id="rId164" Type="http://schemas.openxmlformats.org/officeDocument/2006/relationships/hyperlink" Target="https://en.wikipedia.org/wiki/Kayah_State" TargetMode="External"/><Relationship Id="rId163" Type="http://schemas.openxmlformats.org/officeDocument/2006/relationships/hyperlink" Target="https://en.wikipedia.org/wiki/Karelia" TargetMode="External"/><Relationship Id="rId162" Type="http://schemas.openxmlformats.org/officeDocument/2006/relationships/hyperlink" Target="https://en.wikipedia.org/wiki/Kansas" TargetMode="External"/><Relationship Id="rId169" Type="http://schemas.openxmlformats.org/officeDocument/2006/relationships/hyperlink" Target="https://en.wikipedia.org/wiki/Liguria" TargetMode="External"/><Relationship Id="rId168" Type="http://schemas.openxmlformats.org/officeDocument/2006/relationships/hyperlink" Target="https://en.wikipedia.org/wiki/Khyber_Pakhtunkhwa" TargetMode="External"/><Relationship Id="rId167" Type="http://schemas.openxmlformats.org/officeDocument/2006/relationships/hyperlink" Target="https://en.wikipedia.org/wiki/Kerala" TargetMode="External"/><Relationship Id="rId166" Type="http://schemas.openxmlformats.org/officeDocument/2006/relationships/hyperlink" Target="https://en.wikipedia.org/wiki/Kentucky" TargetMode="External"/><Relationship Id="rId161" Type="http://schemas.openxmlformats.org/officeDocument/2006/relationships/hyperlink" Target="https://en.wikipedia.org/wiki/Judea" TargetMode="External"/><Relationship Id="rId160" Type="http://schemas.openxmlformats.org/officeDocument/2006/relationships/hyperlink" Target="https://en.wikipedia.org/wiki/Johor" TargetMode="External"/><Relationship Id="rId159" Type="http://schemas.openxmlformats.org/officeDocument/2006/relationships/hyperlink" Target="https://en.wikipedia.org/wiki/Java" TargetMode="External"/><Relationship Id="rId154" Type="http://schemas.openxmlformats.org/officeDocument/2006/relationships/hyperlink" Target="https://en.wikipedia.org/wiki/Idaho" TargetMode="External"/><Relationship Id="rId396" Type="http://schemas.openxmlformats.org/officeDocument/2006/relationships/hyperlink" Target="https://en.wikipedia.org/wiki/Hobart" TargetMode="External"/><Relationship Id="rId153" Type="http://schemas.openxmlformats.org/officeDocument/2006/relationships/hyperlink" Target="https://en.wikipedia.org/wiki/Hebrides" TargetMode="External"/><Relationship Id="rId395" Type="http://schemas.openxmlformats.org/officeDocument/2006/relationships/hyperlink" Target="https://en.wikipedia.org/wiki/Hesse" TargetMode="External"/><Relationship Id="rId152" Type="http://schemas.openxmlformats.org/officeDocument/2006/relationships/hyperlink" Target="https://en.wikipedia.org/wiki/Hawai%CA%BBi" TargetMode="External"/><Relationship Id="rId394" Type="http://schemas.openxmlformats.org/officeDocument/2006/relationships/hyperlink" Target="https://en.wikipedia.org/wiki/Herzegovina" TargetMode="External"/><Relationship Id="rId151" Type="http://schemas.openxmlformats.org/officeDocument/2006/relationships/hyperlink" Target="https://en.wikipedia.org/wiki/Georgia_(U.S._state)" TargetMode="External"/><Relationship Id="rId393" Type="http://schemas.openxmlformats.org/officeDocument/2006/relationships/hyperlink" Target="https://en.wikipedia.org/wiki/Hereford" TargetMode="External"/><Relationship Id="rId158" Type="http://schemas.openxmlformats.org/officeDocument/2006/relationships/hyperlink" Target="https://en.wikipedia.org/wiki/Jakarta" TargetMode="External"/><Relationship Id="rId157" Type="http://schemas.openxmlformats.org/officeDocument/2006/relationships/hyperlink" Target="https://en.wikipedia.org/wiki/Iowa" TargetMode="External"/><Relationship Id="rId399" Type="http://schemas.openxmlformats.org/officeDocument/2006/relationships/hyperlink" Target="https://en.wikipedia.org/wiki/Iowa_City" TargetMode="External"/><Relationship Id="rId156" Type="http://schemas.openxmlformats.org/officeDocument/2006/relationships/hyperlink" Target="https://en.wikipedia.org/wiki/Indiana" TargetMode="External"/><Relationship Id="rId398" Type="http://schemas.openxmlformats.org/officeDocument/2006/relationships/hyperlink" Target="https://en.wikipedia.org/wiki/Isles_of_Scilly" TargetMode="External"/><Relationship Id="rId155" Type="http://schemas.openxmlformats.org/officeDocument/2006/relationships/hyperlink" Target="https://en.wikipedia.org/wiki/Illinois" TargetMode="External"/><Relationship Id="rId397" Type="http://schemas.openxmlformats.org/officeDocument/2006/relationships/hyperlink" Target="https://en.wikipedia.org/wiki/Houston" TargetMode="External"/><Relationship Id="rId808" Type="http://schemas.openxmlformats.org/officeDocument/2006/relationships/hyperlink" Target="https://en.wikipedia.org/wiki/Barisal" TargetMode="External"/><Relationship Id="rId807" Type="http://schemas.openxmlformats.org/officeDocument/2006/relationships/hyperlink" Target="https://en.wikipedia.org/wiki/Balochistan" TargetMode="External"/><Relationship Id="rId806" Type="http://schemas.openxmlformats.org/officeDocument/2006/relationships/hyperlink" Target="https://en.wikipedia.org/wiki/Azra_District" TargetMode="External"/><Relationship Id="rId805" Type="http://schemas.openxmlformats.org/officeDocument/2006/relationships/hyperlink" Target="https://en.wikipedia.org/wiki/Azawad" TargetMode="External"/><Relationship Id="rId809" Type="http://schemas.openxmlformats.org/officeDocument/2006/relationships/hyperlink" Target="https://en.wikipedia.org/wiki/Beirut" TargetMode="External"/><Relationship Id="rId800" Type="http://schemas.openxmlformats.org/officeDocument/2006/relationships/hyperlink" Target="https://en.wikipedia.org/wiki/Turkmenistan" TargetMode="External"/><Relationship Id="rId804" Type="http://schemas.openxmlformats.org/officeDocument/2006/relationships/hyperlink" Target="https://en.wikipedia.org/wiki/Allahabad" TargetMode="External"/><Relationship Id="rId803" Type="http://schemas.openxmlformats.org/officeDocument/2006/relationships/hyperlink" Target="https://en.wikipedia.org/wiki/Yemen" TargetMode="External"/><Relationship Id="rId802" Type="http://schemas.openxmlformats.org/officeDocument/2006/relationships/hyperlink" Target="https://en.wikipedia.org/wiki/Uzbekistan" TargetMode="External"/><Relationship Id="rId801" Type="http://schemas.openxmlformats.org/officeDocument/2006/relationships/hyperlink" Target="https://en.wikipedia.org/wiki/United_Arab_Emirates" TargetMode="External"/><Relationship Id="rId40" Type="http://schemas.openxmlformats.org/officeDocument/2006/relationships/hyperlink" Target="https://en.wikipedia.org/wiki/Eritrea" TargetMode="External"/><Relationship Id="rId42" Type="http://schemas.openxmlformats.org/officeDocument/2006/relationships/hyperlink" Target="https://en.wikipedia.org/wiki/Ethiopia" TargetMode="External"/><Relationship Id="rId41" Type="http://schemas.openxmlformats.org/officeDocument/2006/relationships/hyperlink" Target="https://en.wikipedia.org/wiki/Estonia" TargetMode="External"/><Relationship Id="rId44" Type="http://schemas.openxmlformats.org/officeDocument/2006/relationships/hyperlink" Target="https://en.wikipedia.org/wiki/Galatia" TargetMode="External"/><Relationship Id="rId43" Type="http://schemas.openxmlformats.org/officeDocument/2006/relationships/hyperlink" Target="https://en.wikipedia.org/wiki/Fiji" TargetMode="External"/><Relationship Id="rId46" Type="http://schemas.openxmlformats.org/officeDocument/2006/relationships/hyperlink" Target="https://en.wikipedia.org/wiki/Georgia_(country)" TargetMode="External"/><Relationship Id="rId45" Type="http://schemas.openxmlformats.org/officeDocument/2006/relationships/hyperlink" Target="https://en.wikipedia.org/wiki/Gambia" TargetMode="External"/><Relationship Id="rId509" Type="http://schemas.openxmlformats.org/officeDocument/2006/relationships/hyperlink" Target="https://en.wikipedia.org/wiki/Albuquerque" TargetMode="External"/><Relationship Id="rId508" Type="http://schemas.openxmlformats.org/officeDocument/2006/relationships/hyperlink" Target="https://en.wikipedia.org/wiki/Philippines" TargetMode="External"/><Relationship Id="rId503" Type="http://schemas.openxmlformats.org/officeDocument/2006/relationships/hyperlink" Target="https://en.wikipedia.org/wiki/Spanish_language" TargetMode="External"/><Relationship Id="rId745" Type="http://schemas.openxmlformats.org/officeDocument/2006/relationships/hyperlink" Target="https://en.wikipedia.org/wiki/Milan" TargetMode="External"/><Relationship Id="rId502" Type="http://schemas.openxmlformats.org/officeDocument/2006/relationships/hyperlink" Target="https://en.wikipedia.org/wiki/Sariaya" TargetMode="External"/><Relationship Id="rId744" Type="http://schemas.openxmlformats.org/officeDocument/2006/relationships/hyperlink" Target="https://en.wikipedia.org/wiki/Marshall_Islands" TargetMode="External"/><Relationship Id="rId501" Type="http://schemas.openxmlformats.org/officeDocument/2006/relationships/hyperlink" Target="https://en.wikipedia.org/wiki/Tayabas" TargetMode="External"/><Relationship Id="rId743" Type="http://schemas.openxmlformats.org/officeDocument/2006/relationships/hyperlink" Target="https://en.wikipedia.org/wiki/Manila" TargetMode="External"/><Relationship Id="rId500" Type="http://schemas.openxmlformats.org/officeDocument/2006/relationships/hyperlink" Target="https://en.wikipedia.org/wiki/Lucena" TargetMode="External"/><Relationship Id="rId742" Type="http://schemas.openxmlformats.org/officeDocument/2006/relationships/hyperlink" Target="https://en.wikipedia.org/wiki/Malta" TargetMode="External"/><Relationship Id="rId507" Type="http://schemas.openxmlformats.org/officeDocument/2006/relationships/hyperlink" Target="https://en.wikipedia.org/wiki/New_Mexico" TargetMode="External"/><Relationship Id="rId749" Type="http://schemas.openxmlformats.org/officeDocument/2006/relationships/hyperlink" Target="https://en.wikipedia.org/wiki/Negeri_Sembilan" TargetMode="External"/><Relationship Id="rId506" Type="http://schemas.openxmlformats.org/officeDocument/2006/relationships/hyperlink" Target="https://en.wikipedia.org/wiki/El_Salvador" TargetMode="External"/><Relationship Id="rId748" Type="http://schemas.openxmlformats.org/officeDocument/2006/relationships/hyperlink" Target="https://en.wikipedia.org/wiki/Navarre" TargetMode="External"/><Relationship Id="rId505" Type="http://schemas.openxmlformats.org/officeDocument/2006/relationships/hyperlink" Target="https://en.wikipedia.org/wiki/Cebu" TargetMode="External"/><Relationship Id="rId747" Type="http://schemas.openxmlformats.org/officeDocument/2006/relationships/hyperlink" Target="https://en.wikipedia.org/wiki/Nanking" TargetMode="External"/><Relationship Id="rId504" Type="http://schemas.openxmlformats.org/officeDocument/2006/relationships/hyperlink" Target="https://en.wikipedia.org/wiki/Bicol_Region" TargetMode="External"/><Relationship Id="rId746" Type="http://schemas.openxmlformats.org/officeDocument/2006/relationships/hyperlink" Target="https://en.wikipedia.org/wiki/Myanmar/Burma" TargetMode="External"/><Relationship Id="rId48" Type="http://schemas.openxmlformats.org/officeDocument/2006/relationships/hyperlink" Target="https://en.wikipedia.org/wiki/Guatemala" TargetMode="External"/><Relationship Id="rId47" Type="http://schemas.openxmlformats.org/officeDocument/2006/relationships/hyperlink" Target="https://en.wikipedia.org/wiki/Germany" TargetMode="External"/><Relationship Id="rId49" Type="http://schemas.openxmlformats.org/officeDocument/2006/relationships/hyperlink" Target="https://en.wikipedia.org/wiki/Guinea" TargetMode="External"/><Relationship Id="rId741" Type="http://schemas.openxmlformats.org/officeDocument/2006/relationships/hyperlink" Target="https://en.wikipedia.org/wiki/Macao" TargetMode="External"/><Relationship Id="rId740" Type="http://schemas.openxmlformats.org/officeDocument/2006/relationships/hyperlink" Target="https://en.wikipedia.org/wiki/London" TargetMode="External"/><Relationship Id="rId31" Type="http://schemas.openxmlformats.org/officeDocument/2006/relationships/hyperlink" Target="https://en.wikipedia.org/wiki/Canada" TargetMode="External"/><Relationship Id="rId30" Type="http://schemas.openxmlformats.org/officeDocument/2006/relationships/hyperlink" Target="https://en.wikipedia.org/wiki/Cambodia" TargetMode="External"/><Relationship Id="rId33" Type="http://schemas.openxmlformats.org/officeDocument/2006/relationships/hyperlink" Target="https://en.wikipedia.org/wiki/Colombia" TargetMode="External"/><Relationship Id="rId32" Type="http://schemas.openxmlformats.org/officeDocument/2006/relationships/hyperlink" Target="https://en.wikipedia.org/wiki/Chile" TargetMode="External"/><Relationship Id="rId35" Type="http://schemas.openxmlformats.org/officeDocument/2006/relationships/hyperlink" Target="https://en.wikipedia.org/wiki/Croatia" TargetMode="External"/><Relationship Id="rId34" Type="http://schemas.openxmlformats.org/officeDocument/2006/relationships/hyperlink" Target="https://en.wikipedia.org/wiki/Costa_Rica" TargetMode="External"/><Relationship Id="rId739" Type="http://schemas.openxmlformats.org/officeDocument/2006/relationships/hyperlink" Target="https://en.wikipedia.org/wiki/Le%C3%B3n_(historical_region)" TargetMode="External"/><Relationship Id="rId734" Type="http://schemas.openxmlformats.org/officeDocument/2006/relationships/hyperlink" Target="https://en.wikipedia.org/wiki/Java" TargetMode="External"/><Relationship Id="rId733" Type="http://schemas.openxmlformats.org/officeDocument/2006/relationships/hyperlink" Target="https://en.wikipedia.org/wiki/Japan" TargetMode="External"/><Relationship Id="rId732" Type="http://schemas.openxmlformats.org/officeDocument/2006/relationships/hyperlink" Target="https://en.wikipedia.org/wiki/Hunan" TargetMode="External"/><Relationship Id="rId731" Type="http://schemas.openxmlformats.org/officeDocument/2006/relationships/hyperlink" Target="https://en.wikipedia.org/wiki/Hong_Kong" TargetMode="External"/><Relationship Id="rId738" Type="http://schemas.openxmlformats.org/officeDocument/2006/relationships/hyperlink" Target="https://en.wikipedia.org/wiki/Lebanon" TargetMode="External"/><Relationship Id="rId737" Type="http://schemas.openxmlformats.org/officeDocument/2006/relationships/hyperlink" Target="https://en.wikipedia.org/wiki/Kokang_Self-Administered_Zone" TargetMode="External"/><Relationship Id="rId736" Type="http://schemas.openxmlformats.org/officeDocument/2006/relationships/hyperlink" Target="https://en.wikipedia.org/wiki/Kelantan" TargetMode="External"/><Relationship Id="rId735" Type="http://schemas.openxmlformats.org/officeDocument/2006/relationships/hyperlink" Target="https://en.wikipedia.org/wiki/Kawthaung" TargetMode="External"/><Relationship Id="rId37" Type="http://schemas.openxmlformats.org/officeDocument/2006/relationships/hyperlink" Target="https://en.wikipedia.org/wiki/Czech_Republic" TargetMode="External"/><Relationship Id="rId36" Type="http://schemas.openxmlformats.org/officeDocument/2006/relationships/hyperlink" Target="https://en.wikipedia.org/wiki/Cuba" TargetMode="External"/><Relationship Id="rId39" Type="http://schemas.openxmlformats.org/officeDocument/2006/relationships/hyperlink" Target="https://en.wikipedia.org/wiki/El_Salvador" TargetMode="External"/><Relationship Id="rId38" Type="http://schemas.openxmlformats.org/officeDocument/2006/relationships/hyperlink" Target="https://en.wikipedia.org/wiki/Dominican_Republic" TargetMode="External"/><Relationship Id="rId730" Type="http://schemas.openxmlformats.org/officeDocument/2006/relationships/hyperlink" Target="https://en.wikipedia.org/wiki/Hainan" TargetMode="External"/><Relationship Id="rId20" Type="http://schemas.openxmlformats.org/officeDocument/2006/relationships/hyperlink" Target="https://en.wikipedia.org/wiki/Australia" TargetMode="External"/><Relationship Id="rId22" Type="http://schemas.openxmlformats.org/officeDocument/2006/relationships/hyperlink" Target="https://en.wikipedia.org/wiki/Barbuda" TargetMode="External"/><Relationship Id="rId21" Type="http://schemas.openxmlformats.org/officeDocument/2006/relationships/hyperlink" Target="https://en.wikipedia.org/wiki/Austria" TargetMode="External"/><Relationship Id="rId24" Type="http://schemas.openxmlformats.org/officeDocument/2006/relationships/hyperlink" Target="https://en.wikipedia.org/wiki/Bolivia" TargetMode="External"/><Relationship Id="rId23" Type="http://schemas.openxmlformats.org/officeDocument/2006/relationships/hyperlink" Target="https://en.wikipedia.org/wiki/Belize" TargetMode="External"/><Relationship Id="rId525" Type="http://schemas.openxmlformats.org/officeDocument/2006/relationships/hyperlink" Target="https://en.wikipedia.org/wiki/San_Pablo,_Laguna" TargetMode="External"/><Relationship Id="rId767" Type="http://schemas.openxmlformats.org/officeDocument/2006/relationships/hyperlink" Target="https://en.wikipedia.org/wiki/Emirate_of_Sharjah" TargetMode="External"/><Relationship Id="rId524" Type="http://schemas.openxmlformats.org/officeDocument/2006/relationships/hyperlink" Target="https://en.wikipedia.org/wiki/Naga,_Camarines_Sur" TargetMode="External"/><Relationship Id="rId766" Type="http://schemas.openxmlformats.org/officeDocument/2006/relationships/hyperlink" Target="https://en.wikipedia.org/wiki/Shanghai" TargetMode="External"/><Relationship Id="rId523" Type="http://schemas.openxmlformats.org/officeDocument/2006/relationships/hyperlink" Target="https://en.wikipedia.org/wiki/Masbate" TargetMode="External"/><Relationship Id="rId765" Type="http://schemas.openxmlformats.org/officeDocument/2006/relationships/hyperlink" Target="https://en.wikipedia.org/wiki/Shan_State" TargetMode="External"/><Relationship Id="rId522" Type="http://schemas.openxmlformats.org/officeDocument/2006/relationships/hyperlink" Target="https://en.wikipedia.org/wiki/City_of_Manila" TargetMode="External"/><Relationship Id="rId764" Type="http://schemas.openxmlformats.org/officeDocument/2006/relationships/hyperlink" Target="https://en.wikipedia.org/wiki/Senegal" TargetMode="External"/><Relationship Id="rId529" Type="http://schemas.openxmlformats.org/officeDocument/2006/relationships/hyperlink" Target="https://en.wikipedia.org/wiki/Zamboanga_City" TargetMode="External"/><Relationship Id="rId528" Type="http://schemas.openxmlformats.org/officeDocument/2006/relationships/hyperlink" Target="https://en.wikipedia.org/wiki/Tauranga" TargetMode="External"/><Relationship Id="rId527" Type="http://schemas.openxmlformats.org/officeDocument/2006/relationships/hyperlink" Target="https://en.wikipedia.org/wiki/Tabaco" TargetMode="External"/><Relationship Id="rId769" Type="http://schemas.openxmlformats.org/officeDocument/2006/relationships/hyperlink" Target="https://en.wikipedia.org/wiki/Sikkim" TargetMode="External"/><Relationship Id="rId526" Type="http://schemas.openxmlformats.org/officeDocument/2006/relationships/hyperlink" Target="https://en.wikipedia.org/wiki/S%C3%A3o_Paulo" TargetMode="External"/><Relationship Id="rId768" Type="http://schemas.openxmlformats.org/officeDocument/2006/relationships/hyperlink" Target="https://en.wikipedia.org/wiki/Siam" TargetMode="External"/><Relationship Id="rId26" Type="http://schemas.openxmlformats.org/officeDocument/2006/relationships/hyperlink" Target="https://en.wikipedia.org/wiki/Botswana" TargetMode="External"/><Relationship Id="rId25" Type="http://schemas.openxmlformats.org/officeDocument/2006/relationships/hyperlink" Target="https://en.wikipedia.org/wiki/Bosnia_and_Herzegovina" TargetMode="External"/><Relationship Id="rId28" Type="http://schemas.openxmlformats.org/officeDocument/2006/relationships/hyperlink" Target="https://en.wikipedia.org/wiki/Bulgaria" TargetMode="External"/><Relationship Id="rId27" Type="http://schemas.openxmlformats.org/officeDocument/2006/relationships/hyperlink" Target="https://en.wikipedia.org/wiki/Brunei" TargetMode="External"/><Relationship Id="rId521" Type="http://schemas.openxmlformats.org/officeDocument/2006/relationships/hyperlink" Target="https://en.wikipedia.org/wiki/Madrid" TargetMode="External"/><Relationship Id="rId763" Type="http://schemas.openxmlformats.org/officeDocument/2006/relationships/hyperlink" Target="https://en.wikipedia.org/wiki/Sassari" TargetMode="External"/><Relationship Id="rId29" Type="http://schemas.openxmlformats.org/officeDocument/2006/relationships/hyperlink" Target="https://en.wikipedia.org/wiki/Burundi" TargetMode="External"/><Relationship Id="rId520" Type="http://schemas.openxmlformats.org/officeDocument/2006/relationships/hyperlink" Target="https://en.wikipedia.org/wiki/Los_Angeles" TargetMode="External"/><Relationship Id="rId762" Type="http://schemas.openxmlformats.org/officeDocument/2006/relationships/hyperlink" Target="https://en.wikipedia.org/wiki/Sark" TargetMode="External"/><Relationship Id="rId761" Type="http://schemas.openxmlformats.org/officeDocument/2006/relationships/hyperlink" Target="https://en.wikipedia.org/wiki/San_Marino" TargetMode="External"/><Relationship Id="rId760" Type="http://schemas.openxmlformats.org/officeDocument/2006/relationships/hyperlink" Target="https://en.wikipedia.org/wiki/Sagaing_Region" TargetMode="External"/><Relationship Id="rId11" Type="http://schemas.openxmlformats.org/officeDocument/2006/relationships/hyperlink" Target="https://en.wikipedia.org/wiki/Middle_East" TargetMode="External"/><Relationship Id="rId10" Type="http://schemas.openxmlformats.org/officeDocument/2006/relationships/hyperlink" Target="https://en.wikipedia.org/wiki/Oceania" TargetMode="External"/><Relationship Id="rId13" Type="http://schemas.openxmlformats.org/officeDocument/2006/relationships/hyperlink" Target="https://en.wikipedia.org/wiki/Albania" TargetMode="External"/><Relationship Id="rId12" Type="http://schemas.openxmlformats.org/officeDocument/2006/relationships/hyperlink" Target="https://en.wikipedia.org/wiki/Afghanistan" TargetMode="External"/><Relationship Id="rId519" Type="http://schemas.openxmlformats.org/officeDocument/2006/relationships/hyperlink" Target="https://en.wikipedia.org/wiki/Ligao" TargetMode="External"/><Relationship Id="rId514" Type="http://schemas.openxmlformats.org/officeDocument/2006/relationships/hyperlink" Target="https://en.wikipedia.org/wiki/Cavite" TargetMode="External"/><Relationship Id="rId756" Type="http://schemas.openxmlformats.org/officeDocument/2006/relationships/hyperlink" Target="https://en.wikipedia.org/wiki/Rakhine_State" TargetMode="External"/><Relationship Id="rId513" Type="http://schemas.openxmlformats.org/officeDocument/2006/relationships/hyperlink" Target="https://en.wikipedia.org/wiki/Cainta" TargetMode="External"/><Relationship Id="rId755" Type="http://schemas.openxmlformats.org/officeDocument/2006/relationships/hyperlink" Target="https://en.wikipedia.org/wiki/Portugal" TargetMode="External"/><Relationship Id="rId512" Type="http://schemas.openxmlformats.org/officeDocument/2006/relationships/hyperlink" Target="https://en.wikipedia.org/wiki/Caguas" TargetMode="External"/><Relationship Id="rId754" Type="http://schemas.openxmlformats.org/officeDocument/2006/relationships/hyperlink" Target="https://en.wikipedia.org/wiki/Pittsburgh" TargetMode="External"/><Relationship Id="rId511" Type="http://schemas.openxmlformats.org/officeDocument/2006/relationships/hyperlink" Target="https://en.wikipedia.org/wiki/Buenos_Aires" TargetMode="External"/><Relationship Id="rId753" Type="http://schemas.openxmlformats.org/officeDocument/2006/relationships/hyperlink" Target="https://en.wikipedia.org/wiki/Piedmont" TargetMode="External"/><Relationship Id="rId518" Type="http://schemas.openxmlformats.org/officeDocument/2006/relationships/hyperlink" Target="https://en.wikipedia.org/wiki/Legazpi,_Albay" TargetMode="External"/><Relationship Id="rId517" Type="http://schemas.openxmlformats.org/officeDocument/2006/relationships/hyperlink" Target="https://en.wikipedia.org/wiki/Iriga" TargetMode="External"/><Relationship Id="rId759" Type="http://schemas.openxmlformats.org/officeDocument/2006/relationships/hyperlink" Target="https://en.wikipedia.org/wiki/Saba_(island)" TargetMode="External"/><Relationship Id="rId516" Type="http://schemas.openxmlformats.org/officeDocument/2006/relationships/hyperlink" Target="https://en.wikipedia.org/wiki/Davao_City" TargetMode="External"/><Relationship Id="rId758" Type="http://schemas.openxmlformats.org/officeDocument/2006/relationships/hyperlink" Target="https://en.wikipedia.org/wiki/Rwanda" TargetMode="External"/><Relationship Id="rId515" Type="http://schemas.openxmlformats.org/officeDocument/2006/relationships/hyperlink" Target="https://en.wikipedia.org/wiki/Daraga" TargetMode="External"/><Relationship Id="rId757" Type="http://schemas.openxmlformats.org/officeDocument/2006/relationships/hyperlink" Target="https://en.wikipedia.org/wiki/Emirate_of_Ras_Al_Khaimah" TargetMode="External"/><Relationship Id="rId15" Type="http://schemas.openxmlformats.org/officeDocument/2006/relationships/hyperlink" Target="https://en.wikipedia.org/wiki/Andorra" TargetMode="External"/><Relationship Id="rId14" Type="http://schemas.openxmlformats.org/officeDocument/2006/relationships/hyperlink" Target="https://en.wikipedia.org/wiki/Algeria" TargetMode="External"/><Relationship Id="rId17" Type="http://schemas.openxmlformats.org/officeDocument/2006/relationships/hyperlink" Target="https://en.wikipedia.org/wiki/Antigua" TargetMode="External"/><Relationship Id="rId16" Type="http://schemas.openxmlformats.org/officeDocument/2006/relationships/hyperlink" Target="https://en.wikipedia.org/wiki/Angola" TargetMode="External"/><Relationship Id="rId19" Type="http://schemas.openxmlformats.org/officeDocument/2006/relationships/hyperlink" Target="https://en.wikipedia.org/wiki/Armenia" TargetMode="External"/><Relationship Id="rId510" Type="http://schemas.openxmlformats.org/officeDocument/2006/relationships/hyperlink" Target="https://en.wikipedia.org/wiki/Belo_Horizonte" TargetMode="External"/><Relationship Id="rId752" Type="http://schemas.openxmlformats.org/officeDocument/2006/relationships/hyperlink" Target="https://en.wikipedia.org/wiki/Pa%27O_Self-Administered_Zone" TargetMode="External"/><Relationship Id="rId18" Type="http://schemas.openxmlformats.org/officeDocument/2006/relationships/hyperlink" Target="https://en.wikipedia.org/wiki/Argentina" TargetMode="External"/><Relationship Id="rId751" Type="http://schemas.openxmlformats.org/officeDocument/2006/relationships/hyperlink" Target="https://en.wikipedia.org/wiki/Pa_Laung_Self-Administered_Zone" TargetMode="External"/><Relationship Id="rId750" Type="http://schemas.openxmlformats.org/officeDocument/2006/relationships/hyperlink" Target="https://en.wikipedia.org/wiki/Pahang" TargetMode="External"/><Relationship Id="rId84" Type="http://schemas.openxmlformats.org/officeDocument/2006/relationships/hyperlink" Target="https://en.wikipedia.org/wiki/Pakistan" TargetMode="External"/><Relationship Id="rId83" Type="http://schemas.openxmlformats.org/officeDocument/2006/relationships/hyperlink" Target="https://en.wikipedia.org/wiki/North_Macedonia" TargetMode="External"/><Relationship Id="rId86" Type="http://schemas.openxmlformats.org/officeDocument/2006/relationships/hyperlink" Target="https://en.wikipedia.org/wiki/Papua_New_Guinea" TargetMode="External"/><Relationship Id="rId85" Type="http://schemas.openxmlformats.org/officeDocument/2006/relationships/hyperlink" Target="https://en.wikipedia.org/wiki/Palau" TargetMode="External"/><Relationship Id="rId88" Type="http://schemas.openxmlformats.org/officeDocument/2006/relationships/hyperlink" Target="https://en.wikipedia.org/wiki/Persia" TargetMode="External"/><Relationship Id="rId87" Type="http://schemas.openxmlformats.org/officeDocument/2006/relationships/hyperlink" Target="https://en.wikipedia.org/wiki/Paraguay" TargetMode="External"/><Relationship Id="rId89" Type="http://schemas.openxmlformats.org/officeDocument/2006/relationships/hyperlink" Target="https://en.wikipedia.org/wiki/Poland" TargetMode="External"/><Relationship Id="rId709" Type="http://schemas.openxmlformats.org/officeDocument/2006/relationships/hyperlink" Target="https://en.wikipedia.org/wiki/Bergen" TargetMode="External"/><Relationship Id="rId708" Type="http://schemas.openxmlformats.org/officeDocument/2006/relationships/hyperlink" Target="https://en.wikipedia.org/wiki/Benin" TargetMode="External"/><Relationship Id="rId707" Type="http://schemas.openxmlformats.org/officeDocument/2006/relationships/hyperlink" Target="https://en.wikipedia.org/wiki/Bengal" TargetMode="External"/><Relationship Id="rId706" Type="http://schemas.openxmlformats.org/officeDocument/2006/relationships/hyperlink" Target="https://en.wikipedia.org/wiki/Bali" TargetMode="External"/><Relationship Id="rId80" Type="http://schemas.openxmlformats.org/officeDocument/2006/relationships/hyperlink" Target="https://en.wikipedia.org/wiki/Nauru" TargetMode="External"/><Relationship Id="rId82" Type="http://schemas.openxmlformats.org/officeDocument/2006/relationships/hyperlink" Target="https://en.wikipedia.org/wiki/Nigeria" TargetMode="External"/><Relationship Id="rId81" Type="http://schemas.openxmlformats.org/officeDocument/2006/relationships/hyperlink" Target="https://en.wikipedia.org/wiki/Nicaragua" TargetMode="External"/><Relationship Id="rId701" Type="http://schemas.openxmlformats.org/officeDocument/2006/relationships/hyperlink" Target="https://en.wikipedia.org/wiki/Abruzzo" TargetMode="External"/><Relationship Id="rId700" Type="http://schemas.openxmlformats.org/officeDocument/2006/relationships/hyperlink" Target="https://en.wikipedia.org/wiki/Shafter,_CA" TargetMode="External"/><Relationship Id="rId705" Type="http://schemas.openxmlformats.org/officeDocument/2006/relationships/hyperlink" Target="https://en.wikipedia.org/wiki/Assam" TargetMode="External"/><Relationship Id="rId704" Type="http://schemas.openxmlformats.org/officeDocument/2006/relationships/hyperlink" Target="https://en.wikipedia.org/wiki/Aceh" TargetMode="External"/><Relationship Id="rId703" Type="http://schemas.openxmlformats.org/officeDocument/2006/relationships/hyperlink" Target="https://en.wikipedia.org/wiki/Aragon" TargetMode="External"/><Relationship Id="rId702" Type="http://schemas.openxmlformats.org/officeDocument/2006/relationships/hyperlink" Target="https://en.wikipedia.org/wiki/Emirate_of_Ajman" TargetMode="External"/><Relationship Id="rId73" Type="http://schemas.openxmlformats.org/officeDocument/2006/relationships/hyperlink" Target="https://en.wikipedia.org/wiki/Moldova" TargetMode="External"/><Relationship Id="rId72" Type="http://schemas.openxmlformats.org/officeDocument/2006/relationships/hyperlink" Target="https://en.wikipedia.org/wiki/Micronesia" TargetMode="External"/><Relationship Id="rId75" Type="http://schemas.openxmlformats.org/officeDocument/2006/relationships/hyperlink" Target="https://en.wikipedia.org/wiki/Monaco" TargetMode="External"/><Relationship Id="rId74" Type="http://schemas.openxmlformats.org/officeDocument/2006/relationships/hyperlink" Target="https://en.wikipedia.org/wiki/Mongolia" TargetMode="External"/><Relationship Id="rId77" Type="http://schemas.openxmlformats.org/officeDocument/2006/relationships/hyperlink" Target="https://en.wikipedia.org/wiki/Mozambique" TargetMode="External"/><Relationship Id="rId76" Type="http://schemas.openxmlformats.org/officeDocument/2006/relationships/hyperlink" Target="https://en.wikipedia.org/wiki/Morocco" TargetMode="External"/><Relationship Id="rId79" Type="http://schemas.openxmlformats.org/officeDocument/2006/relationships/hyperlink" Target="https://en.wikipedia.org/wiki/Namibia" TargetMode="External"/><Relationship Id="rId78" Type="http://schemas.openxmlformats.org/officeDocument/2006/relationships/hyperlink" Target="https://en.wikipedia.org/wiki/Myanmar" TargetMode="External"/><Relationship Id="rId71" Type="http://schemas.openxmlformats.org/officeDocument/2006/relationships/hyperlink" Target="https://en.wikipedia.org/wiki/Mexico" TargetMode="External"/><Relationship Id="rId70" Type="http://schemas.openxmlformats.org/officeDocument/2006/relationships/hyperlink" Target="https://en.wikipedia.org/wiki/Mauritania" TargetMode="External"/><Relationship Id="rId62" Type="http://schemas.openxmlformats.org/officeDocument/2006/relationships/hyperlink" Target="https://en.wikipedia.org/wiki/Laos" TargetMode="External"/><Relationship Id="rId61" Type="http://schemas.openxmlformats.org/officeDocument/2006/relationships/hyperlink" Target="https://en.wikipedia.org/wiki/Kosovo" TargetMode="External"/><Relationship Id="rId64" Type="http://schemas.openxmlformats.org/officeDocument/2006/relationships/hyperlink" Target="https://en.wikipedia.org/wiki/Liberia" TargetMode="External"/><Relationship Id="rId63" Type="http://schemas.openxmlformats.org/officeDocument/2006/relationships/hyperlink" Target="https://en.wikipedia.org/wiki/Latvia" TargetMode="External"/><Relationship Id="rId66" Type="http://schemas.openxmlformats.org/officeDocument/2006/relationships/hyperlink" Target="https://en.wikipedia.org/wiki/Lithuania" TargetMode="External"/><Relationship Id="rId65" Type="http://schemas.openxmlformats.org/officeDocument/2006/relationships/hyperlink" Target="https://en.wikipedia.org/wiki/Libya" TargetMode="External"/><Relationship Id="rId68" Type="http://schemas.openxmlformats.org/officeDocument/2006/relationships/hyperlink" Target="https://en.wikipedia.org/wiki/Malaysia" TargetMode="External"/><Relationship Id="rId67" Type="http://schemas.openxmlformats.org/officeDocument/2006/relationships/hyperlink" Target="https://en.wikipedia.org/wiki/Malawi" TargetMode="External"/><Relationship Id="rId729" Type="http://schemas.openxmlformats.org/officeDocument/2006/relationships/hyperlink" Target="https://en.wikipedia.org/wiki/Guyana" TargetMode="External"/><Relationship Id="rId728" Type="http://schemas.openxmlformats.org/officeDocument/2006/relationships/hyperlink" Target="https://en.wikipedia.org/wiki/Guangdong" TargetMode="External"/><Relationship Id="rId60" Type="http://schemas.openxmlformats.org/officeDocument/2006/relationships/hyperlink" Target="https://en.wikipedia.org/wiki/South_Korea" TargetMode="External"/><Relationship Id="rId723" Type="http://schemas.openxmlformats.org/officeDocument/2006/relationships/hyperlink" Target="https://en.wikipedia.org/wiki/Emirate_of_Fujairah" TargetMode="External"/><Relationship Id="rId722" Type="http://schemas.openxmlformats.org/officeDocument/2006/relationships/hyperlink" Target="https://en.wikipedia.org/wiki/Faroe_Islands" TargetMode="External"/><Relationship Id="rId721" Type="http://schemas.openxmlformats.org/officeDocument/2006/relationships/hyperlink" Target="https://en.wikipedia.org/wiki/East_Timor" TargetMode="External"/><Relationship Id="rId720" Type="http://schemas.openxmlformats.org/officeDocument/2006/relationships/hyperlink" Target="https://en.wikipedia.org/wiki/Da_Lat" TargetMode="External"/><Relationship Id="rId727" Type="http://schemas.openxmlformats.org/officeDocument/2006/relationships/hyperlink" Target="https://en.wikipedia.org/wiki/Grenadines" TargetMode="External"/><Relationship Id="rId726" Type="http://schemas.openxmlformats.org/officeDocument/2006/relationships/hyperlink" Target="https://en.wikipedia.org/wiki/Gilbert_Islands" TargetMode="External"/><Relationship Id="rId725" Type="http://schemas.openxmlformats.org/officeDocument/2006/relationships/hyperlink" Target="https://en.wikipedia.org/wiki/Genoa" TargetMode="External"/><Relationship Id="rId724" Type="http://schemas.openxmlformats.org/officeDocument/2006/relationships/hyperlink" Target="https://en.wikipedia.org/wiki/Gabon" TargetMode="External"/><Relationship Id="rId69" Type="http://schemas.openxmlformats.org/officeDocument/2006/relationships/hyperlink" Target="https://en.wikipedia.org/wiki/Mali" TargetMode="External"/><Relationship Id="rId51" Type="http://schemas.openxmlformats.org/officeDocument/2006/relationships/hyperlink" Target="https://en.wikipedia.org/wiki/Honduras" TargetMode="External"/><Relationship Id="rId50" Type="http://schemas.openxmlformats.org/officeDocument/2006/relationships/hyperlink" Target="https://en.wikipedia.org/wiki/Haiti" TargetMode="External"/><Relationship Id="rId53" Type="http://schemas.openxmlformats.org/officeDocument/2006/relationships/hyperlink" Target="https://en.wikipedia.org/wiki/India" TargetMode="External"/><Relationship Id="rId52" Type="http://schemas.openxmlformats.org/officeDocument/2006/relationships/hyperlink" Target="https://en.wikipedia.org/wiki/Hungary" TargetMode="External"/><Relationship Id="rId55" Type="http://schemas.openxmlformats.org/officeDocument/2006/relationships/hyperlink" Target="https://en.wikipedia.org/wiki/Israel" TargetMode="External"/><Relationship Id="rId54" Type="http://schemas.openxmlformats.org/officeDocument/2006/relationships/hyperlink" Target="https://en.wikipedia.org/wiki/Indonesia" TargetMode="External"/><Relationship Id="rId57" Type="http://schemas.openxmlformats.org/officeDocument/2006/relationships/hyperlink" Target="https://en.wikipedia.org/wiki/Kenya" TargetMode="External"/><Relationship Id="rId56" Type="http://schemas.openxmlformats.org/officeDocument/2006/relationships/hyperlink" Target="https://en.wikipedia.org/wiki/Jamaica" TargetMode="External"/><Relationship Id="rId719" Type="http://schemas.openxmlformats.org/officeDocument/2006/relationships/hyperlink" Target="https://en.wikipedia.org/wiki/Congo_Basin" TargetMode="External"/><Relationship Id="rId718" Type="http://schemas.openxmlformats.org/officeDocument/2006/relationships/hyperlink" Target="https://en.wikipedia.org/wiki/China" TargetMode="External"/><Relationship Id="rId717" Type="http://schemas.openxmlformats.org/officeDocument/2006/relationships/hyperlink" Target="https://en.wikipedia.org/wiki/Cirebon" TargetMode="External"/><Relationship Id="rId712" Type="http://schemas.openxmlformats.org/officeDocument/2006/relationships/hyperlink" Target="https://en.wikipedia.org/wiki/Bhutan" TargetMode="External"/><Relationship Id="rId711" Type="http://schemas.openxmlformats.org/officeDocument/2006/relationships/hyperlink" Target="https://en.wikipedia.org/wiki/Bearn" TargetMode="External"/><Relationship Id="rId710" Type="http://schemas.openxmlformats.org/officeDocument/2006/relationships/hyperlink" Target="https://en.wikipedia.org/wiki/Bern" TargetMode="External"/><Relationship Id="rId716" Type="http://schemas.openxmlformats.org/officeDocument/2006/relationships/hyperlink" Target="https://en.wikipedia.org/wiki/Calabria" TargetMode="External"/><Relationship Id="rId715" Type="http://schemas.openxmlformats.org/officeDocument/2006/relationships/hyperlink" Target="https://en.wikipedia.org/wiki/Burkina_Faso" TargetMode="External"/><Relationship Id="rId714" Type="http://schemas.openxmlformats.org/officeDocument/2006/relationships/hyperlink" Target="https://en.wikipedia.org/wiki/Botswana" TargetMode="External"/><Relationship Id="rId713" Type="http://schemas.openxmlformats.org/officeDocument/2006/relationships/hyperlink" Target="https://en.wikipedia.org/wiki/Bologna" TargetMode="External"/><Relationship Id="rId59" Type="http://schemas.openxmlformats.org/officeDocument/2006/relationships/hyperlink" Target="https://en.wikipedia.org/wiki/North_Korea" TargetMode="External"/><Relationship Id="rId58" Type="http://schemas.openxmlformats.org/officeDocument/2006/relationships/hyperlink" Target="https://en.wikipedia.org/wiki/Kiribati" TargetMode="External"/><Relationship Id="rId590" Type="http://schemas.openxmlformats.org/officeDocument/2006/relationships/hyperlink" Target="https://en.wikipedia.org/wiki/Spokane" TargetMode="External"/><Relationship Id="rId107" Type="http://schemas.openxmlformats.org/officeDocument/2006/relationships/hyperlink" Target="https://en.wikipedia.org/wiki/Tanzania" TargetMode="External"/><Relationship Id="rId349" Type="http://schemas.openxmlformats.org/officeDocument/2006/relationships/hyperlink" Target="https://en.wikipedia.org/wiki/Bareilly" TargetMode="External"/><Relationship Id="rId106" Type="http://schemas.openxmlformats.org/officeDocument/2006/relationships/hyperlink" Target="https://en.wikipedia.org/wiki/Syria" TargetMode="External"/><Relationship Id="rId348" Type="http://schemas.openxmlformats.org/officeDocument/2006/relationships/hyperlink" Target="https://en.wikipedia.org/wiki/Ballarat" TargetMode="External"/><Relationship Id="rId105" Type="http://schemas.openxmlformats.org/officeDocument/2006/relationships/hyperlink" Target="https://en.wikipedia.org/wiki/St._Kitts_and_Nevis" TargetMode="External"/><Relationship Id="rId347" Type="http://schemas.openxmlformats.org/officeDocument/2006/relationships/hyperlink" Target="https://en.wikipedia.org/wiki/Banat" TargetMode="External"/><Relationship Id="rId589" Type="http://schemas.openxmlformats.org/officeDocument/2006/relationships/hyperlink" Target="https://en.wikipedia.org/wiki/Smyrna,_Georgia" TargetMode="External"/><Relationship Id="rId104" Type="http://schemas.openxmlformats.org/officeDocument/2006/relationships/hyperlink" Target="https://en.wikipedia.org/wiki/Sri_Lanka" TargetMode="External"/><Relationship Id="rId346" Type="http://schemas.openxmlformats.org/officeDocument/2006/relationships/hyperlink" Target="https://en.wikipedia.org/wiki/Ayeyarwady_Region" TargetMode="External"/><Relationship Id="rId588" Type="http://schemas.openxmlformats.org/officeDocument/2006/relationships/hyperlink" Target="https://en.wikipedia.org/wiki/Shillong" TargetMode="External"/><Relationship Id="rId109" Type="http://schemas.openxmlformats.org/officeDocument/2006/relationships/hyperlink" Target="https://en.wikipedia.org/wiki/Tunisia" TargetMode="External"/><Relationship Id="rId108" Type="http://schemas.openxmlformats.org/officeDocument/2006/relationships/hyperlink" Target="https://en.wikipedia.org/wiki/Tonga" TargetMode="External"/><Relationship Id="rId341" Type="http://schemas.openxmlformats.org/officeDocument/2006/relationships/hyperlink" Target="https://en.wikipedia.org/wiki/Aarhus" TargetMode="External"/><Relationship Id="rId583" Type="http://schemas.openxmlformats.org/officeDocument/2006/relationships/hyperlink" Target="https://en.wikipedia.org/wiki/Saint_Paul,_Minnesota" TargetMode="External"/><Relationship Id="rId340" Type="http://schemas.openxmlformats.org/officeDocument/2006/relationships/hyperlink" Target="https://en.wikipedia.org/wiki/Ukraine" TargetMode="External"/><Relationship Id="rId582" Type="http://schemas.openxmlformats.org/officeDocument/2006/relationships/hyperlink" Target="https://en.wikipedia.org/wiki/Ruskin,_Florida" TargetMode="External"/><Relationship Id="rId581" Type="http://schemas.openxmlformats.org/officeDocument/2006/relationships/hyperlink" Target="https://en.wikipedia.org/wiki/Reno,_Nevada" TargetMode="External"/><Relationship Id="rId580" Type="http://schemas.openxmlformats.org/officeDocument/2006/relationships/hyperlink" Target="https://en.wikipedia.org/wiki/Reading,_Berkshire" TargetMode="External"/><Relationship Id="rId103" Type="http://schemas.openxmlformats.org/officeDocument/2006/relationships/hyperlink" Target="https://en.wikipedia.org/wiki/South_Africa" TargetMode="External"/><Relationship Id="rId345" Type="http://schemas.openxmlformats.org/officeDocument/2006/relationships/hyperlink" Target="https://en.wikipedia.org/wiki/Athens" TargetMode="External"/><Relationship Id="rId587" Type="http://schemas.openxmlformats.org/officeDocument/2006/relationships/hyperlink" Target="https://en.wikipedia.org/wiki/Shiloh_(disambiguation)" TargetMode="External"/><Relationship Id="rId102" Type="http://schemas.openxmlformats.org/officeDocument/2006/relationships/hyperlink" Target="https://en.wikipedia.org/wiki/Somalia" TargetMode="External"/><Relationship Id="rId344" Type="http://schemas.openxmlformats.org/officeDocument/2006/relationships/hyperlink" Target="https://en.wikipedia.org/wiki/Argyll" TargetMode="External"/><Relationship Id="rId586" Type="http://schemas.openxmlformats.org/officeDocument/2006/relationships/hyperlink" Target="https://en.wikipedia.org/wiki/Seoul" TargetMode="External"/><Relationship Id="rId101" Type="http://schemas.openxmlformats.org/officeDocument/2006/relationships/hyperlink" Target="https://en.wikipedia.org/wiki/Slovenia" TargetMode="External"/><Relationship Id="rId343" Type="http://schemas.openxmlformats.org/officeDocument/2006/relationships/hyperlink" Target="https://en.wikipedia.org/wiki/Alabama" TargetMode="External"/><Relationship Id="rId585" Type="http://schemas.openxmlformats.org/officeDocument/2006/relationships/hyperlink" Target="https://en.wikipedia.org/wiki/Seattle" TargetMode="External"/><Relationship Id="rId100" Type="http://schemas.openxmlformats.org/officeDocument/2006/relationships/hyperlink" Target="https://en.wikipedia.org/wiki/Slovakia" TargetMode="External"/><Relationship Id="rId342" Type="http://schemas.openxmlformats.org/officeDocument/2006/relationships/hyperlink" Target="https://en.wikipedia.org/wiki/Adelaide" TargetMode="External"/><Relationship Id="rId584" Type="http://schemas.openxmlformats.org/officeDocument/2006/relationships/hyperlink" Target="https://en.wikipedia.org/wiki/Salem,_Tamil_Nadu" TargetMode="External"/><Relationship Id="rId338" Type="http://schemas.openxmlformats.org/officeDocument/2006/relationships/hyperlink" Target="https://en.wikipedia.org/wiki/Saint_Vincent_and_the_Grenadines" TargetMode="External"/><Relationship Id="rId337" Type="http://schemas.openxmlformats.org/officeDocument/2006/relationships/hyperlink" Target="https://en.wikipedia.org/wiki/Peru" TargetMode="External"/><Relationship Id="rId579" Type="http://schemas.openxmlformats.org/officeDocument/2006/relationships/hyperlink" Target="https://en.wikipedia.org/wiki/Queens" TargetMode="External"/><Relationship Id="rId336" Type="http://schemas.openxmlformats.org/officeDocument/2006/relationships/hyperlink" Target="https://en.wikipedia.org/wiki/State_of_Palestine" TargetMode="External"/><Relationship Id="rId578" Type="http://schemas.openxmlformats.org/officeDocument/2006/relationships/hyperlink" Target="https://en.wikipedia.org/wiki/Putney" TargetMode="External"/><Relationship Id="rId335" Type="http://schemas.openxmlformats.org/officeDocument/2006/relationships/hyperlink" Target="https://en.wikipedia.org/wiki/Maldives" TargetMode="External"/><Relationship Id="rId577" Type="http://schemas.openxmlformats.org/officeDocument/2006/relationships/hyperlink" Target="https://en.wikipedia.org/wiki/Pullman,_Chicago" TargetMode="External"/><Relationship Id="rId339" Type="http://schemas.openxmlformats.org/officeDocument/2006/relationships/hyperlink" Target="https://en.wikipedia.org/wiki/Trinidad_and_Tobago" TargetMode="External"/><Relationship Id="rId330" Type="http://schemas.openxmlformats.org/officeDocument/2006/relationships/hyperlink" Target="https://en.wikipedia.org/wiki/Grenada" TargetMode="External"/><Relationship Id="rId572" Type="http://schemas.openxmlformats.org/officeDocument/2006/relationships/hyperlink" Target="https://en.wikipedia.org/wiki/Odesa" TargetMode="External"/><Relationship Id="rId571" Type="http://schemas.openxmlformats.org/officeDocument/2006/relationships/hyperlink" Target="https://en.wikipedia.org/wiki/Oban" TargetMode="External"/><Relationship Id="rId570" Type="http://schemas.openxmlformats.org/officeDocument/2006/relationships/hyperlink" Target="https://en.wikipedia.org/wiki/Norman,_Oklahoma" TargetMode="External"/><Relationship Id="rId334" Type="http://schemas.openxmlformats.org/officeDocument/2006/relationships/hyperlink" Target="https://en.wikipedia.org/wiki/Laos" TargetMode="External"/><Relationship Id="rId576" Type="http://schemas.openxmlformats.org/officeDocument/2006/relationships/hyperlink" Target="https://en.wikipedia.org/wiki/Perth" TargetMode="External"/><Relationship Id="rId333" Type="http://schemas.openxmlformats.org/officeDocument/2006/relationships/hyperlink" Target="https://en.wikipedia.org/wiki/Jordan" TargetMode="External"/><Relationship Id="rId575" Type="http://schemas.openxmlformats.org/officeDocument/2006/relationships/hyperlink" Target="https://en.wikipedia.org/wiki/Penang" TargetMode="External"/><Relationship Id="rId332" Type="http://schemas.openxmlformats.org/officeDocument/2006/relationships/hyperlink" Target="https://en.wikipedia.org/wiki/Italy" TargetMode="External"/><Relationship Id="rId574" Type="http://schemas.openxmlformats.org/officeDocument/2006/relationships/hyperlink" Target="https://en.wikipedia.org/wiki/Patna" TargetMode="External"/><Relationship Id="rId331" Type="http://schemas.openxmlformats.org/officeDocument/2006/relationships/hyperlink" Target="https://en.wikipedia.org/wiki/Iran" TargetMode="External"/><Relationship Id="rId573" Type="http://schemas.openxmlformats.org/officeDocument/2006/relationships/hyperlink" Target="https://en.wikipedia.org/wiki/Pahang" TargetMode="External"/><Relationship Id="rId370" Type="http://schemas.openxmlformats.org/officeDocument/2006/relationships/hyperlink" Target="https://en.wikipedia.org/wiki/Castile_(historical_region)" TargetMode="External"/><Relationship Id="rId129" Type="http://schemas.openxmlformats.org/officeDocument/2006/relationships/hyperlink" Target="https://en.wikipedia.org/wiki/Bavaria" TargetMode="External"/><Relationship Id="rId128" Type="http://schemas.openxmlformats.org/officeDocument/2006/relationships/hyperlink" Target="https://en.wikipedia.org/wiki/Bangka_Island" TargetMode="External"/><Relationship Id="rId127" Type="http://schemas.openxmlformats.org/officeDocument/2006/relationships/hyperlink" Target="https://en.wikipedia.org/wiki/Bago_Region" TargetMode="External"/><Relationship Id="rId369" Type="http://schemas.openxmlformats.org/officeDocument/2006/relationships/hyperlink" Target="https://en.wikipedia.org/wiki/Cape_Town" TargetMode="External"/><Relationship Id="rId126" Type="http://schemas.openxmlformats.org/officeDocument/2006/relationships/hyperlink" Target="https://en.wikipedia.org/wiki/Asturias" TargetMode="External"/><Relationship Id="rId368" Type="http://schemas.openxmlformats.org/officeDocument/2006/relationships/hyperlink" Target="https://en.wikipedia.org/wiki/Canterbury,_New_Zealand" TargetMode="External"/><Relationship Id="rId121" Type="http://schemas.openxmlformats.org/officeDocument/2006/relationships/hyperlink" Target="https://en.wikipedia.org/wiki/Alberta" TargetMode="External"/><Relationship Id="rId363" Type="http://schemas.openxmlformats.org/officeDocument/2006/relationships/hyperlink" Target="https://en.wikipedia.org/wiki/Bristol" TargetMode="External"/><Relationship Id="rId120" Type="http://schemas.openxmlformats.org/officeDocument/2006/relationships/hyperlink" Target="https://en.wikipedia.org/wiki/Alaska" TargetMode="External"/><Relationship Id="rId362" Type="http://schemas.openxmlformats.org/officeDocument/2006/relationships/hyperlink" Target="https://en.wikipedia.org/wiki/Brisbane" TargetMode="External"/><Relationship Id="rId361" Type="http://schemas.openxmlformats.org/officeDocument/2006/relationships/hyperlink" Target="https://en.wikipedia.org/wiki/Brighton" TargetMode="External"/><Relationship Id="rId360" Type="http://schemas.openxmlformats.org/officeDocument/2006/relationships/hyperlink" Target="https://en.wikipedia.org/wiki/Bradford" TargetMode="External"/><Relationship Id="rId125" Type="http://schemas.openxmlformats.org/officeDocument/2006/relationships/hyperlink" Target="https://en.wikipedia.org/wiki/Arkansas" TargetMode="External"/><Relationship Id="rId367" Type="http://schemas.openxmlformats.org/officeDocument/2006/relationships/hyperlink" Target="https://en.wikipedia.org/wiki/Canary_Islands" TargetMode="External"/><Relationship Id="rId124" Type="http://schemas.openxmlformats.org/officeDocument/2006/relationships/hyperlink" Target="https://en.wikipedia.org/wiki/Arizona" TargetMode="External"/><Relationship Id="rId366" Type="http://schemas.openxmlformats.org/officeDocument/2006/relationships/hyperlink" Target="https://en.wikipedia.org/wiki/Calgary" TargetMode="External"/><Relationship Id="rId123" Type="http://schemas.openxmlformats.org/officeDocument/2006/relationships/hyperlink" Target="https://en.wikipedia.org/wiki/Andalusia" TargetMode="External"/><Relationship Id="rId365" Type="http://schemas.openxmlformats.org/officeDocument/2006/relationships/hyperlink" Target="https://en.wikipedia.org/wiki/Burgundy" TargetMode="External"/><Relationship Id="rId122" Type="http://schemas.openxmlformats.org/officeDocument/2006/relationships/hyperlink" Target="https://en.wikipedia.org/wiki/Algarve" TargetMode="External"/><Relationship Id="rId364" Type="http://schemas.openxmlformats.org/officeDocument/2006/relationships/hyperlink" Target="https://en.wikipedia.org/wiki/Bukovina" TargetMode="External"/><Relationship Id="rId95" Type="http://schemas.openxmlformats.org/officeDocument/2006/relationships/hyperlink" Target="https://en.wikipedia.org/wiki/Samoa" TargetMode="External"/><Relationship Id="rId94" Type="http://schemas.openxmlformats.org/officeDocument/2006/relationships/hyperlink" Target="https://en.wikipedia.org/wiki/Saint_Lucia" TargetMode="External"/><Relationship Id="rId97" Type="http://schemas.openxmlformats.org/officeDocument/2006/relationships/hyperlink" Target="https://en.wikipedia.org/wiki/Serbia" TargetMode="External"/><Relationship Id="rId96" Type="http://schemas.openxmlformats.org/officeDocument/2006/relationships/hyperlink" Target="https://en.wikipedia.org/wiki/Saudi_Arabia" TargetMode="External"/><Relationship Id="rId99" Type="http://schemas.openxmlformats.org/officeDocument/2006/relationships/hyperlink" Target="https://en.wikipedia.org/wiki/Singapore" TargetMode="External"/><Relationship Id="rId98" Type="http://schemas.openxmlformats.org/officeDocument/2006/relationships/hyperlink" Target="https://en.wikipedia.org/wiki/Sierra_Leone" TargetMode="External"/><Relationship Id="rId91" Type="http://schemas.openxmlformats.org/officeDocument/2006/relationships/hyperlink" Target="https://en.wikipedia.org/wiki/Romania" TargetMode="External"/><Relationship Id="rId90" Type="http://schemas.openxmlformats.org/officeDocument/2006/relationships/hyperlink" Target="https://en.wikipedia.org/wiki/Puerto_Rico" TargetMode="External"/><Relationship Id="rId93" Type="http://schemas.openxmlformats.org/officeDocument/2006/relationships/hyperlink" Target="https://en.wikipedia.org/wiki/Rwanda" TargetMode="External"/><Relationship Id="rId92" Type="http://schemas.openxmlformats.org/officeDocument/2006/relationships/hyperlink" Target="https://en.wikipedia.org/wiki/Russia" TargetMode="External"/><Relationship Id="rId118" Type="http://schemas.openxmlformats.org/officeDocument/2006/relationships/hyperlink" Target="https://en.wikipedia.org/wiki/Zimbabwe" TargetMode="External"/><Relationship Id="rId117" Type="http://schemas.openxmlformats.org/officeDocument/2006/relationships/hyperlink" Target="https://en.wikipedia.org/wiki/Zambia" TargetMode="External"/><Relationship Id="rId359" Type="http://schemas.openxmlformats.org/officeDocument/2006/relationships/hyperlink" Target="https://en.wikipedia.org/wiki/Bracknell" TargetMode="External"/><Relationship Id="rId116" Type="http://schemas.openxmlformats.org/officeDocument/2006/relationships/hyperlink" Target="https://en.wikipedia.org/wiki/Venezuela" TargetMode="External"/><Relationship Id="rId358" Type="http://schemas.openxmlformats.org/officeDocument/2006/relationships/hyperlink" Target="https://en.wikipedia.org/wiki/Boston" TargetMode="External"/><Relationship Id="rId115" Type="http://schemas.openxmlformats.org/officeDocument/2006/relationships/hyperlink" Target="https://en.wikipedia.org/wiki/Vanuatu" TargetMode="External"/><Relationship Id="rId357" Type="http://schemas.openxmlformats.org/officeDocument/2006/relationships/hyperlink" Target="https://en.wikipedia.org/wiki/Bangkok" TargetMode="External"/><Relationship Id="rId599" Type="http://schemas.openxmlformats.org/officeDocument/2006/relationships/hyperlink" Target="https://en.wikipedia.org/wiki/Whittier,_California" TargetMode="External"/><Relationship Id="rId119" Type="http://schemas.openxmlformats.org/officeDocument/2006/relationships/hyperlink" Target="https://en.wikipedia.org/wiki/Abkhazia" TargetMode="External"/><Relationship Id="rId110" Type="http://schemas.openxmlformats.org/officeDocument/2006/relationships/hyperlink" Target="https://en.wikipedia.org/wiki/Turkey" TargetMode="External"/><Relationship Id="rId352" Type="http://schemas.openxmlformats.org/officeDocument/2006/relationships/hyperlink" Target="https://en.wikipedia.org/wiki/Belgrade" TargetMode="External"/><Relationship Id="rId594" Type="http://schemas.openxmlformats.org/officeDocument/2006/relationships/hyperlink" Target="https://en.wikipedia.org/wiki/Vancouver" TargetMode="External"/><Relationship Id="rId351" Type="http://schemas.openxmlformats.org/officeDocument/2006/relationships/hyperlink" Target="https://en.wikipedia.org/wiki/Banten" TargetMode="External"/><Relationship Id="rId593" Type="http://schemas.openxmlformats.org/officeDocument/2006/relationships/hyperlink" Target="https://en.wikipedia.org/wiki/Tokyo" TargetMode="External"/><Relationship Id="rId350" Type="http://schemas.openxmlformats.org/officeDocument/2006/relationships/hyperlink" Target="https://en.wikipedia.org/wiki/Bengaluru" TargetMode="External"/><Relationship Id="rId592" Type="http://schemas.openxmlformats.org/officeDocument/2006/relationships/hyperlink" Target="https://en.wikipedia.org/wiki/Telangana" TargetMode="External"/><Relationship Id="rId591" Type="http://schemas.openxmlformats.org/officeDocument/2006/relationships/hyperlink" Target="https://en.wikipedia.org/wiki/Sydney" TargetMode="External"/><Relationship Id="rId114" Type="http://schemas.openxmlformats.org/officeDocument/2006/relationships/hyperlink" Target="https://en.wikipedia.org/wiki/Uruguay" TargetMode="External"/><Relationship Id="rId356" Type="http://schemas.openxmlformats.org/officeDocument/2006/relationships/hyperlink" Target="https://en.wikipedia.org/wiki/Blackpool" TargetMode="External"/><Relationship Id="rId598" Type="http://schemas.openxmlformats.org/officeDocument/2006/relationships/hyperlink" Target="https://en.wikipedia.org/wiki/Westchester_County,_New_York" TargetMode="External"/><Relationship Id="rId113" Type="http://schemas.openxmlformats.org/officeDocument/2006/relationships/hyperlink" Target="https://en.wikipedia.org/wiki/United_States" TargetMode="External"/><Relationship Id="rId355" Type="http://schemas.openxmlformats.org/officeDocument/2006/relationships/hyperlink" Target="https://en.wikipedia.org/wiki/Blackburn" TargetMode="External"/><Relationship Id="rId597" Type="http://schemas.openxmlformats.org/officeDocument/2006/relationships/hyperlink" Target="https://en.wikipedia.org/wiki/Wenham,_Massachusetts" TargetMode="External"/><Relationship Id="rId112" Type="http://schemas.openxmlformats.org/officeDocument/2006/relationships/hyperlink" Target="https://en.wikipedia.org/wiki/Uganda" TargetMode="External"/><Relationship Id="rId354" Type="http://schemas.openxmlformats.org/officeDocument/2006/relationships/hyperlink" Target="https://en.wikipedia.org/wiki/Birmingham,_Alabama" TargetMode="External"/><Relationship Id="rId596" Type="http://schemas.openxmlformats.org/officeDocument/2006/relationships/hyperlink" Target="https://en.wikipedia.org/wiki/Warangal" TargetMode="External"/><Relationship Id="rId111" Type="http://schemas.openxmlformats.org/officeDocument/2006/relationships/hyperlink" Target="https://en.wikipedia.org/wiki/Tuvalu" TargetMode="External"/><Relationship Id="rId353" Type="http://schemas.openxmlformats.org/officeDocument/2006/relationships/hyperlink" Target="https://en.wikipedia.org/wiki/Bermuda" TargetMode="External"/><Relationship Id="rId595" Type="http://schemas.openxmlformats.org/officeDocument/2006/relationships/hyperlink" Target="https://en.wikipedia.org/wiki/Vizag" TargetMode="External"/><Relationship Id="rId305" Type="http://schemas.openxmlformats.org/officeDocument/2006/relationships/hyperlink" Target="https://en.wikipedia.org/wiki/Toledo,_Ohio" TargetMode="External"/><Relationship Id="rId547" Type="http://schemas.openxmlformats.org/officeDocument/2006/relationships/hyperlink" Target="https://en.wikipedia.org/wiki/Denver" TargetMode="External"/><Relationship Id="rId789" Type="http://schemas.openxmlformats.org/officeDocument/2006/relationships/hyperlink" Target="https://en.wikipedia.org/wiki/Kurdistan" TargetMode="External"/><Relationship Id="rId304" Type="http://schemas.openxmlformats.org/officeDocument/2006/relationships/hyperlink" Target="https://en.wikipedia.org/wiki/Thebes,_Greece" TargetMode="External"/><Relationship Id="rId546" Type="http://schemas.openxmlformats.org/officeDocument/2006/relationships/hyperlink" Target="https://en.wikipedia.org/wiki/Denton,_Texas" TargetMode="External"/><Relationship Id="rId788" Type="http://schemas.openxmlformats.org/officeDocument/2006/relationships/hyperlink" Target="https://en.wikipedia.org/wiki/Kazakhstan" TargetMode="External"/><Relationship Id="rId303" Type="http://schemas.openxmlformats.org/officeDocument/2006/relationships/hyperlink" Target="https://en.wikipedia.org/wiki/Tauranga" TargetMode="External"/><Relationship Id="rId545" Type="http://schemas.openxmlformats.org/officeDocument/2006/relationships/hyperlink" Target="https://en.wikipedia.org/wiki/Delhi" TargetMode="External"/><Relationship Id="rId787" Type="http://schemas.openxmlformats.org/officeDocument/2006/relationships/hyperlink" Target="https://en.wikipedia.org/wiki/Iraq" TargetMode="External"/><Relationship Id="rId302" Type="http://schemas.openxmlformats.org/officeDocument/2006/relationships/hyperlink" Target="https://en.wikipedia.org/wiki/Surabaya" TargetMode="External"/><Relationship Id="rId544" Type="http://schemas.openxmlformats.org/officeDocument/2006/relationships/hyperlink" Target="https://en.wikipedia.org/wiki/Decatur,_Georgia" TargetMode="External"/><Relationship Id="rId786" Type="http://schemas.openxmlformats.org/officeDocument/2006/relationships/hyperlink" Target="https://en.wikipedia.org/wiki/Eswatini" TargetMode="External"/><Relationship Id="rId309" Type="http://schemas.openxmlformats.org/officeDocument/2006/relationships/hyperlink" Target="https://en.wikipedia.org/wiki/Valencia" TargetMode="External"/><Relationship Id="rId308" Type="http://schemas.openxmlformats.org/officeDocument/2006/relationships/hyperlink" Target="https://en.wikipedia.org/wiki/Utica,_New_York" TargetMode="External"/><Relationship Id="rId307" Type="http://schemas.openxmlformats.org/officeDocument/2006/relationships/hyperlink" Target="https://en.wikipedia.org/wiki/Tulsa,_Oklahoma" TargetMode="External"/><Relationship Id="rId549" Type="http://schemas.openxmlformats.org/officeDocument/2006/relationships/hyperlink" Target="https://en.wikipedia.org/wiki/Dubai" TargetMode="External"/><Relationship Id="rId306" Type="http://schemas.openxmlformats.org/officeDocument/2006/relationships/hyperlink" Target="https://en.wikipedia.org/wiki/Tucson,_Arizona" TargetMode="External"/><Relationship Id="rId548" Type="http://schemas.openxmlformats.org/officeDocument/2006/relationships/hyperlink" Target="https://en.wikipedia.org/wiki/Dhaka" TargetMode="External"/><Relationship Id="rId781" Type="http://schemas.openxmlformats.org/officeDocument/2006/relationships/hyperlink" Target="https://en.wikipedia.org/wiki/Wikipedia:Citation_needed" TargetMode="External"/><Relationship Id="rId780" Type="http://schemas.openxmlformats.org/officeDocument/2006/relationships/hyperlink" Target="https://en.wikipedia.org/wiki/Vietnam" TargetMode="External"/><Relationship Id="rId301" Type="http://schemas.openxmlformats.org/officeDocument/2006/relationships/hyperlink" Target="https://en.wikipedia.org/wiki/St._Louis" TargetMode="External"/><Relationship Id="rId543" Type="http://schemas.openxmlformats.org/officeDocument/2006/relationships/hyperlink" Target="https://en.wikipedia.org/wiki/Dallas" TargetMode="External"/><Relationship Id="rId785" Type="http://schemas.openxmlformats.org/officeDocument/2006/relationships/hyperlink" Target="https://en.wikipedia.org/wiki/Bangladesh" TargetMode="External"/><Relationship Id="rId300" Type="http://schemas.openxmlformats.org/officeDocument/2006/relationships/hyperlink" Target="https://en.wikipedia.org/wiki/Sofia" TargetMode="External"/><Relationship Id="rId542" Type="http://schemas.openxmlformats.org/officeDocument/2006/relationships/hyperlink" Target="https://en.wikipedia.org/wiki/Chennai" TargetMode="External"/><Relationship Id="rId784" Type="http://schemas.openxmlformats.org/officeDocument/2006/relationships/hyperlink" Target="https://en.wikipedia.org/wiki/Bahrain" TargetMode="External"/><Relationship Id="rId541" Type="http://schemas.openxmlformats.org/officeDocument/2006/relationships/hyperlink" Target="https://en.wikipedia.org/wiki/Carson_City,_Nevada" TargetMode="External"/><Relationship Id="rId783" Type="http://schemas.openxmlformats.org/officeDocument/2006/relationships/hyperlink" Target="https://en.wikipedia.org/wiki/Azerbaijan" TargetMode="External"/><Relationship Id="rId540" Type="http://schemas.openxmlformats.org/officeDocument/2006/relationships/hyperlink" Target="https://en.wikipedia.org/wiki/Brooklyn" TargetMode="External"/><Relationship Id="rId782" Type="http://schemas.openxmlformats.org/officeDocument/2006/relationships/hyperlink" Target="https://en.wikipedia.org/wiki/Afghanistan" TargetMode="External"/><Relationship Id="rId536" Type="http://schemas.openxmlformats.org/officeDocument/2006/relationships/hyperlink" Target="https://en.wikipedia.org/wiki/Bergen_County,_New_Jersey" TargetMode="External"/><Relationship Id="rId778" Type="http://schemas.openxmlformats.org/officeDocument/2006/relationships/hyperlink" Target="https://en.wikipedia.org/wiki/Umm_Al_Quwain" TargetMode="External"/><Relationship Id="rId535" Type="http://schemas.openxmlformats.org/officeDocument/2006/relationships/hyperlink" Target="https://en.wikipedia.org/wiki/Baku" TargetMode="External"/><Relationship Id="rId777" Type="http://schemas.openxmlformats.org/officeDocument/2006/relationships/hyperlink" Target="https://en.wikipedia.org/wiki/Turin" TargetMode="External"/><Relationship Id="rId534" Type="http://schemas.openxmlformats.org/officeDocument/2006/relationships/hyperlink" Target="https://en.wikipedia.org/wiki/Bagansiapiapi" TargetMode="External"/><Relationship Id="rId776" Type="http://schemas.openxmlformats.org/officeDocument/2006/relationships/hyperlink" Target="https://en.wikipedia.org/wiki/Togo" TargetMode="External"/><Relationship Id="rId533" Type="http://schemas.openxmlformats.org/officeDocument/2006/relationships/hyperlink" Target="https://en.wikipedia.org/wiki/Austin,_Texas" TargetMode="External"/><Relationship Id="rId775" Type="http://schemas.openxmlformats.org/officeDocument/2006/relationships/hyperlink" Target="https://en.wikipedia.org/wiki/Tegal_Regency" TargetMode="External"/><Relationship Id="rId539" Type="http://schemas.openxmlformats.org/officeDocument/2006/relationships/hyperlink" Target="https://en.wikipedia.org/wiki/Bronx" TargetMode="External"/><Relationship Id="rId538" Type="http://schemas.openxmlformats.org/officeDocument/2006/relationships/hyperlink" Target="https://en.wikipedia.org/wiki/Brisbane" TargetMode="External"/><Relationship Id="rId537" Type="http://schemas.openxmlformats.org/officeDocument/2006/relationships/hyperlink" Target="https://en.wikipedia.org/wiki/Boulder,_Colorado" TargetMode="External"/><Relationship Id="rId779" Type="http://schemas.openxmlformats.org/officeDocument/2006/relationships/hyperlink" Target="https://en.wikipedia.org/wiki/Vienna" TargetMode="External"/><Relationship Id="rId770" Type="http://schemas.openxmlformats.org/officeDocument/2006/relationships/hyperlink" Target="https://en.wikipedia.org/wiki/South_Sudan" TargetMode="External"/><Relationship Id="rId532" Type="http://schemas.openxmlformats.org/officeDocument/2006/relationships/hyperlink" Target="https://en.wikipedia.org/wiki/Ann_Arbor,_Michigan" TargetMode="External"/><Relationship Id="rId774" Type="http://schemas.openxmlformats.org/officeDocument/2006/relationships/hyperlink" Target="https://en.wikipedia.org/wiki/Taunggyi" TargetMode="External"/><Relationship Id="rId531" Type="http://schemas.openxmlformats.org/officeDocument/2006/relationships/hyperlink" Target="https://en.wikipedia.org/wiki/Andhra_Pradesh" TargetMode="External"/><Relationship Id="rId773" Type="http://schemas.openxmlformats.org/officeDocument/2006/relationships/hyperlink" Target="https://en.wikipedia.org/wiki/Taiwan" TargetMode="External"/><Relationship Id="rId530" Type="http://schemas.openxmlformats.org/officeDocument/2006/relationships/hyperlink" Target="https://en.wikipedia.org/wiki/Akron,_Ohio" TargetMode="External"/><Relationship Id="rId772" Type="http://schemas.openxmlformats.org/officeDocument/2006/relationships/hyperlink" Target="https://en.wikipedia.org/wiki/Swindon" TargetMode="External"/><Relationship Id="rId771" Type="http://schemas.openxmlformats.org/officeDocument/2006/relationships/hyperlink" Target="https://en.wikipedia.org/wiki/Suriname" TargetMode="External"/><Relationship Id="rId327" Type="http://schemas.openxmlformats.org/officeDocument/2006/relationships/hyperlink" Target="https://en.wikipedia.org/wiki/Egypt" TargetMode="External"/><Relationship Id="rId569" Type="http://schemas.openxmlformats.org/officeDocument/2006/relationships/hyperlink" Target="https://en.wikipedia.org/wiki/New_Hampshire" TargetMode="External"/><Relationship Id="rId326" Type="http://schemas.openxmlformats.org/officeDocument/2006/relationships/hyperlink" Target="https://en.wikipedia.org/wiki/Ecuador" TargetMode="External"/><Relationship Id="rId568" Type="http://schemas.openxmlformats.org/officeDocument/2006/relationships/hyperlink" Target="https://en.wikipedia.org/wiki/Mumbai" TargetMode="External"/><Relationship Id="rId325" Type="http://schemas.openxmlformats.org/officeDocument/2006/relationships/hyperlink" Target="https://en.wikipedia.org/wiki/Comoros" TargetMode="External"/><Relationship Id="rId567" Type="http://schemas.openxmlformats.org/officeDocument/2006/relationships/hyperlink" Target="https://en.wikipedia.org/wiki/Montpelier,_Vermont" TargetMode="External"/><Relationship Id="rId324" Type="http://schemas.openxmlformats.org/officeDocument/2006/relationships/hyperlink" Target="https://en.wikipedia.org/wiki/Chad" TargetMode="External"/><Relationship Id="rId566" Type="http://schemas.openxmlformats.org/officeDocument/2006/relationships/hyperlink" Target="https://en.wikipedia.org/wiki/Moscow" TargetMode="External"/><Relationship Id="rId329" Type="http://schemas.openxmlformats.org/officeDocument/2006/relationships/hyperlink" Target="https://en.wikipedia.org/wiki/Gibraltar" TargetMode="External"/><Relationship Id="rId328" Type="http://schemas.openxmlformats.org/officeDocument/2006/relationships/hyperlink" Target="https://en.wikipedia.org/wiki/Ghana" TargetMode="External"/><Relationship Id="rId561" Type="http://schemas.openxmlformats.org/officeDocument/2006/relationships/hyperlink" Target="https://en.wikipedia.org/wiki/Dominica" TargetMode="External"/><Relationship Id="rId560" Type="http://schemas.openxmlformats.org/officeDocument/2006/relationships/hyperlink" Target="https://en.wikipedia.org/wiki/Kerala" TargetMode="External"/><Relationship Id="rId323" Type="http://schemas.openxmlformats.org/officeDocument/2006/relationships/hyperlink" Target="https://en.wikipedia.org/wiki/Cayman_Islands" TargetMode="External"/><Relationship Id="rId565" Type="http://schemas.openxmlformats.org/officeDocument/2006/relationships/hyperlink" Target="https://en.wikipedia.org/wiki/Mon_State" TargetMode="External"/><Relationship Id="rId322" Type="http://schemas.openxmlformats.org/officeDocument/2006/relationships/hyperlink" Target="https://en.wikipedia.org/wiki/Canada" TargetMode="External"/><Relationship Id="rId564" Type="http://schemas.openxmlformats.org/officeDocument/2006/relationships/hyperlink" Target="https://en.wikipedia.org/wiki/Manhattan" TargetMode="External"/><Relationship Id="rId321" Type="http://schemas.openxmlformats.org/officeDocument/2006/relationships/hyperlink" Target="https://en.wikipedia.org/wiki/Cameroon" TargetMode="External"/><Relationship Id="rId563" Type="http://schemas.openxmlformats.org/officeDocument/2006/relationships/hyperlink" Target="https://en.wikipedia.org/wiki/Leicester" TargetMode="External"/><Relationship Id="rId320" Type="http://schemas.openxmlformats.org/officeDocument/2006/relationships/hyperlink" Target="https://en.wikipedia.org/wiki/Brazil" TargetMode="External"/><Relationship Id="rId562" Type="http://schemas.openxmlformats.org/officeDocument/2006/relationships/hyperlink" Target="https://en.wikipedia.org/wiki/Labuan_Bajo" TargetMode="External"/><Relationship Id="rId316" Type="http://schemas.openxmlformats.org/officeDocument/2006/relationships/hyperlink" Target="https://en.wikipedia.org/wiki/Bahamas" TargetMode="External"/><Relationship Id="rId558" Type="http://schemas.openxmlformats.org/officeDocument/2006/relationships/hyperlink" Target="https://en.wikipedia.org/wiki/Jerusalem" TargetMode="External"/><Relationship Id="rId315" Type="http://schemas.openxmlformats.org/officeDocument/2006/relationships/hyperlink" Target="https://en.wikipedia.org/wiki/Azerbaijan" TargetMode="External"/><Relationship Id="rId557" Type="http://schemas.openxmlformats.org/officeDocument/2006/relationships/hyperlink" Target="https://en.wikipedia.org/wiki/Istanbul" TargetMode="External"/><Relationship Id="rId799" Type="http://schemas.openxmlformats.org/officeDocument/2006/relationships/hyperlink" Target="https://en.wikipedia.org/wiki/Trinidad_and_Tobago" TargetMode="External"/><Relationship Id="rId314" Type="http://schemas.openxmlformats.org/officeDocument/2006/relationships/hyperlink" Target="https://en.wikipedia.org/wiki/Republic_of_Artsakh" TargetMode="External"/><Relationship Id="rId556" Type="http://schemas.openxmlformats.org/officeDocument/2006/relationships/hyperlink" Target="https://en.wikipedia.org/wiki/Israel" TargetMode="External"/><Relationship Id="rId798" Type="http://schemas.openxmlformats.org/officeDocument/2006/relationships/hyperlink" Target="https://en.wikipedia.org/wiki/Thailand" TargetMode="External"/><Relationship Id="rId313" Type="http://schemas.openxmlformats.org/officeDocument/2006/relationships/hyperlink" Target="https://en.wikipedia.org/wiki/Argentina" TargetMode="External"/><Relationship Id="rId555" Type="http://schemas.openxmlformats.org/officeDocument/2006/relationships/hyperlink" Target="https://en.wikipedia.org/wiki/Irmo,_South_Carolina" TargetMode="External"/><Relationship Id="rId797" Type="http://schemas.openxmlformats.org/officeDocument/2006/relationships/hyperlink" Target="https://en.wikipedia.org/wiki/Tajikistan" TargetMode="External"/><Relationship Id="rId319" Type="http://schemas.openxmlformats.org/officeDocument/2006/relationships/hyperlink" Target="https://en.wikipedia.org/wiki/Belgium" TargetMode="External"/><Relationship Id="rId318" Type="http://schemas.openxmlformats.org/officeDocument/2006/relationships/hyperlink" Target="https://en.wikipedia.org/wiki/Belarus" TargetMode="External"/><Relationship Id="rId317" Type="http://schemas.openxmlformats.org/officeDocument/2006/relationships/hyperlink" Target="https://en.wikipedia.org/wiki/Barbados" TargetMode="External"/><Relationship Id="rId559" Type="http://schemas.openxmlformats.org/officeDocument/2006/relationships/hyperlink" Target="https://en.wikipedia.org/wiki/Karachi" TargetMode="External"/><Relationship Id="rId550" Type="http://schemas.openxmlformats.org/officeDocument/2006/relationships/hyperlink" Target="https://en.wikipedia.org/wiki/Dunedin" TargetMode="External"/><Relationship Id="rId792" Type="http://schemas.openxmlformats.org/officeDocument/2006/relationships/hyperlink" Target="https://en.wikipedia.org/wiki/Nepal" TargetMode="External"/><Relationship Id="rId791" Type="http://schemas.openxmlformats.org/officeDocument/2006/relationships/hyperlink" Target="https://en.wikipedia.org/wiki/Kyrgyzstan" TargetMode="External"/><Relationship Id="rId790" Type="http://schemas.openxmlformats.org/officeDocument/2006/relationships/hyperlink" Target="https://en.wikipedia.org/wiki/Kuwait" TargetMode="External"/><Relationship Id="rId312" Type="http://schemas.openxmlformats.org/officeDocument/2006/relationships/hyperlink" Target="https://en.wikipedia.org/wiki/Yuma,_Arizona" TargetMode="External"/><Relationship Id="rId554" Type="http://schemas.openxmlformats.org/officeDocument/2006/relationships/hyperlink" Target="https://en.wikipedia.org/wiki/Guelph" TargetMode="External"/><Relationship Id="rId796" Type="http://schemas.openxmlformats.org/officeDocument/2006/relationships/hyperlink" Target="https://en.wikipedia.org/wiki/Somalia" TargetMode="External"/><Relationship Id="rId311" Type="http://schemas.openxmlformats.org/officeDocument/2006/relationships/hyperlink" Target="https://en.wikipedia.org/wiki/Waco,_TX" TargetMode="External"/><Relationship Id="rId553" Type="http://schemas.openxmlformats.org/officeDocument/2006/relationships/hyperlink" Target="https://en.wikipedia.org/wiki/Gaya,_India" TargetMode="External"/><Relationship Id="rId795" Type="http://schemas.openxmlformats.org/officeDocument/2006/relationships/hyperlink" Target="https://en.wikipedia.org/wiki/Qatar" TargetMode="External"/><Relationship Id="rId310" Type="http://schemas.openxmlformats.org/officeDocument/2006/relationships/hyperlink" Target="https://en.wikipedia.org/wiki/Vilnius" TargetMode="External"/><Relationship Id="rId552" Type="http://schemas.openxmlformats.org/officeDocument/2006/relationships/hyperlink" Target="https://en.wikipedia.org/wiki/Erie,_Pennsylvania" TargetMode="External"/><Relationship Id="rId794" Type="http://schemas.openxmlformats.org/officeDocument/2006/relationships/hyperlink" Target="https://en.wikipedia.org/wiki/Pakistan" TargetMode="External"/><Relationship Id="rId551" Type="http://schemas.openxmlformats.org/officeDocument/2006/relationships/hyperlink" Target="https://en.wikipedia.org/wiki/Durban" TargetMode="External"/><Relationship Id="rId793" Type="http://schemas.openxmlformats.org/officeDocument/2006/relationships/hyperlink" Target="https://en.wikipedia.org/wiki/Oman" TargetMode="External"/><Relationship Id="rId297" Type="http://schemas.openxmlformats.org/officeDocument/2006/relationships/hyperlink" Target="https://en.wikipedia.org/wiki/Sarasota" TargetMode="External"/><Relationship Id="rId296" Type="http://schemas.openxmlformats.org/officeDocument/2006/relationships/hyperlink" Target="https://en.wikipedia.org/wiki/San_Jose,_California" TargetMode="External"/><Relationship Id="rId295" Type="http://schemas.openxmlformats.org/officeDocument/2006/relationships/hyperlink" Target="https://en.wikipedia.org/wiki/San_Francisco" TargetMode="External"/><Relationship Id="rId294" Type="http://schemas.openxmlformats.org/officeDocument/2006/relationships/hyperlink" Target="https://en.wikipedia.org/wiki/San_Diego" TargetMode="External"/><Relationship Id="rId299" Type="http://schemas.openxmlformats.org/officeDocument/2006/relationships/hyperlink" Target="https://en.wikipedia.org/wiki/Springville,_Alabama" TargetMode="External"/><Relationship Id="rId298" Type="http://schemas.openxmlformats.org/officeDocument/2006/relationships/hyperlink" Target="https://en.wikipedia.org/wiki/Sioux_City" TargetMode="External"/><Relationship Id="rId271" Type="http://schemas.openxmlformats.org/officeDocument/2006/relationships/hyperlink" Target="https://en.wikipedia.org/wiki/Las_Vegas" TargetMode="External"/><Relationship Id="rId270" Type="http://schemas.openxmlformats.org/officeDocument/2006/relationships/hyperlink" Target="https://en.wikipedia.org/wiki/Kolkata" TargetMode="External"/><Relationship Id="rId269" Type="http://schemas.openxmlformats.org/officeDocument/2006/relationships/hyperlink" Target="https://en.wikipedia.org/wiki/Kyiv" TargetMode="External"/><Relationship Id="rId264" Type="http://schemas.openxmlformats.org/officeDocument/2006/relationships/hyperlink" Target="https://en.wikipedia.org/wiki/Indianapolis" TargetMode="External"/><Relationship Id="rId263" Type="http://schemas.openxmlformats.org/officeDocument/2006/relationships/hyperlink" Target="https://en.wikipedia.org/wiki/Hobart" TargetMode="External"/><Relationship Id="rId262" Type="http://schemas.openxmlformats.org/officeDocument/2006/relationships/hyperlink" Target="https://en.wikipedia.org/wiki/Hanoi" TargetMode="External"/><Relationship Id="rId261" Type="http://schemas.openxmlformats.org/officeDocument/2006/relationships/hyperlink" Target="https://en.wikipedia.org/wiki/Glasgow" TargetMode="External"/><Relationship Id="rId268" Type="http://schemas.openxmlformats.org/officeDocument/2006/relationships/hyperlink" Target="https://en.wikipedia.org/wiki/Kalamazoo" TargetMode="External"/><Relationship Id="rId267" Type="http://schemas.openxmlformats.org/officeDocument/2006/relationships/hyperlink" Target="https://en.wikipedia.org/wiki/Jakarta" TargetMode="External"/><Relationship Id="rId266" Type="http://schemas.openxmlformats.org/officeDocument/2006/relationships/hyperlink" Target="https://en.wikipedia.org/wiki/Izmir" TargetMode="External"/><Relationship Id="rId265" Type="http://schemas.openxmlformats.org/officeDocument/2006/relationships/hyperlink" Target="https://en.wikipedia.org/wiki/Istanbul" TargetMode="External"/><Relationship Id="rId260" Type="http://schemas.openxmlformats.org/officeDocument/2006/relationships/hyperlink" Target="https://en.wikipedia.org/wiki/Galway" TargetMode="External"/><Relationship Id="rId259" Type="http://schemas.openxmlformats.org/officeDocument/2006/relationships/hyperlink" Target="https://en.wikipedia.org/wiki/El_Paso,_Texas" TargetMode="External"/><Relationship Id="rId258" Type="http://schemas.openxmlformats.org/officeDocument/2006/relationships/hyperlink" Target="https://en.wikipedia.org/wiki/Dundee" TargetMode="External"/><Relationship Id="rId253" Type="http://schemas.openxmlformats.org/officeDocument/2006/relationships/hyperlink" Target="https://en.wikipedia.org/wiki/Clitheroe" TargetMode="External"/><Relationship Id="rId495" Type="http://schemas.openxmlformats.org/officeDocument/2006/relationships/hyperlink" Target="https://en.wikipedia.org/wiki/Lucena" TargetMode="External"/><Relationship Id="rId252" Type="http://schemas.openxmlformats.org/officeDocument/2006/relationships/hyperlink" Target="https://en.wikipedia.org/wiki/Cincinnati" TargetMode="External"/><Relationship Id="rId494" Type="http://schemas.openxmlformats.org/officeDocument/2006/relationships/hyperlink" Target="https://en.wikipedia.org/wiki/Quezon" TargetMode="External"/><Relationship Id="rId251" Type="http://schemas.openxmlformats.org/officeDocument/2006/relationships/hyperlink" Target="https://en.wikipedia.org/wiki/Chicago" TargetMode="External"/><Relationship Id="rId493" Type="http://schemas.openxmlformats.org/officeDocument/2006/relationships/hyperlink" Target="https://en.wiktionary.org/wiki/Tayabas_Tagalog" TargetMode="External"/><Relationship Id="rId250" Type="http://schemas.openxmlformats.org/officeDocument/2006/relationships/hyperlink" Target="https://en.wikipedia.org/wiki/Chattanooga,_Tennessee" TargetMode="External"/><Relationship Id="rId492" Type="http://schemas.openxmlformats.org/officeDocument/2006/relationships/hyperlink" Target="https://en.wikipedia.org/wiki/Philistia" TargetMode="External"/><Relationship Id="rId257" Type="http://schemas.openxmlformats.org/officeDocument/2006/relationships/hyperlink" Target="https://en.wikipedia.org/wiki/Derby" TargetMode="External"/><Relationship Id="rId499" Type="http://schemas.openxmlformats.org/officeDocument/2006/relationships/hyperlink" Target="https://en.wikipedia.org/wiki/Sariaya" TargetMode="External"/><Relationship Id="rId256" Type="http://schemas.openxmlformats.org/officeDocument/2006/relationships/hyperlink" Target="https://en.wikipedia.org/wiki/Danu_Self-Administered_Zone" TargetMode="External"/><Relationship Id="rId498" Type="http://schemas.openxmlformats.org/officeDocument/2006/relationships/hyperlink" Target="https://en.wikipedia.org/wiki/Infanta,_Quezon" TargetMode="External"/><Relationship Id="rId255" Type="http://schemas.openxmlformats.org/officeDocument/2006/relationships/hyperlink" Target="https://en.wikipedia.org/wiki/Coventry" TargetMode="External"/><Relationship Id="rId497" Type="http://schemas.openxmlformats.org/officeDocument/2006/relationships/hyperlink" Target="https://en.wikipedia.org/wiki/Lucban" TargetMode="External"/><Relationship Id="rId254" Type="http://schemas.openxmlformats.org/officeDocument/2006/relationships/hyperlink" Target="https://en.wikipedia.org/wiki/Coimbatore" TargetMode="External"/><Relationship Id="rId496" Type="http://schemas.openxmlformats.org/officeDocument/2006/relationships/hyperlink" Target="https://en.wikipedia.org/wiki/Tayabas" TargetMode="External"/><Relationship Id="rId293" Type="http://schemas.openxmlformats.org/officeDocument/2006/relationships/hyperlink" Target="https://en.wikipedia.org/wiki/San_Antonio" TargetMode="External"/><Relationship Id="rId292" Type="http://schemas.openxmlformats.org/officeDocument/2006/relationships/hyperlink" Target="https://en.wikipedia.org/wiki/Salem,_Tamil_Nadu" TargetMode="External"/><Relationship Id="rId291" Type="http://schemas.openxmlformats.org/officeDocument/2006/relationships/hyperlink" Target="https://en.wikipedia.org/wiki/Sacramento" TargetMode="External"/><Relationship Id="rId290" Type="http://schemas.openxmlformats.org/officeDocument/2006/relationships/hyperlink" Target="https://en.wikipedia.org/wiki/Rome" TargetMode="External"/><Relationship Id="rId286" Type="http://schemas.openxmlformats.org/officeDocument/2006/relationships/hyperlink" Target="https://en.wikipedia.org/wiki/Pisa" TargetMode="External"/><Relationship Id="rId285" Type="http://schemas.openxmlformats.org/officeDocument/2006/relationships/hyperlink" Target="https://en.wikipedia.org/wiki/Philadelphia" TargetMode="External"/><Relationship Id="rId284" Type="http://schemas.openxmlformats.org/officeDocument/2006/relationships/hyperlink" Target="https://en.wikipedia.org/wiki/Ottawa" TargetMode="External"/><Relationship Id="rId283" Type="http://schemas.openxmlformats.org/officeDocument/2006/relationships/hyperlink" Target="https://en.wikipedia.org/wiki/Oklahoma_City" TargetMode="External"/><Relationship Id="rId289" Type="http://schemas.openxmlformats.org/officeDocument/2006/relationships/hyperlink" Target="https://en.wikipedia.org/wiki/Riga" TargetMode="External"/><Relationship Id="rId288" Type="http://schemas.openxmlformats.org/officeDocument/2006/relationships/hyperlink" Target="https://en.wikipedia.org/wiki/Regina,_Saskatchewan" TargetMode="External"/><Relationship Id="rId287" Type="http://schemas.openxmlformats.org/officeDocument/2006/relationships/hyperlink" Target="https://en.wikipedia.org/wiki/Pueblo,_Colorado" TargetMode="External"/><Relationship Id="rId282" Type="http://schemas.openxmlformats.org/officeDocument/2006/relationships/hyperlink" Target="https://en.wikipedia.org/wiki/Ngawi_city" TargetMode="External"/><Relationship Id="rId281" Type="http://schemas.openxmlformats.org/officeDocument/2006/relationships/hyperlink" Target="https://en.wikipedia.org/wiki/Naypyidaw_Union_Territory" TargetMode="External"/><Relationship Id="rId280" Type="http://schemas.openxmlformats.org/officeDocument/2006/relationships/hyperlink" Target="https://en.wikipedia.org/wiki/Minneapolis" TargetMode="External"/><Relationship Id="rId275" Type="http://schemas.openxmlformats.org/officeDocument/2006/relationships/hyperlink" Target="https://en.wikipedia.org/wiki/City_of_Manila" TargetMode="External"/><Relationship Id="rId274" Type="http://schemas.openxmlformats.org/officeDocument/2006/relationships/hyperlink" Target="https://en.wikipedia.org/wiki/Manchester" TargetMode="External"/><Relationship Id="rId273" Type="http://schemas.openxmlformats.org/officeDocument/2006/relationships/hyperlink" Target="https://en.wikipedia.org/wiki/Madera,_California" TargetMode="External"/><Relationship Id="rId272" Type="http://schemas.openxmlformats.org/officeDocument/2006/relationships/hyperlink" Target="https://en.wikipedia.org/wiki/Liverpool" TargetMode="External"/><Relationship Id="rId279" Type="http://schemas.openxmlformats.org/officeDocument/2006/relationships/hyperlink" Target="https://en.wikipedia.org/wiki/Milwaukee" TargetMode="External"/><Relationship Id="rId278" Type="http://schemas.openxmlformats.org/officeDocument/2006/relationships/hyperlink" Target="https://en.wikipedia.org/wiki/Miami" TargetMode="External"/><Relationship Id="rId277" Type="http://schemas.openxmlformats.org/officeDocument/2006/relationships/hyperlink" Target="https://en.wikipedia.org/wiki/Medina" TargetMode="External"/><Relationship Id="rId276" Type="http://schemas.openxmlformats.org/officeDocument/2006/relationships/hyperlink" Target="https://en.wikipedia.org/wiki/Mecca" TargetMode="External"/><Relationship Id="rId629" Type="http://schemas.openxmlformats.org/officeDocument/2006/relationships/hyperlink" Target="https://en.wikipedia.org/wiki/Leipzig" TargetMode="External"/><Relationship Id="rId624" Type="http://schemas.openxmlformats.org/officeDocument/2006/relationships/hyperlink" Target="https://en.wikipedia.org/wiki/Hannover" TargetMode="External"/><Relationship Id="rId866" Type="http://schemas.openxmlformats.org/officeDocument/2006/relationships/hyperlink" Target="https://en.wikipedia.org/wiki/Oslo" TargetMode="External"/><Relationship Id="rId623" Type="http://schemas.openxmlformats.org/officeDocument/2006/relationships/hyperlink" Target="https://en.wikipedia.org/wiki/Hamburg" TargetMode="External"/><Relationship Id="rId865" Type="http://schemas.openxmlformats.org/officeDocument/2006/relationships/hyperlink" Target="https://en.wikipedia.org/wiki/Oamaru" TargetMode="External"/><Relationship Id="rId622" Type="http://schemas.openxmlformats.org/officeDocument/2006/relationships/hyperlink" Target="https://en.wikipedia.org/wiki/Greenland" TargetMode="External"/><Relationship Id="rId864" Type="http://schemas.openxmlformats.org/officeDocument/2006/relationships/hyperlink" Target="https://en.wikipedia.org/wiki/Moose_Jaw" TargetMode="External"/><Relationship Id="rId621" Type="http://schemas.openxmlformats.org/officeDocument/2006/relationships/hyperlink" Target="https://en.wikipedia.org/wiki/Frankfurt" TargetMode="External"/><Relationship Id="rId863" Type="http://schemas.openxmlformats.org/officeDocument/2006/relationships/hyperlink" Target="https://en.wikipedia.org/wiki/Harrow_School" TargetMode="External"/><Relationship Id="rId628" Type="http://schemas.openxmlformats.org/officeDocument/2006/relationships/hyperlink" Target="https://en.wikipedia.org/wiki/Leeds" TargetMode="External"/><Relationship Id="rId627" Type="http://schemas.openxmlformats.org/officeDocument/2006/relationships/hyperlink" Target="https://en.wikipedia.org/wiki/Kosovo" TargetMode="External"/><Relationship Id="rId869" Type="http://schemas.openxmlformats.org/officeDocument/2006/relationships/hyperlink" Target="https://en.wikipedia.org/wiki/Waterloo,_Ontario" TargetMode="External"/><Relationship Id="rId626" Type="http://schemas.openxmlformats.org/officeDocument/2006/relationships/hyperlink" Target="https://en.wikipedia.org/wiki/Iceland" TargetMode="External"/><Relationship Id="rId868" Type="http://schemas.openxmlformats.org/officeDocument/2006/relationships/hyperlink" Target="https://en.wikipedia.org/wiki/Warsaw" TargetMode="External"/><Relationship Id="rId625" Type="http://schemas.openxmlformats.org/officeDocument/2006/relationships/hyperlink" Target="https://en.wikipedia.org/wiki/Hong_Kong" TargetMode="External"/><Relationship Id="rId867" Type="http://schemas.openxmlformats.org/officeDocument/2006/relationships/hyperlink" Target="https://en.wikipedia.org/wiki/Peru" TargetMode="External"/><Relationship Id="rId620" Type="http://schemas.openxmlformats.org/officeDocument/2006/relationships/hyperlink" Target="https://en.wikipedia.org/wiki/Fife" TargetMode="External"/><Relationship Id="rId862" Type="http://schemas.openxmlformats.org/officeDocument/2006/relationships/hyperlink" Target="https://en.wikipedia.org/wiki/Barrow-in-Furness" TargetMode="External"/><Relationship Id="rId861" Type="http://schemas.openxmlformats.org/officeDocument/2006/relationships/hyperlink" Target="https://en.wikipedia.org/wiki/United_Kingdom" TargetMode="External"/><Relationship Id="rId860" Type="http://schemas.openxmlformats.org/officeDocument/2006/relationships/hyperlink" Target="https://en.wikipedia.org/wiki/Oxford" TargetMode="External"/><Relationship Id="rId619" Type="http://schemas.openxmlformats.org/officeDocument/2006/relationships/hyperlink" Target="https://en.wikipedia.org/wiki/Dresden" TargetMode="External"/><Relationship Id="rId618" Type="http://schemas.openxmlformats.org/officeDocument/2006/relationships/hyperlink" Target="https://en.wikipedia.org/wiki/Dublin" TargetMode="External"/><Relationship Id="rId613" Type="http://schemas.openxmlformats.org/officeDocument/2006/relationships/hyperlink" Target="https://en.wikipedia.org/wiki/Budapest" TargetMode="External"/><Relationship Id="rId855" Type="http://schemas.openxmlformats.org/officeDocument/2006/relationships/hyperlink" Target="https://en.wikipedia.org/wiki/Cork_(city)" TargetMode="External"/><Relationship Id="rId612" Type="http://schemas.openxmlformats.org/officeDocument/2006/relationships/hyperlink" Target="https://en.wikipedia.org/wiki/Bucharest" TargetMode="External"/><Relationship Id="rId854" Type="http://schemas.openxmlformats.org/officeDocument/2006/relationships/hyperlink" Target="https://en.wikipedia.org/wiki/Connacht" TargetMode="External"/><Relationship Id="rId611" Type="http://schemas.openxmlformats.org/officeDocument/2006/relationships/hyperlink" Target="https://en.wikipedia.org/wiki/Berlin" TargetMode="External"/><Relationship Id="rId853" Type="http://schemas.openxmlformats.org/officeDocument/2006/relationships/hyperlink" Target="https://en.wikipedia.org/wiki/Bath,_Somerset" TargetMode="External"/><Relationship Id="rId610" Type="http://schemas.openxmlformats.org/officeDocument/2006/relationships/hyperlink" Target="https://en.wikipedia.org/wiki/Bergen" TargetMode="External"/><Relationship Id="rId852" Type="http://schemas.openxmlformats.org/officeDocument/2006/relationships/hyperlink" Target="https://en.wikipedia.org/wiki/Aberdeen" TargetMode="External"/><Relationship Id="rId617" Type="http://schemas.openxmlformats.org/officeDocument/2006/relationships/hyperlink" Target="https://en.wikipedia.org/wiki/Detroit" TargetMode="External"/><Relationship Id="rId859" Type="http://schemas.openxmlformats.org/officeDocument/2006/relationships/hyperlink" Target="https://en.wikipedia.org/wiki/Newport,_Wales" TargetMode="External"/><Relationship Id="rId616" Type="http://schemas.openxmlformats.org/officeDocument/2006/relationships/hyperlink" Target="https://en.wikipedia.org/wiki/Copenhagen" TargetMode="External"/><Relationship Id="rId858" Type="http://schemas.openxmlformats.org/officeDocument/2006/relationships/hyperlink" Target="https://en.wikipedia.org/wiki/Lesotho" TargetMode="External"/><Relationship Id="rId615" Type="http://schemas.openxmlformats.org/officeDocument/2006/relationships/hyperlink" Target="https://en.wikipedia.org/wiki/Cook_Islands" TargetMode="External"/><Relationship Id="rId857" Type="http://schemas.openxmlformats.org/officeDocument/2006/relationships/hyperlink" Target="https://en.wikipedia.org/wiki/Halifax,_Nova_Scotia" TargetMode="External"/><Relationship Id="rId614" Type="http://schemas.openxmlformats.org/officeDocument/2006/relationships/hyperlink" Target="https://en.wikipedia.org/wiki/Cleveland" TargetMode="External"/><Relationship Id="rId856" Type="http://schemas.openxmlformats.org/officeDocument/2006/relationships/hyperlink" Target="https://en.wikipedia.org/wiki/Dundee" TargetMode="External"/><Relationship Id="rId851" Type="http://schemas.openxmlformats.org/officeDocument/2006/relationships/hyperlink" Target="https://en.wikipedia.org/wiki/Tasmania" TargetMode="External"/><Relationship Id="rId850" Type="http://schemas.openxmlformats.org/officeDocument/2006/relationships/hyperlink" Target="https://en.wikipedia.org/wiki/Poway,_CA" TargetMode="External"/><Relationship Id="rId409" Type="http://schemas.openxmlformats.org/officeDocument/2006/relationships/hyperlink" Target="https://en.wikipedia.org/wiki/Lethbridge" TargetMode="External"/><Relationship Id="rId404" Type="http://schemas.openxmlformats.org/officeDocument/2006/relationships/hyperlink" Target="https://en.wikipedia.org/wiki/Kingston,_Ontario" TargetMode="External"/><Relationship Id="rId646" Type="http://schemas.openxmlformats.org/officeDocument/2006/relationships/hyperlink" Target="https://en.wikipedia.org/wiki/Pangkal_Pinang" TargetMode="External"/><Relationship Id="rId888" Type="http://schemas.openxmlformats.org/officeDocument/2006/relationships/hyperlink" Target="https://en.wikipedia.org/wiki/Manchester" TargetMode="External"/><Relationship Id="rId403" Type="http://schemas.openxmlformats.org/officeDocument/2006/relationships/hyperlink" Target="https://en.wikipedia.org/wiki/Kentucky" TargetMode="External"/><Relationship Id="rId645" Type="http://schemas.openxmlformats.org/officeDocument/2006/relationships/hyperlink" Target="https://en.wikipedia.org/wiki/Oakland" TargetMode="External"/><Relationship Id="rId887" Type="http://schemas.openxmlformats.org/officeDocument/2006/relationships/hyperlink" Target="https://en.wikipedia.org/wiki/Lviv" TargetMode="External"/><Relationship Id="rId402" Type="http://schemas.openxmlformats.org/officeDocument/2006/relationships/hyperlink" Target="https://en.wikipedia.org/wiki/Kansas_City,_Missouri" TargetMode="External"/><Relationship Id="rId644" Type="http://schemas.openxmlformats.org/officeDocument/2006/relationships/hyperlink" Target="https://en.wikipedia.org/wiki/Newfoundland" TargetMode="External"/><Relationship Id="rId886" Type="http://schemas.openxmlformats.org/officeDocument/2006/relationships/hyperlink" Target="https://en.wikipedia.org/wiki/Leeds" TargetMode="External"/><Relationship Id="rId401" Type="http://schemas.openxmlformats.org/officeDocument/2006/relationships/hyperlink" Target="https://en.wikipedia.org/wiki/Kachin_State" TargetMode="External"/><Relationship Id="rId643" Type="http://schemas.openxmlformats.org/officeDocument/2006/relationships/hyperlink" Target="https://en.wikipedia.org/wiki/New_Zealand" TargetMode="External"/><Relationship Id="rId885" Type="http://schemas.openxmlformats.org/officeDocument/2006/relationships/hyperlink" Target="https://en.wikipedia.org/wiki/Halifax_Regional_Municipality" TargetMode="External"/><Relationship Id="rId408" Type="http://schemas.openxmlformats.org/officeDocument/2006/relationships/hyperlink" Target="https://en.wikipedia.org/wiki/Lesbos" TargetMode="External"/><Relationship Id="rId407" Type="http://schemas.openxmlformats.org/officeDocument/2006/relationships/hyperlink" Target="https://en.wikipedia.org/wiki/Lancaster,_Lancashire" TargetMode="External"/><Relationship Id="rId649" Type="http://schemas.openxmlformats.org/officeDocument/2006/relationships/hyperlink" Target="https://en.wikipedia.org/wiki/Prince_Edward_Island" TargetMode="External"/><Relationship Id="rId406" Type="http://schemas.openxmlformats.org/officeDocument/2006/relationships/hyperlink" Target="https://en.wikipedia.org/wiki/Lancashire" TargetMode="External"/><Relationship Id="rId648" Type="http://schemas.openxmlformats.org/officeDocument/2006/relationships/hyperlink" Target="https://en.wikipedia.org/wiki/Prague" TargetMode="External"/><Relationship Id="rId405" Type="http://schemas.openxmlformats.org/officeDocument/2006/relationships/hyperlink" Target="https://en.wikipedia.org/wiki/Laguna_(province)" TargetMode="External"/><Relationship Id="rId647" Type="http://schemas.openxmlformats.org/officeDocument/2006/relationships/hyperlink" Target="https://en.wikipedia.org/wiki/Pittsburgh" TargetMode="External"/><Relationship Id="rId889" Type="http://schemas.openxmlformats.org/officeDocument/2006/relationships/hyperlink" Target="https://en.wikipedia.org/wiki/Melbourne" TargetMode="External"/><Relationship Id="rId880" Type="http://schemas.openxmlformats.org/officeDocument/2006/relationships/hyperlink" Target="https://en.wikipedia.org/wiki/Chester" TargetMode="External"/><Relationship Id="rId400" Type="http://schemas.openxmlformats.org/officeDocument/2006/relationships/hyperlink" Target="https://en.wikipedia.org/wiki/Jessup,_Pennsylvania" TargetMode="External"/><Relationship Id="rId642" Type="http://schemas.openxmlformats.org/officeDocument/2006/relationships/hyperlink" Target="https://en.wikipedia.org/wiki/New_York_(state)" TargetMode="External"/><Relationship Id="rId884" Type="http://schemas.openxmlformats.org/officeDocument/2006/relationships/hyperlink" Target="https://en.wikipedia.org/wiki/Guernsey" TargetMode="External"/><Relationship Id="rId641" Type="http://schemas.openxmlformats.org/officeDocument/2006/relationships/hyperlink" Target="https://en.wikipedia.org/wiki/New_England" TargetMode="External"/><Relationship Id="rId883" Type="http://schemas.openxmlformats.org/officeDocument/2006/relationships/hyperlink" Target="https://en.wikipedia.org/wiki/Exeter" TargetMode="External"/><Relationship Id="rId640" Type="http://schemas.openxmlformats.org/officeDocument/2006/relationships/hyperlink" Target="https://en.wikipedia.org/wiki/New_Brunswick" TargetMode="External"/><Relationship Id="rId882" Type="http://schemas.openxmlformats.org/officeDocument/2006/relationships/hyperlink" Target="https://en.wikipedia.org/wiki/Courland" TargetMode="External"/><Relationship Id="rId881" Type="http://schemas.openxmlformats.org/officeDocument/2006/relationships/hyperlink" Target="https://en.wikipedia.org/wiki/Colchester" TargetMode="External"/><Relationship Id="rId635" Type="http://schemas.openxmlformats.org/officeDocument/2006/relationships/hyperlink" Target="https://en.wikipedia.org/wiki/Maine" TargetMode="External"/><Relationship Id="rId877" Type="http://schemas.openxmlformats.org/officeDocument/2006/relationships/hyperlink" Target="https://en.wikipedia.org/wiki/Ashbourne_(disambiguation)" TargetMode="External"/><Relationship Id="rId634" Type="http://schemas.openxmlformats.org/officeDocument/2006/relationships/hyperlink" Target="https://en.wikipedia.org/wiki/Luxembourg" TargetMode="External"/><Relationship Id="rId876" Type="http://schemas.openxmlformats.org/officeDocument/2006/relationships/hyperlink" Target="https://en.wikipedia.org/wiki/Annapolis" TargetMode="External"/><Relationship Id="rId633" Type="http://schemas.openxmlformats.org/officeDocument/2006/relationships/hyperlink" Target="https://en.wikipedia.org/wiki/Lorraine_(region)" TargetMode="External"/><Relationship Id="rId875" Type="http://schemas.openxmlformats.org/officeDocument/2006/relationships/hyperlink" Target="https://en.wikipedia.org/wiki/Alsace" TargetMode="External"/><Relationship Id="rId632" Type="http://schemas.openxmlformats.org/officeDocument/2006/relationships/hyperlink" Target="https://en.wikipedia.org/wiki/London" TargetMode="External"/><Relationship Id="rId874" Type="http://schemas.openxmlformats.org/officeDocument/2006/relationships/hyperlink" Target="https://en.wikipedia.org/wiki/Quebec" TargetMode="External"/><Relationship Id="rId639" Type="http://schemas.openxmlformats.org/officeDocument/2006/relationships/hyperlink" Target="https://en.wikipedia.org/wiki/Netherlands" TargetMode="External"/><Relationship Id="rId638" Type="http://schemas.openxmlformats.org/officeDocument/2006/relationships/hyperlink" Target="https://en.wikipedia.org/wiki/Montreal" TargetMode="External"/><Relationship Id="rId637" Type="http://schemas.openxmlformats.org/officeDocument/2006/relationships/hyperlink" Target="https://en.wikipedia.org/wiki/Michigan" TargetMode="External"/><Relationship Id="rId879" Type="http://schemas.openxmlformats.org/officeDocument/2006/relationships/hyperlink" Target="https://en.wikipedia.org/wiki/Canterbury" TargetMode="External"/><Relationship Id="rId636" Type="http://schemas.openxmlformats.org/officeDocument/2006/relationships/hyperlink" Target="https://en.wikipedia.org/wiki/Maryland" TargetMode="External"/><Relationship Id="rId878" Type="http://schemas.openxmlformats.org/officeDocument/2006/relationships/hyperlink" Target="https://en.wikipedia.org/wiki/Cambridge" TargetMode="External"/><Relationship Id="rId631" Type="http://schemas.openxmlformats.org/officeDocument/2006/relationships/hyperlink" Target="https://en.wikipedia.org/wiki/Little_Rock,_AR" TargetMode="External"/><Relationship Id="rId873" Type="http://schemas.openxmlformats.org/officeDocument/2006/relationships/hyperlink" Target="https://en.wikipedia.org/wiki/Seychelles" TargetMode="External"/><Relationship Id="rId630" Type="http://schemas.openxmlformats.org/officeDocument/2006/relationships/hyperlink" Target="https://en.wikipedia.org/wiki/Liechtenstein" TargetMode="External"/><Relationship Id="rId872" Type="http://schemas.openxmlformats.org/officeDocument/2006/relationships/hyperlink" Target="https://en.wikipedia.org/wiki/Gabon" TargetMode="External"/><Relationship Id="rId871" Type="http://schemas.openxmlformats.org/officeDocument/2006/relationships/hyperlink" Target="https://en.wikipedia.org/wiki/Benin" TargetMode="External"/><Relationship Id="rId870" Type="http://schemas.openxmlformats.org/officeDocument/2006/relationships/hyperlink" Target="https://en.wikipedia.org/wiki/Wythenshawe" TargetMode="External"/><Relationship Id="rId829" Type="http://schemas.openxmlformats.org/officeDocument/2006/relationships/hyperlink" Target="https://en.wikipedia.org/wiki/Tel_Aviv" TargetMode="External"/><Relationship Id="rId828" Type="http://schemas.openxmlformats.org/officeDocument/2006/relationships/hyperlink" Target="https://en.wikipedia.org/wiki/Sylhet" TargetMode="External"/><Relationship Id="rId827" Type="http://schemas.openxmlformats.org/officeDocument/2006/relationships/hyperlink" Target="https://en.wikipedia.org/wiki/Sindh" TargetMode="External"/><Relationship Id="rId822" Type="http://schemas.openxmlformats.org/officeDocument/2006/relationships/hyperlink" Target="https://en.wikipedia.org/wiki/Kumaon_division" TargetMode="External"/><Relationship Id="rId821" Type="http://schemas.openxmlformats.org/officeDocument/2006/relationships/hyperlink" Target="https://en.wikipedia.org/wiki/Kerala" TargetMode="External"/><Relationship Id="rId820" Type="http://schemas.openxmlformats.org/officeDocument/2006/relationships/hyperlink" Target="https://en.wikipedia.org/wiki/Hyderabad,_India" TargetMode="External"/><Relationship Id="rId826" Type="http://schemas.openxmlformats.org/officeDocument/2006/relationships/hyperlink" Target="https://en.wikipedia.org/wiki/Rangpur_Division" TargetMode="External"/><Relationship Id="rId825" Type="http://schemas.openxmlformats.org/officeDocument/2006/relationships/hyperlink" Target="https://en.wikipedia.org/wiki/Rajasthan" TargetMode="External"/><Relationship Id="rId824" Type="http://schemas.openxmlformats.org/officeDocument/2006/relationships/hyperlink" Target="https://en.wikipedia.org/wiki/Punjab_region" TargetMode="External"/><Relationship Id="rId823" Type="http://schemas.openxmlformats.org/officeDocument/2006/relationships/hyperlink" Target="https://en.wikipedia.org/wiki/Lahore" TargetMode="External"/><Relationship Id="rId819" Type="http://schemas.openxmlformats.org/officeDocument/2006/relationships/hyperlink" Target="https://en.wikipedia.org/wiki/Hazara_people" TargetMode="External"/><Relationship Id="rId818" Type="http://schemas.openxmlformats.org/officeDocument/2006/relationships/hyperlink" Target="https://en.wikipedia.org/wiki/Gujarat" TargetMode="External"/><Relationship Id="rId817" Type="http://schemas.openxmlformats.org/officeDocument/2006/relationships/hyperlink" Target="https://en.wikipedia.org/wiki/Glasgow" TargetMode="External"/><Relationship Id="rId816" Type="http://schemas.openxmlformats.org/officeDocument/2006/relationships/hyperlink" Target="https://en.wikipedia.org/wiki/Faridabad" TargetMode="External"/><Relationship Id="rId811" Type="http://schemas.openxmlformats.org/officeDocument/2006/relationships/hyperlink" Target="https://en.wikipedia.org/wiki/Bh%C4%81rat_Ga%E1%B9%87ar%C4%81jya" TargetMode="External"/><Relationship Id="rId810" Type="http://schemas.openxmlformats.org/officeDocument/2006/relationships/hyperlink" Target="https://en.wikipedia.org/wiki/Bengal_region" TargetMode="External"/><Relationship Id="rId815" Type="http://schemas.openxmlformats.org/officeDocument/2006/relationships/hyperlink" Target="https://en.wikipedia.org/wiki/Dhaka" TargetMode="External"/><Relationship Id="rId814" Type="http://schemas.openxmlformats.org/officeDocument/2006/relationships/hyperlink" Target="https://en.wikipedia.org/wiki/Dagestan" TargetMode="External"/><Relationship Id="rId813" Type="http://schemas.openxmlformats.org/officeDocument/2006/relationships/hyperlink" Target="https://en.wikipedia.org/wiki/Birmingham" TargetMode="External"/><Relationship Id="rId812" Type="http://schemas.openxmlformats.org/officeDocument/2006/relationships/hyperlink" Target="https://en.wikipedia.org/wiki/Bihar" TargetMode="External"/><Relationship Id="rId609" Type="http://schemas.openxmlformats.org/officeDocument/2006/relationships/hyperlink" Target="https://en.wikipedia.org/wiki/Belgrade" TargetMode="External"/><Relationship Id="rId608" Type="http://schemas.openxmlformats.org/officeDocument/2006/relationships/hyperlink" Target="https://en.wikipedia.org/wiki/Beijing" TargetMode="External"/><Relationship Id="rId607" Type="http://schemas.openxmlformats.org/officeDocument/2006/relationships/hyperlink" Target="https://en.wikipedia.org/wiki/Bakersfield,_CA" TargetMode="External"/><Relationship Id="rId849" Type="http://schemas.openxmlformats.org/officeDocument/2006/relationships/hyperlink" Target="https://en.wikipedia.org/wiki/Norway" TargetMode="External"/><Relationship Id="rId602" Type="http://schemas.openxmlformats.org/officeDocument/2006/relationships/hyperlink" Target="https://en.wikipedia.org/wiki/Wrexham" TargetMode="External"/><Relationship Id="rId844" Type="http://schemas.openxmlformats.org/officeDocument/2006/relationships/hyperlink" Target="https://en.wikipedia.org/wiki/Dawei" TargetMode="External"/><Relationship Id="rId601" Type="http://schemas.openxmlformats.org/officeDocument/2006/relationships/hyperlink" Target="https://en.wikipedia.org/wiki/Wisconsin" TargetMode="External"/><Relationship Id="rId843" Type="http://schemas.openxmlformats.org/officeDocument/2006/relationships/hyperlink" Target="https://en.wikipedia.org/wiki/Italy" TargetMode="External"/><Relationship Id="rId600" Type="http://schemas.openxmlformats.org/officeDocument/2006/relationships/hyperlink" Target="https://en.wikipedia.org/wiki/Winston-Salem" TargetMode="External"/><Relationship Id="rId842" Type="http://schemas.openxmlformats.org/officeDocument/2006/relationships/hyperlink" Target="https://en.wikipedia.org/wiki/Sanremo" TargetMode="External"/><Relationship Id="rId841" Type="http://schemas.openxmlformats.org/officeDocument/2006/relationships/hyperlink" Target="https://en.wikipedia.org/wiki/Basque_Country_(greater_region)" TargetMode="External"/><Relationship Id="rId606" Type="http://schemas.openxmlformats.org/officeDocument/2006/relationships/hyperlink" Target="https://en.wikipedia.org/wiki/Auckland" TargetMode="External"/><Relationship Id="rId848" Type="http://schemas.openxmlformats.org/officeDocument/2006/relationships/hyperlink" Target="https://en.wikipedia.org/wiki/Magway_Region" TargetMode="External"/><Relationship Id="rId605" Type="http://schemas.openxmlformats.org/officeDocument/2006/relationships/hyperlink" Target="https://en.wikipedia.org/wiki/Amsterdam" TargetMode="External"/><Relationship Id="rId847" Type="http://schemas.openxmlformats.org/officeDocument/2006/relationships/hyperlink" Target="https://en.wikipedia.org/wiki/Glasgow" TargetMode="External"/><Relationship Id="rId604" Type="http://schemas.openxmlformats.org/officeDocument/2006/relationships/hyperlink" Target="https://en.wikipedia.org/wiki/Yangon" TargetMode="External"/><Relationship Id="rId846" Type="http://schemas.openxmlformats.org/officeDocument/2006/relationships/hyperlink" Target="https://en.wikipedia.org/wiki/Galway" TargetMode="External"/><Relationship Id="rId603" Type="http://schemas.openxmlformats.org/officeDocument/2006/relationships/hyperlink" Target="https://en.wikipedia.org/wiki/Wyoming" TargetMode="External"/><Relationship Id="rId845" Type="http://schemas.openxmlformats.org/officeDocument/2006/relationships/hyperlink" Target="https://en.wikipedia.org/wiki/Galloway" TargetMode="External"/><Relationship Id="rId840" Type="http://schemas.openxmlformats.org/officeDocument/2006/relationships/hyperlink" Target="https://en.wikipedia.org/wiki/Menton" TargetMode="External"/><Relationship Id="rId839" Type="http://schemas.openxmlformats.org/officeDocument/2006/relationships/hyperlink" Target="https://en.wikipedia.org/wiki/Bergamo" TargetMode="External"/><Relationship Id="rId838" Type="http://schemas.openxmlformats.org/officeDocument/2006/relationships/hyperlink" Target="https://en.wikipedia.org/wiki/Slovakia" TargetMode="External"/><Relationship Id="rId833" Type="http://schemas.openxmlformats.org/officeDocument/2006/relationships/hyperlink" Target="https://en.wikipedia.org/wiki/Corfu" TargetMode="External"/><Relationship Id="rId832" Type="http://schemas.openxmlformats.org/officeDocument/2006/relationships/hyperlink" Target="https://en.wikipedia.org/wiki/Chios" TargetMode="External"/><Relationship Id="rId831" Type="http://schemas.openxmlformats.org/officeDocument/2006/relationships/hyperlink" Target="https://en.wikipedia.org/wiki/Middle_East" TargetMode="External"/><Relationship Id="rId830" Type="http://schemas.openxmlformats.org/officeDocument/2006/relationships/hyperlink" Target="https://en.wikipedia.org/wiki/Yorkshire" TargetMode="External"/><Relationship Id="rId837" Type="http://schemas.openxmlformats.org/officeDocument/2006/relationships/hyperlink" Target="https://en.wikipedia.org/wiki/Greece" TargetMode="External"/><Relationship Id="rId836" Type="http://schemas.openxmlformats.org/officeDocument/2006/relationships/hyperlink" Target="https://en.wikipedia.org/wiki/Greece" TargetMode="External"/><Relationship Id="rId835" Type="http://schemas.openxmlformats.org/officeDocument/2006/relationships/hyperlink" Target="https://en.wikipedia.org/wiki/Phanar" TargetMode="External"/><Relationship Id="rId834" Type="http://schemas.openxmlformats.org/officeDocument/2006/relationships/hyperlink" Target="https://en.wikipedia.org/wiki/Cyprus" TargetMode="External"/><Relationship Id="rId228" Type="http://schemas.openxmlformats.org/officeDocument/2006/relationships/hyperlink" Target="https://en.wikipedia.org/wiki/Victoria_(Australia)" TargetMode="External"/><Relationship Id="rId227" Type="http://schemas.openxmlformats.org/officeDocument/2006/relationships/hyperlink" Target="https://en.wikipedia.org/wiki/Utah" TargetMode="External"/><Relationship Id="rId469" Type="http://schemas.openxmlformats.org/officeDocument/2006/relationships/hyperlink" Target="https://en.wikipedia.org/wiki/Mawlamyine" TargetMode="External"/><Relationship Id="rId226" Type="http://schemas.openxmlformats.org/officeDocument/2006/relationships/hyperlink" Target="https://en.wikipedia.org/wiki/Umbria" TargetMode="External"/><Relationship Id="rId468" Type="http://schemas.openxmlformats.org/officeDocument/2006/relationships/hyperlink" Target="https://en.wikipedia.org/wiki/Guam" TargetMode="External"/><Relationship Id="rId225" Type="http://schemas.openxmlformats.org/officeDocument/2006/relationships/hyperlink" Target="https://en.wikipedia.org/wiki/Transylvania" TargetMode="External"/><Relationship Id="rId467" Type="http://schemas.openxmlformats.org/officeDocument/2006/relationships/hyperlink" Target="https://en.wikipedia.org/wiki/Yukon" TargetMode="External"/><Relationship Id="rId229" Type="http://schemas.openxmlformats.org/officeDocument/2006/relationships/hyperlink" Target="https://en.wikipedia.org/wiki/Virginia" TargetMode="External"/><Relationship Id="rId220" Type="http://schemas.openxmlformats.org/officeDocument/2006/relationships/hyperlink" Target="https://en.wikipedia.org/wiki/Tasmania" TargetMode="External"/><Relationship Id="rId462" Type="http://schemas.openxmlformats.org/officeDocument/2006/relationships/hyperlink" Target="https://en.wikipedia.org/wiki/Tucson" TargetMode="External"/><Relationship Id="rId461" Type="http://schemas.openxmlformats.org/officeDocument/2006/relationships/hyperlink" Target="https://en.wikipedia.org/wiki/Tuban" TargetMode="External"/><Relationship Id="rId460" Type="http://schemas.openxmlformats.org/officeDocument/2006/relationships/hyperlink" Target="https://en.wikipedia.org/wiki/Truro" TargetMode="External"/><Relationship Id="rId224" Type="http://schemas.openxmlformats.org/officeDocument/2006/relationships/hyperlink" Target="https://en.wikipedia.org/wiki/Transnistria" TargetMode="External"/><Relationship Id="rId466" Type="http://schemas.openxmlformats.org/officeDocument/2006/relationships/hyperlink" Target="https://en.wikipedia.org/wiki/Wilmington,_North_Carolina" TargetMode="External"/><Relationship Id="rId223" Type="http://schemas.openxmlformats.org/officeDocument/2006/relationships/hyperlink" Target="https://en.wikipedia.org/wiki/Thuringia" TargetMode="External"/><Relationship Id="rId465" Type="http://schemas.openxmlformats.org/officeDocument/2006/relationships/hyperlink" Target="https://en.wikipedia.org/wiki/Wellington" TargetMode="External"/><Relationship Id="rId222" Type="http://schemas.openxmlformats.org/officeDocument/2006/relationships/hyperlink" Target="https://en.wikipedia.org/wiki/Texas" TargetMode="External"/><Relationship Id="rId464" Type="http://schemas.openxmlformats.org/officeDocument/2006/relationships/hyperlink" Target="https://en.wikipedia.org/wiki/Washington_(state)" TargetMode="External"/><Relationship Id="rId221" Type="http://schemas.openxmlformats.org/officeDocument/2006/relationships/hyperlink" Target="https://en.wikipedia.org/wiki/Tennessee" TargetMode="External"/><Relationship Id="rId463" Type="http://schemas.openxmlformats.org/officeDocument/2006/relationships/hyperlink" Target="https://en.wikipedia.org/wiki/Vilnius" TargetMode="External"/><Relationship Id="rId217" Type="http://schemas.openxmlformats.org/officeDocument/2006/relationships/hyperlink" Target="https://en.wikipedia.org/wiki/Tahiti" TargetMode="External"/><Relationship Id="rId459" Type="http://schemas.openxmlformats.org/officeDocument/2006/relationships/hyperlink" Target="https://en.wikipedia.org/wiki/Towcester" TargetMode="External"/><Relationship Id="rId216" Type="http://schemas.openxmlformats.org/officeDocument/2006/relationships/hyperlink" Target="https://en.wikipedia.org/wiki/Syrmia" TargetMode="External"/><Relationship Id="rId458" Type="http://schemas.openxmlformats.org/officeDocument/2006/relationships/hyperlink" Target="https://en.wikipedia.org/wiki/Thrace" TargetMode="External"/><Relationship Id="rId215" Type="http://schemas.openxmlformats.org/officeDocument/2006/relationships/hyperlink" Target="https://en.wikipedia.org/wiki/Sumbawa" TargetMode="External"/><Relationship Id="rId457" Type="http://schemas.openxmlformats.org/officeDocument/2006/relationships/hyperlink" Target="https://en.wikipedia.org/wiki/Telford" TargetMode="External"/><Relationship Id="rId699" Type="http://schemas.openxmlformats.org/officeDocument/2006/relationships/hyperlink" Target="https://en.wikipedia.org/wiki/Montagnard_(people)" TargetMode="External"/><Relationship Id="rId214" Type="http://schemas.openxmlformats.org/officeDocument/2006/relationships/hyperlink" Target="https://en.wikipedia.org/wiki/Sumba" TargetMode="External"/><Relationship Id="rId456" Type="http://schemas.openxmlformats.org/officeDocument/2006/relationships/hyperlink" Target="https://en.wikipedia.org/wiki/Tel_Aviv,_Israel" TargetMode="External"/><Relationship Id="rId698" Type="http://schemas.openxmlformats.org/officeDocument/2006/relationships/hyperlink" Target="https://en.wikipedia.org/wiki/Savoy" TargetMode="External"/><Relationship Id="rId219" Type="http://schemas.openxmlformats.org/officeDocument/2006/relationships/hyperlink" Target="https://en.wikipedia.org/wiki/Taranaki" TargetMode="External"/><Relationship Id="rId218" Type="http://schemas.openxmlformats.org/officeDocument/2006/relationships/hyperlink" Target="https://en.wikipedia.org/wiki/Tamil_Nadu" TargetMode="External"/><Relationship Id="rId451" Type="http://schemas.openxmlformats.org/officeDocument/2006/relationships/hyperlink" Target="https://en.wikipedia.org/wiki/Solihull" TargetMode="External"/><Relationship Id="rId693" Type="http://schemas.openxmlformats.org/officeDocument/2006/relationships/hyperlink" Target="https://en.wikipedia.org/wiki/Nazareth" TargetMode="External"/><Relationship Id="rId450" Type="http://schemas.openxmlformats.org/officeDocument/2006/relationships/hyperlink" Target="https://en.wikipedia.org/wiki/Sicily" TargetMode="External"/><Relationship Id="rId692" Type="http://schemas.openxmlformats.org/officeDocument/2006/relationships/hyperlink" Target="https://en.wikipedia.org/wiki/Damascus" TargetMode="External"/><Relationship Id="rId691" Type="http://schemas.openxmlformats.org/officeDocument/2006/relationships/hyperlink" Target="https://en.wikipedia.org/wiki/Cyrenaica" TargetMode="External"/><Relationship Id="rId690" Type="http://schemas.openxmlformats.org/officeDocument/2006/relationships/hyperlink" Target="https://en.wikipedia.org/wiki/Cairo" TargetMode="External"/><Relationship Id="rId213" Type="http://schemas.openxmlformats.org/officeDocument/2006/relationships/hyperlink" Target="https://en.wikipedia.org/wiki/Sumatra" TargetMode="External"/><Relationship Id="rId455" Type="http://schemas.openxmlformats.org/officeDocument/2006/relationships/hyperlink" Target="https://en.wikipedia.org/wiki/Tanintharyi_Region" TargetMode="External"/><Relationship Id="rId697" Type="http://schemas.openxmlformats.org/officeDocument/2006/relationships/hyperlink" Target="https://en.wikipedia.org/wiki/Spain" TargetMode="External"/><Relationship Id="rId212" Type="http://schemas.openxmlformats.org/officeDocument/2006/relationships/hyperlink" Target="https://en.wikipedia.org/wiki/Styria" TargetMode="External"/><Relationship Id="rId454" Type="http://schemas.openxmlformats.org/officeDocument/2006/relationships/hyperlink" Target="https://en.wikipedia.org/wiki/Swindon" TargetMode="External"/><Relationship Id="rId696" Type="http://schemas.openxmlformats.org/officeDocument/2006/relationships/hyperlink" Target="https://en.wikipedia.org/wiki/Middle_East" TargetMode="External"/><Relationship Id="rId211" Type="http://schemas.openxmlformats.org/officeDocument/2006/relationships/hyperlink" Target="https://en.wikipedia.org/wiki/South_Dakota" TargetMode="External"/><Relationship Id="rId453" Type="http://schemas.openxmlformats.org/officeDocument/2006/relationships/hyperlink" Target="https://en.wikipedia.org/wiki/Stockport" TargetMode="External"/><Relationship Id="rId695" Type="http://schemas.openxmlformats.org/officeDocument/2006/relationships/hyperlink" Target="https://en.wikipedia.org/wiki/Slovenia" TargetMode="External"/><Relationship Id="rId210" Type="http://schemas.openxmlformats.org/officeDocument/2006/relationships/hyperlink" Target="https://en.wikipedia.org/wiki/South_Australia" TargetMode="External"/><Relationship Id="rId452" Type="http://schemas.openxmlformats.org/officeDocument/2006/relationships/hyperlink" Target="https://en.wikipedia.org/wiki/South_Carolina" TargetMode="External"/><Relationship Id="rId694" Type="http://schemas.openxmlformats.org/officeDocument/2006/relationships/hyperlink" Target="https://en.wikipedia.org/wiki/Palmyra" TargetMode="External"/><Relationship Id="rId491" Type="http://schemas.openxmlformats.org/officeDocument/2006/relationships/hyperlink" Target="https://en.wikipedia.org/wiki/Philippines" TargetMode="External"/><Relationship Id="rId490" Type="http://schemas.openxmlformats.org/officeDocument/2006/relationships/hyperlink" Target="https://en.wikipedia.org/wiki/Palatinate_(region)" TargetMode="External"/><Relationship Id="rId249" Type="http://schemas.openxmlformats.org/officeDocument/2006/relationships/hyperlink" Target="https://en.wikipedia.org/wiki/Charlotte" TargetMode="External"/><Relationship Id="rId248" Type="http://schemas.openxmlformats.org/officeDocument/2006/relationships/hyperlink" Target="https://en.wikipedia.org/wiki/Canberra" TargetMode="External"/><Relationship Id="rId247" Type="http://schemas.openxmlformats.org/officeDocument/2006/relationships/hyperlink" Target="https://en.wikipedia.org/wiki/Bogot%C3%A1" TargetMode="External"/><Relationship Id="rId489" Type="http://schemas.openxmlformats.org/officeDocument/2006/relationships/hyperlink" Target="https://en.wikipedia.org/wiki/Montenegro" TargetMode="External"/><Relationship Id="rId242" Type="http://schemas.openxmlformats.org/officeDocument/2006/relationships/hyperlink" Target="https://en.wikipedia.org/wiki/Atlanta" TargetMode="External"/><Relationship Id="rId484" Type="http://schemas.openxmlformats.org/officeDocument/2006/relationships/hyperlink" Target="https://en.wikipedia.org/wiki/Argentina" TargetMode="External"/><Relationship Id="rId241" Type="http://schemas.openxmlformats.org/officeDocument/2006/relationships/hyperlink" Target="https://en.wikipedia.org/wiki/Annapolis" TargetMode="External"/><Relationship Id="rId483" Type="http://schemas.openxmlformats.org/officeDocument/2006/relationships/hyperlink" Target="https://en.wikipedia.org/wiki/Wa_Self-Administered_Division" TargetMode="External"/><Relationship Id="rId240" Type="http://schemas.openxmlformats.org/officeDocument/2006/relationships/hyperlink" Target="https://en.wikipedia.org/wiki/Albuquerque,_New_Mexico" TargetMode="External"/><Relationship Id="rId482" Type="http://schemas.openxmlformats.org/officeDocument/2006/relationships/hyperlink" Target="https://en.wikipedia.org/wiki/Truro" TargetMode="External"/><Relationship Id="rId481" Type="http://schemas.openxmlformats.org/officeDocument/2006/relationships/hyperlink" Target="https://en.wikipedia.org/wiki/Trinidad_and_Tobago" TargetMode="External"/><Relationship Id="rId246" Type="http://schemas.openxmlformats.org/officeDocument/2006/relationships/hyperlink" Target="https://en.wikipedia.org/wiki/Brockton,_Massachusetts" TargetMode="External"/><Relationship Id="rId488" Type="http://schemas.openxmlformats.org/officeDocument/2006/relationships/hyperlink" Target="https://en.wikipedia.org/wiki/Levant" TargetMode="External"/><Relationship Id="rId245" Type="http://schemas.openxmlformats.org/officeDocument/2006/relationships/hyperlink" Target="https://en.wikipedia.org/wiki/Bristol" TargetMode="External"/><Relationship Id="rId487" Type="http://schemas.openxmlformats.org/officeDocument/2006/relationships/hyperlink" Target="https://en.wikipedia.org/wiki/Gilbert_Islands" TargetMode="External"/><Relationship Id="rId244" Type="http://schemas.openxmlformats.org/officeDocument/2006/relationships/hyperlink" Target="https://en.wikipedia.org/wiki/Bath,_Somerset" TargetMode="External"/><Relationship Id="rId486" Type="http://schemas.openxmlformats.org/officeDocument/2006/relationships/hyperlink" Target="https://en.wikipedia.org/wiki/Florence" TargetMode="External"/><Relationship Id="rId243" Type="http://schemas.openxmlformats.org/officeDocument/2006/relationships/hyperlink" Target="https://en.wikipedia.org/wiki/Baltimore" TargetMode="External"/><Relationship Id="rId485" Type="http://schemas.openxmlformats.org/officeDocument/2006/relationships/hyperlink" Target="https://en.wikipedia.org/wiki/Byzantium" TargetMode="External"/><Relationship Id="rId480" Type="http://schemas.openxmlformats.org/officeDocument/2006/relationships/hyperlink" Target="https://en.wikipedia.org/wiki/Torquay" TargetMode="External"/><Relationship Id="rId239" Type="http://schemas.openxmlformats.org/officeDocument/2006/relationships/hyperlink" Target="https://en.wikipedia.org/wiki/Alexandria" TargetMode="External"/><Relationship Id="rId238" Type="http://schemas.openxmlformats.org/officeDocument/2006/relationships/hyperlink" Target="https://en.wikipedia.org/wiki/Adelaide" TargetMode="External"/><Relationship Id="rId237" Type="http://schemas.openxmlformats.org/officeDocument/2006/relationships/hyperlink" Target="https://en.wikipedia.org/wiki/Aberdeen" TargetMode="External"/><Relationship Id="rId479" Type="http://schemas.openxmlformats.org/officeDocument/2006/relationships/hyperlink" Target="https://en.wikipedia.org/wiki/Toronto" TargetMode="External"/><Relationship Id="rId236" Type="http://schemas.openxmlformats.org/officeDocument/2006/relationships/hyperlink" Target="https://en.wikipedia.org/wiki/Wisconsin" TargetMode="External"/><Relationship Id="rId478" Type="http://schemas.openxmlformats.org/officeDocument/2006/relationships/hyperlink" Target="https://en.wikipedia.org/wiki/Tobago" TargetMode="External"/><Relationship Id="rId231" Type="http://schemas.openxmlformats.org/officeDocument/2006/relationships/hyperlink" Target="https://en.wikipedia.org/wiki/Wake_Island" TargetMode="External"/><Relationship Id="rId473" Type="http://schemas.openxmlformats.org/officeDocument/2006/relationships/hyperlink" Target="https://en.wikipedia.org/wiki/Manchester" TargetMode="External"/><Relationship Id="rId230" Type="http://schemas.openxmlformats.org/officeDocument/2006/relationships/hyperlink" Target="https://en.wikipedia.org/wiki/Waikato" TargetMode="External"/><Relationship Id="rId472" Type="http://schemas.openxmlformats.org/officeDocument/2006/relationships/hyperlink" Target="https://en.wikipedia.org/wiki/Cork_(city)" TargetMode="External"/><Relationship Id="rId471" Type="http://schemas.openxmlformats.org/officeDocument/2006/relationships/hyperlink" Target="https://en.wikipedia.org/wiki/Buffalo,_New_York" TargetMode="External"/><Relationship Id="rId470" Type="http://schemas.openxmlformats.org/officeDocument/2006/relationships/hyperlink" Target="https://en.wikipedia.org/wiki/Bendigo" TargetMode="External"/><Relationship Id="rId235" Type="http://schemas.openxmlformats.org/officeDocument/2006/relationships/hyperlink" Target="https://en.wikipedia.org/wiki/North_Rhine-Westphalia" TargetMode="External"/><Relationship Id="rId477" Type="http://schemas.openxmlformats.org/officeDocument/2006/relationships/hyperlink" Target="https://en.wikipedia.org/wiki/Tampa,_FL" TargetMode="External"/><Relationship Id="rId234" Type="http://schemas.openxmlformats.org/officeDocument/2006/relationships/hyperlink" Target="https://en.wikipedia.org/wiki/West_Papua_(province)" TargetMode="External"/><Relationship Id="rId476" Type="http://schemas.openxmlformats.org/officeDocument/2006/relationships/hyperlink" Target="https://en.wikipedia.org/wiki/Sligo" TargetMode="External"/><Relationship Id="rId233" Type="http://schemas.openxmlformats.org/officeDocument/2006/relationships/hyperlink" Target="https://en.wikipedia.org/wiki/Western_Australia" TargetMode="External"/><Relationship Id="rId475" Type="http://schemas.openxmlformats.org/officeDocument/2006/relationships/hyperlink" Target="https://en.wikipedia.org/wiki/Panama" TargetMode="External"/><Relationship Id="rId232" Type="http://schemas.openxmlformats.org/officeDocument/2006/relationships/hyperlink" Target="https://en.wikipedia.org/wiki/Wallachia" TargetMode="External"/><Relationship Id="rId474" Type="http://schemas.openxmlformats.org/officeDocument/2006/relationships/hyperlink" Target="https://en.wikipedia.org/wiki/Naga_Self-Administered_Zone" TargetMode="External"/><Relationship Id="rId426" Type="http://schemas.openxmlformats.org/officeDocument/2006/relationships/hyperlink" Target="https://en.wikipedia.org/wiki/Northern_Territory" TargetMode="External"/><Relationship Id="rId668" Type="http://schemas.openxmlformats.org/officeDocument/2006/relationships/hyperlink" Target="https://en.wikipedia.org/wiki/Toponym" TargetMode="External"/><Relationship Id="rId425" Type="http://schemas.openxmlformats.org/officeDocument/2006/relationships/hyperlink" Target="https://en.wikipedia.org/wiki/North_Carolina" TargetMode="External"/><Relationship Id="rId667" Type="http://schemas.openxmlformats.org/officeDocument/2006/relationships/hyperlink" Target="https://en.wikipedia.org/wiki/Europe" TargetMode="External"/><Relationship Id="rId424" Type="http://schemas.openxmlformats.org/officeDocument/2006/relationships/hyperlink" Target="https://en.wikipedia.org/wiki/New_Orleans" TargetMode="External"/><Relationship Id="rId666" Type="http://schemas.openxmlformats.org/officeDocument/2006/relationships/hyperlink" Target="https://en.wikipedia.org/wiki/Zurich" TargetMode="External"/><Relationship Id="rId423" Type="http://schemas.openxmlformats.org/officeDocument/2006/relationships/hyperlink" Target="https://en.wikipedia.org/wiki/New_Guinea" TargetMode="External"/><Relationship Id="rId665" Type="http://schemas.openxmlformats.org/officeDocument/2006/relationships/hyperlink" Target="https://en.wikipedia.org/wiki/Yukon" TargetMode="External"/><Relationship Id="rId429" Type="http://schemas.openxmlformats.org/officeDocument/2006/relationships/hyperlink" Target="https://en.wikipedia.org/wiki/Perlis" TargetMode="External"/><Relationship Id="rId428" Type="http://schemas.openxmlformats.org/officeDocument/2006/relationships/hyperlink" Target="https://en.wikipedia.org/wiki/Paris" TargetMode="External"/><Relationship Id="rId427" Type="http://schemas.openxmlformats.org/officeDocument/2006/relationships/hyperlink" Target="https://en.wikipedia.org/wiki/Oregon" TargetMode="External"/><Relationship Id="rId669" Type="http://schemas.openxmlformats.org/officeDocument/2006/relationships/hyperlink" Target="https://en.wikipedia.org/wiki/%C3%85land" TargetMode="External"/><Relationship Id="rId660" Type="http://schemas.openxmlformats.org/officeDocument/2006/relationships/hyperlink" Target="https://en.wikipedia.org/wiki/Tallinn" TargetMode="External"/><Relationship Id="rId422" Type="http://schemas.openxmlformats.org/officeDocument/2006/relationships/hyperlink" Target="https://en.wikipedia.org/wiki/Nelson_Region" TargetMode="External"/><Relationship Id="rId664" Type="http://schemas.openxmlformats.org/officeDocument/2006/relationships/hyperlink" Target="https://en.wikipedia.org/wiki/York" TargetMode="External"/><Relationship Id="rId421" Type="http://schemas.openxmlformats.org/officeDocument/2006/relationships/hyperlink" Target="https://en.wikipedia.org/wiki/Mobile,_Alabama" TargetMode="External"/><Relationship Id="rId663" Type="http://schemas.openxmlformats.org/officeDocument/2006/relationships/hyperlink" Target="https://en.wikipedia.org/wiki/Yellowknife" TargetMode="External"/><Relationship Id="rId420" Type="http://schemas.openxmlformats.org/officeDocument/2006/relationships/hyperlink" Target="https://en.wikipedia.org/wiki/Michigan" TargetMode="External"/><Relationship Id="rId662" Type="http://schemas.openxmlformats.org/officeDocument/2006/relationships/hyperlink" Target="https://en.wikipedia.org/wiki/Winnipeg" TargetMode="External"/><Relationship Id="rId661" Type="http://schemas.openxmlformats.org/officeDocument/2006/relationships/hyperlink" Target="https://en.wikipedia.org/wiki/Vermont" TargetMode="External"/><Relationship Id="rId415" Type="http://schemas.openxmlformats.org/officeDocument/2006/relationships/hyperlink" Target="https://en.wikipedia.org/wiki/Madrid" TargetMode="External"/><Relationship Id="rId657" Type="http://schemas.openxmlformats.org/officeDocument/2006/relationships/hyperlink" Target="https://en.wikipedia.org/wiki/Solomon_Islands" TargetMode="External"/><Relationship Id="rId899" Type="http://schemas.openxmlformats.org/officeDocument/2006/relationships/drawing" Target="../drawings/drawing1.xml"/><Relationship Id="rId414" Type="http://schemas.openxmlformats.org/officeDocument/2006/relationships/hyperlink" Target="https://en.wikipedia.org/wiki/Madison,_Wisconsin" TargetMode="External"/><Relationship Id="rId656" Type="http://schemas.openxmlformats.org/officeDocument/2006/relationships/hyperlink" Target="https://en.wikipedia.org/wiki/Saigon" TargetMode="External"/><Relationship Id="rId898" Type="http://schemas.openxmlformats.org/officeDocument/2006/relationships/hyperlink" Target="https://en.wikipedia.org/wiki/Wolverhampton" TargetMode="External"/><Relationship Id="rId413" Type="http://schemas.openxmlformats.org/officeDocument/2006/relationships/hyperlink" Target="https://en.wikipedia.org/wiki/Louisville,_Kentucky" TargetMode="External"/><Relationship Id="rId655" Type="http://schemas.openxmlformats.org/officeDocument/2006/relationships/hyperlink" Target="https://en.wikipedia.org/wiki/Rotterdam" TargetMode="External"/><Relationship Id="rId897" Type="http://schemas.openxmlformats.org/officeDocument/2006/relationships/hyperlink" Target="https://en.wikipedia.org/wiki/Venice" TargetMode="External"/><Relationship Id="rId412" Type="http://schemas.openxmlformats.org/officeDocument/2006/relationships/hyperlink" Target="https://en.wikipedia.org/wiki/Louisiana" TargetMode="External"/><Relationship Id="rId654" Type="http://schemas.openxmlformats.org/officeDocument/2006/relationships/hyperlink" Target="https://en.wikipedia.org/wiki/Rhode_Island" TargetMode="External"/><Relationship Id="rId896" Type="http://schemas.openxmlformats.org/officeDocument/2006/relationships/hyperlink" Target="https://en.wikipedia.org/wiki/Tripoli,_Libya" TargetMode="External"/><Relationship Id="rId419" Type="http://schemas.openxmlformats.org/officeDocument/2006/relationships/hyperlink" Target="https://en.wikipedia.org/wiki/Memphis,_Tennessee" TargetMode="External"/><Relationship Id="rId418" Type="http://schemas.openxmlformats.org/officeDocument/2006/relationships/hyperlink" Target="https://en.wikipedia.org/wiki/Melbourne" TargetMode="External"/><Relationship Id="rId417" Type="http://schemas.openxmlformats.org/officeDocument/2006/relationships/hyperlink" Target="https://en.wikipedia.org/wiki/McKinney,_Texas" TargetMode="External"/><Relationship Id="rId659" Type="http://schemas.openxmlformats.org/officeDocument/2006/relationships/hyperlink" Target="https://en.wikipedia.org/wiki/Stuttgart" TargetMode="External"/><Relationship Id="rId416" Type="http://schemas.openxmlformats.org/officeDocument/2006/relationships/hyperlink" Target="https://en.wikipedia.org/wiki/Maharashtra" TargetMode="External"/><Relationship Id="rId658" Type="http://schemas.openxmlformats.org/officeDocument/2006/relationships/hyperlink" Target="https://en.wikipedia.org/wiki/Stockholm" TargetMode="External"/><Relationship Id="rId891" Type="http://schemas.openxmlformats.org/officeDocument/2006/relationships/hyperlink" Target="https://en.wikipedia.org/wiki/Naples" TargetMode="External"/><Relationship Id="rId890" Type="http://schemas.openxmlformats.org/officeDocument/2006/relationships/hyperlink" Target="https://en.wikipedia.org/wiki/Minneapolis" TargetMode="External"/><Relationship Id="rId411" Type="http://schemas.openxmlformats.org/officeDocument/2006/relationships/hyperlink" Target="https://en.wikipedia.org/wiki/Liverpool" TargetMode="External"/><Relationship Id="rId653" Type="http://schemas.openxmlformats.org/officeDocument/2006/relationships/hyperlink" Target="https://en.wikipedia.org/wiki/Rhineland" TargetMode="External"/><Relationship Id="rId895" Type="http://schemas.openxmlformats.org/officeDocument/2006/relationships/hyperlink" Target="https://en.wikipedia.org/wiki/Shropshire" TargetMode="External"/><Relationship Id="rId410" Type="http://schemas.openxmlformats.org/officeDocument/2006/relationships/hyperlink" Target="https://en.wikipedia.org/wiki/Lexington,_Kentucky" TargetMode="External"/><Relationship Id="rId652" Type="http://schemas.openxmlformats.org/officeDocument/2006/relationships/hyperlink" Target="https://en.wikipedia.org/wiki/Queensland" TargetMode="External"/><Relationship Id="rId894" Type="http://schemas.openxmlformats.org/officeDocument/2006/relationships/hyperlink" Target="https://en.wikipedia.org/wiki/Oswestry" TargetMode="External"/><Relationship Id="rId651" Type="http://schemas.openxmlformats.org/officeDocument/2006/relationships/hyperlink" Target="https://en.wikipedia.org/wiki/Quebec" TargetMode="External"/><Relationship Id="rId893" Type="http://schemas.openxmlformats.org/officeDocument/2006/relationships/hyperlink" Target="https://en.wikipedia.org/wiki/Orkney_Islands" TargetMode="External"/><Relationship Id="rId650" Type="http://schemas.openxmlformats.org/officeDocument/2006/relationships/hyperlink" Target="https://en.wikipedia.org/wiki/Puntland" TargetMode="External"/><Relationship Id="rId892" Type="http://schemas.openxmlformats.org/officeDocument/2006/relationships/hyperlink" Target="https://en.wikipedia.org/wiki/Newcastle_upon_Tyne" TargetMode="External"/><Relationship Id="rId206" Type="http://schemas.openxmlformats.org/officeDocument/2006/relationships/hyperlink" Target="https://en.wikipedia.org/wiki/Sardinia" TargetMode="External"/><Relationship Id="rId448" Type="http://schemas.openxmlformats.org/officeDocument/2006/relationships/hyperlink" Target="https://en.wikipedia.org/wiki/Savannah,_Georgia" TargetMode="External"/><Relationship Id="rId205" Type="http://schemas.openxmlformats.org/officeDocument/2006/relationships/hyperlink" Target="https://en.wikipedia.org/wiki/Sabah" TargetMode="External"/><Relationship Id="rId447" Type="http://schemas.openxmlformats.org/officeDocument/2006/relationships/hyperlink" Target="https://en.wikipedia.org/wiki/Saskatoon,_Saskatchewan" TargetMode="External"/><Relationship Id="rId689" Type="http://schemas.openxmlformats.org/officeDocument/2006/relationships/hyperlink" Target="https://en.wikipedia.org/wiki/Wales" TargetMode="External"/><Relationship Id="rId204" Type="http://schemas.openxmlformats.org/officeDocument/2006/relationships/hyperlink" Target="https://en.wikipedia.org/wiki/Samogitia" TargetMode="External"/><Relationship Id="rId446" Type="http://schemas.openxmlformats.org/officeDocument/2006/relationships/hyperlink" Target="https://en.wikipedia.org/wiki/Saskatchewan" TargetMode="External"/><Relationship Id="rId688" Type="http://schemas.openxmlformats.org/officeDocument/2006/relationships/hyperlink" Target="https://en.wikipedia.org/wiki/Turkey" TargetMode="External"/><Relationship Id="rId203" Type="http://schemas.openxmlformats.org/officeDocument/2006/relationships/hyperlink" Target="https://en.wikipedia.org/wiki/Pomerania" TargetMode="External"/><Relationship Id="rId445" Type="http://schemas.openxmlformats.org/officeDocument/2006/relationships/hyperlink" Target="https://en.wikipedia.org/wiki/Sarawak" TargetMode="External"/><Relationship Id="rId687" Type="http://schemas.openxmlformats.org/officeDocument/2006/relationships/hyperlink" Target="https://en.wikipedia.org/wiki/Sweden" TargetMode="External"/><Relationship Id="rId209" Type="http://schemas.openxmlformats.org/officeDocument/2006/relationships/hyperlink" Target="https://en.wikipedia.org/wiki/Slavonia" TargetMode="External"/><Relationship Id="rId208" Type="http://schemas.openxmlformats.org/officeDocument/2006/relationships/hyperlink" Target="https://en.wikipedia.org/wiki/Silesia" TargetMode="External"/><Relationship Id="rId207" Type="http://schemas.openxmlformats.org/officeDocument/2006/relationships/hyperlink" Target="https://en.wikipedia.org/wiki/Saskatchewan" TargetMode="External"/><Relationship Id="rId449" Type="http://schemas.openxmlformats.org/officeDocument/2006/relationships/hyperlink" Target="https://en.wikipedia.org/wiki/Shrewsbury" TargetMode="External"/><Relationship Id="rId440" Type="http://schemas.openxmlformats.org/officeDocument/2006/relationships/hyperlink" Target="https://en.wikipedia.org/wiki/Rochdale" TargetMode="External"/><Relationship Id="rId682" Type="http://schemas.openxmlformats.org/officeDocument/2006/relationships/hyperlink" Target="https://en.wikipedia.org/wiki/Niger" TargetMode="External"/><Relationship Id="rId681" Type="http://schemas.openxmlformats.org/officeDocument/2006/relationships/hyperlink" Target="https://en.wikipedia.org/wiki/Luxembourg" TargetMode="External"/><Relationship Id="rId680" Type="http://schemas.openxmlformats.org/officeDocument/2006/relationships/hyperlink" Target="https://en.wikipedia.org/wiki/Lombok" TargetMode="External"/><Relationship Id="rId202" Type="http://schemas.openxmlformats.org/officeDocument/2006/relationships/hyperlink" Target="https://en.wikipedia.org/wiki/Pennsylvania" TargetMode="External"/><Relationship Id="rId444" Type="http://schemas.openxmlformats.org/officeDocument/2006/relationships/hyperlink" Target="https://en.wikipedia.org/wiki/Saint_Petersburg" TargetMode="External"/><Relationship Id="rId686" Type="http://schemas.openxmlformats.org/officeDocument/2006/relationships/hyperlink" Target="https://en.wikipedia.org/wiki/Spain" TargetMode="External"/><Relationship Id="rId201" Type="http://schemas.openxmlformats.org/officeDocument/2006/relationships/hyperlink" Target="https://en.wikipedia.org/wiki/Patagonia" TargetMode="External"/><Relationship Id="rId443" Type="http://schemas.openxmlformats.org/officeDocument/2006/relationships/hyperlink" Target="https://en.wikipedia.org/wiki/Rockwall_County,_Texas" TargetMode="External"/><Relationship Id="rId685" Type="http://schemas.openxmlformats.org/officeDocument/2006/relationships/hyperlink" Target="https://en.wikipedia.org/wiki/Scotland" TargetMode="External"/><Relationship Id="rId200" Type="http://schemas.openxmlformats.org/officeDocument/2006/relationships/hyperlink" Target="https://en.wikipedia.org/wiki/Papua_(province)" TargetMode="External"/><Relationship Id="rId442" Type="http://schemas.openxmlformats.org/officeDocument/2006/relationships/hyperlink" Target="https://en.wikipedia.org/wiki/Rockwall,_Texas" TargetMode="External"/><Relationship Id="rId684" Type="http://schemas.openxmlformats.org/officeDocument/2006/relationships/hyperlink" Target="https://en.wikipedia.org/wiki/Poland" TargetMode="External"/><Relationship Id="rId441" Type="http://schemas.openxmlformats.org/officeDocument/2006/relationships/hyperlink" Target="https://en.wikipedia.org/wiki/Rochester,_New_York" TargetMode="External"/><Relationship Id="rId683" Type="http://schemas.openxmlformats.org/officeDocument/2006/relationships/hyperlink" Target="https://en.wikipedia.org/wiki/Northern_Ireland" TargetMode="External"/><Relationship Id="rId437" Type="http://schemas.openxmlformats.org/officeDocument/2006/relationships/hyperlink" Target="https://en.wikipedia.org/wiki/Prince_George%27s_County,_Maryland" TargetMode="External"/><Relationship Id="rId679" Type="http://schemas.openxmlformats.org/officeDocument/2006/relationships/hyperlink" Target="https://en.wikipedia.org/wiki/Kurdistan" TargetMode="External"/><Relationship Id="rId436" Type="http://schemas.openxmlformats.org/officeDocument/2006/relationships/hyperlink" Target="https://en.wikipedia.org/wiki/Preston,_Lancashire" TargetMode="External"/><Relationship Id="rId678" Type="http://schemas.openxmlformats.org/officeDocument/2006/relationships/hyperlink" Target="https://en.wikipedia.org/wiki/Kent" TargetMode="External"/><Relationship Id="rId435" Type="http://schemas.openxmlformats.org/officeDocument/2006/relationships/hyperlink" Target="https://en.wikipedia.org/wiki/Podgorica" TargetMode="External"/><Relationship Id="rId677" Type="http://schemas.openxmlformats.org/officeDocument/2006/relationships/hyperlink" Target="https://en.wikipedia.org/wiki/Republic_of_Ireland" TargetMode="External"/><Relationship Id="rId434" Type="http://schemas.openxmlformats.org/officeDocument/2006/relationships/hyperlink" Target="https://en.wikipedia.org/wiki/Port_Harcourt" TargetMode="External"/><Relationship Id="rId676" Type="http://schemas.openxmlformats.org/officeDocument/2006/relationships/hyperlink" Target="https://en.wikipedia.org/wiki/Flanders" TargetMode="External"/><Relationship Id="rId439" Type="http://schemas.openxmlformats.org/officeDocument/2006/relationships/hyperlink" Target="https://en.wikipedia.org/wiki/Rivers_State" TargetMode="External"/><Relationship Id="rId438" Type="http://schemas.openxmlformats.org/officeDocument/2006/relationships/hyperlink" Target="https://en.wikipedia.org/wiki/Quezon" TargetMode="External"/><Relationship Id="rId671" Type="http://schemas.openxmlformats.org/officeDocument/2006/relationships/hyperlink" Target="https://en.wikipedia.org/wiki/Britain_(disambiguation)" TargetMode="External"/><Relationship Id="rId670" Type="http://schemas.openxmlformats.org/officeDocument/2006/relationships/hyperlink" Target="https://en.wikipedia.org/wiki/Bangka_Island_(North_Sulawesi)" TargetMode="External"/><Relationship Id="rId433" Type="http://schemas.openxmlformats.org/officeDocument/2006/relationships/hyperlink" Target="https://en.wikipedia.org/wiki/Plymouth" TargetMode="External"/><Relationship Id="rId675" Type="http://schemas.openxmlformats.org/officeDocument/2006/relationships/hyperlink" Target="https://en.wikipedia.org/wiki/Finland" TargetMode="External"/><Relationship Id="rId432" Type="http://schemas.openxmlformats.org/officeDocument/2006/relationships/hyperlink" Target="https://en.wikipedia.org/wiki/Phoenix,_Arizona" TargetMode="External"/><Relationship Id="rId674" Type="http://schemas.openxmlformats.org/officeDocument/2006/relationships/hyperlink" Target="https://en.wikipedia.org/wiki/England" TargetMode="External"/><Relationship Id="rId431" Type="http://schemas.openxmlformats.org/officeDocument/2006/relationships/hyperlink" Target="https://en.wikipedia.org/wiki/Peterborough" TargetMode="External"/><Relationship Id="rId673" Type="http://schemas.openxmlformats.org/officeDocument/2006/relationships/hyperlink" Target="https://en.wikipedia.org/wiki/Denmark" TargetMode="External"/><Relationship Id="rId430" Type="http://schemas.openxmlformats.org/officeDocument/2006/relationships/hyperlink" Target="https://en.wikipedia.org/wiki/Perak" TargetMode="External"/><Relationship Id="rId672" Type="http://schemas.openxmlformats.org/officeDocument/2006/relationships/hyperlink" Target="https://en.wikipedia.org/wiki/Cornwall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3.5"/>
  </cols>
  <sheetData>
    <row r="1">
      <c r="A1" s="1" t="s">
        <v>0</v>
      </c>
    </row>
    <row r="2">
      <c r="A2" s="2"/>
    </row>
    <row r="3">
      <c r="A3" s="3" t="s">
        <v>1</v>
      </c>
    </row>
    <row r="4">
      <c r="A4" s="3" t="s">
        <v>2</v>
      </c>
    </row>
    <row r="5">
      <c r="A5" s="3" t="s">
        <v>3</v>
      </c>
    </row>
    <row r="6">
      <c r="A6" s="3" t="s">
        <v>4</v>
      </c>
    </row>
    <row r="7">
      <c r="A7" s="3" t="s">
        <v>5</v>
      </c>
    </row>
    <row r="8">
      <c r="A8" s="3" t="s">
        <v>6</v>
      </c>
    </row>
    <row r="9">
      <c r="A9" s="3" t="s">
        <v>7</v>
      </c>
    </row>
    <row r="10">
      <c r="A10" s="3" t="s">
        <v>8</v>
      </c>
    </row>
    <row r="11">
      <c r="A11" s="3" t="s">
        <v>9</v>
      </c>
    </row>
    <row r="12">
      <c r="A12" s="3" t="s">
        <v>10</v>
      </c>
    </row>
    <row r="13">
      <c r="A13" s="3" t="s">
        <v>11</v>
      </c>
    </row>
    <row r="14">
      <c r="A14" s="4"/>
    </row>
    <row r="15">
      <c r="A15" s="5" t="s">
        <v>12</v>
      </c>
    </row>
    <row r="16">
      <c r="A16" s="4"/>
    </row>
    <row r="17">
      <c r="A17" s="3" t="s">
        <v>13</v>
      </c>
    </row>
    <row r="18">
      <c r="A18" s="3" t="s">
        <v>14</v>
      </c>
    </row>
    <row r="19">
      <c r="A19" s="3" t="s">
        <v>15</v>
      </c>
    </row>
    <row r="20">
      <c r="A20" s="3" t="s">
        <v>16</v>
      </c>
    </row>
    <row r="21">
      <c r="A21" s="3" t="s">
        <v>17</v>
      </c>
    </row>
    <row r="22">
      <c r="A22" s="3" t="s">
        <v>18</v>
      </c>
    </row>
    <row r="23">
      <c r="A23" s="3" t="s">
        <v>19</v>
      </c>
    </row>
    <row r="24">
      <c r="A24" s="3" t="s">
        <v>20</v>
      </c>
    </row>
    <row r="25">
      <c r="A25" s="3" t="s">
        <v>4</v>
      </c>
    </row>
    <row r="26">
      <c r="A26" s="3" t="s">
        <v>21</v>
      </c>
    </row>
    <row r="27">
      <c r="A27" s="3" t="s">
        <v>22</v>
      </c>
    </row>
    <row r="28">
      <c r="A28" s="3" t="s">
        <v>23</v>
      </c>
    </row>
    <row r="29">
      <c r="A29" s="3" t="s">
        <v>24</v>
      </c>
    </row>
    <row r="30">
      <c r="A30" s="3" t="s">
        <v>25</v>
      </c>
    </row>
    <row r="31">
      <c r="A31" s="6" t="s">
        <v>26</v>
      </c>
    </row>
    <row r="32">
      <c r="A32" s="6" t="s">
        <v>27</v>
      </c>
    </row>
    <row r="33">
      <c r="A33" s="6" t="s">
        <v>28</v>
      </c>
    </row>
    <row r="34">
      <c r="A34" s="6" t="s">
        <v>29</v>
      </c>
    </row>
    <row r="35">
      <c r="A35" s="6" t="s">
        <v>30</v>
      </c>
    </row>
    <row r="36">
      <c r="A36" s="6" t="s">
        <v>31</v>
      </c>
    </row>
    <row r="37">
      <c r="A37" s="6" t="s">
        <v>32</v>
      </c>
    </row>
    <row r="38">
      <c r="A38" s="6" t="s">
        <v>33</v>
      </c>
    </row>
    <row r="39">
      <c r="A39" s="6" t="s">
        <v>34</v>
      </c>
    </row>
    <row r="40">
      <c r="A40" s="6" t="s">
        <v>35</v>
      </c>
    </row>
    <row r="41">
      <c r="A41" s="6" t="s">
        <v>36</v>
      </c>
    </row>
    <row r="42">
      <c r="A42" s="6" t="s">
        <v>37</v>
      </c>
    </row>
    <row r="43">
      <c r="A43" s="6" t="s">
        <v>38</v>
      </c>
    </row>
    <row r="44">
      <c r="A44" s="6" t="s">
        <v>39</v>
      </c>
    </row>
    <row r="45">
      <c r="A45" s="6" t="s">
        <v>40</v>
      </c>
    </row>
    <row r="46">
      <c r="A46" s="6" t="s">
        <v>41</v>
      </c>
    </row>
    <row r="47">
      <c r="A47" s="6" t="s">
        <v>42</v>
      </c>
    </row>
    <row r="48">
      <c r="A48" s="6" t="s">
        <v>43</v>
      </c>
    </row>
    <row r="49">
      <c r="A49" s="6" t="s">
        <v>44</v>
      </c>
    </row>
    <row r="50">
      <c r="A50" s="6" t="s">
        <v>45</v>
      </c>
    </row>
    <row r="51">
      <c r="A51" s="6" t="s">
        <v>46</v>
      </c>
    </row>
    <row r="52">
      <c r="A52" s="6" t="s">
        <v>47</v>
      </c>
    </row>
    <row r="53">
      <c r="A53" s="6" t="s">
        <v>48</v>
      </c>
    </row>
    <row r="54">
      <c r="A54" s="6" t="s">
        <v>49</v>
      </c>
    </row>
    <row r="55">
      <c r="A55" s="6" t="s">
        <v>50</v>
      </c>
    </row>
    <row r="56">
      <c r="A56" s="6" t="s">
        <v>51</v>
      </c>
    </row>
    <row r="57">
      <c r="A57" s="6" t="s">
        <v>52</v>
      </c>
    </row>
    <row r="58">
      <c r="A58" s="6" t="s">
        <v>53</v>
      </c>
    </row>
    <row r="59">
      <c r="A59" s="6" t="s">
        <v>54</v>
      </c>
    </row>
    <row r="60">
      <c r="A60" s="6" t="s">
        <v>55</v>
      </c>
    </row>
    <row r="61">
      <c r="A61" s="6" t="s">
        <v>56</v>
      </c>
    </row>
    <row r="62">
      <c r="A62" s="6" t="s">
        <v>57</v>
      </c>
    </row>
    <row r="63">
      <c r="A63" s="6" t="s">
        <v>58</v>
      </c>
    </row>
    <row r="64">
      <c r="A64" s="6" t="s">
        <v>59</v>
      </c>
    </row>
    <row r="65">
      <c r="A65" s="6" t="s">
        <v>60</v>
      </c>
    </row>
    <row r="66">
      <c r="A66" s="6" t="s">
        <v>61</v>
      </c>
    </row>
    <row r="67">
      <c r="A67" s="6" t="s">
        <v>62</v>
      </c>
    </row>
    <row r="68">
      <c r="A68" s="6" t="s">
        <v>63</v>
      </c>
    </row>
    <row r="69">
      <c r="A69" s="6" t="s">
        <v>64</v>
      </c>
    </row>
    <row r="70">
      <c r="A70" s="6" t="s">
        <v>65</v>
      </c>
    </row>
    <row r="71">
      <c r="A71" s="6" t="s">
        <v>66</v>
      </c>
    </row>
    <row r="72">
      <c r="A72" s="6" t="s">
        <v>67</v>
      </c>
    </row>
    <row r="73">
      <c r="A73" s="6" t="s">
        <v>68</v>
      </c>
    </row>
    <row r="74">
      <c r="A74" s="6" t="s">
        <v>69</v>
      </c>
    </row>
    <row r="75">
      <c r="A75" s="6" t="s">
        <v>70</v>
      </c>
    </row>
    <row r="76">
      <c r="A76" s="6" t="s">
        <v>71</v>
      </c>
    </row>
    <row r="77">
      <c r="A77" s="6" t="s">
        <v>72</v>
      </c>
    </row>
    <row r="78">
      <c r="A78" s="6" t="s">
        <v>73</v>
      </c>
    </row>
    <row r="79">
      <c r="A79" s="6" t="s">
        <v>74</v>
      </c>
    </row>
    <row r="80">
      <c r="A80" s="6" t="s">
        <v>75</v>
      </c>
    </row>
    <row r="81">
      <c r="A81" s="6" t="s">
        <v>76</v>
      </c>
    </row>
    <row r="82">
      <c r="A82" s="6" t="s">
        <v>77</v>
      </c>
    </row>
    <row r="83">
      <c r="A83" s="6" t="s">
        <v>78</v>
      </c>
    </row>
    <row r="84">
      <c r="A84" s="6" t="s">
        <v>79</v>
      </c>
    </row>
    <row r="85">
      <c r="A85" s="6" t="s">
        <v>80</v>
      </c>
    </row>
    <row r="86">
      <c r="A86" s="6" t="s">
        <v>81</v>
      </c>
    </row>
    <row r="87">
      <c r="A87" s="6" t="s">
        <v>82</v>
      </c>
    </row>
    <row r="88">
      <c r="A88" s="6" t="s">
        <v>83</v>
      </c>
    </row>
    <row r="89">
      <c r="A89" s="6" t="s">
        <v>84</v>
      </c>
    </row>
    <row r="90">
      <c r="A90" s="6" t="s">
        <v>85</v>
      </c>
    </row>
    <row r="91">
      <c r="A91" s="6" t="s">
        <v>86</v>
      </c>
    </row>
    <row r="92">
      <c r="A92" s="6" t="s">
        <v>87</v>
      </c>
    </row>
    <row r="93">
      <c r="A93" s="6" t="s">
        <v>88</v>
      </c>
    </row>
    <row r="94">
      <c r="A94" s="6" t="s">
        <v>89</v>
      </c>
    </row>
    <row r="95">
      <c r="A95" s="6" t="s">
        <v>90</v>
      </c>
    </row>
    <row r="96">
      <c r="A96" s="6" t="s">
        <v>91</v>
      </c>
    </row>
    <row r="97">
      <c r="A97" s="6" t="s">
        <v>92</v>
      </c>
    </row>
    <row r="98">
      <c r="A98" s="6" t="s">
        <v>93</v>
      </c>
    </row>
    <row r="99">
      <c r="A99" s="6" t="s">
        <v>94</v>
      </c>
    </row>
    <row r="100">
      <c r="A100" s="6" t="s">
        <v>95</v>
      </c>
    </row>
    <row r="101">
      <c r="A101" s="6" t="s">
        <v>96</v>
      </c>
    </row>
    <row r="102">
      <c r="A102" s="6" t="s">
        <v>97</v>
      </c>
    </row>
    <row r="103">
      <c r="A103" s="6" t="s">
        <v>98</v>
      </c>
    </row>
    <row r="104">
      <c r="A104" s="6" t="s">
        <v>99</v>
      </c>
    </row>
    <row r="105">
      <c r="A105" s="6" t="s">
        <v>100</v>
      </c>
    </row>
    <row r="106">
      <c r="A106" s="6" t="s">
        <v>101</v>
      </c>
    </row>
    <row r="107">
      <c r="A107" s="6" t="s">
        <v>102</v>
      </c>
    </row>
    <row r="108">
      <c r="A108" s="6" t="s">
        <v>103</v>
      </c>
    </row>
    <row r="109">
      <c r="A109" s="6" t="s">
        <v>104</v>
      </c>
    </row>
    <row r="110">
      <c r="A110" s="6" t="s">
        <v>105</v>
      </c>
    </row>
    <row r="111">
      <c r="A111" s="6" t="s">
        <v>106</v>
      </c>
    </row>
    <row r="112">
      <c r="A112" s="6" t="s">
        <v>107</v>
      </c>
    </row>
    <row r="113">
      <c r="A113" s="6" t="s">
        <v>108</v>
      </c>
    </row>
    <row r="114">
      <c r="A114" s="6" t="s">
        <v>109</v>
      </c>
    </row>
    <row r="115">
      <c r="A115" s="6" t="s">
        <v>110</v>
      </c>
    </row>
    <row r="116">
      <c r="A116" s="6" t="s">
        <v>111</v>
      </c>
    </row>
    <row r="117">
      <c r="A117" s="6" t="s">
        <v>112</v>
      </c>
    </row>
    <row r="118">
      <c r="A118" s="6" t="s">
        <v>113</v>
      </c>
    </row>
    <row r="119">
      <c r="A119" s="6" t="s">
        <v>114</v>
      </c>
    </row>
    <row r="120">
      <c r="A120" s="6" t="s">
        <v>115</v>
      </c>
    </row>
    <row r="121">
      <c r="A121" s="6" t="s">
        <v>116</v>
      </c>
    </row>
    <row r="122">
      <c r="A122" s="6" t="s">
        <v>117</v>
      </c>
    </row>
    <row r="123">
      <c r="A123" s="6" t="s">
        <v>118</v>
      </c>
    </row>
    <row r="124">
      <c r="A124" s="4"/>
    </row>
    <row r="125">
      <c r="A125" s="5" t="s">
        <v>119</v>
      </c>
    </row>
    <row r="126">
      <c r="A126" s="4"/>
    </row>
    <row r="127">
      <c r="A127" s="6" t="s">
        <v>120</v>
      </c>
    </row>
    <row r="128">
      <c r="A128" s="6" t="s">
        <v>121</v>
      </c>
    </row>
    <row r="129">
      <c r="A129" s="6" t="s">
        <v>122</v>
      </c>
    </row>
    <row r="130">
      <c r="A130" s="6" t="s">
        <v>123</v>
      </c>
    </row>
    <row r="131">
      <c r="A131" s="6" t="s">
        <v>124</v>
      </c>
    </row>
    <row r="132">
      <c r="A132" s="6" t="s">
        <v>125</v>
      </c>
    </row>
    <row r="133">
      <c r="A133" s="6" t="s">
        <v>126</v>
      </c>
    </row>
    <row r="134">
      <c r="A134" s="6" t="s">
        <v>127</v>
      </c>
    </row>
    <row r="135">
      <c r="A135" s="6" t="s">
        <v>128</v>
      </c>
    </row>
    <row r="136">
      <c r="A136" s="6" t="s">
        <v>129</v>
      </c>
    </row>
    <row r="137">
      <c r="A137" s="6" t="s">
        <v>130</v>
      </c>
    </row>
    <row r="138">
      <c r="A138" s="6" t="s">
        <v>131</v>
      </c>
    </row>
    <row r="139">
      <c r="A139" s="6" t="s">
        <v>132</v>
      </c>
    </row>
    <row r="140">
      <c r="A140" s="6" t="s">
        <v>133</v>
      </c>
    </row>
    <row r="141">
      <c r="A141" s="6" t="s">
        <v>134</v>
      </c>
    </row>
    <row r="142">
      <c r="A142" s="6" t="s">
        <v>135</v>
      </c>
    </row>
    <row r="143">
      <c r="A143" s="6" t="s">
        <v>136</v>
      </c>
    </row>
    <row r="144">
      <c r="A144" s="6" t="s">
        <v>137</v>
      </c>
    </row>
    <row r="145">
      <c r="A145" s="6" t="s">
        <v>138</v>
      </c>
    </row>
    <row r="146">
      <c r="A146" s="6" t="s">
        <v>139</v>
      </c>
    </row>
    <row r="147">
      <c r="A147" s="6" t="s">
        <v>140</v>
      </c>
    </row>
    <row r="148">
      <c r="A148" s="6" t="s">
        <v>141</v>
      </c>
    </row>
    <row r="149">
      <c r="A149" s="6" t="s">
        <v>142</v>
      </c>
    </row>
    <row r="150">
      <c r="A150" s="6" t="s">
        <v>143</v>
      </c>
    </row>
    <row r="151">
      <c r="A151" s="6" t="s">
        <v>144</v>
      </c>
    </row>
    <row r="152">
      <c r="A152" s="6" t="s">
        <v>145</v>
      </c>
    </row>
    <row r="153">
      <c r="A153" s="6" t="s">
        <v>146</v>
      </c>
    </row>
    <row r="154">
      <c r="A154" s="6" t="s">
        <v>147</v>
      </c>
    </row>
    <row r="155">
      <c r="A155" s="6" t="s">
        <v>148</v>
      </c>
    </row>
    <row r="156">
      <c r="A156" s="6" t="s">
        <v>149</v>
      </c>
    </row>
    <row r="157">
      <c r="A157" s="6" t="s">
        <v>150</v>
      </c>
    </row>
    <row r="158">
      <c r="A158" s="6" t="s">
        <v>151</v>
      </c>
    </row>
    <row r="159">
      <c r="A159" s="6" t="s">
        <v>46</v>
      </c>
    </row>
    <row r="160">
      <c r="A160" s="7" t="s">
        <v>152</v>
      </c>
    </row>
    <row r="161">
      <c r="A161" s="7" t="s">
        <v>153</v>
      </c>
    </row>
    <row r="162">
      <c r="A162" s="7" t="s">
        <v>154</v>
      </c>
    </row>
    <row r="163">
      <c r="A163" s="7" t="s">
        <v>155</v>
      </c>
    </row>
    <row r="164">
      <c r="A164" s="7" t="s">
        <v>156</v>
      </c>
    </row>
    <row r="165">
      <c r="A165" s="7" t="s">
        <v>157</v>
      </c>
    </row>
    <row r="166">
      <c r="A166" s="7" t="s">
        <v>158</v>
      </c>
    </row>
    <row r="167">
      <c r="A167" s="8" t="s">
        <v>159</v>
      </c>
    </row>
    <row r="168">
      <c r="A168" s="8" t="s">
        <v>160</v>
      </c>
    </row>
    <row r="169">
      <c r="A169" s="8" t="s">
        <v>161</v>
      </c>
    </row>
    <row r="170">
      <c r="A170" s="8" t="s">
        <v>162</v>
      </c>
    </row>
    <row r="171">
      <c r="A171" s="8" t="s">
        <v>163</v>
      </c>
    </row>
    <row r="172">
      <c r="A172" s="8" t="s">
        <v>164</v>
      </c>
    </row>
    <row r="173">
      <c r="A173" s="8" t="s">
        <v>165</v>
      </c>
    </row>
    <row r="174">
      <c r="A174" s="8" t="s">
        <v>166</v>
      </c>
    </row>
    <row r="175">
      <c r="A175" s="8" t="s">
        <v>167</v>
      </c>
    </row>
    <row r="176">
      <c r="A176" s="8" t="s">
        <v>168</v>
      </c>
    </row>
    <row r="177">
      <c r="A177" s="8" t="s">
        <v>169</v>
      </c>
    </row>
    <row r="178">
      <c r="A178" s="8" t="s">
        <v>170</v>
      </c>
    </row>
    <row r="179">
      <c r="A179" s="8" t="s">
        <v>171</v>
      </c>
    </row>
    <row r="180">
      <c r="A180" s="8" t="s">
        <v>172</v>
      </c>
    </row>
    <row r="181">
      <c r="A181" s="8" t="s">
        <v>173</v>
      </c>
    </row>
    <row r="182">
      <c r="A182" s="8" t="s">
        <v>174</v>
      </c>
    </row>
    <row r="183">
      <c r="A183" s="8" t="s">
        <v>175</v>
      </c>
    </row>
    <row r="184">
      <c r="A184" s="8" t="s">
        <v>176</v>
      </c>
    </row>
    <row r="185">
      <c r="A185" s="8" t="s">
        <v>177</v>
      </c>
    </row>
    <row r="186">
      <c r="A186" s="8" t="s">
        <v>178</v>
      </c>
    </row>
    <row r="187">
      <c r="A187" s="8" t="s">
        <v>179</v>
      </c>
    </row>
    <row r="188">
      <c r="A188" s="8" t="s">
        <v>180</v>
      </c>
    </row>
    <row r="189">
      <c r="A189" s="8" t="s">
        <v>181</v>
      </c>
    </row>
    <row r="190">
      <c r="A190" s="8" t="s">
        <v>182</v>
      </c>
    </row>
    <row r="191">
      <c r="A191" s="8" t="s">
        <v>183</v>
      </c>
    </row>
    <row r="192">
      <c r="A192" s="8" t="s">
        <v>184</v>
      </c>
    </row>
    <row r="193">
      <c r="A193" s="8" t="s">
        <v>185</v>
      </c>
    </row>
    <row r="194">
      <c r="A194" s="8" t="s">
        <v>186</v>
      </c>
    </row>
    <row r="195">
      <c r="A195" s="8" t="s">
        <v>187</v>
      </c>
    </row>
    <row r="196">
      <c r="A196" s="8" t="s">
        <v>188</v>
      </c>
    </row>
    <row r="197">
      <c r="A197" s="8" t="s">
        <v>189</v>
      </c>
    </row>
    <row r="198">
      <c r="A198" s="8" t="s">
        <v>190</v>
      </c>
    </row>
    <row r="199">
      <c r="A199" s="8" t="s">
        <v>191</v>
      </c>
    </row>
    <row r="200">
      <c r="A200" s="8" t="s">
        <v>192</v>
      </c>
    </row>
    <row r="201">
      <c r="A201" s="8" t="s">
        <v>193</v>
      </c>
    </row>
    <row r="202">
      <c r="A202" s="8" t="s">
        <v>194</v>
      </c>
    </row>
    <row r="203">
      <c r="A203" s="8" t="s">
        <v>195</v>
      </c>
    </row>
    <row r="204">
      <c r="A204" s="8" t="s">
        <v>196</v>
      </c>
    </row>
    <row r="205">
      <c r="A205" s="8" t="s">
        <v>197</v>
      </c>
    </row>
    <row r="206">
      <c r="A206" s="8" t="s">
        <v>198</v>
      </c>
    </row>
    <row r="207">
      <c r="A207" s="8" t="s">
        <v>199</v>
      </c>
    </row>
    <row r="208">
      <c r="A208" s="8" t="s">
        <v>200</v>
      </c>
    </row>
    <row r="209">
      <c r="A209" s="8" t="s">
        <v>201</v>
      </c>
    </row>
    <row r="210">
      <c r="A210" s="8" t="s">
        <v>202</v>
      </c>
    </row>
    <row r="211">
      <c r="A211" s="8" t="s">
        <v>203</v>
      </c>
    </row>
    <row r="212">
      <c r="A212" s="8" t="s">
        <v>204</v>
      </c>
    </row>
    <row r="213">
      <c r="A213" s="8" t="s">
        <v>205</v>
      </c>
    </row>
    <row r="214">
      <c r="A214" s="8" t="s">
        <v>206</v>
      </c>
    </row>
    <row r="215">
      <c r="A215" s="8" t="s">
        <v>207</v>
      </c>
    </row>
    <row r="216">
      <c r="A216" s="8" t="s">
        <v>208</v>
      </c>
    </row>
    <row r="217">
      <c r="A217" s="8" t="s">
        <v>209</v>
      </c>
    </row>
    <row r="218">
      <c r="A218" s="8" t="s">
        <v>210</v>
      </c>
    </row>
    <row r="219">
      <c r="A219" s="8" t="s">
        <v>211</v>
      </c>
    </row>
    <row r="220">
      <c r="A220" s="8" t="s">
        <v>212</v>
      </c>
    </row>
    <row r="221">
      <c r="A221" s="8" t="s">
        <v>213</v>
      </c>
    </row>
    <row r="222">
      <c r="A222" s="8" t="s">
        <v>214</v>
      </c>
    </row>
    <row r="223">
      <c r="A223" s="8" t="s">
        <v>215</v>
      </c>
    </row>
    <row r="224">
      <c r="A224" s="8" t="s">
        <v>216</v>
      </c>
    </row>
    <row r="225">
      <c r="A225" s="8" t="s">
        <v>217</v>
      </c>
    </row>
    <row r="226">
      <c r="A226" s="8" t="s">
        <v>218</v>
      </c>
    </row>
    <row r="227">
      <c r="A227" s="8" t="s">
        <v>219</v>
      </c>
    </row>
    <row r="228">
      <c r="A228" s="8" t="s">
        <v>220</v>
      </c>
    </row>
    <row r="229">
      <c r="A229" s="8" t="s">
        <v>221</v>
      </c>
    </row>
    <row r="230">
      <c r="A230" s="8" t="s">
        <v>222</v>
      </c>
    </row>
    <row r="231">
      <c r="A231" s="8" t="s">
        <v>223</v>
      </c>
    </row>
    <row r="232">
      <c r="A232" s="8" t="s">
        <v>224</v>
      </c>
    </row>
    <row r="233">
      <c r="A233" s="8" t="s">
        <v>225</v>
      </c>
    </row>
    <row r="234">
      <c r="A234" s="8" t="s">
        <v>226</v>
      </c>
    </row>
    <row r="235">
      <c r="A235" s="8" t="s">
        <v>227</v>
      </c>
    </row>
    <row r="236">
      <c r="A236" s="8" t="s">
        <v>228</v>
      </c>
    </row>
    <row r="237">
      <c r="A237" s="8" t="s">
        <v>229</v>
      </c>
    </row>
    <row r="238">
      <c r="A238" s="8" t="s">
        <v>230</v>
      </c>
    </row>
    <row r="239">
      <c r="A239" s="8" t="s">
        <v>231</v>
      </c>
    </row>
    <row r="240">
      <c r="A240" s="8" t="s">
        <v>232</v>
      </c>
    </row>
    <row r="241">
      <c r="A241" s="8" t="s">
        <v>233</v>
      </c>
    </row>
    <row r="242">
      <c r="A242" s="8" t="s">
        <v>234</v>
      </c>
    </row>
    <row r="243">
      <c r="A243" s="8" t="s">
        <v>235</v>
      </c>
    </row>
    <row r="244">
      <c r="A244" s="8" t="s">
        <v>236</v>
      </c>
    </row>
    <row r="245">
      <c r="A245" s="4"/>
    </row>
    <row r="246">
      <c r="A246" s="5" t="s">
        <v>237</v>
      </c>
    </row>
    <row r="247">
      <c r="A247" s="4"/>
    </row>
    <row r="248">
      <c r="A248" s="3" t="s">
        <v>238</v>
      </c>
    </row>
    <row r="249">
      <c r="A249" s="3" t="s">
        <v>239</v>
      </c>
    </row>
    <row r="250">
      <c r="A250" s="3" t="s">
        <v>240</v>
      </c>
    </row>
    <row r="251">
      <c r="A251" s="6" t="s">
        <v>241</v>
      </c>
    </row>
    <row r="252">
      <c r="A252" s="6" t="s">
        <v>242</v>
      </c>
    </row>
    <row r="253">
      <c r="A253" s="6" t="s">
        <v>243</v>
      </c>
    </row>
    <row r="254">
      <c r="A254" s="6" t="s">
        <v>244</v>
      </c>
    </row>
    <row r="255">
      <c r="A255" s="6" t="s">
        <v>245</v>
      </c>
    </row>
    <row r="256">
      <c r="A256" s="6" t="s">
        <v>246</v>
      </c>
    </row>
    <row r="257">
      <c r="A257" s="6" t="s">
        <v>247</v>
      </c>
    </row>
    <row r="258">
      <c r="A258" s="6" t="s">
        <v>248</v>
      </c>
    </row>
    <row r="259">
      <c r="A259" s="6" t="s">
        <v>249</v>
      </c>
    </row>
    <row r="260">
      <c r="A260" s="6" t="s">
        <v>250</v>
      </c>
    </row>
    <row r="261">
      <c r="A261" s="6" t="s">
        <v>251</v>
      </c>
    </row>
    <row r="262">
      <c r="A262" s="6" t="s">
        <v>252</v>
      </c>
    </row>
    <row r="263">
      <c r="A263" s="6" t="s">
        <v>253</v>
      </c>
    </row>
    <row r="264">
      <c r="A264" s="6" t="s">
        <v>254</v>
      </c>
    </row>
    <row r="265">
      <c r="A265" s="6" t="s">
        <v>255</v>
      </c>
    </row>
    <row r="266">
      <c r="A266" s="7" t="s">
        <v>256</v>
      </c>
    </row>
    <row r="267">
      <c r="A267" s="7" t="s">
        <v>257</v>
      </c>
    </row>
    <row r="268">
      <c r="A268" s="7" t="s">
        <v>258</v>
      </c>
    </row>
    <row r="269">
      <c r="A269" s="7" t="s">
        <v>259</v>
      </c>
    </row>
    <row r="270">
      <c r="A270" s="7" t="s">
        <v>260</v>
      </c>
    </row>
    <row r="271">
      <c r="A271" s="7" t="s">
        <v>261</v>
      </c>
    </row>
    <row r="272">
      <c r="A272" s="7" t="s">
        <v>262</v>
      </c>
    </row>
    <row r="273">
      <c r="A273" s="7" t="s">
        <v>263</v>
      </c>
    </row>
    <row r="274">
      <c r="A274" s="7" t="s">
        <v>264</v>
      </c>
    </row>
    <row r="275">
      <c r="A275" s="7" t="s">
        <v>265</v>
      </c>
    </row>
    <row r="276">
      <c r="A276" s="7" t="s">
        <v>266</v>
      </c>
    </row>
    <row r="277">
      <c r="A277" s="7" t="s">
        <v>267</v>
      </c>
    </row>
    <row r="278">
      <c r="A278" s="7" t="s">
        <v>158</v>
      </c>
    </row>
    <row r="279">
      <c r="A279" s="7" t="s">
        <v>268</v>
      </c>
    </row>
    <row r="280">
      <c r="A280" s="7" t="s">
        <v>269</v>
      </c>
    </row>
    <row r="281">
      <c r="A281" s="7" t="s">
        <v>270</v>
      </c>
    </row>
    <row r="282">
      <c r="A282" s="7" t="s">
        <v>271</v>
      </c>
    </row>
    <row r="283">
      <c r="A283" s="7" t="s">
        <v>272</v>
      </c>
    </row>
    <row r="284">
      <c r="A284" s="7" t="s">
        <v>273</v>
      </c>
    </row>
    <row r="285">
      <c r="A285" s="7" t="s">
        <v>274</v>
      </c>
    </row>
    <row r="286">
      <c r="A286" s="8" t="s">
        <v>275</v>
      </c>
    </row>
    <row r="287">
      <c r="A287" s="8" t="s">
        <v>276</v>
      </c>
    </row>
    <row r="288">
      <c r="A288" s="8" t="s">
        <v>277</v>
      </c>
    </row>
    <row r="289">
      <c r="A289" s="8" t="s">
        <v>278</v>
      </c>
    </row>
    <row r="290">
      <c r="A290" s="8" t="s">
        <v>279</v>
      </c>
    </row>
    <row r="291">
      <c r="A291" s="8" t="s">
        <v>280</v>
      </c>
    </row>
    <row r="292">
      <c r="A292" s="8" t="s">
        <v>281</v>
      </c>
    </row>
    <row r="293">
      <c r="A293" s="8" t="s">
        <v>282</v>
      </c>
    </row>
    <row r="294">
      <c r="A294" s="8" t="s">
        <v>283</v>
      </c>
    </row>
    <row r="295">
      <c r="A295" s="8" t="s">
        <v>284</v>
      </c>
    </row>
    <row r="296">
      <c r="A296" s="8" t="s">
        <v>285</v>
      </c>
    </row>
    <row r="297">
      <c r="A297" s="8" t="s">
        <v>286</v>
      </c>
    </row>
    <row r="298">
      <c r="A298" s="8" t="s">
        <v>287</v>
      </c>
    </row>
    <row r="299">
      <c r="A299" s="8" t="s">
        <v>288</v>
      </c>
    </row>
    <row r="300">
      <c r="A300" s="8" t="s">
        <v>289</v>
      </c>
    </row>
    <row r="301">
      <c r="A301" s="8" t="s">
        <v>290</v>
      </c>
    </row>
    <row r="302">
      <c r="A302" s="8" t="s">
        <v>291</v>
      </c>
    </row>
    <row r="303">
      <c r="A303" s="8" t="s">
        <v>292</v>
      </c>
    </row>
    <row r="304">
      <c r="A304" s="8" t="s">
        <v>293</v>
      </c>
    </row>
    <row r="305">
      <c r="A305" s="8" t="s">
        <v>294</v>
      </c>
    </row>
    <row r="306">
      <c r="A306" s="8" t="s">
        <v>295</v>
      </c>
    </row>
    <row r="307">
      <c r="A307" s="8" t="s">
        <v>296</v>
      </c>
    </row>
    <row r="308">
      <c r="A308" s="8" t="s">
        <v>297</v>
      </c>
    </row>
    <row r="309">
      <c r="A309" s="8" t="s">
        <v>298</v>
      </c>
    </row>
    <row r="310">
      <c r="A310" s="8" t="s">
        <v>299</v>
      </c>
    </row>
    <row r="311">
      <c r="A311" s="8" t="s">
        <v>300</v>
      </c>
    </row>
    <row r="312">
      <c r="A312" s="8" t="s">
        <v>301</v>
      </c>
    </row>
    <row r="313">
      <c r="A313" s="8" t="s">
        <v>302</v>
      </c>
    </row>
    <row r="314">
      <c r="A314" s="8" t="s">
        <v>303</v>
      </c>
    </row>
    <row r="315">
      <c r="A315" s="8" t="s">
        <v>304</v>
      </c>
    </row>
    <row r="316">
      <c r="A316" s="8" t="s">
        <v>305</v>
      </c>
    </row>
    <row r="317">
      <c r="A317" s="8" t="s">
        <v>306</v>
      </c>
    </row>
    <row r="318">
      <c r="A318" s="8" t="s">
        <v>307</v>
      </c>
    </row>
    <row r="319">
      <c r="A319" s="8" t="s">
        <v>308</v>
      </c>
    </row>
    <row r="320">
      <c r="A320" s="8" t="s">
        <v>309</v>
      </c>
    </row>
    <row r="321">
      <c r="A321" s="8" t="s">
        <v>310</v>
      </c>
    </row>
    <row r="322">
      <c r="A322" s="8" t="s">
        <v>311</v>
      </c>
    </row>
    <row r="323">
      <c r="A323" s="8" t="s">
        <v>312</v>
      </c>
    </row>
    <row r="324">
      <c r="A324" s="4"/>
    </row>
    <row r="325">
      <c r="A325" s="9" t="s">
        <v>313</v>
      </c>
    </row>
    <row r="326">
      <c r="A326" s="4"/>
    </row>
    <row r="327">
      <c r="A327" s="5" t="s">
        <v>12</v>
      </c>
    </row>
    <row r="328">
      <c r="A328" s="4"/>
    </row>
    <row r="329">
      <c r="A329" s="6" t="s">
        <v>314</v>
      </c>
    </row>
    <row r="330">
      <c r="A330" s="6" t="s">
        <v>315</v>
      </c>
    </row>
    <row r="331">
      <c r="A331" s="6" t="s">
        <v>316</v>
      </c>
    </row>
    <row r="332">
      <c r="A332" s="6" t="s">
        <v>317</v>
      </c>
    </row>
    <row r="333">
      <c r="A333" s="6" t="s">
        <v>318</v>
      </c>
    </row>
    <row r="334">
      <c r="A334" s="6" t="s">
        <v>319</v>
      </c>
    </row>
    <row r="335">
      <c r="A335" s="6" t="s">
        <v>320</v>
      </c>
    </row>
    <row r="336">
      <c r="A336" s="6" t="s">
        <v>321</v>
      </c>
    </row>
    <row r="337">
      <c r="A337" s="6" t="s">
        <v>322</v>
      </c>
    </row>
    <row r="338">
      <c r="A338" s="6" t="s">
        <v>31</v>
      </c>
    </row>
    <row r="339">
      <c r="A339" s="6" t="s">
        <v>323</v>
      </c>
    </row>
    <row r="340">
      <c r="A340" s="6" t="s">
        <v>324</v>
      </c>
    </row>
    <row r="341">
      <c r="A341" s="6" t="s">
        <v>325</v>
      </c>
    </row>
    <row r="342">
      <c r="A342" s="6" t="s">
        <v>326</v>
      </c>
    </row>
    <row r="343">
      <c r="A343" s="6" t="s">
        <v>327</v>
      </c>
    </row>
    <row r="344">
      <c r="A344" s="6" t="s">
        <v>328</v>
      </c>
    </row>
    <row r="345">
      <c r="A345" s="6" t="s">
        <v>329</v>
      </c>
    </row>
    <row r="346">
      <c r="A346" s="6" t="s">
        <v>330</v>
      </c>
    </row>
    <row r="347">
      <c r="A347" s="6" t="s">
        <v>331</v>
      </c>
    </row>
    <row r="348">
      <c r="A348" s="6" t="s">
        <v>332</v>
      </c>
    </row>
    <row r="349">
      <c r="A349" s="6" t="s">
        <v>333</v>
      </c>
    </row>
    <row r="350">
      <c r="A350" s="6" t="s">
        <v>334</v>
      </c>
    </row>
    <row r="351">
      <c r="A351" s="6" t="s">
        <v>335</v>
      </c>
    </row>
    <row r="352">
      <c r="A352" s="6" t="s">
        <v>336</v>
      </c>
    </row>
    <row r="353">
      <c r="A353" s="6" t="s">
        <v>337</v>
      </c>
    </row>
    <row r="354">
      <c r="A354" s="6" t="s">
        <v>338</v>
      </c>
    </row>
    <row r="355">
      <c r="A355" s="6" t="s">
        <v>339</v>
      </c>
    </row>
    <row r="356">
      <c r="A356" s="6" t="s">
        <v>340</v>
      </c>
    </row>
    <row r="357">
      <c r="A357" s="4"/>
    </row>
    <row r="358">
      <c r="A358" s="5" t="s">
        <v>341</v>
      </c>
    </row>
    <row r="359">
      <c r="A359" s="4"/>
    </row>
    <row r="360">
      <c r="A360" s="3" t="s">
        <v>342</v>
      </c>
    </row>
    <row r="361">
      <c r="A361" s="3" t="s">
        <v>343</v>
      </c>
    </row>
    <row r="362">
      <c r="A362" s="3" t="s">
        <v>344</v>
      </c>
    </row>
    <row r="363">
      <c r="A363" s="3" t="s">
        <v>345</v>
      </c>
    </row>
    <row r="364">
      <c r="A364" s="3" t="s">
        <v>346</v>
      </c>
    </row>
    <row r="365">
      <c r="A365" s="3" t="s">
        <v>347</v>
      </c>
    </row>
    <row r="366">
      <c r="A366" s="3" t="s">
        <v>348</v>
      </c>
    </row>
    <row r="367">
      <c r="A367" s="3" t="s">
        <v>349</v>
      </c>
    </row>
    <row r="368">
      <c r="A368" s="3" t="s">
        <v>350</v>
      </c>
    </row>
    <row r="369">
      <c r="A369" s="3" t="s">
        <v>351</v>
      </c>
    </row>
    <row r="370">
      <c r="A370" s="6" t="s">
        <v>352</v>
      </c>
    </row>
    <row r="371">
      <c r="A371" s="6" t="s">
        <v>353</v>
      </c>
    </row>
    <row r="372">
      <c r="A372" s="6" t="s">
        <v>354</v>
      </c>
    </row>
    <row r="373">
      <c r="A373" s="6" t="s">
        <v>355</v>
      </c>
    </row>
    <row r="374">
      <c r="A374" s="6" t="s">
        <v>356</v>
      </c>
    </row>
    <row r="375">
      <c r="A375" s="6" t="s">
        <v>357</v>
      </c>
    </row>
    <row r="376">
      <c r="A376" s="6" t="s">
        <v>358</v>
      </c>
    </row>
    <row r="377">
      <c r="A377" s="6" t="s">
        <v>359</v>
      </c>
    </row>
    <row r="378">
      <c r="A378" s="6" t="s">
        <v>360</v>
      </c>
    </row>
    <row r="379">
      <c r="A379" s="6" t="s">
        <v>361</v>
      </c>
    </row>
    <row r="380">
      <c r="A380" s="6" t="s">
        <v>362</v>
      </c>
    </row>
    <row r="381">
      <c r="A381" s="6" t="s">
        <v>363</v>
      </c>
    </row>
    <row r="382">
      <c r="A382" s="6" t="s">
        <v>246</v>
      </c>
    </row>
    <row r="383">
      <c r="A383" s="6" t="s">
        <v>364</v>
      </c>
    </row>
    <row r="384">
      <c r="A384" s="6" t="s">
        <v>365</v>
      </c>
    </row>
    <row r="385">
      <c r="A385" s="6" t="s">
        <v>366</v>
      </c>
    </row>
    <row r="386">
      <c r="A386" s="6" t="s">
        <v>367</v>
      </c>
    </row>
    <row r="387">
      <c r="A387" s="6" t="s">
        <v>368</v>
      </c>
    </row>
    <row r="388">
      <c r="A388" s="6" t="s">
        <v>369</v>
      </c>
    </row>
    <row r="389">
      <c r="A389" s="6" t="s">
        <v>370</v>
      </c>
    </row>
    <row r="390">
      <c r="A390" s="6" t="s">
        <v>371</v>
      </c>
    </row>
    <row r="391">
      <c r="A391" s="6" t="s">
        <v>372</v>
      </c>
    </row>
    <row r="392">
      <c r="A392" s="6" t="s">
        <v>373</v>
      </c>
    </row>
    <row r="393">
      <c r="A393" s="6" t="s">
        <v>374</v>
      </c>
    </row>
    <row r="394">
      <c r="A394" s="6" t="s">
        <v>375</v>
      </c>
    </row>
    <row r="395">
      <c r="A395" s="6" t="s">
        <v>376</v>
      </c>
    </row>
    <row r="396">
      <c r="A396" s="6" t="s">
        <v>377</v>
      </c>
    </row>
    <row r="397">
      <c r="A397" s="6" t="s">
        <v>378</v>
      </c>
    </row>
    <row r="398">
      <c r="A398" s="6" t="s">
        <v>379</v>
      </c>
    </row>
    <row r="399">
      <c r="A399" s="6" t="s">
        <v>380</v>
      </c>
    </row>
    <row r="400">
      <c r="A400" s="6" t="s">
        <v>381</v>
      </c>
    </row>
    <row r="401">
      <c r="A401" s="6" t="s">
        <v>382</v>
      </c>
    </row>
    <row r="402">
      <c r="A402" s="6" t="s">
        <v>383</v>
      </c>
    </row>
    <row r="403">
      <c r="A403" s="6" t="s">
        <v>384</v>
      </c>
    </row>
    <row r="404">
      <c r="A404" s="6" t="s">
        <v>385</v>
      </c>
    </row>
    <row r="405">
      <c r="A405" s="6" t="s">
        <v>386</v>
      </c>
    </row>
    <row r="406">
      <c r="A406" s="6" t="s">
        <v>387</v>
      </c>
    </row>
    <row r="407">
      <c r="A407" s="6" t="s">
        <v>388</v>
      </c>
    </row>
    <row r="408">
      <c r="A408" s="6" t="s">
        <v>389</v>
      </c>
    </row>
    <row r="409">
      <c r="A409" s="6" t="s">
        <v>390</v>
      </c>
    </row>
    <row r="410">
      <c r="A410" s="6" t="s">
        <v>391</v>
      </c>
    </row>
    <row r="411">
      <c r="A411" s="6" t="s">
        <v>392</v>
      </c>
    </row>
    <row r="412">
      <c r="A412" s="6" t="s">
        <v>393</v>
      </c>
    </row>
    <row r="413">
      <c r="A413" s="6" t="s">
        <v>394</v>
      </c>
    </row>
    <row r="414">
      <c r="A414" s="6" t="s">
        <v>395</v>
      </c>
    </row>
    <row r="415">
      <c r="A415" s="6" t="s">
        <v>264</v>
      </c>
    </row>
    <row r="416">
      <c r="A416" s="6" t="s">
        <v>396</v>
      </c>
    </row>
    <row r="417">
      <c r="A417" s="6" t="s">
        <v>397</v>
      </c>
    </row>
    <row r="418">
      <c r="A418" s="6" t="s">
        <v>398</v>
      </c>
    </row>
    <row r="419">
      <c r="A419" s="6" t="s">
        <v>399</v>
      </c>
    </row>
    <row r="420">
      <c r="A420" s="6" t="s">
        <v>400</v>
      </c>
    </row>
    <row r="421">
      <c r="A421" s="6" t="s">
        <v>401</v>
      </c>
    </row>
    <row r="422">
      <c r="A422" s="6" t="s">
        <v>166</v>
      </c>
    </row>
    <row r="423">
      <c r="A423" s="6" t="s">
        <v>402</v>
      </c>
    </row>
    <row r="424">
      <c r="A424" s="6" t="s">
        <v>403</v>
      </c>
    </row>
    <row r="425">
      <c r="A425" s="6" t="s">
        <v>404</v>
      </c>
    </row>
    <row r="426">
      <c r="A426" s="6" t="s">
        <v>405</v>
      </c>
    </row>
    <row r="427">
      <c r="A427" s="6" t="s">
        <v>406</v>
      </c>
    </row>
    <row r="428">
      <c r="A428" s="6" t="s">
        <v>407</v>
      </c>
    </row>
    <row r="429">
      <c r="A429" s="6" t="s">
        <v>408</v>
      </c>
    </row>
    <row r="430">
      <c r="A430" s="6" t="s">
        <v>409</v>
      </c>
    </row>
    <row r="431">
      <c r="A431" s="6" t="s">
        <v>410</v>
      </c>
    </row>
    <row r="432">
      <c r="A432" s="6" t="s">
        <v>411</v>
      </c>
    </row>
    <row r="433">
      <c r="A433" s="6" t="s">
        <v>412</v>
      </c>
    </row>
    <row r="434">
      <c r="A434" s="6" t="s">
        <v>413</v>
      </c>
    </row>
    <row r="435">
      <c r="A435" s="6" t="s">
        <v>414</v>
      </c>
    </row>
    <row r="436">
      <c r="A436" s="6" t="s">
        <v>415</v>
      </c>
    </row>
    <row r="437">
      <c r="A437" s="6" t="s">
        <v>416</v>
      </c>
    </row>
    <row r="438">
      <c r="A438" s="6" t="s">
        <v>417</v>
      </c>
    </row>
    <row r="439">
      <c r="A439" s="6" t="s">
        <v>418</v>
      </c>
    </row>
    <row r="440">
      <c r="A440" s="6" t="s">
        <v>419</v>
      </c>
    </row>
    <row r="441">
      <c r="A441" s="6" t="s">
        <v>420</v>
      </c>
    </row>
    <row r="442">
      <c r="A442" s="6" t="s">
        <v>421</v>
      </c>
    </row>
    <row r="443">
      <c r="A443" s="6" t="s">
        <v>422</v>
      </c>
    </row>
    <row r="444">
      <c r="A444" s="6" t="s">
        <v>423</v>
      </c>
    </row>
    <row r="445">
      <c r="A445" s="6" t="s">
        <v>424</v>
      </c>
    </row>
    <row r="446">
      <c r="A446" s="6" t="s">
        <v>198</v>
      </c>
    </row>
    <row r="447">
      <c r="A447" s="6" t="s">
        <v>425</v>
      </c>
    </row>
    <row r="448">
      <c r="A448" s="6" t="s">
        <v>426</v>
      </c>
    </row>
    <row r="449">
      <c r="A449" s="6" t="s">
        <v>427</v>
      </c>
    </row>
    <row r="450">
      <c r="A450" s="6" t="s">
        <v>428</v>
      </c>
    </row>
    <row r="451">
      <c r="A451" s="6" t="s">
        <v>429</v>
      </c>
    </row>
    <row r="452">
      <c r="A452" s="6" t="s">
        <v>430</v>
      </c>
    </row>
    <row r="453">
      <c r="A453" s="6" t="s">
        <v>431</v>
      </c>
    </row>
    <row r="454">
      <c r="A454" s="6" t="s">
        <v>432</v>
      </c>
    </row>
    <row r="455">
      <c r="A455" s="6" t="s">
        <v>433</v>
      </c>
    </row>
    <row r="456">
      <c r="A456" s="6" t="s">
        <v>434</v>
      </c>
    </row>
    <row r="457">
      <c r="A457" s="6" t="s">
        <v>435</v>
      </c>
    </row>
    <row r="458">
      <c r="A458" s="6" t="s">
        <v>436</v>
      </c>
    </row>
    <row r="459">
      <c r="A459" s="6" t="s">
        <v>437</v>
      </c>
    </row>
    <row r="460">
      <c r="A460" s="6" t="s">
        <v>438</v>
      </c>
    </row>
    <row r="461">
      <c r="A461" s="6" t="s">
        <v>439</v>
      </c>
    </row>
    <row r="462">
      <c r="A462" s="6" t="s">
        <v>440</v>
      </c>
    </row>
    <row r="463">
      <c r="A463" s="6" t="s">
        <v>441</v>
      </c>
    </row>
    <row r="464">
      <c r="A464" s="6" t="s">
        <v>442</v>
      </c>
    </row>
    <row r="465">
      <c r="A465" s="6" t="s">
        <v>443</v>
      </c>
    </row>
    <row r="466">
      <c r="A466" s="6" t="s">
        <v>444</v>
      </c>
    </row>
    <row r="467">
      <c r="A467" s="7" t="s">
        <v>445</v>
      </c>
    </row>
    <row r="468">
      <c r="A468" s="7" t="s">
        <v>446</v>
      </c>
    </row>
    <row r="469">
      <c r="A469" s="7" t="s">
        <v>447</v>
      </c>
    </row>
    <row r="470">
      <c r="A470" s="7" t="s">
        <v>448</v>
      </c>
    </row>
    <row r="471">
      <c r="A471" s="7" t="s">
        <v>449</v>
      </c>
    </row>
    <row r="472">
      <c r="A472" s="7" t="s">
        <v>450</v>
      </c>
    </row>
    <row r="473">
      <c r="A473" s="7" t="s">
        <v>451</v>
      </c>
    </row>
    <row r="474">
      <c r="A474" s="7" t="s">
        <v>452</v>
      </c>
    </row>
    <row r="475">
      <c r="A475" s="7" t="s">
        <v>453</v>
      </c>
    </row>
    <row r="476">
      <c r="A476" s="7" t="s">
        <v>454</v>
      </c>
    </row>
    <row r="477">
      <c r="A477" s="7" t="s">
        <v>455</v>
      </c>
    </row>
    <row r="478">
      <c r="A478" s="7" t="s">
        <v>456</v>
      </c>
    </row>
    <row r="479">
      <c r="A479" s="7" t="s">
        <v>457</v>
      </c>
    </row>
    <row r="480">
      <c r="A480" s="7" t="s">
        <v>458</v>
      </c>
    </row>
    <row r="481">
      <c r="A481" s="7" t="s">
        <v>459</v>
      </c>
    </row>
    <row r="482">
      <c r="A482" s="7" t="s">
        <v>310</v>
      </c>
    </row>
    <row r="483">
      <c r="A483" s="7" t="s">
        <v>460</v>
      </c>
    </row>
    <row r="484">
      <c r="A484" s="7" t="s">
        <v>461</v>
      </c>
    </row>
    <row r="485">
      <c r="A485" s="7" t="s">
        <v>462</v>
      </c>
    </row>
    <row r="486">
      <c r="A486" s="7" t="s">
        <v>463</v>
      </c>
    </row>
    <row r="487">
      <c r="A487" s="4"/>
    </row>
    <row r="488">
      <c r="A488" s="9" t="s">
        <v>464</v>
      </c>
    </row>
    <row r="489">
      <c r="A489" s="4"/>
    </row>
    <row r="490">
      <c r="A490" s="3" t="s">
        <v>465</v>
      </c>
    </row>
    <row r="491">
      <c r="A491" s="3" t="s">
        <v>466</v>
      </c>
    </row>
    <row r="492">
      <c r="A492" s="4"/>
    </row>
    <row r="493">
      <c r="A493" s="9" t="s">
        <v>467</v>
      </c>
    </row>
    <row r="494">
      <c r="A494" s="4"/>
    </row>
    <row r="495">
      <c r="A495" s="3" t="s">
        <v>468</v>
      </c>
    </row>
    <row r="496">
      <c r="A496" s="3" t="s">
        <v>469</v>
      </c>
    </row>
    <row r="497">
      <c r="A497" s="3" t="s">
        <v>470</v>
      </c>
    </row>
    <row r="498">
      <c r="A498" s="3" t="s">
        <v>274</v>
      </c>
    </row>
    <row r="499">
      <c r="A499" s="3" t="s">
        <v>471</v>
      </c>
    </row>
    <row r="500">
      <c r="A500" s="3" t="s">
        <v>472</v>
      </c>
    </row>
    <row r="501">
      <c r="A501" s="3" t="s">
        <v>473</v>
      </c>
    </row>
    <row r="502">
      <c r="A502" s="3" t="s">
        <v>474</v>
      </c>
    </row>
    <row r="503">
      <c r="A503" s="3" t="s">
        <v>475</v>
      </c>
    </row>
    <row r="504">
      <c r="A504" s="3" t="s">
        <v>476</v>
      </c>
    </row>
    <row r="505">
      <c r="A505" s="3" t="s">
        <v>477</v>
      </c>
    </row>
    <row r="506">
      <c r="A506" s="3" t="s">
        <v>478</v>
      </c>
    </row>
    <row r="507">
      <c r="A507" s="3" t="s">
        <v>457</v>
      </c>
    </row>
    <row r="508">
      <c r="A508" s="3" t="s">
        <v>479</v>
      </c>
    </row>
    <row r="509">
      <c r="A509" s="4"/>
    </row>
    <row r="510">
      <c r="A510" s="9" t="s">
        <v>480</v>
      </c>
    </row>
    <row r="511">
      <c r="A511" s="4"/>
    </row>
    <row r="512">
      <c r="A512" s="6" t="s">
        <v>481</v>
      </c>
    </row>
    <row r="513">
      <c r="A513" s="6" t="s">
        <v>482</v>
      </c>
    </row>
    <row r="514">
      <c r="A514" s="6" t="s">
        <v>483</v>
      </c>
    </row>
    <row r="515">
      <c r="A515" s="6" t="s">
        <v>484</v>
      </c>
    </row>
    <row r="516">
      <c r="A516" s="6" t="s">
        <v>485</v>
      </c>
    </row>
    <row r="517">
      <c r="A517" s="6" t="s">
        <v>486</v>
      </c>
    </row>
    <row r="518">
      <c r="A518" s="6" t="s">
        <v>487</v>
      </c>
    </row>
    <row r="519">
      <c r="A519" s="6" t="s">
        <v>488</v>
      </c>
    </row>
    <row r="520">
      <c r="A520" s="6" t="s">
        <v>489</v>
      </c>
    </row>
    <row r="521">
      <c r="A521" s="4"/>
    </row>
    <row r="522">
      <c r="A522" s="9" t="s">
        <v>490</v>
      </c>
    </row>
    <row r="523">
      <c r="A523" s="4"/>
    </row>
    <row r="524">
      <c r="A524" s="10" t="s">
        <v>491</v>
      </c>
    </row>
    <row r="525">
      <c r="A525" s="4"/>
    </row>
    <row r="526">
      <c r="A526" s="6" t="s">
        <v>492</v>
      </c>
    </row>
    <row r="527">
      <c r="A527" s="6" t="s">
        <v>493</v>
      </c>
    </row>
    <row r="528">
      <c r="A528" s="6" t="s">
        <v>494</v>
      </c>
    </row>
    <row r="529">
      <c r="A529" s="6" t="s">
        <v>495</v>
      </c>
    </row>
    <row r="530">
      <c r="A530" s="6" t="s">
        <v>496</v>
      </c>
    </row>
    <row r="531">
      <c r="A531" s="6" t="s">
        <v>497</v>
      </c>
    </row>
    <row r="532">
      <c r="A532" s="6" t="s">
        <v>498</v>
      </c>
    </row>
    <row r="533">
      <c r="A533" s="6" t="s">
        <v>499</v>
      </c>
    </row>
    <row r="534">
      <c r="A534" s="6" t="s">
        <v>500</v>
      </c>
    </row>
    <row r="535">
      <c r="A535" s="4"/>
    </row>
    <row r="536">
      <c r="A536" s="9" t="s">
        <v>501</v>
      </c>
    </row>
    <row r="537">
      <c r="A537" s="4"/>
    </row>
    <row r="538">
      <c r="A538" s="10" t="s">
        <v>502</v>
      </c>
    </row>
    <row r="539">
      <c r="A539" s="4"/>
    </row>
    <row r="540">
      <c r="A540" s="5" t="s">
        <v>503</v>
      </c>
    </row>
    <row r="541">
      <c r="A541" s="4"/>
    </row>
    <row r="542">
      <c r="A542" s="3" t="s">
        <v>504</v>
      </c>
    </row>
    <row r="543">
      <c r="A543" s="3" t="s">
        <v>505</v>
      </c>
    </row>
    <row r="544">
      <c r="A544" s="6" t="s">
        <v>506</v>
      </c>
    </row>
    <row r="545">
      <c r="A545" s="6" t="s">
        <v>507</v>
      </c>
    </row>
    <row r="546">
      <c r="A546" s="6" t="s">
        <v>508</v>
      </c>
    </row>
    <row r="547">
      <c r="A547" s="4"/>
    </row>
    <row r="548">
      <c r="A548" s="5" t="s">
        <v>237</v>
      </c>
    </row>
    <row r="549">
      <c r="A549" s="4"/>
    </row>
    <row r="550">
      <c r="A550" s="6" t="s">
        <v>509</v>
      </c>
    </row>
    <row r="551">
      <c r="A551" s="6" t="s">
        <v>510</v>
      </c>
    </row>
    <row r="552">
      <c r="A552" s="6" t="s">
        <v>511</v>
      </c>
    </row>
    <row r="553">
      <c r="A553" s="6" t="s">
        <v>512</v>
      </c>
    </row>
    <row r="554">
      <c r="A554" s="6" t="s">
        <v>513</v>
      </c>
    </row>
    <row r="555">
      <c r="A555" s="6" t="s">
        <v>514</v>
      </c>
    </row>
    <row r="556">
      <c r="A556" s="6" t="s">
        <v>515</v>
      </c>
    </row>
    <row r="557">
      <c r="A557" s="6" t="s">
        <v>516</v>
      </c>
    </row>
    <row r="558">
      <c r="A558" s="6" t="s">
        <v>517</v>
      </c>
    </row>
    <row r="559">
      <c r="A559" s="6" t="s">
        <v>518</v>
      </c>
    </row>
    <row r="560">
      <c r="A560" s="6" t="s">
        <v>519</v>
      </c>
    </row>
    <row r="561">
      <c r="A561" s="6" t="s">
        <v>520</v>
      </c>
    </row>
    <row r="562">
      <c r="A562" s="6" t="s">
        <v>521</v>
      </c>
    </row>
    <row r="563">
      <c r="A563" s="6" t="s">
        <v>522</v>
      </c>
    </row>
    <row r="564">
      <c r="A564" s="6" t="s">
        <v>523</v>
      </c>
    </row>
    <row r="565">
      <c r="A565" s="6" t="s">
        <v>524</v>
      </c>
    </row>
    <row r="566">
      <c r="A566" s="6" t="s">
        <v>525</v>
      </c>
    </row>
    <row r="567">
      <c r="A567" s="6" t="s">
        <v>526</v>
      </c>
    </row>
    <row r="568">
      <c r="A568" s="6" t="s">
        <v>527</v>
      </c>
    </row>
    <row r="569">
      <c r="A569" s="6" t="s">
        <v>528</v>
      </c>
    </row>
    <row r="570">
      <c r="A570" s="6" t="s">
        <v>529</v>
      </c>
    </row>
    <row r="571">
      <c r="A571" s="4"/>
    </row>
    <row r="572">
      <c r="A572" s="9" t="s">
        <v>530</v>
      </c>
    </row>
    <row r="573">
      <c r="A573" s="4"/>
    </row>
    <row r="574">
      <c r="A574" s="3" t="s">
        <v>531</v>
      </c>
    </row>
    <row r="575">
      <c r="A575" s="3" t="s">
        <v>532</v>
      </c>
    </row>
    <row r="576">
      <c r="A576" s="3" t="s">
        <v>533</v>
      </c>
    </row>
    <row r="577">
      <c r="A577" s="3" t="s">
        <v>534</v>
      </c>
    </row>
    <row r="578">
      <c r="A578" s="3" t="s">
        <v>535</v>
      </c>
    </row>
    <row r="579">
      <c r="A579" s="3" t="s">
        <v>536</v>
      </c>
    </row>
    <row r="580">
      <c r="A580" s="3" t="s">
        <v>537</v>
      </c>
    </row>
    <row r="581">
      <c r="A581" s="3" t="s">
        <v>538</v>
      </c>
    </row>
    <row r="582">
      <c r="A582" s="6" t="s">
        <v>539</v>
      </c>
    </row>
    <row r="583">
      <c r="A583" s="6" t="s">
        <v>540</v>
      </c>
    </row>
    <row r="584">
      <c r="A584" s="7" t="s">
        <v>541</v>
      </c>
    </row>
    <row r="585">
      <c r="A585" s="7" t="s">
        <v>542</v>
      </c>
    </row>
    <row r="586">
      <c r="A586" s="7" t="s">
        <v>543</v>
      </c>
    </row>
    <row r="587">
      <c r="A587" s="7" t="s">
        <v>544</v>
      </c>
    </row>
    <row r="588">
      <c r="A588" s="7" t="s">
        <v>545</v>
      </c>
    </row>
    <row r="589">
      <c r="A589" s="7" t="s">
        <v>546</v>
      </c>
    </row>
    <row r="590">
      <c r="A590" s="7" t="s">
        <v>547</v>
      </c>
    </row>
    <row r="591">
      <c r="A591" s="7" t="s">
        <v>548</v>
      </c>
    </row>
    <row r="592">
      <c r="A592" s="8" t="s">
        <v>549</v>
      </c>
    </row>
    <row r="593">
      <c r="A593" s="8" t="s">
        <v>550</v>
      </c>
    </row>
    <row r="594">
      <c r="A594" s="8" t="s">
        <v>551</v>
      </c>
    </row>
    <row r="595">
      <c r="A595" s="8" t="s">
        <v>552</v>
      </c>
    </row>
    <row r="596">
      <c r="A596" s="8" t="s">
        <v>553</v>
      </c>
    </row>
    <row r="597">
      <c r="A597" s="8" t="s">
        <v>554</v>
      </c>
    </row>
    <row r="598">
      <c r="A598" s="8" t="s">
        <v>555</v>
      </c>
    </row>
    <row r="599">
      <c r="A599" s="8" t="s">
        <v>556</v>
      </c>
    </row>
    <row r="600">
      <c r="A600" s="8" t="s">
        <v>557</v>
      </c>
    </row>
    <row r="601">
      <c r="A601" s="8" t="s">
        <v>266</v>
      </c>
    </row>
    <row r="602">
      <c r="A602" s="8" t="s">
        <v>558</v>
      </c>
    </row>
    <row r="603">
      <c r="A603" s="8" t="s">
        <v>559</v>
      </c>
    </row>
    <row r="604">
      <c r="A604" s="8" t="s">
        <v>560</v>
      </c>
    </row>
    <row r="605">
      <c r="A605" s="8" t="s">
        <v>561</v>
      </c>
    </row>
    <row r="606">
      <c r="A606" s="8" t="s">
        <v>562</v>
      </c>
    </row>
    <row r="607">
      <c r="A607" s="8" t="s">
        <v>563</v>
      </c>
    </row>
    <row r="608">
      <c r="A608" s="8" t="s">
        <v>564</v>
      </c>
    </row>
    <row r="609">
      <c r="A609" s="8" t="s">
        <v>565</v>
      </c>
    </row>
    <row r="610">
      <c r="A610" s="8" t="s">
        <v>566</v>
      </c>
    </row>
    <row r="611">
      <c r="A611" s="8" t="s">
        <v>567</v>
      </c>
    </row>
    <row r="612">
      <c r="A612" s="8" t="s">
        <v>568</v>
      </c>
    </row>
    <row r="613">
      <c r="A613" s="8" t="s">
        <v>569</v>
      </c>
    </row>
    <row r="614">
      <c r="A614" s="8" t="s">
        <v>570</v>
      </c>
    </row>
    <row r="615">
      <c r="A615" s="8" t="s">
        <v>571</v>
      </c>
    </row>
    <row r="616">
      <c r="A616" s="8" t="s">
        <v>572</v>
      </c>
    </row>
    <row r="617">
      <c r="A617" s="8" t="s">
        <v>573</v>
      </c>
    </row>
    <row r="618">
      <c r="A618" s="8" t="s">
        <v>574</v>
      </c>
    </row>
    <row r="619">
      <c r="A619" s="8" t="s">
        <v>575</v>
      </c>
    </row>
    <row r="620">
      <c r="A620" s="8" t="s">
        <v>576</v>
      </c>
    </row>
    <row r="621">
      <c r="A621" s="8" t="s">
        <v>577</v>
      </c>
    </row>
    <row r="622">
      <c r="A622" s="8" t="s">
        <v>578</v>
      </c>
    </row>
    <row r="623">
      <c r="A623" s="7" t="s">
        <v>579</v>
      </c>
    </row>
    <row r="624">
      <c r="A624" s="7" t="s">
        <v>580</v>
      </c>
    </row>
    <row r="625">
      <c r="A625" s="7" t="s">
        <v>581</v>
      </c>
    </row>
    <row r="626">
      <c r="A626" s="7" t="s">
        <v>582</v>
      </c>
    </row>
    <row r="627">
      <c r="A627" s="7" t="s">
        <v>583</v>
      </c>
    </row>
    <row r="628">
      <c r="A628" s="7" t="s">
        <v>584</v>
      </c>
    </row>
    <row r="629">
      <c r="A629" s="7" t="s">
        <v>585</v>
      </c>
    </row>
    <row r="630">
      <c r="A630" s="7" t="s">
        <v>586</v>
      </c>
    </row>
    <row r="631">
      <c r="A631" s="8" t="s">
        <v>587</v>
      </c>
    </row>
    <row r="632">
      <c r="A632" s="8" t="s">
        <v>588</v>
      </c>
    </row>
    <row r="633">
      <c r="A633" s="8" t="s">
        <v>589</v>
      </c>
    </row>
    <row r="634">
      <c r="A634" s="8" t="s">
        <v>590</v>
      </c>
    </row>
    <row r="635">
      <c r="A635" s="8" t="s">
        <v>591</v>
      </c>
    </row>
    <row r="636">
      <c r="A636" s="8" t="s">
        <v>592</v>
      </c>
    </row>
    <row r="637">
      <c r="A637" s="8" t="s">
        <v>593</v>
      </c>
    </row>
    <row r="638">
      <c r="A638" s="8" t="s">
        <v>594</v>
      </c>
    </row>
    <row r="639">
      <c r="A639" s="8" t="s">
        <v>595</v>
      </c>
    </row>
    <row r="640">
      <c r="A640" s="8" t="s">
        <v>596</v>
      </c>
    </row>
    <row r="641">
      <c r="A641" s="8" t="s">
        <v>597</v>
      </c>
    </row>
    <row r="642">
      <c r="A642" s="8" t="s">
        <v>598</v>
      </c>
    </row>
    <row r="643">
      <c r="A643" s="8" t="s">
        <v>599</v>
      </c>
    </row>
    <row r="644">
      <c r="A644" s="8" t="s">
        <v>600</v>
      </c>
    </row>
    <row r="645">
      <c r="A645" s="8" t="s">
        <v>236</v>
      </c>
    </row>
    <row r="646">
      <c r="A646" s="8" t="s">
        <v>601</v>
      </c>
    </row>
    <row r="647">
      <c r="A647" s="8" t="s">
        <v>602</v>
      </c>
    </row>
    <row r="648">
      <c r="A648" s="8" t="s">
        <v>603</v>
      </c>
    </row>
    <row r="649">
      <c r="A649" s="4"/>
    </row>
    <row r="650">
      <c r="A650" s="9" t="s">
        <v>604</v>
      </c>
    </row>
    <row r="651">
      <c r="A651" s="4"/>
    </row>
    <row r="652">
      <c r="A652" s="3" t="s">
        <v>605</v>
      </c>
    </row>
    <row r="653">
      <c r="A653" s="3" t="s">
        <v>606</v>
      </c>
    </row>
    <row r="654">
      <c r="A654" s="3" t="s">
        <v>607</v>
      </c>
    </row>
    <row r="655">
      <c r="A655" s="3" t="s">
        <v>608</v>
      </c>
    </row>
    <row r="656">
      <c r="A656" s="3" t="s">
        <v>609</v>
      </c>
    </row>
    <row r="657">
      <c r="A657" s="3" t="s">
        <v>610</v>
      </c>
    </row>
    <row r="658">
      <c r="A658" s="3" t="s">
        <v>611</v>
      </c>
    </row>
    <row r="659">
      <c r="A659" s="3" t="s">
        <v>612</v>
      </c>
    </row>
    <row r="660">
      <c r="A660" s="3" t="s">
        <v>613</v>
      </c>
    </row>
    <row r="661">
      <c r="A661" s="3" t="s">
        <v>614</v>
      </c>
    </row>
    <row r="662">
      <c r="A662" s="3" t="s">
        <v>615</v>
      </c>
    </row>
    <row r="663">
      <c r="A663" s="3" t="s">
        <v>616</v>
      </c>
    </row>
    <row r="664">
      <c r="A664" s="3" t="s">
        <v>617</v>
      </c>
    </row>
    <row r="665">
      <c r="A665" s="3" t="s">
        <v>618</v>
      </c>
    </row>
    <row r="666">
      <c r="A666" s="3" t="s">
        <v>619</v>
      </c>
    </row>
    <row r="667">
      <c r="A667" s="3" t="s">
        <v>620</v>
      </c>
    </row>
    <row r="668">
      <c r="A668" s="3" t="s">
        <v>621</v>
      </c>
    </row>
    <row r="669">
      <c r="A669" s="6" t="s">
        <v>622</v>
      </c>
    </row>
    <row r="670">
      <c r="A670" s="6" t="s">
        <v>623</v>
      </c>
    </row>
    <row r="671">
      <c r="A671" s="6" t="s">
        <v>624</v>
      </c>
    </row>
    <row r="672">
      <c r="A672" s="6" t="s">
        <v>625</v>
      </c>
    </row>
    <row r="673">
      <c r="A673" s="6" t="s">
        <v>626</v>
      </c>
    </row>
    <row r="674">
      <c r="A674" s="8" t="s">
        <v>627</v>
      </c>
    </row>
    <row r="675">
      <c r="A675" s="8" t="s">
        <v>628</v>
      </c>
    </row>
    <row r="676">
      <c r="A676" s="8" t="s">
        <v>629</v>
      </c>
    </row>
    <row r="677">
      <c r="A677" s="8" t="s">
        <v>630</v>
      </c>
    </row>
    <row r="678">
      <c r="A678" s="8" t="s">
        <v>631</v>
      </c>
    </row>
    <row r="679">
      <c r="A679" s="8" t="s">
        <v>632</v>
      </c>
    </row>
    <row r="680">
      <c r="A680" s="8" t="s">
        <v>633</v>
      </c>
    </row>
    <row r="681">
      <c r="A681" s="8" t="s">
        <v>634</v>
      </c>
    </row>
    <row r="682">
      <c r="A682" s="8" t="s">
        <v>635</v>
      </c>
    </row>
    <row r="683">
      <c r="A683" s="8" t="s">
        <v>176</v>
      </c>
    </row>
    <row r="684">
      <c r="A684" s="8" t="s">
        <v>636</v>
      </c>
    </row>
    <row r="685">
      <c r="A685" s="8" t="s">
        <v>637</v>
      </c>
    </row>
    <row r="686">
      <c r="A686" s="8" t="s">
        <v>638</v>
      </c>
    </row>
    <row r="687">
      <c r="A687" s="8" t="s">
        <v>639</v>
      </c>
    </row>
    <row r="688">
      <c r="A688" s="8" t="s">
        <v>640</v>
      </c>
    </row>
    <row r="689">
      <c r="A689" s="8" t="s">
        <v>641</v>
      </c>
    </row>
    <row r="690">
      <c r="A690" s="8" t="s">
        <v>642</v>
      </c>
    </row>
    <row r="691">
      <c r="A691" s="8" t="s">
        <v>643</v>
      </c>
    </row>
    <row r="692">
      <c r="A692" s="8" t="s">
        <v>644</v>
      </c>
    </row>
    <row r="693">
      <c r="A693" s="8" t="s">
        <v>645</v>
      </c>
    </row>
    <row r="694">
      <c r="A694" s="8" t="s">
        <v>646</v>
      </c>
    </row>
    <row r="695">
      <c r="A695" s="8" t="s">
        <v>647</v>
      </c>
    </row>
    <row r="696">
      <c r="A696" s="8" t="s">
        <v>648</v>
      </c>
    </row>
    <row r="697">
      <c r="A697" s="8" t="s">
        <v>649</v>
      </c>
    </row>
    <row r="698">
      <c r="A698" s="8" t="s">
        <v>650</v>
      </c>
    </row>
    <row r="699">
      <c r="A699" s="8" t="s">
        <v>651</v>
      </c>
    </row>
    <row r="700">
      <c r="A700" s="8" t="s">
        <v>652</v>
      </c>
    </row>
    <row r="701">
      <c r="A701" s="8" t="s">
        <v>653</v>
      </c>
    </row>
    <row r="702">
      <c r="A702" s="8" t="s">
        <v>654</v>
      </c>
    </row>
    <row r="703">
      <c r="A703" s="8" t="s">
        <v>655</v>
      </c>
    </row>
    <row r="704">
      <c r="A704" s="8" t="s">
        <v>656</v>
      </c>
    </row>
    <row r="705">
      <c r="A705" s="8" t="s">
        <v>657</v>
      </c>
    </row>
    <row r="706">
      <c r="A706" s="8" t="s">
        <v>658</v>
      </c>
    </row>
    <row r="707">
      <c r="A707" s="8" t="s">
        <v>659</v>
      </c>
    </row>
    <row r="708">
      <c r="A708" s="8" t="s">
        <v>660</v>
      </c>
    </row>
    <row r="709">
      <c r="A709" s="8" t="s">
        <v>661</v>
      </c>
    </row>
    <row r="710">
      <c r="A710" s="8" t="s">
        <v>662</v>
      </c>
    </row>
    <row r="711">
      <c r="A711" s="8" t="s">
        <v>663</v>
      </c>
    </row>
    <row r="712">
      <c r="A712" s="8" t="s">
        <v>664</v>
      </c>
    </row>
    <row r="713">
      <c r="A713" s="8" t="s">
        <v>665</v>
      </c>
    </row>
    <row r="714">
      <c r="A714" s="4"/>
    </row>
    <row r="715">
      <c r="A715" s="11" t="s">
        <v>666</v>
      </c>
    </row>
    <row r="716">
      <c r="A716" s="4"/>
    </row>
    <row r="717">
      <c r="A717" s="9" t="s">
        <v>667</v>
      </c>
    </row>
    <row r="718">
      <c r="A718" s="4"/>
    </row>
    <row r="719">
      <c r="A719" s="11" t="s">
        <v>668</v>
      </c>
    </row>
    <row r="720">
      <c r="A720" s="4"/>
    </row>
    <row r="721">
      <c r="A721" s="12" t="s">
        <v>669</v>
      </c>
    </row>
    <row r="722">
      <c r="A722" s="4"/>
    </row>
    <row r="723">
      <c r="A723" s="6" t="s">
        <v>670</v>
      </c>
    </row>
    <row r="724">
      <c r="A724" s="6" t="s">
        <v>671</v>
      </c>
    </row>
    <row r="725">
      <c r="A725" s="6" t="s">
        <v>672</v>
      </c>
    </row>
    <row r="726">
      <c r="A726" s="6" t="s">
        <v>673</v>
      </c>
    </row>
    <row r="727">
      <c r="A727" s="6" t="s">
        <v>674</v>
      </c>
    </row>
    <row r="728">
      <c r="A728" s="6" t="s">
        <v>675</v>
      </c>
    </row>
    <row r="729">
      <c r="A729" s="6" t="s">
        <v>676</v>
      </c>
    </row>
    <row r="730">
      <c r="A730" s="6" t="s">
        <v>677</v>
      </c>
    </row>
    <row r="731">
      <c r="A731" s="6" t="s">
        <v>678</v>
      </c>
    </row>
    <row r="732">
      <c r="A732" s="6" t="s">
        <v>679</v>
      </c>
    </row>
    <row r="733">
      <c r="A733" s="6" t="s">
        <v>680</v>
      </c>
    </row>
    <row r="734">
      <c r="A734" s="6" t="s">
        <v>681</v>
      </c>
    </row>
    <row r="735">
      <c r="A735" s="6" t="s">
        <v>682</v>
      </c>
    </row>
    <row r="736">
      <c r="A736" s="6" t="s">
        <v>683</v>
      </c>
    </row>
    <row r="737">
      <c r="A737" s="6" t="s">
        <v>684</v>
      </c>
    </row>
    <row r="738">
      <c r="A738" s="6" t="s">
        <v>685</v>
      </c>
    </row>
    <row r="739">
      <c r="A739" s="6" t="s">
        <v>686</v>
      </c>
    </row>
    <row r="740">
      <c r="A740" s="6" t="s">
        <v>687</v>
      </c>
    </row>
    <row r="741">
      <c r="A741" s="6" t="s">
        <v>688</v>
      </c>
    </row>
    <row r="742">
      <c r="A742" s="6" t="s">
        <v>689</v>
      </c>
    </row>
    <row r="743">
      <c r="A743" s="6" t="s">
        <v>690</v>
      </c>
    </row>
    <row r="744">
      <c r="A744" s="4"/>
    </row>
    <row r="745">
      <c r="A745" s="9" t="s">
        <v>691</v>
      </c>
    </row>
    <row r="746">
      <c r="A746" s="4"/>
    </row>
    <row r="747">
      <c r="A747" s="3" t="s">
        <v>692</v>
      </c>
    </row>
    <row r="748">
      <c r="A748" s="3" t="s">
        <v>693</v>
      </c>
    </row>
    <row r="749">
      <c r="A749" s="3" t="s">
        <v>694</v>
      </c>
    </row>
    <row r="750">
      <c r="A750" s="3" t="s">
        <v>695</v>
      </c>
    </row>
    <row r="751">
      <c r="A751" s="3" t="s">
        <v>696</v>
      </c>
    </row>
    <row r="752">
      <c r="A752" s="6" t="s">
        <v>697</v>
      </c>
    </row>
    <row r="753">
      <c r="A753" s="4"/>
    </row>
    <row r="754">
      <c r="A754" s="11" t="s">
        <v>698</v>
      </c>
    </row>
    <row r="755">
      <c r="A755" s="4"/>
    </row>
    <row r="756">
      <c r="A756" s="9" t="s">
        <v>699</v>
      </c>
    </row>
    <row r="757">
      <c r="A757" s="4"/>
    </row>
    <row r="758">
      <c r="A758" s="13" t="s">
        <v>700</v>
      </c>
    </row>
    <row r="759">
      <c r="A759" s="13" t="s">
        <v>701</v>
      </c>
    </row>
    <row r="760">
      <c r="A760" s="13" t="s">
        <v>702</v>
      </c>
    </row>
    <row r="761">
      <c r="A761" s="4"/>
    </row>
    <row r="762">
      <c r="A762" s="9" t="s">
        <v>703</v>
      </c>
    </row>
    <row r="763">
      <c r="A763" s="4"/>
    </row>
    <row r="764">
      <c r="A764" s="6" t="s">
        <v>704</v>
      </c>
    </row>
    <row r="765">
      <c r="A765" s="6" t="s">
        <v>705</v>
      </c>
    </row>
    <row r="766">
      <c r="A766" s="6" t="s">
        <v>706</v>
      </c>
    </row>
    <row r="767">
      <c r="A767" s="6" t="s">
        <v>707</v>
      </c>
    </row>
    <row r="768">
      <c r="A768" s="4"/>
    </row>
    <row r="769">
      <c r="A769" s="9" t="s">
        <v>708</v>
      </c>
    </row>
    <row r="770">
      <c r="A770" s="4"/>
    </row>
    <row r="771">
      <c r="A771" s="3" t="s">
        <v>709</v>
      </c>
    </row>
    <row r="772">
      <c r="A772" s="3" t="s">
        <v>710</v>
      </c>
    </row>
    <row r="773">
      <c r="A773" s="3" t="s">
        <v>711</v>
      </c>
    </row>
    <row r="774">
      <c r="A774" s="3" t="s">
        <v>712</v>
      </c>
    </row>
    <row r="775">
      <c r="A775" s="3" t="s">
        <v>713</v>
      </c>
    </row>
    <row r="776">
      <c r="A776" s="3" t="s">
        <v>714</v>
      </c>
    </row>
    <row r="777">
      <c r="A777" s="3" t="s">
        <v>715</v>
      </c>
    </row>
    <row r="778">
      <c r="A778" s="6" t="s">
        <v>716</v>
      </c>
    </row>
    <row r="779">
      <c r="A779" s="6" t="s">
        <v>717</v>
      </c>
    </row>
    <row r="780">
      <c r="A780" s="6" t="s">
        <v>718</v>
      </c>
    </row>
    <row r="781">
      <c r="A781" s="6" t="s">
        <v>719</v>
      </c>
    </row>
    <row r="782">
      <c r="A782" s="6" t="s">
        <v>720</v>
      </c>
    </row>
    <row r="783">
      <c r="A783" s="6" t="s">
        <v>721</v>
      </c>
    </row>
    <row r="784">
      <c r="A784" s="6" t="s">
        <v>722</v>
      </c>
    </row>
    <row r="785">
      <c r="A785" s="6" t="s">
        <v>723</v>
      </c>
    </row>
    <row r="786">
      <c r="A786" s="6" t="s">
        <v>724</v>
      </c>
    </row>
    <row r="787">
      <c r="A787" s="6" t="s">
        <v>725</v>
      </c>
    </row>
    <row r="788">
      <c r="A788" s="6" t="s">
        <v>726</v>
      </c>
    </row>
    <row r="789">
      <c r="A789" s="6" t="s">
        <v>727</v>
      </c>
    </row>
    <row r="790">
      <c r="A790" s="6" t="s">
        <v>728</v>
      </c>
    </row>
    <row r="791">
      <c r="A791" s="6" t="s">
        <v>729</v>
      </c>
    </row>
    <row r="792">
      <c r="A792" s="6" t="s">
        <v>730</v>
      </c>
    </row>
    <row r="793">
      <c r="A793" s="6" t="s">
        <v>731</v>
      </c>
    </row>
    <row r="794">
      <c r="A794" s="6" t="s">
        <v>732</v>
      </c>
    </row>
    <row r="795">
      <c r="A795" s="6" t="s">
        <v>733</v>
      </c>
    </row>
    <row r="796">
      <c r="A796" s="6" t="s">
        <v>734</v>
      </c>
    </row>
    <row r="797">
      <c r="A797" s="6" t="s">
        <v>735</v>
      </c>
    </row>
    <row r="798">
      <c r="A798" s="6" t="s">
        <v>736</v>
      </c>
    </row>
    <row r="799">
      <c r="A799" s="6" t="s">
        <v>737</v>
      </c>
    </row>
    <row r="800">
      <c r="A800" s="6" t="s">
        <v>738</v>
      </c>
    </row>
    <row r="801">
      <c r="A801" s="6" t="s">
        <v>739</v>
      </c>
    </row>
    <row r="802">
      <c r="A802" s="6" t="s">
        <v>740</v>
      </c>
    </row>
    <row r="803">
      <c r="A803" s="6" t="s">
        <v>741</v>
      </c>
    </row>
    <row r="804">
      <c r="A804" s="6" t="s">
        <v>742</v>
      </c>
    </row>
    <row r="805">
      <c r="A805" s="6" t="s">
        <v>743</v>
      </c>
    </row>
    <row r="806">
      <c r="A806" s="6" t="s">
        <v>744</v>
      </c>
    </row>
    <row r="807">
      <c r="A807" s="6" t="s">
        <v>745</v>
      </c>
    </row>
    <row r="808">
      <c r="A808" s="6" t="s">
        <v>746</v>
      </c>
    </row>
    <row r="809">
      <c r="A809" s="6" t="s">
        <v>747</v>
      </c>
    </row>
    <row r="810">
      <c r="A810" s="6" t="s">
        <v>748</v>
      </c>
    </row>
    <row r="811">
      <c r="A811" s="6" t="s">
        <v>749</v>
      </c>
    </row>
    <row r="812">
      <c r="A812" s="6" t="s">
        <v>750</v>
      </c>
    </row>
    <row r="813">
      <c r="A813" s="6" t="s">
        <v>751</v>
      </c>
    </row>
    <row r="814">
      <c r="A814" s="6" t="s">
        <v>752</v>
      </c>
    </row>
    <row r="815">
      <c r="A815" s="6" t="s">
        <v>753</v>
      </c>
    </row>
    <row r="816">
      <c r="A816" s="6" t="s">
        <v>754</v>
      </c>
    </row>
    <row r="817">
      <c r="A817" s="6" t="s">
        <v>755</v>
      </c>
    </row>
    <row r="818">
      <c r="A818" s="6" t="s">
        <v>756</v>
      </c>
    </row>
    <row r="819">
      <c r="A819" s="6" t="s">
        <v>757</v>
      </c>
    </row>
    <row r="820">
      <c r="A820" s="6" t="s">
        <v>758</v>
      </c>
    </row>
    <row r="821">
      <c r="A821" s="6" t="s">
        <v>759</v>
      </c>
    </row>
    <row r="822">
      <c r="A822" s="6" t="s">
        <v>760</v>
      </c>
    </row>
    <row r="823">
      <c r="A823" s="6" t="s">
        <v>761</v>
      </c>
    </row>
    <row r="824">
      <c r="A824" s="6" t="s">
        <v>762</v>
      </c>
    </row>
    <row r="825">
      <c r="A825" s="6" t="s">
        <v>763</v>
      </c>
    </row>
    <row r="826">
      <c r="A826" s="6" t="s">
        <v>764</v>
      </c>
    </row>
    <row r="827">
      <c r="A827" s="6" t="s">
        <v>765</v>
      </c>
    </row>
    <row r="828">
      <c r="A828" s="6" t="s">
        <v>766</v>
      </c>
    </row>
    <row r="829">
      <c r="A829" s="6" t="s">
        <v>767</v>
      </c>
    </row>
    <row r="830">
      <c r="A830" s="6" t="s">
        <v>768</v>
      </c>
    </row>
    <row r="831">
      <c r="A831" s="6" t="s">
        <v>769</v>
      </c>
    </row>
    <row r="832">
      <c r="A832" s="6" t="s">
        <v>770</v>
      </c>
    </row>
    <row r="833">
      <c r="A833" s="6" t="s">
        <v>771</v>
      </c>
    </row>
    <row r="834">
      <c r="A834" s="6" t="s">
        <v>772</v>
      </c>
    </row>
    <row r="835">
      <c r="A835" s="6" t="s">
        <v>773</v>
      </c>
    </row>
    <row r="836">
      <c r="A836" s="6" t="s">
        <v>774</v>
      </c>
    </row>
    <row r="837">
      <c r="A837" s="6" t="s">
        <v>775</v>
      </c>
    </row>
    <row r="838">
      <c r="A838" s="6" t="s">
        <v>776</v>
      </c>
    </row>
    <row r="839">
      <c r="A839" s="6" t="s">
        <v>777</v>
      </c>
    </row>
    <row r="840">
      <c r="A840" s="6" t="s">
        <v>778</v>
      </c>
    </row>
    <row r="841">
      <c r="A841" s="6" t="s">
        <v>779</v>
      </c>
    </row>
    <row r="842">
      <c r="A842" s="6" t="s">
        <v>780</v>
      </c>
    </row>
    <row r="843">
      <c r="A843" s="6" t="s">
        <v>781</v>
      </c>
    </row>
    <row r="844">
      <c r="A844" s="6" t="s">
        <v>782</v>
      </c>
    </row>
    <row r="845">
      <c r="A845" s="6" t="s">
        <v>783</v>
      </c>
    </row>
    <row r="846">
      <c r="A846" s="6" t="s">
        <v>784</v>
      </c>
    </row>
    <row r="847">
      <c r="A847" s="6" t="s">
        <v>785</v>
      </c>
    </row>
    <row r="848">
      <c r="A848" s="6" t="s">
        <v>786</v>
      </c>
    </row>
    <row r="849">
      <c r="A849" s="6" t="s">
        <v>787</v>
      </c>
    </row>
    <row r="850">
      <c r="A850" s="6" t="s">
        <v>788</v>
      </c>
    </row>
    <row r="851">
      <c r="A851" s="4"/>
    </row>
    <row r="852">
      <c r="A852" s="14" t="s">
        <v>789</v>
      </c>
    </row>
    <row r="853">
      <c r="A853" s="4"/>
    </row>
    <row r="854">
      <c r="A854" s="9" t="s">
        <v>790</v>
      </c>
    </row>
    <row r="855">
      <c r="A855" s="4"/>
    </row>
    <row r="856">
      <c r="A856" s="5" t="s">
        <v>12</v>
      </c>
    </row>
    <row r="857">
      <c r="A857" s="4"/>
    </row>
    <row r="858">
      <c r="A858" s="6" t="s">
        <v>791</v>
      </c>
    </row>
    <row r="859">
      <c r="A859" s="6" t="s">
        <v>792</v>
      </c>
    </row>
    <row r="860">
      <c r="A860" s="6" t="s">
        <v>793</v>
      </c>
    </row>
    <row r="861">
      <c r="A861" s="6" t="s">
        <v>794</v>
      </c>
    </row>
    <row r="862">
      <c r="A862" s="6" t="s">
        <v>795</v>
      </c>
    </row>
    <row r="863">
      <c r="A863" s="6" t="s">
        <v>796</v>
      </c>
    </row>
    <row r="864">
      <c r="A864" s="6" t="s">
        <v>797</v>
      </c>
    </row>
    <row r="865">
      <c r="A865" s="6" t="s">
        <v>798</v>
      </c>
    </row>
    <row r="866">
      <c r="A866" s="6" t="s">
        <v>799</v>
      </c>
    </row>
    <row r="867">
      <c r="A867" s="6" t="s">
        <v>800</v>
      </c>
    </row>
    <row r="868">
      <c r="A868" s="6" t="s">
        <v>801</v>
      </c>
    </row>
    <row r="869">
      <c r="A869" s="6" t="s">
        <v>802</v>
      </c>
    </row>
    <row r="870">
      <c r="A870" s="6" t="s">
        <v>84</v>
      </c>
    </row>
    <row r="871">
      <c r="A871" s="6" t="s">
        <v>803</v>
      </c>
    </row>
    <row r="872">
      <c r="A872" s="6" t="s">
        <v>102</v>
      </c>
    </row>
    <row r="873">
      <c r="A873" s="6" t="s">
        <v>804</v>
      </c>
    </row>
    <row r="874">
      <c r="A874" s="6" t="s">
        <v>805</v>
      </c>
    </row>
    <row r="875">
      <c r="A875" s="6" t="s">
        <v>806</v>
      </c>
    </row>
    <row r="876">
      <c r="A876" s="6" t="s">
        <v>807</v>
      </c>
    </row>
    <row r="877">
      <c r="A877" s="6" t="s">
        <v>808</v>
      </c>
    </row>
    <row r="878">
      <c r="A878" s="6" t="s">
        <v>809</v>
      </c>
    </row>
    <row r="879">
      <c r="A879" s="6" t="s">
        <v>810</v>
      </c>
    </row>
    <row r="880">
      <c r="A880" s="4"/>
    </row>
    <row r="881">
      <c r="A881" s="5" t="s">
        <v>811</v>
      </c>
    </row>
    <row r="882">
      <c r="A882" s="4"/>
    </row>
    <row r="883">
      <c r="A883" s="3" t="s">
        <v>812</v>
      </c>
    </row>
    <row r="884">
      <c r="A884" s="3" t="s">
        <v>813</v>
      </c>
    </row>
    <row r="885">
      <c r="A885" s="3" t="s">
        <v>814</v>
      </c>
    </row>
    <row r="886">
      <c r="A886" s="6" t="s">
        <v>815</v>
      </c>
    </row>
    <row r="887">
      <c r="A887" s="6" t="s">
        <v>816</v>
      </c>
    </row>
    <row r="888">
      <c r="A888" s="6" t="s">
        <v>817</v>
      </c>
    </row>
    <row r="889">
      <c r="A889" s="6" t="s">
        <v>818</v>
      </c>
    </row>
    <row r="890">
      <c r="A890" s="6" t="s">
        <v>819</v>
      </c>
    </row>
    <row r="891">
      <c r="A891" s="6" t="s">
        <v>820</v>
      </c>
    </row>
    <row r="892">
      <c r="A892" s="6" t="s">
        <v>821</v>
      </c>
    </row>
    <row r="893">
      <c r="A893" s="6" t="s">
        <v>822</v>
      </c>
    </row>
    <row r="894">
      <c r="A894" s="6" t="s">
        <v>823</v>
      </c>
    </row>
    <row r="895">
      <c r="A895" s="6" t="s">
        <v>824</v>
      </c>
    </row>
    <row r="896">
      <c r="A896" s="7" t="s">
        <v>825</v>
      </c>
    </row>
    <row r="897">
      <c r="A897" s="8" t="s">
        <v>826</v>
      </c>
    </row>
    <row r="898">
      <c r="A898" s="8" t="s">
        <v>827</v>
      </c>
    </row>
    <row r="899">
      <c r="A899" s="8" t="s">
        <v>828</v>
      </c>
    </row>
    <row r="900">
      <c r="A900" s="8" t="s">
        <v>829</v>
      </c>
    </row>
    <row r="901">
      <c r="A901" s="8" t="s">
        <v>830</v>
      </c>
    </row>
    <row r="902">
      <c r="A902" s="8" t="s">
        <v>831</v>
      </c>
    </row>
    <row r="903">
      <c r="A903" s="8" t="s">
        <v>832</v>
      </c>
    </row>
    <row r="904">
      <c r="A904" s="8" t="s">
        <v>833</v>
      </c>
    </row>
    <row r="905">
      <c r="A905" s="8" t="s">
        <v>834</v>
      </c>
    </row>
    <row r="906">
      <c r="A906" s="8" t="s">
        <v>835</v>
      </c>
    </row>
    <row r="907">
      <c r="A907" s="8" t="s">
        <v>836</v>
      </c>
    </row>
    <row r="908">
      <c r="A908" s="8" t="s">
        <v>837</v>
      </c>
    </row>
    <row r="909">
      <c r="A909" s="8" t="s">
        <v>838</v>
      </c>
    </row>
    <row r="910">
      <c r="A910" s="4"/>
    </row>
    <row r="911">
      <c r="A911" s="10" t="s">
        <v>839</v>
      </c>
    </row>
    <row r="912">
      <c r="A912" s="4"/>
    </row>
    <row r="913">
      <c r="A913" s="9" t="s">
        <v>840</v>
      </c>
    </row>
    <row r="914">
      <c r="A914" s="4"/>
    </row>
    <row r="915">
      <c r="A915" s="3" t="s">
        <v>841</v>
      </c>
    </row>
    <row r="916">
      <c r="A916" s="3" t="s">
        <v>842</v>
      </c>
    </row>
    <row r="917">
      <c r="A917" s="6" t="s">
        <v>843</v>
      </c>
    </row>
    <row r="918">
      <c r="A918" s="6" t="s">
        <v>844</v>
      </c>
    </row>
    <row r="919">
      <c r="A919" s="4"/>
    </row>
    <row r="920">
      <c r="A920" s="10" t="s">
        <v>845</v>
      </c>
    </row>
    <row r="921">
      <c r="A921" s="4"/>
    </row>
    <row r="922">
      <c r="A922" s="9" t="s">
        <v>846</v>
      </c>
    </row>
    <row r="923">
      <c r="A923" s="4"/>
    </row>
    <row r="924">
      <c r="A924" s="3" t="s">
        <v>847</v>
      </c>
    </row>
    <row r="925">
      <c r="A925" s="3" t="s">
        <v>848</v>
      </c>
    </row>
    <row r="926">
      <c r="A926" s="4"/>
    </row>
    <row r="927">
      <c r="A927" s="9" t="s">
        <v>849</v>
      </c>
    </row>
    <row r="928">
      <c r="A928" s="4"/>
    </row>
    <row r="929">
      <c r="A929" s="3" t="s">
        <v>850</v>
      </c>
    </row>
    <row r="930">
      <c r="A930" s="3" t="s">
        <v>851</v>
      </c>
    </row>
    <row r="931">
      <c r="A931" s="3" t="s">
        <v>852</v>
      </c>
    </row>
    <row r="932">
      <c r="A932" s="3" t="s">
        <v>853</v>
      </c>
    </row>
    <row r="933">
      <c r="A933" s="4"/>
    </row>
    <row r="934">
      <c r="A934" s="11" t="s">
        <v>854</v>
      </c>
    </row>
    <row r="935">
      <c r="A935" s="4"/>
    </row>
    <row r="936">
      <c r="A936" s="9" t="s">
        <v>855</v>
      </c>
    </row>
    <row r="937">
      <c r="A937" s="4"/>
    </row>
    <row r="938">
      <c r="A938" s="3" t="s">
        <v>856</v>
      </c>
    </row>
    <row r="939">
      <c r="A939" s="3" t="s">
        <v>857</v>
      </c>
    </row>
    <row r="940">
      <c r="A940" s="3" t="s">
        <v>261</v>
      </c>
    </row>
    <row r="941">
      <c r="A941" s="3" t="s">
        <v>262</v>
      </c>
    </row>
    <row r="942">
      <c r="A942" s="3" t="s">
        <v>858</v>
      </c>
    </row>
    <row r="943">
      <c r="A943" s="3" t="s">
        <v>859</v>
      </c>
    </row>
    <row r="944">
      <c r="A944" s="3" t="s">
        <v>860</v>
      </c>
    </row>
    <row r="945">
      <c r="A945" s="3" t="s">
        <v>861</v>
      </c>
    </row>
    <row r="946">
      <c r="A946" s="4"/>
    </row>
    <row r="947">
      <c r="A947" s="9" t="s">
        <v>862</v>
      </c>
    </row>
    <row r="948">
      <c r="A948" s="4"/>
    </row>
    <row r="949">
      <c r="A949" s="3" t="s">
        <v>238</v>
      </c>
    </row>
    <row r="950">
      <c r="A950" s="3" t="s">
        <v>245</v>
      </c>
    </row>
    <row r="951">
      <c r="A951" s="3" t="s">
        <v>863</v>
      </c>
    </row>
    <row r="952">
      <c r="A952" s="7" t="s">
        <v>864</v>
      </c>
    </row>
    <row r="953">
      <c r="A953" s="7" t="s">
        <v>259</v>
      </c>
    </row>
    <row r="954">
      <c r="A954" s="7" t="s">
        <v>865</v>
      </c>
    </row>
    <row r="955">
      <c r="A955" s="7" t="s">
        <v>866</v>
      </c>
    </row>
    <row r="956">
      <c r="A956" s="7" t="s">
        <v>867</v>
      </c>
    </row>
    <row r="957">
      <c r="A957" s="7" t="s">
        <v>868</v>
      </c>
    </row>
    <row r="958">
      <c r="A958" s="4"/>
    </row>
    <row r="959">
      <c r="A959" s="11" t="s">
        <v>869</v>
      </c>
    </row>
    <row r="960">
      <c r="A960" s="4"/>
    </row>
    <row r="961">
      <c r="A961" s="9" t="s">
        <v>870</v>
      </c>
    </row>
    <row r="962">
      <c r="A962" s="4"/>
    </row>
    <row r="963">
      <c r="A963" s="7" t="s">
        <v>871</v>
      </c>
    </row>
    <row r="964">
      <c r="A964" s="7" t="s">
        <v>391</v>
      </c>
    </row>
    <row r="965">
      <c r="A965" s="7" t="s">
        <v>872</v>
      </c>
    </row>
    <row r="966">
      <c r="A966" s="7" t="s">
        <v>873</v>
      </c>
    </row>
    <row r="967">
      <c r="A967" s="7" t="s">
        <v>874</v>
      </c>
    </row>
    <row r="968">
      <c r="A968" s="7" t="s">
        <v>337</v>
      </c>
    </row>
    <row r="969">
      <c r="A969" s="7" t="s">
        <v>875</v>
      </c>
    </row>
    <row r="970">
      <c r="A970" s="7" t="s">
        <v>876</v>
      </c>
    </row>
    <row r="971">
      <c r="A971" s="7" t="s">
        <v>877</v>
      </c>
    </row>
    <row r="972">
      <c r="A972" s="4"/>
    </row>
    <row r="973">
      <c r="A973" s="9" t="s">
        <v>878</v>
      </c>
    </row>
    <row r="974">
      <c r="A974" s="4"/>
    </row>
    <row r="975">
      <c r="A975" s="6" t="s">
        <v>879</v>
      </c>
    </row>
    <row r="976">
      <c r="A976" s="6" t="s">
        <v>880</v>
      </c>
    </row>
    <row r="977">
      <c r="A977" s="6" t="s">
        <v>881</v>
      </c>
    </row>
    <row r="978">
      <c r="A978" s="6" t="s">
        <v>882</v>
      </c>
    </row>
    <row r="979">
      <c r="A979" s="4"/>
    </row>
    <row r="980">
      <c r="A980" s="12" t="s">
        <v>883</v>
      </c>
    </row>
    <row r="981">
      <c r="A981" s="4"/>
    </row>
    <row r="982">
      <c r="A982" s="9" t="s">
        <v>884</v>
      </c>
    </row>
    <row r="983">
      <c r="A983" s="4"/>
    </row>
    <row r="984">
      <c r="A984" s="6" t="s">
        <v>885</v>
      </c>
    </row>
    <row r="985">
      <c r="A985" s="6" t="s">
        <v>242</v>
      </c>
    </row>
    <row r="986">
      <c r="A986" s="6" t="s">
        <v>886</v>
      </c>
    </row>
    <row r="987">
      <c r="A987" s="6" t="s">
        <v>887</v>
      </c>
    </row>
    <row r="988">
      <c r="A988" s="6" t="s">
        <v>137</v>
      </c>
    </row>
    <row r="989">
      <c r="A989" s="6" t="s">
        <v>374</v>
      </c>
    </row>
    <row r="990">
      <c r="A990" s="6" t="s">
        <v>888</v>
      </c>
    </row>
    <row r="991">
      <c r="A991" s="6" t="s">
        <v>889</v>
      </c>
    </row>
    <row r="992">
      <c r="A992" s="6" t="s">
        <v>890</v>
      </c>
    </row>
    <row r="993">
      <c r="A993" s="6" t="s">
        <v>891</v>
      </c>
    </row>
    <row r="994">
      <c r="A994" s="6" t="s">
        <v>892</v>
      </c>
    </row>
    <row r="995">
      <c r="A995" s="6" t="s">
        <v>893</v>
      </c>
    </row>
    <row r="996">
      <c r="A996" s="6" t="s">
        <v>894</v>
      </c>
    </row>
    <row r="997">
      <c r="A997" s="6" t="s">
        <v>895</v>
      </c>
    </row>
    <row r="998">
      <c r="A998" s="6" t="s">
        <v>896</v>
      </c>
    </row>
    <row r="999">
      <c r="A999" s="6" t="s">
        <v>280</v>
      </c>
    </row>
    <row r="1000">
      <c r="A1000" s="6" t="s">
        <v>897</v>
      </c>
    </row>
    <row r="1001">
      <c r="A1001" s="6" t="s">
        <v>898</v>
      </c>
    </row>
    <row r="1002">
      <c r="A1002" s="6" t="s">
        <v>899</v>
      </c>
    </row>
    <row r="1003">
      <c r="A1003" s="6" t="s">
        <v>900</v>
      </c>
    </row>
    <row r="1004">
      <c r="A1004" s="6" t="s">
        <v>901</v>
      </c>
    </row>
    <row r="1005">
      <c r="A1005" s="6" t="s">
        <v>902</v>
      </c>
    </row>
    <row r="1006">
      <c r="A1006" s="6" t="s">
        <v>903</v>
      </c>
    </row>
    <row r="1007">
      <c r="A1007" s="6" t="s">
        <v>904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7"/>
    <hyperlink r:id="rId13" ref="A18"/>
    <hyperlink r:id="rId14" ref="A19"/>
    <hyperlink r:id="rId15" ref="A20"/>
    <hyperlink r:id="rId16" ref="A21"/>
    <hyperlink r:id="rId17" ref="A22"/>
    <hyperlink r:id="rId18" ref="A23"/>
    <hyperlink r:id="rId19" ref="A24"/>
    <hyperlink r:id="rId20" ref="A25"/>
    <hyperlink r:id="rId21" ref="A26"/>
    <hyperlink r:id="rId22" ref="A27"/>
    <hyperlink r:id="rId23" ref="A28"/>
    <hyperlink r:id="rId24" ref="A29"/>
    <hyperlink r:id="rId25" ref="A30"/>
    <hyperlink r:id="rId26" ref="A31"/>
    <hyperlink r:id="rId27" ref="A32"/>
    <hyperlink r:id="rId28" ref="A33"/>
    <hyperlink r:id="rId29" ref="A34"/>
    <hyperlink r:id="rId30" ref="A35"/>
    <hyperlink r:id="rId31" ref="A36"/>
    <hyperlink r:id="rId32" ref="A37"/>
    <hyperlink r:id="rId33" ref="A38"/>
    <hyperlink r:id="rId34" ref="A39"/>
    <hyperlink r:id="rId35" ref="A40"/>
    <hyperlink r:id="rId36" ref="A41"/>
    <hyperlink r:id="rId37" ref="A42"/>
    <hyperlink r:id="rId38" ref="A43"/>
    <hyperlink r:id="rId39" ref="A44"/>
    <hyperlink r:id="rId40" ref="A45"/>
    <hyperlink r:id="rId41" ref="A46"/>
    <hyperlink r:id="rId42" ref="A47"/>
    <hyperlink r:id="rId43" ref="A48"/>
    <hyperlink r:id="rId44" ref="A49"/>
    <hyperlink r:id="rId45" ref="A50"/>
    <hyperlink r:id="rId46" ref="A51"/>
    <hyperlink r:id="rId47" ref="A52"/>
    <hyperlink r:id="rId48" ref="A53"/>
    <hyperlink r:id="rId49" ref="A54"/>
    <hyperlink r:id="rId50" ref="A55"/>
    <hyperlink r:id="rId51" ref="A56"/>
    <hyperlink r:id="rId52" ref="A57"/>
    <hyperlink r:id="rId53" ref="A58"/>
    <hyperlink r:id="rId54" ref="A59"/>
    <hyperlink r:id="rId55" ref="A60"/>
    <hyperlink r:id="rId56" ref="A61"/>
    <hyperlink r:id="rId57" ref="A62"/>
    <hyperlink r:id="rId58" ref="A63"/>
    <hyperlink r:id="rId59" ref="A64"/>
    <hyperlink r:id="rId60" ref="A65"/>
    <hyperlink r:id="rId61" ref="A66"/>
    <hyperlink r:id="rId62" ref="A67"/>
    <hyperlink r:id="rId63" ref="A68"/>
    <hyperlink r:id="rId64" ref="A69"/>
    <hyperlink r:id="rId65" ref="A70"/>
    <hyperlink r:id="rId66" ref="A71"/>
    <hyperlink r:id="rId67" ref="A72"/>
    <hyperlink r:id="rId68" ref="A73"/>
    <hyperlink r:id="rId69" ref="A74"/>
    <hyperlink r:id="rId70" ref="A75"/>
    <hyperlink r:id="rId71" ref="A76"/>
    <hyperlink r:id="rId72" ref="A77"/>
    <hyperlink r:id="rId73" ref="A78"/>
    <hyperlink r:id="rId74" ref="A79"/>
    <hyperlink r:id="rId75" ref="A80"/>
    <hyperlink r:id="rId76" ref="A81"/>
    <hyperlink r:id="rId77" ref="A82"/>
    <hyperlink r:id="rId78" ref="A83"/>
    <hyperlink r:id="rId79" ref="A84"/>
    <hyperlink r:id="rId80" ref="A85"/>
    <hyperlink r:id="rId81" ref="A86"/>
    <hyperlink r:id="rId82" ref="A87"/>
    <hyperlink r:id="rId83" ref="A88"/>
    <hyperlink r:id="rId84" ref="A89"/>
    <hyperlink r:id="rId85" ref="A90"/>
    <hyperlink r:id="rId86" ref="A91"/>
    <hyperlink r:id="rId87" ref="A92"/>
    <hyperlink r:id="rId88" ref="A93"/>
    <hyperlink r:id="rId89" ref="A94"/>
    <hyperlink r:id="rId90" ref="A95"/>
    <hyperlink r:id="rId91" ref="A96"/>
    <hyperlink r:id="rId92" ref="A97"/>
    <hyperlink r:id="rId93" ref="A98"/>
    <hyperlink r:id="rId94" ref="A99"/>
    <hyperlink r:id="rId95" ref="A100"/>
    <hyperlink r:id="rId96" ref="A101"/>
    <hyperlink r:id="rId97" ref="A102"/>
    <hyperlink r:id="rId98" ref="A103"/>
    <hyperlink r:id="rId99" ref="A104"/>
    <hyperlink r:id="rId100" ref="A105"/>
    <hyperlink r:id="rId101" ref="A106"/>
    <hyperlink r:id="rId102" ref="A107"/>
    <hyperlink r:id="rId103" ref="A108"/>
    <hyperlink r:id="rId104" ref="A109"/>
    <hyperlink r:id="rId105" ref="A110"/>
    <hyperlink r:id="rId106" ref="A111"/>
    <hyperlink r:id="rId107" ref="A112"/>
    <hyperlink r:id="rId108" ref="A113"/>
    <hyperlink r:id="rId109" ref="A114"/>
    <hyperlink r:id="rId110" ref="A115"/>
    <hyperlink r:id="rId111" ref="A116"/>
    <hyperlink r:id="rId112" ref="A117"/>
    <hyperlink r:id="rId113" ref="A118"/>
    <hyperlink r:id="rId114" ref="A119"/>
    <hyperlink r:id="rId115" ref="A120"/>
    <hyperlink r:id="rId116" ref="A121"/>
    <hyperlink r:id="rId117" ref="A122"/>
    <hyperlink r:id="rId118" ref="A123"/>
    <hyperlink r:id="rId119" ref="A127"/>
    <hyperlink r:id="rId120" ref="A128"/>
    <hyperlink r:id="rId121" ref="A129"/>
    <hyperlink r:id="rId122" ref="A130"/>
    <hyperlink r:id="rId123" ref="A131"/>
    <hyperlink r:id="rId124" ref="A132"/>
    <hyperlink r:id="rId125" ref="A133"/>
    <hyperlink r:id="rId126" ref="A134"/>
    <hyperlink r:id="rId127" ref="A135"/>
    <hyperlink r:id="rId128" ref="A136"/>
    <hyperlink r:id="rId129" ref="A137"/>
    <hyperlink r:id="rId130" ref="A138"/>
    <hyperlink r:id="rId131" ref="A139"/>
    <hyperlink r:id="rId132" ref="A140"/>
    <hyperlink r:id="rId133" ref="A141"/>
    <hyperlink r:id="rId134" ref="A142"/>
    <hyperlink r:id="rId135" ref="A143"/>
    <hyperlink r:id="rId136" ref="A144"/>
    <hyperlink r:id="rId137" ref="A145"/>
    <hyperlink r:id="rId138" ref="A146"/>
    <hyperlink r:id="rId139" ref="A147"/>
    <hyperlink r:id="rId140" ref="A148"/>
    <hyperlink r:id="rId141" ref="A149"/>
    <hyperlink r:id="rId142" ref="A150"/>
    <hyperlink r:id="rId143" ref="A151"/>
    <hyperlink r:id="rId144" ref="A152"/>
    <hyperlink r:id="rId145" ref="A153"/>
    <hyperlink r:id="rId146" ref="A154"/>
    <hyperlink r:id="rId147" ref="A155"/>
    <hyperlink r:id="rId148" ref="A156"/>
    <hyperlink r:id="rId149" ref="A157"/>
    <hyperlink r:id="rId150" ref="A158"/>
    <hyperlink r:id="rId151" ref="A159"/>
    <hyperlink r:id="rId152" ref="A160"/>
    <hyperlink r:id="rId153" ref="A161"/>
    <hyperlink r:id="rId154" ref="A162"/>
    <hyperlink r:id="rId155" ref="A163"/>
    <hyperlink r:id="rId156" ref="A164"/>
    <hyperlink r:id="rId157" ref="A165"/>
    <hyperlink r:id="rId158" ref="A166"/>
    <hyperlink r:id="rId159" ref="A167"/>
    <hyperlink r:id="rId160" ref="A168"/>
    <hyperlink r:id="rId161" ref="A169"/>
    <hyperlink r:id="rId162" ref="A170"/>
    <hyperlink r:id="rId163" ref="A171"/>
    <hyperlink r:id="rId164" ref="A172"/>
    <hyperlink r:id="rId165" ref="A173"/>
    <hyperlink r:id="rId166" ref="A174"/>
    <hyperlink r:id="rId167" ref="A175"/>
    <hyperlink r:id="rId168" ref="A176"/>
    <hyperlink r:id="rId169" ref="A177"/>
    <hyperlink r:id="rId170" ref="A178"/>
    <hyperlink r:id="rId171" ref="A179"/>
    <hyperlink r:id="rId172" ref="A180"/>
    <hyperlink r:id="rId173" ref="A181"/>
    <hyperlink r:id="rId174" ref="A182"/>
    <hyperlink r:id="rId175" ref="A183"/>
    <hyperlink r:id="rId176" ref="A184"/>
    <hyperlink r:id="rId177" ref="A185"/>
    <hyperlink r:id="rId178" ref="A186"/>
    <hyperlink r:id="rId179" ref="A187"/>
    <hyperlink r:id="rId180" ref="A188"/>
    <hyperlink r:id="rId181" ref="A189"/>
    <hyperlink r:id="rId182" ref="A190"/>
    <hyperlink r:id="rId183" ref="A191"/>
    <hyperlink r:id="rId184" ref="A192"/>
    <hyperlink r:id="rId185" ref="A193"/>
    <hyperlink r:id="rId186" ref="A194"/>
    <hyperlink r:id="rId187" ref="A195"/>
    <hyperlink r:id="rId188" ref="A196"/>
    <hyperlink r:id="rId189" ref="A197"/>
    <hyperlink r:id="rId190" ref="A198"/>
    <hyperlink r:id="rId191" ref="A199"/>
    <hyperlink r:id="rId192" ref="A200"/>
    <hyperlink r:id="rId193" ref="A201"/>
    <hyperlink r:id="rId194" ref="A202"/>
    <hyperlink r:id="rId195" ref="A203"/>
    <hyperlink r:id="rId196" ref="A204"/>
    <hyperlink r:id="rId197" ref="A205"/>
    <hyperlink r:id="rId198" ref="A206"/>
    <hyperlink r:id="rId199" ref="A207"/>
    <hyperlink r:id="rId200" ref="A208"/>
    <hyperlink r:id="rId201" ref="A209"/>
    <hyperlink r:id="rId202" ref="A210"/>
    <hyperlink r:id="rId203" ref="A211"/>
    <hyperlink r:id="rId204" ref="A212"/>
    <hyperlink r:id="rId205" ref="A213"/>
    <hyperlink r:id="rId206" ref="A214"/>
    <hyperlink r:id="rId207" ref="A215"/>
    <hyperlink r:id="rId208" ref="A216"/>
    <hyperlink r:id="rId209" ref="A217"/>
    <hyperlink r:id="rId210" ref="A218"/>
    <hyperlink r:id="rId211" ref="A219"/>
    <hyperlink r:id="rId212" ref="A220"/>
    <hyperlink r:id="rId213" ref="A221"/>
    <hyperlink r:id="rId214" ref="A222"/>
    <hyperlink r:id="rId215" ref="A223"/>
    <hyperlink r:id="rId216" ref="A224"/>
    <hyperlink r:id="rId217" ref="A225"/>
    <hyperlink r:id="rId218" ref="A226"/>
    <hyperlink r:id="rId219" ref="A227"/>
    <hyperlink r:id="rId220" ref="A228"/>
    <hyperlink r:id="rId221" ref="A229"/>
    <hyperlink r:id="rId222" ref="A230"/>
    <hyperlink r:id="rId223" ref="A231"/>
    <hyperlink r:id="rId224" ref="A232"/>
    <hyperlink r:id="rId225" ref="A233"/>
    <hyperlink r:id="rId226" ref="A234"/>
    <hyperlink r:id="rId227" ref="A235"/>
    <hyperlink r:id="rId228" ref="A236"/>
    <hyperlink r:id="rId229" ref="A237"/>
    <hyperlink r:id="rId230" ref="A238"/>
    <hyperlink r:id="rId231" ref="A239"/>
    <hyperlink r:id="rId232" ref="A240"/>
    <hyperlink r:id="rId233" ref="A241"/>
    <hyperlink r:id="rId234" ref="A242"/>
    <hyperlink r:id="rId235" ref="A243"/>
    <hyperlink r:id="rId236" ref="A244"/>
    <hyperlink r:id="rId237" ref="A248"/>
    <hyperlink r:id="rId238" ref="A249"/>
    <hyperlink r:id="rId239" ref="A250"/>
    <hyperlink r:id="rId240" ref="A251"/>
    <hyperlink r:id="rId241" ref="A252"/>
    <hyperlink r:id="rId242" ref="A253"/>
    <hyperlink r:id="rId243" ref="A254"/>
    <hyperlink r:id="rId244" ref="A255"/>
    <hyperlink r:id="rId245" ref="A256"/>
    <hyperlink r:id="rId246" ref="A257"/>
    <hyperlink r:id="rId247" ref="A258"/>
    <hyperlink r:id="rId248" ref="A259"/>
    <hyperlink r:id="rId249" ref="A260"/>
    <hyperlink r:id="rId250" ref="A261"/>
    <hyperlink r:id="rId251" ref="A262"/>
    <hyperlink r:id="rId252" ref="A263"/>
    <hyperlink r:id="rId253" ref="A264"/>
    <hyperlink r:id="rId254" ref="A265"/>
    <hyperlink r:id="rId255" ref="A266"/>
    <hyperlink r:id="rId256" ref="A267"/>
    <hyperlink r:id="rId257" ref="A268"/>
    <hyperlink r:id="rId258" ref="A269"/>
    <hyperlink r:id="rId259" ref="A270"/>
    <hyperlink r:id="rId260" ref="A271"/>
    <hyperlink r:id="rId261" ref="A272"/>
    <hyperlink r:id="rId262" ref="A273"/>
    <hyperlink r:id="rId263" ref="A274"/>
    <hyperlink r:id="rId264" ref="A275"/>
    <hyperlink r:id="rId265" ref="A276"/>
    <hyperlink r:id="rId266" ref="A277"/>
    <hyperlink r:id="rId267" ref="A278"/>
    <hyperlink r:id="rId268" ref="A279"/>
    <hyperlink r:id="rId269" ref="A280"/>
    <hyperlink r:id="rId270" ref="A281"/>
    <hyperlink r:id="rId271" ref="A282"/>
    <hyperlink r:id="rId272" ref="A283"/>
    <hyperlink r:id="rId273" ref="A284"/>
    <hyperlink r:id="rId274" ref="A285"/>
    <hyperlink r:id="rId275" ref="A286"/>
    <hyperlink r:id="rId276" ref="A287"/>
    <hyperlink r:id="rId277" ref="A288"/>
    <hyperlink r:id="rId278" ref="A289"/>
    <hyperlink r:id="rId279" ref="A290"/>
    <hyperlink r:id="rId280" ref="A291"/>
    <hyperlink r:id="rId281" ref="A292"/>
    <hyperlink r:id="rId282" ref="A293"/>
    <hyperlink r:id="rId283" ref="A294"/>
    <hyperlink r:id="rId284" ref="A295"/>
    <hyperlink r:id="rId285" ref="A296"/>
    <hyperlink r:id="rId286" ref="A297"/>
    <hyperlink r:id="rId287" ref="A298"/>
    <hyperlink r:id="rId288" ref="A299"/>
    <hyperlink r:id="rId289" ref="A300"/>
    <hyperlink r:id="rId290" ref="A301"/>
    <hyperlink r:id="rId291" ref="A302"/>
    <hyperlink r:id="rId292" ref="A303"/>
    <hyperlink r:id="rId293" ref="A304"/>
    <hyperlink r:id="rId294" ref="A305"/>
    <hyperlink r:id="rId295" ref="A306"/>
    <hyperlink r:id="rId296" ref="A307"/>
    <hyperlink r:id="rId297" ref="A308"/>
    <hyperlink r:id="rId298" ref="A309"/>
    <hyperlink r:id="rId299" ref="A310"/>
    <hyperlink r:id="rId300" ref="A311"/>
    <hyperlink r:id="rId301" ref="A312"/>
    <hyperlink r:id="rId302" ref="A313"/>
    <hyperlink r:id="rId303" ref="A314"/>
    <hyperlink r:id="rId304" ref="A315"/>
    <hyperlink r:id="rId305" ref="A316"/>
    <hyperlink r:id="rId306" ref="A317"/>
    <hyperlink r:id="rId307" ref="A318"/>
    <hyperlink r:id="rId308" ref="A319"/>
    <hyperlink r:id="rId309" ref="A320"/>
    <hyperlink r:id="rId310" ref="A321"/>
    <hyperlink r:id="rId311" ref="A322"/>
    <hyperlink r:id="rId312" ref="A323"/>
    <hyperlink r:id="rId313" ref="A329"/>
    <hyperlink r:id="rId314" ref="A330"/>
    <hyperlink r:id="rId315" ref="A331"/>
    <hyperlink r:id="rId316" ref="A332"/>
    <hyperlink r:id="rId317" ref="A333"/>
    <hyperlink r:id="rId318" ref="A334"/>
    <hyperlink r:id="rId319" ref="A335"/>
    <hyperlink r:id="rId320" ref="A336"/>
    <hyperlink r:id="rId321" ref="A337"/>
    <hyperlink r:id="rId322" ref="A338"/>
    <hyperlink r:id="rId323" ref="A339"/>
    <hyperlink r:id="rId324" ref="A340"/>
    <hyperlink r:id="rId325" ref="A341"/>
    <hyperlink r:id="rId326" ref="A342"/>
    <hyperlink r:id="rId327" ref="A343"/>
    <hyperlink r:id="rId328" ref="A344"/>
    <hyperlink r:id="rId329" ref="A345"/>
    <hyperlink r:id="rId330" ref="A346"/>
    <hyperlink r:id="rId331" ref="A347"/>
    <hyperlink r:id="rId332" ref="A348"/>
    <hyperlink r:id="rId333" ref="A349"/>
    <hyperlink r:id="rId334" ref="A350"/>
    <hyperlink r:id="rId335" ref="A351"/>
    <hyperlink r:id="rId336" ref="A352"/>
    <hyperlink r:id="rId337" ref="A353"/>
    <hyperlink r:id="rId338" ref="A354"/>
    <hyperlink r:id="rId339" ref="A355"/>
    <hyperlink r:id="rId340" ref="A356"/>
    <hyperlink r:id="rId341" ref="A360"/>
    <hyperlink r:id="rId342" ref="A361"/>
    <hyperlink r:id="rId343" ref="A362"/>
    <hyperlink r:id="rId344" ref="A363"/>
    <hyperlink r:id="rId345" ref="A364"/>
    <hyperlink r:id="rId346" ref="A365"/>
    <hyperlink r:id="rId347" ref="A366"/>
    <hyperlink r:id="rId348" ref="A367"/>
    <hyperlink r:id="rId349" ref="A368"/>
    <hyperlink r:id="rId350" ref="A369"/>
    <hyperlink r:id="rId351" ref="A370"/>
    <hyperlink r:id="rId352" ref="A371"/>
    <hyperlink r:id="rId353" ref="A372"/>
    <hyperlink r:id="rId354" ref="A373"/>
    <hyperlink r:id="rId355" ref="A374"/>
    <hyperlink r:id="rId356" ref="A375"/>
    <hyperlink r:id="rId357" ref="A376"/>
    <hyperlink r:id="rId358" ref="A377"/>
    <hyperlink r:id="rId359" ref="A378"/>
    <hyperlink r:id="rId360" ref="A379"/>
    <hyperlink r:id="rId361" ref="A380"/>
    <hyperlink r:id="rId362" ref="A381"/>
    <hyperlink r:id="rId363" ref="A382"/>
    <hyperlink r:id="rId364" ref="A383"/>
    <hyperlink r:id="rId365" ref="A384"/>
    <hyperlink r:id="rId366" ref="A385"/>
    <hyperlink r:id="rId367" ref="A386"/>
    <hyperlink r:id="rId368" ref="A387"/>
    <hyperlink r:id="rId369" ref="A388"/>
    <hyperlink r:id="rId370" ref="A389"/>
    <hyperlink r:id="rId371" ref="A390"/>
    <hyperlink r:id="rId372" ref="A391"/>
    <hyperlink r:id="rId373" ref="A392"/>
    <hyperlink r:id="rId374" ref="A393"/>
    <hyperlink r:id="rId375" ref="A394"/>
    <hyperlink r:id="rId376" ref="A395"/>
    <hyperlink r:id="rId377" ref="A396"/>
    <hyperlink r:id="rId378" ref="A397"/>
    <hyperlink r:id="rId379" ref="A398"/>
    <hyperlink r:id="rId380" ref="A399"/>
    <hyperlink r:id="rId381" ref="A400"/>
    <hyperlink r:id="rId382" ref="A401"/>
    <hyperlink r:id="rId383" ref="A402"/>
    <hyperlink r:id="rId384" ref="A403"/>
    <hyperlink r:id="rId385" ref="A404"/>
    <hyperlink r:id="rId386" ref="A405"/>
    <hyperlink r:id="rId387" ref="A406"/>
    <hyperlink r:id="rId388" ref="A407"/>
    <hyperlink r:id="rId389" ref="A408"/>
    <hyperlink r:id="rId390" ref="A409"/>
    <hyperlink r:id="rId391" ref="A410"/>
    <hyperlink r:id="rId392" ref="A411"/>
    <hyperlink r:id="rId393" ref="A412"/>
    <hyperlink r:id="rId394" ref="A413"/>
    <hyperlink r:id="rId395" ref="A414"/>
    <hyperlink r:id="rId396" ref="A415"/>
    <hyperlink r:id="rId397" ref="A416"/>
    <hyperlink r:id="rId398" ref="A417"/>
    <hyperlink r:id="rId399" ref="A418"/>
    <hyperlink r:id="rId400" ref="A419"/>
    <hyperlink r:id="rId401" ref="A420"/>
    <hyperlink r:id="rId402" ref="A421"/>
    <hyperlink r:id="rId403" ref="A422"/>
    <hyperlink r:id="rId404" ref="A423"/>
    <hyperlink r:id="rId405" ref="A424"/>
    <hyperlink r:id="rId406" ref="A425"/>
    <hyperlink r:id="rId407" ref="A426"/>
    <hyperlink r:id="rId408" ref="A427"/>
    <hyperlink r:id="rId409" ref="A428"/>
    <hyperlink r:id="rId410" ref="A429"/>
    <hyperlink r:id="rId411" ref="A430"/>
    <hyperlink r:id="rId412" ref="A431"/>
    <hyperlink r:id="rId413" ref="A432"/>
    <hyperlink r:id="rId414" ref="A433"/>
    <hyperlink r:id="rId415" ref="A434"/>
    <hyperlink r:id="rId416" ref="A435"/>
    <hyperlink r:id="rId417" ref="A436"/>
    <hyperlink r:id="rId418" ref="A437"/>
    <hyperlink r:id="rId419" ref="A438"/>
    <hyperlink r:id="rId420" ref="A439"/>
    <hyperlink r:id="rId421" ref="A440"/>
    <hyperlink r:id="rId422" ref="A441"/>
    <hyperlink r:id="rId423" ref="A442"/>
    <hyperlink r:id="rId424" ref="A443"/>
    <hyperlink r:id="rId425" ref="A444"/>
    <hyperlink r:id="rId426" ref="A445"/>
    <hyperlink r:id="rId427" ref="A446"/>
    <hyperlink r:id="rId428" ref="A447"/>
    <hyperlink r:id="rId429" ref="A448"/>
    <hyperlink r:id="rId430" ref="A449"/>
    <hyperlink r:id="rId431" ref="A450"/>
    <hyperlink r:id="rId432" ref="A451"/>
    <hyperlink r:id="rId433" ref="A452"/>
    <hyperlink r:id="rId434" ref="A453"/>
    <hyperlink r:id="rId435" ref="A454"/>
    <hyperlink r:id="rId436" ref="A455"/>
    <hyperlink r:id="rId437" ref="A456"/>
    <hyperlink r:id="rId438" ref="A457"/>
    <hyperlink r:id="rId439" ref="A458"/>
    <hyperlink r:id="rId440" ref="A459"/>
    <hyperlink r:id="rId441" ref="A460"/>
    <hyperlink r:id="rId442" ref="A461"/>
    <hyperlink r:id="rId443" ref="A462"/>
    <hyperlink r:id="rId444" ref="A463"/>
    <hyperlink r:id="rId445" ref="A464"/>
    <hyperlink r:id="rId446" ref="A465"/>
    <hyperlink r:id="rId447" ref="A466"/>
    <hyperlink r:id="rId448" ref="A467"/>
    <hyperlink r:id="rId449" ref="A468"/>
    <hyperlink r:id="rId450" ref="A469"/>
    <hyperlink r:id="rId451" ref="A470"/>
    <hyperlink r:id="rId452" ref="A471"/>
    <hyperlink r:id="rId453" ref="A472"/>
    <hyperlink r:id="rId454" ref="A473"/>
    <hyperlink r:id="rId455" ref="A474"/>
    <hyperlink r:id="rId456" ref="A475"/>
    <hyperlink r:id="rId457" ref="A476"/>
    <hyperlink r:id="rId458" ref="A477"/>
    <hyperlink r:id="rId459" ref="A478"/>
    <hyperlink r:id="rId460" ref="A479"/>
    <hyperlink r:id="rId461" ref="A480"/>
    <hyperlink r:id="rId462" ref="A481"/>
    <hyperlink r:id="rId463" ref="A482"/>
    <hyperlink r:id="rId464" ref="A483"/>
    <hyperlink r:id="rId465" ref="A484"/>
    <hyperlink r:id="rId466" ref="A485"/>
    <hyperlink r:id="rId467" ref="A486"/>
    <hyperlink r:id="rId468" ref="A490"/>
    <hyperlink r:id="rId469" ref="A491"/>
    <hyperlink r:id="rId470" ref="A495"/>
    <hyperlink r:id="rId471" ref="A496"/>
    <hyperlink r:id="rId472" ref="A497"/>
    <hyperlink r:id="rId473" ref="A498"/>
    <hyperlink r:id="rId474" ref="A499"/>
    <hyperlink r:id="rId475" ref="A500"/>
    <hyperlink r:id="rId476" ref="A501"/>
    <hyperlink r:id="rId477" ref="A502"/>
    <hyperlink r:id="rId478" ref="A503"/>
    <hyperlink r:id="rId479" ref="A504"/>
    <hyperlink r:id="rId480" ref="A505"/>
    <hyperlink r:id="rId481" ref="A506"/>
    <hyperlink r:id="rId482" ref="A507"/>
    <hyperlink r:id="rId483" ref="A508"/>
    <hyperlink r:id="rId484" ref="A512"/>
    <hyperlink r:id="rId485" ref="A513"/>
    <hyperlink r:id="rId486" ref="A514"/>
    <hyperlink r:id="rId487" ref="A515"/>
    <hyperlink r:id="rId488" ref="A516"/>
    <hyperlink r:id="rId489" ref="A517"/>
    <hyperlink r:id="rId490" ref="A518"/>
    <hyperlink r:id="rId491" ref="A519"/>
    <hyperlink r:id="rId492" ref="A520"/>
    <hyperlink r:id="rId493" ref="A524"/>
    <hyperlink r:id="rId494" ref="A526"/>
    <hyperlink r:id="rId495" ref="A527"/>
    <hyperlink r:id="rId496" ref="A528"/>
    <hyperlink r:id="rId497" ref="A529"/>
    <hyperlink r:id="rId498" ref="A530"/>
    <hyperlink r:id="rId499" ref="A531"/>
    <hyperlink r:id="rId500" ref="A532"/>
    <hyperlink r:id="rId501" ref="A533"/>
    <hyperlink r:id="rId502" ref="A534"/>
    <hyperlink r:id="rId503" ref="A538"/>
    <hyperlink r:id="rId504" ref="A542"/>
    <hyperlink r:id="rId505" ref="A543"/>
    <hyperlink r:id="rId506" ref="A544"/>
    <hyperlink r:id="rId507" ref="A545"/>
    <hyperlink r:id="rId508" ref="A546"/>
    <hyperlink r:id="rId509" ref="A550"/>
    <hyperlink r:id="rId510" ref="A551"/>
    <hyperlink r:id="rId511" ref="A552"/>
    <hyperlink r:id="rId512" ref="A553"/>
    <hyperlink r:id="rId513" ref="A554"/>
    <hyperlink r:id="rId514" ref="A555"/>
    <hyperlink r:id="rId515" ref="A556"/>
    <hyperlink r:id="rId516" ref="A557"/>
    <hyperlink r:id="rId517" ref="A558"/>
    <hyperlink r:id="rId518" ref="A559"/>
    <hyperlink r:id="rId519" ref="A560"/>
    <hyperlink r:id="rId520" ref="A561"/>
    <hyperlink r:id="rId521" ref="A562"/>
    <hyperlink r:id="rId522" ref="A563"/>
    <hyperlink r:id="rId523" ref="A564"/>
    <hyperlink r:id="rId524" ref="A565"/>
    <hyperlink r:id="rId525" ref="A566"/>
    <hyperlink r:id="rId526" ref="A567"/>
    <hyperlink r:id="rId527" ref="A568"/>
    <hyperlink r:id="rId528" ref="A569"/>
    <hyperlink r:id="rId529" ref="A570"/>
    <hyperlink r:id="rId530" ref="A574"/>
    <hyperlink r:id="rId531" ref="A575"/>
    <hyperlink r:id="rId532" ref="A576"/>
    <hyperlink r:id="rId533" ref="A577"/>
    <hyperlink r:id="rId534" ref="A578"/>
    <hyperlink r:id="rId535" ref="A579"/>
    <hyperlink r:id="rId536" ref="A580"/>
    <hyperlink r:id="rId537" ref="A581"/>
    <hyperlink r:id="rId538" ref="A582"/>
    <hyperlink r:id="rId539" ref="A583"/>
    <hyperlink r:id="rId540" ref="A584"/>
    <hyperlink r:id="rId541" ref="A585"/>
    <hyperlink r:id="rId542" ref="A586"/>
    <hyperlink r:id="rId543" ref="A587"/>
    <hyperlink r:id="rId544" ref="A588"/>
    <hyperlink r:id="rId545" ref="A589"/>
    <hyperlink r:id="rId546" ref="A590"/>
    <hyperlink r:id="rId547" ref="A591"/>
    <hyperlink r:id="rId548" ref="A592"/>
    <hyperlink r:id="rId549" ref="A593"/>
    <hyperlink r:id="rId550" ref="A594"/>
    <hyperlink r:id="rId551" ref="A595"/>
    <hyperlink r:id="rId552" ref="A596"/>
    <hyperlink r:id="rId553" ref="A597"/>
    <hyperlink r:id="rId554" ref="A598"/>
    <hyperlink r:id="rId555" ref="A599"/>
    <hyperlink r:id="rId556" ref="A600"/>
    <hyperlink r:id="rId557" ref="A601"/>
    <hyperlink r:id="rId558" ref="A602"/>
    <hyperlink r:id="rId559" ref="A603"/>
    <hyperlink r:id="rId560" ref="A604"/>
    <hyperlink r:id="rId561" ref="A605"/>
    <hyperlink r:id="rId562" ref="A606"/>
    <hyperlink r:id="rId563" ref="A607"/>
    <hyperlink r:id="rId564" ref="A608"/>
    <hyperlink r:id="rId565" ref="A609"/>
    <hyperlink r:id="rId566" ref="A610"/>
    <hyperlink r:id="rId567" ref="A611"/>
    <hyperlink r:id="rId568" ref="A612"/>
    <hyperlink r:id="rId569" ref="A613"/>
    <hyperlink r:id="rId570" ref="A614"/>
    <hyperlink r:id="rId571" ref="A615"/>
    <hyperlink r:id="rId572" ref="A616"/>
    <hyperlink r:id="rId573" ref="A617"/>
    <hyperlink r:id="rId574" ref="A618"/>
    <hyperlink r:id="rId575" ref="A619"/>
    <hyperlink r:id="rId576" ref="A620"/>
    <hyperlink r:id="rId577" ref="A621"/>
    <hyperlink r:id="rId578" ref="A622"/>
    <hyperlink r:id="rId579" ref="A623"/>
    <hyperlink r:id="rId580" ref="A624"/>
    <hyperlink r:id="rId581" ref="A625"/>
    <hyperlink r:id="rId582" ref="A626"/>
    <hyperlink r:id="rId583" ref="A627"/>
    <hyperlink r:id="rId584" ref="A628"/>
    <hyperlink r:id="rId585" ref="A629"/>
    <hyperlink r:id="rId586" ref="A630"/>
    <hyperlink r:id="rId587" location="Places" ref="A631"/>
    <hyperlink r:id="rId588" ref="A632"/>
    <hyperlink r:id="rId589" ref="A633"/>
    <hyperlink r:id="rId590" ref="A634"/>
    <hyperlink r:id="rId591" ref="A635"/>
    <hyperlink r:id="rId592" ref="A636"/>
    <hyperlink r:id="rId593" ref="A637"/>
    <hyperlink r:id="rId594" ref="A638"/>
    <hyperlink r:id="rId595" ref="A639"/>
    <hyperlink r:id="rId596" ref="A640"/>
    <hyperlink r:id="rId597" ref="A641"/>
    <hyperlink r:id="rId598" ref="A642"/>
    <hyperlink r:id="rId599" ref="A643"/>
    <hyperlink r:id="rId600" ref="A644"/>
    <hyperlink r:id="rId601" ref="A645"/>
    <hyperlink r:id="rId602" ref="A646"/>
    <hyperlink r:id="rId603" ref="A647"/>
    <hyperlink r:id="rId604" ref="A648"/>
    <hyperlink r:id="rId605" ref="A652"/>
    <hyperlink r:id="rId606" ref="A653"/>
    <hyperlink r:id="rId607" ref="A654"/>
    <hyperlink r:id="rId608" ref="A655"/>
    <hyperlink r:id="rId609" ref="A656"/>
    <hyperlink r:id="rId610" ref="A657"/>
    <hyperlink r:id="rId611" ref="A658"/>
    <hyperlink r:id="rId612" ref="A659"/>
    <hyperlink r:id="rId613" ref="A660"/>
    <hyperlink r:id="rId614" ref="A661"/>
    <hyperlink r:id="rId615" ref="A662"/>
    <hyperlink r:id="rId616" ref="A663"/>
    <hyperlink r:id="rId617" ref="A664"/>
    <hyperlink r:id="rId618" ref="A665"/>
    <hyperlink r:id="rId619" ref="A666"/>
    <hyperlink r:id="rId620" ref="A667"/>
    <hyperlink r:id="rId621" ref="A668"/>
    <hyperlink r:id="rId622" ref="A669"/>
    <hyperlink r:id="rId623" ref="A670"/>
    <hyperlink r:id="rId624" ref="A671"/>
    <hyperlink r:id="rId625" ref="A672"/>
    <hyperlink r:id="rId626" ref="A673"/>
    <hyperlink r:id="rId627" ref="A674"/>
    <hyperlink r:id="rId628" ref="A675"/>
    <hyperlink r:id="rId629" ref="A676"/>
    <hyperlink r:id="rId630" ref="A677"/>
    <hyperlink r:id="rId631" ref="A678"/>
    <hyperlink r:id="rId632" ref="A679"/>
    <hyperlink r:id="rId633" ref="A680"/>
    <hyperlink r:id="rId634" ref="A681"/>
    <hyperlink r:id="rId635" ref="A682"/>
    <hyperlink r:id="rId636" ref="A683"/>
    <hyperlink r:id="rId637" ref="A684"/>
    <hyperlink r:id="rId638" ref="A685"/>
    <hyperlink r:id="rId639" ref="A686"/>
    <hyperlink r:id="rId640" ref="A687"/>
    <hyperlink r:id="rId641" ref="A688"/>
    <hyperlink r:id="rId642" ref="A689"/>
    <hyperlink r:id="rId643" ref="A690"/>
    <hyperlink r:id="rId644" ref="A691"/>
    <hyperlink r:id="rId645" ref="A692"/>
    <hyperlink r:id="rId646" ref="A693"/>
    <hyperlink r:id="rId647" ref="A694"/>
    <hyperlink r:id="rId648" ref="A695"/>
    <hyperlink r:id="rId649" ref="A696"/>
    <hyperlink r:id="rId650" ref="A697"/>
    <hyperlink r:id="rId651" ref="A698"/>
    <hyperlink r:id="rId652" ref="A699"/>
    <hyperlink r:id="rId653" ref="A700"/>
    <hyperlink r:id="rId654" ref="A701"/>
    <hyperlink r:id="rId655" ref="A702"/>
    <hyperlink r:id="rId656" ref="A703"/>
    <hyperlink r:id="rId657" ref="A704"/>
    <hyperlink r:id="rId658" ref="A705"/>
    <hyperlink r:id="rId659" ref="A706"/>
    <hyperlink r:id="rId660" ref="A707"/>
    <hyperlink r:id="rId661" ref="A708"/>
    <hyperlink r:id="rId662" ref="A709"/>
    <hyperlink r:id="rId663" ref="A710"/>
    <hyperlink r:id="rId664" ref="A711"/>
    <hyperlink r:id="rId665" ref="A712"/>
    <hyperlink r:id="rId666" ref="A713"/>
    <hyperlink r:id="rId667" ref="A715"/>
    <hyperlink r:id="rId668" ref="A719"/>
    <hyperlink r:id="rId669" ref="A723"/>
    <hyperlink r:id="rId670" ref="A724"/>
    <hyperlink r:id="rId671" ref="A725"/>
    <hyperlink r:id="rId672" ref="A726"/>
    <hyperlink r:id="rId673" ref="A727"/>
    <hyperlink r:id="rId674" ref="A728"/>
    <hyperlink r:id="rId675" ref="A729"/>
    <hyperlink r:id="rId676" ref="A730"/>
    <hyperlink r:id="rId677" ref="A731"/>
    <hyperlink r:id="rId678" ref="A732"/>
    <hyperlink r:id="rId679" ref="A733"/>
    <hyperlink r:id="rId680" ref="A734"/>
    <hyperlink r:id="rId681" ref="A735"/>
    <hyperlink r:id="rId682" ref="A736"/>
    <hyperlink r:id="rId683" ref="A737"/>
    <hyperlink r:id="rId684" ref="A738"/>
    <hyperlink r:id="rId685" ref="A739"/>
    <hyperlink r:id="rId686" ref="A740"/>
    <hyperlink r:id="rId687" ref="A741"/>
    <hyperlink r:id="rId688" ref="A742"/>
    <hyperlink r:id="rId689" ref="A743"/>
    <hyperlink r:id="rId690" ref="A747"/>
    <hyperlink r:id="rId691" ref="A748"/>
    <hyperlink r:id="rId692" ref="A749"/>
    <hyperlink r:id="rId693" ref="A750"/>
    <hyperlink r:id="rId694" ref="A751"/>
    <hyperlink r:id="rId695" ref="A752"/>
    <hyperlink r:id="rId696" ref="A754"/>
    <hyperlink r:id="rId697" ref="A764"/>
    <hyperlink r:id="rId698" ref="A765"/>
    <hyperlink r:id="rId699" ref="A766"/>
    <hyperlink r:id="rId700" ref="A767"/>
    <hyperlink r:id="rId701" ref="A771"/>
    <hyperlink r:id="rId702" ref="A772"/>
    <hyperlink r:id="rId703" ref="A773"/>
    <hyperlink r:id="rId704" ref="A774"/>
    <hyperlink r:id="rId705" ref="A775"/>
    <hyperlink r:id="rId706" ref="A776"/>
    <hyperlink r:id="rId707" ref="A777"/>
    <hyperlink r:id="rId708" ref="A778"/>
    <hyperlink r:id="rId709" ref="A779"/>
    <hyperlink r:id="rId710" ref="A780"/>
    <hyperlink r:id="rId711" ref="A781"/>
    <hyperlink r:id="rId712" ref="A782"/>
    <hyperlink r:id="rId713" ref="A783"/>
    <hyperlink r:id="rId714" ref="A784"/>
    <hyperlink r:id="rId715" ref="A785"/>
    <hyperlink r:id="rId716" ref="A786"/>
    <hyperlink r:id="rId717" ref="A787"/>
    <hyperlink r:id="rId718" ref="A788"/>
    <hyperlink r:id="rId719" ref="A789"/>
    <hyperlink r:id="rId720" ref="A790"/>
    <hyperlink r:id="rId721" ref="A791"/>
    <hyperlink r:id="rId722" ref="A792"/>
    <hyperlink r:id="rId723" ref="A793"/>
    <hyperlink r:id="rId724" ref="A794"/>
    <hyperlink r:id="rId725" ref="A795"/>
    <hyperlink r:id="rId726" ref="A796"/>
    <hyperlink r:id="rId727" ref="A797"/>
    <hyperlink r:id="rId728" ref="A798"/>
    <hyperlink r:id="rId729" ref="A799"/>
    <hyperlink r:id="rId730" ref="A800"/>
    <hyperlink r:id="rId731" ref="A801"/>
    <hyperlink r:id="rId732" ref="A802"/>
    <hyperlink r:id="rId733" ref="A803"/>
    <hyperlink r:id="rId734" ref="A804"/>
    <hyperlink r:id="rId735" ref="A805"/>
    <hyperlink r:id="rId736" ref="A806"/>
    <hyperlink r:id="rId737" ref="A807"/>
    <hyperlink r:id="rId738" ref="A808"/>
    <hyperlink r:id="rId739" ref="A809"/>
    <hyperlink r:id="rId740" ref="A810"/>
    <hyperlink r:id="rId741" ref="A811"/>
    <hyperlink r:id="rId742" ref="A812"/>
    <hyperlink r:id="rId743" ref="A813"/>
    <hyperlink r:id="rId744" ref="A814"/>
    <hyperlink r:id="rId745" ref="A815"/>
    <hyperlink r:id="rId746" ref="A816"/>
    <hyperlink r:id="rId747" ref="A817"/>
    <hyperlink r:id="rId748" ref="A818"/>
    <hyperlink r:id="rId749" ref="A819"/>
    <hyperlink r:id="rId750" ref="A820"/>
    <hyperlink r:id="rId751" ref="A821"/>
    <hyperlink r:id="rId752" ref="A822"/>
    <hyperlink r:id="rId753" ref="A823"/>
    <hyperlink r:id="rId754" ref="A824"/>
    <hyperlink r:id="rId755" ref="A825"/>
    <hyperlink r:id="rId756" ref="A826"/>
    <hyperlink r:id="rId757" ref="A827"/>
    <hyperlink r:id="rId758" ref="A828"/>
    <hyperlink r:id="rId759" ref="A829"/>
    <hyperlink r:id="rId760" ref="A830"/>
    <hyperlink r:id="rId761" ref="A831"/>
    <hyperlink r:id="rId762" ref="A832"/>
    <hyperlink r:id="rId763" ref="A833"/>
    <hyperlink r:id="rId764" ref="A834"/>
    <hyperlink r:id="rId765" ref="A835"/>
    <hyperlink r:id="rId766" ref="A836"/>
    <hyperlink r:id="rId767" ref="A837"/>
    <hyperlink r:id="rId768" ref="A838"/>
    <hyperlink r:id="rId769" ref="A839"/>
    <hyperlink r:id="rId770" ref="A840"/>
    <hyperlink r:id="rId771" ref="A841"/>
    <hyperlink r:id="rId772" ref="A842"/>
    <hyperlink r:id="rId773" ref="A843"/>
    <hyperlink r:id="rId774" ref="A844"/>
    <hyperlink r:id="rId775" ref="A845"/>
    <hyperlink r:id="rId776" ref="A846"/>
    <hyperlink r:id="rId777" ref="A847"/>
    <hyperlink r:id="rId778" ref="A848"/>
    <hyperlink r:id="rId779" ref="A849"/>
    <hyperlink r:id="rId780" ref="A850"/>
    <hyperlink r:id="rId781" ref="A852"/>
    <hyperlink r:id="rId782" ref="A858"/>
    <hyperlink r:id="rId783" ref="A859"/>
    <hyperlink r:id="rId784" ref="A860"/>
    <hyperlink r:id="rId785" ref="A861"/>
    <hyperlink r:id="rId786" ref="A862"/>
    <hyperlink r:id="rId787" ref="A863"/>
    <hyperlink r:id="rId788" ref="A864"/>
    <hyperlink r:id="rId789" ref="A865"/>
    <hyperlink r:id="rId790" ref="A866"/>
    <hyperlink r:id="rId791" ref="A867"/>
    <hyperlink r:id="rId792" ref="A868"/>
    <hyperlink r:id="rId793" ref="A869"/>
    <hyperlink r:id="rId794" ref="A870"/>
    <hyperlink r:id="rId795" ref="A871"/>
    <hyperlink r:id="rId796" ref="A872"/>
    <hyperlink r:id="rId797" ref="A873"/>
    <hyperlink r:id="rId798" ref="A874"/>
    <hyperlink r:id="rId799" ref="A875"/>
    <hyperlink r:id="rId800" ref="A876"/>
    <hyperlink r:id="rId801" ref="A877"/>
    <hyperlink r:id="rId802" ref="A878"/>
    <hyperlink r:id="rId803" ref="A879"/>
    <hyperlink r:id="rId804" ref="A883"/>
    <hyperlink r:id="rId805" ref="A884"/>
    <hyperlink r:id="rId806" ref="A885"/>
    <hyperlink r:id="rId807" ref="A886"/>
    <hyperlink r:id="rId808" ref="A887"/>
    <hyperlink r:id="rId809" ref="A888"/>
    <hyperlink r:id="rId810" ref="A889"/>
    <hyperlink r:id="rId811" ref="A890"/>
    <hyperlink r:id="rId812" ref="A891"/>
    <hyperlink r:id="rId813" ref="A892"/>
    <hyperlink r:id="rId814" ref="A893"/>
    <hyperlink r:id="rId815" ref="A894"/>
    <hyperlink r:id="rId816" ref="A895"/>
    <hyperlink r:id="rId817" ref="A896"/>
    <hyperlink r:id="rId818" ref="A897"/>
    <hyperlink r:id="rId819" ref="A898"/>
    <hyperlink r:id="rId820" ref="A899"/>
    <hyperlink r:id="rId821" ref="A900"/>
    <hyperlink r:id="rId822" ref="A901"/>
    <hyperlink r:id="rId823" ref="A902"/>
    <hyperlink r:id="rId824" ref="A903"/>
    <hyperlink r:id="rId825" ref="A904"/>
    <hyperlink r:id="rId826" ref="A905"/>
    <hyperlink r:id="rId827" ref="A906"/>
    <hyperlink r:id="rId828" ref="A907"/>
    <hyperlink r:id="rId829" ref="A908"/>
    <hyperlink r:id="rId830" ref="A909"/>
    <hyperlink r:id="rId831" ref="A911"/>
    <hyperlink r:id="rId832" ref="A915"/>
    <hyperlink r:id="rId833" ref="A916"/>
    <hyperlink r:id="rId834" ref="A917"/>
    <hyperlink r:id="rId835" ref="A918"/>
    <hyperlink r:id="rId836" ref="A920"/>
    <hyperlink r:id="rId837" ref="A924"/>
    <hyperlink r:id="rId838" ref="A925"/>
    <hyperlink r:id="rId839" ref="A929"/>
    <hyperlink r:id="rId840" ref="A930"/>
    <hyperlink r:id="rId841" ref="A931"/>
    <hyperlink r:id="rId842" ref="A932"/>
    <hyperlink r:id="rId843" ref="A934"/>
    <hyperlink r:id="rId844" ref="A938"/>
    <hyperlink r:id="rId845" ref="A939"/>
    <hyperlink r:id="rId846" ref="A940"/>
    <hyperlink r:id="rId847" ref="A941"/>
    <hyperlink r:id="rId848" ref="A942"/>
    <hyperlink r:id="rId849" ref="A943"/>
    <hyperlink r:id="rId850" ref="A944"/>
    <hyperlink r:id="rId851" ref="A945"/>
    <hyperlink r:id="rId852" ref="A949"/>
    <hyperlink r:id="rId853" ref="A950"/>
    <hyperlink r:id="rId854" ref="A951"/>
    <hyperlink r:id="rId855" ref="A952"/>
    <hyperlink r:id="rId856" ref="A953"/>
    <hyperlink r:id="rId857" ref="A954"/>
    <hyperlink r:id="rId858" ref="A955"/>
    <hyperlink r:id="rId859" ref="A956"/>
    <hyperlink r:id="rId860" ref="A957"/>
    <hyperlink r:id="rId861" ref="A959"/>
    <hyperlink r:id="rId862" ref="A963"/>
    <hyperlink r:id="rId863" ref="A964"/>
    <hyperlink r:id="rId864" ref="A965"/>
    <hyperlink r:id="rId865" ref="A966"/>
    <hyperlink r:id="rId866" ref="A967"/>
    <hyperlink r:id="rId867" ref="A968"/>
    <hyperlink r:id="rId868" ref="A969"/>
    <hyperlink r:id="rId869" ref="A970"/>
    <hyperlink r:id="rId870" ref="A971"/>
    <hyperlink r:id="rId871" ref="A975"/>
    <hyperlink r:id="rId872" ref="A976"/>
    <hyperlink r:id="rId873" ref="A977"/>
    <hyperlink r:id="rId874" ref="A978"/>
    <hyperlink r:id="rId875" ref="A984"/>
    <hyperlink r:id="rId876" ref="A985"/>
    <hyperlink r:id="rId877" ref="A986"/>
    <hyperlink r:id="rId878" ref="A987"/>
    <hyperlink r:id="rId879" ref="A988"/>
    <hyperlink r:id="rId880" ref="A989"/>
    <hyperlink r:id="rId881" ref="A990"/>
    <hyperlink r:id="rId882" ref="A991"/>
    <hyperlink r:id="rId883" ref="A992"/>
    <hyperlink r:id="rId884" ref="A993"/>
    <hyperlink r:id="rId885" ref="A994"/>
    <hyperlink r:id="rId886" ref="A995"/>
    <hyperlink r:id="rId887" ref="A996"/>
    <hyperlink r:id="rId888" ref="A997"/>
    <hyperlink r:id="rId889" ref="A998"/>
    <hyperlink r:id="rId890" ref="A999"/>
    <hyperlink r:id="rId891" ref="A1000"/>
    <hyperlink r:id="rId892" ref="A1001"/>
    <hyperlink r:id="rId893" ref="A1002"/>
    <hyperlink r:id="rId894" ref="A1003"/>
    <hyperlink r:id="rId895" ref="A1004"/>
    <hyperlink r:id="rId896" ref="A1005"/>
    <hyperlink r:id="rId897" ref="A1006"/>
    <hyperlink r:id="rId898" ref="A1007"/>
  </hyperlinks>
  <drawing r:id="rId89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17" t="str">
        <f>IFERROR(__xludf.DUMMYFUNCTION("IMPORTHTML(""https://en.wikipedia.org/wiki/List_of_adjectival_and_demonymic_forms_of_place_names"", ""table"", 9)"),"Federal entity")</f>
        <v>Federal entity</v>
      </c>
      <c r="B1" s="15" t="str">
        <f>IFERROR(__xludf.DUMMYFUNCTION("""COMPUTED_VALUE"""),"Adjective")</f>
        <v>Adjective</v>
      </c>
      <c r="C1" s="15" t="str">
        <f>IFERROR(__xludf.DUMMYFUNCTION("""COMPUTED_VALUE"""),"Demonym")</f>
        <v>Demonym</v>
      </c>
      <c r="D1" s="15"/>
    </row>
    <row r="2">
      <c r="A2" s="15"/>
      <c r="B2" s="15"/>
      <c r="C2" s="15"/>
      <c r="D2" s="15" t="str">
        <f>IFERROR(__xludf.DUMMYFUNCTION("""COMPUTED_VALUE"""),"*colloquial*")</f>
        <v>*colloquial*</v>
      </c>
    </row>
    <row r="3">
      <c r="A3" s="15" t="str">
        <f>IFERROR(__xludf.DUMMYFUNCTION("""COMPUTED_VALUE"""),"Aguascalientes")</f>
        <v>Aguascalientes</v>
      </c>
      <c r="B3" s="15" t="str">
        <f>IFERROR(__xludf.DUMMYFUNCTION("""COMPUTED_VALUE"""),"Hydrocalid")</f>
        <v>Hydrocalid</v>
      </c>
      <c r="C3" s="15" t="str">
        <f>IFERROR(__xludf.DUMMYFUNCTION("""COMPUTED_VALUE"""),"Hidrocálido/-a, aguascalentense")</f>
        <v>Hidrocálido/-a, aguascalentense</v>
      </c>
      <c r="D3" s="15"/>
    </row>
    <row r="4">
      <c r="A4" s="15" t="str">
        <f>IFERROR(__xludf.DUMMYFUNCTION("""COMPUTED_VALUE"""),"Baja California")</f>
        <v>Baja California</v>
      </c>
      <c r="B4" s="15" t="str">
        <f>IFERROR(__xludf.DUMMYFUNCTION("""COMPUTED_VALUE"""),"Lower Californian")</f>
        <v>Lower Californian</v>
      </c>
      <c r="C4" s="15" t="str">
        <f>IFERROR(__xludf.DUMMYFUNCTION("""COMPUTED_VALUE"""),"Bajacaliforniano/-a")</f>
        <v>Bajacaliforniano/-a</v>
      </c>
      <c r="D4" s="15"/>
    </row>
    <row r="5">
      <c r="A5" s="15" t="str">
        <f>IFERROR(__xludf.DUMMYFUNCTION("""COMPUTED_VALUE"""),"Baja California Sur")</f>
        <v>Baja California Sur</v>
      </c>
      <c r="B5" s="15" t="str">
        <f>IFERROR(__xludf.DUMMYFUNCTION("""COMPUTED_VALUE"""),"South Lower Californian")</f>
        <v>South Lower Californian</v>
      </c>
      <c r="C5" s="15" t="str">
        <f>IFERROR(__xludf.DUMMYFUNCTION("""COMPUTED_VALUE"""),"Sudcaliforniano/-a")</f>
        <v>Sudcaliforniano/-a</v>
      </c>
      <c r="D5" s="15"/>
    </row>
    <row r="6">
      <c r="A6" s="15" t="str">
        <f>IFERROR(__xludf.DUMMYFUNCTION("""COMPUTED_VALUE"""),"Campeche")</f>
        <v>Campeche</v>
      </c>
      <c r="B6" s="15" t="str">
        <f>IFERROR(__xludf.DUMMYFUNCTION("""COMPUTED_VALUE"""),"Campechan")</f>
        <v>Campechan</v>
      </c>
      <c r="C6" s="15" t="str">
        <f>IFERROR(__xludf.DUMMYFUNCTION("""COMPUTED_VALUE"""),"Campechano/-a")</f>
        <v>Campechano/-a</v>
      </c>
      <c r="D6" s="15"/>
    </row>
    <row r="7">
      <c r="A7" s="15" t="str">
        <f>IFERROR(__xludf.DUMMYFUNCTION("""COMPUTED_VALUE"""),"Chiapas")</f>
        <v>Chiapas</v>
      </c>
      <c r="B7" s="15" t="str">
        <f>IFERROR(__xludf.DUMMYFUNCTION("""COMPUTED_VALUE"""),"Chiapan")</f>
        <v>Chiapan</v>
      </c>
      <c r="C7" s="15" t="str">
        <f>IFERROR(__xludf.DUMMYFUNCTION("""COMPUTED_VALUE"""),"Chiapaneco/-a")</f>
        <v>Chiapaneco/-a</v>
      </c>
      <c r="D7" s="15"/>
    </row>
    <row r="8">
      <c r="A8" s="15" t="str">
        <f>IFERROR(__xludf.DUMMYFUNCTION("""COMPUTED_VALUE"""),"Chihuahua")</f>
        <v>Chihuahua</v>
      </c>
      <c r="B8" s="15" t="str">
        <f>IFERROR(__xludf.DUMMYFUNCTION("""COMPUTED_VALUE"""),"Chihuahuan")</f>
        <v>Chihuahuan</v>
      </c>
      <c r="C8" s="15" t="str">
        <f>IFERROR(__xludf.DUMMYFUNCTION("""COMPUTED_VALUE"""),"Chihuahuense")</f>
        <v>Chihuahuense</v>
      </c>
      <c r="D8" s="15" t="str">
        <f>IFERROR(__xludf.DUMMYFUNCTION("""COMPUTED_VALUE"""),"""Norteño/a""")</f>
        <v>"Norteño/a"</v>
      </c>
    </row>
    <row r="9">
      <c r="A9" s="15" t="str">
        <f>IFERROR(__xludf.DUMMYFUNCTION("""COMPUTED_VALUE"""),"Coahuila de Zaragoza")</f>
        <v>Coahuila de Zaragoza</v>
      </c>
      <c r="B9" s="15" t="str">
        <f>IFERROR(__xludf.DUMMYFUNCTION("""COMPUTED_VALUE"""),"Coahuilan")</f>
        <v>Coahuilan</v>
      </c>
      <c r="C9" s="15" t="str">
        <f>IFERROR(__xludf.DUMMYFUNCTION("""COMPUTED_VALUE"""),"Coahuilense")</f>
        <v>Coahuilense</v>
      </c>
      <c r="D9" s="15"/>
    </row>
    <row r="10">
      <c r="A10" s="15" t="str">
        <f>IFERROR(__xludf.DUMMYFUNCTION("""COMPUTED_VALUE"""),"Colima")</f>
        <v>Colima</v>
      </c>
      <c r="B10" s="15" t="str">
        <f>IFERROR(__xludf.DUMMYFUNCTION("""COMPUTED_VALUE"""),"Colimean")</f>
        <v>Colimean</v>
      </c>
      <c r="C10" s="15" t="str">
        <f>IFERROR(__xludf.DUMMYFUNCTION("""COMPUTED_VALUE"""),"Colimense")</f>
        <v>Colimense</v>
      </c>
      <c r="D10" s="15"/>
    </row>
    <row r="11">
      <c r="A11" s="15" t="str">
        <f>IFERROR(__xludf.DUMMYFUNCTION("""COMPUTED_VALUE"""),"Durango")</f>
        <v>Durango</v>
      </c>
      <c r="B11" s="15" t="str">
        <f>IFERROR(__xludf.DUMMYFUNCTION("""COMPUTED_VALUE"""),"Durangolese")</f>
        <v>Durangolese</v>
      </c>
      <c r="C11" s="15" t="str">
        <f>IFERROR(__xludf.DUMMYFUNCTION("""COMPUTED_VALUE"""),"Duranguense")</f>
        <v>Duranguense</v>
      </c>
      <c r="D11" s="15"/>
    </row>
    <row r="12">
      <c r="A12" s="15" t="str">
        <f>IFERROR(__xludf.DUMMYFUNCTION("""COMPUTED_VALUE"""),"Guanajuato")</f>
        <v>Guanajuato</v>
      </c>
      <c r="B12" s="15" t="str">
        <f>IFERROR(__xludf.DUMMYFUNCTION("""COMPUTED_VALUE"""),"Guanajuatean")</f>
        <v>Guanajuatean</v>
      </c>
      <c r="C12" s="15" t="str">
        <f>IFERROR(__xludf.DUMMYFUNCTION("""COMPUTED_VALUE"""),"Guanajuatense")</f>
        <v>Guanajuatense</v>
      </c>
      <c r="D12" s="15"/>
    </row>
    <row r="13">
      <c r="A13" s="15" t="str">
        <f>IFERROR(__xludf.DUMMYFUNCTION("""COMPUTED_VALUE"""),"Guerrero")</f>
        <v>Guerrero</v>
      </c>
      <c r="B13" s="15" t="str">
        <f>IFERROR(__xludf.DUMMYFUNCTION("""COMPUTED_VALUE"""),"Guerreran")</f>
        <v>Guerreran</v>
      </c>
      <c r="C13" s="15" t="str">
        <f>IFERROR(__xludf.DUMMYFUNCTION("""COMPUTED_VALUE"""),"Guerrerense")</f>
        <v>Guerrerense</v>
      </c>
      <c r="D13" s="15"/>
    </row>
    <row r="14">
      <c r="A14" s="15" t="str">
        <f>IFERROR(__xludf.DUMMYFUNCTION("""COMPUTED_VALUE"""),"Hidalgo")</f>
        <v>Hidalgo</v>
      </c>
      <c r="B14" s="15" t="str">
        <f>IFERROR(__xludf.DUMMYFUNCTION("""COMPUTED_VALUE"""),"Hidalgolese")</f>
        <v>Hidalgolese</v>
      </c>
      <c r="C14" s="15" t="str">
        <f>IFERROR(__xludf.DUMMYFUNCTION("""COMPUTED_VALUE"""),"Hidalguense")</f>
        <v>Hidalguense</v>
      </c>
      <c r="D14" s="15"/>
    </row>
    <row r="15">
      <c r="A15" s="15" t="str">
        <f>IFERROR(__xludf.DUMMYFUNCTION("""COMPUTED_VALUE"""),"Jalisco")</f>
        <v>Jalisco</v>
      </c>
      <c r="B15" s="15" t="str">
        <f>IFERROR(__xludf.DUMMYFUNCTION("""COMPUTED_VALUE"""),"Jaliscan")</f>
        <v>Jaliscan</v>
      </c>
      <c r="C15" s="15" t="str">
        <f>IFERROR(__xludf.DUMMYFUNCTION("""COMPUTED_VALUE"""),"Jalisciense")</f>
        <v>Jalisciense</v>
      </c>
      <c r="D15" s="15" t="str">
        <f>IFERROR(__xludf.DUMMYFUNCTION("""COMPUTED_VALUE"""),"""Jalisquillo"" ""Tapatio/ Tapatia""")</f>
        <v>"Jalisquillo" "Tapatio/ Tapatia"</v>
      </c>
    </row>
    <row r="16">
      <c r="A16" s="15" t="str">
        <f>IFERROR(__xludf.DUMMYFUNCTION("""COMPUTED_VALUE"""),"State of Mexico")</f>
        <v>State of Mexico</v>
      </c>
      <c r="B16" s="15" t="str">
        <f>IFERROR(__xludf.DUMMYFUNCTION("""COMPUTED_VALUE"""),"Mexican")</f>
        <v>Mexican</v>
      </c>
      <c r="C16" s="15" t="str">
        <f>IFERROR(__xludf.DUMMYFUNCTION("""COMPUTED_VALUE"""),"Mexiquense")</f>
        <v>Mexiquense</v>
      </c>
      <c r="D16" s="15"/>
    </row>
    <row r="17">
      <c r="A17" s="15" t="str">
        <f>IFERROR(__xludf.DUMMYFUNCTION("""COMPUTED_VALUE"""),"Ciudad de México (México D.F.) (México Distrito Federal) (Mexico City)")</f>
        <v>Ciudad de México (México D.F.) (México Distrito Federal) (Mexico City)</v>
      </c>
      <c r="B17" s="15"/>
      <c r="C17" s="15" t="str">
        <f>IFERROR(__xludf.DUMMYFUNCTION("""COMPUTED_VALUE"""),"Mexiqueño/-a, defeño/-a")</f>
        <v>Mexiqueño/-a, defeño/-a</v>
      </c>
      <c r="D17" s="15" t="str">
        <f>IFERROR(__xludf.DUMMYFUNCTION("""COMPUTED_VALUE"""),"""Chilango""")</f>
        <v>"Chilango"</v>
      </c>
    </row>
    <row r="18">
      <c r="A18" s="15" t="str">
        <f>IFERROR(__xludf.DUMMYFUNCTION("""COMPUTED_VALUE"""),"Michoacán")</f>
        <v>Michoacán</v>
      </c>
      <c r="B18" s="15" t="str">
        <f>IFERROR(__xludf.DUMMYFUNCTION("""COMPUTED_VALUE"""),"Michoacanese")</f>
        <v>Michoacanese</v>
      </c>
      <c r="C18" s="15" t="str">
        <f>IFERROR(__xludf.DUMMYFUNCTION("""COMPUTED_VALUE"""),"Michoacano/-a")</f>
        <v>Michoacano/-a</v>
      </c>
      <c r="D18" s="15"/>
    </row>
    <row r="19">
      <c r="A19" s="15" t="str">
        <f>IFERROR(__xludf.DUMMYFUNCTION("""COMPUTED_VALUE"""),"Morelos")</f>
        <v>Morelos</v>
      </c>
      <c r="B19" s="15" t="str">
        <f>IFERROR(__xludf.DUMMYFUNCTION("""COMPUTED_VALUE"""),"Morelese")</f>
        <v>Morelese</v>
      </c>
      <c r="C19" s="15" t="str">
        <f>IFERROR(__xludf.DUMMYFUNCTION("""COMPUTED_VALUE"""),"Morelense")</f>
        <v>Morelense</v>
      </c>
      <c r="D19" s="15"/>
    </row>
    <row r="20">
      <c r="A20" s="15" t="str">
        <f>IFERROR(__xludf.DUMMYFUNCTION("""COMPUTED_VALUE"""),"Nayarit")</f>
        <v>Nayarit</v>
      </c>
      <c r="B20" s="15" t="str">
        <f>IFERROR(__xludf.DUMMYFUNCTION("""COMPUTED_VALUE"""),"Nayarita")</f>
        <v>Nayarita</v>
      </c>
      <c r="C20" s="15" t="str">
        <f>IFERROR(__xludf.DUMMYFUNCTION("""COMPUTED_VALUE"""),"Nayarita")</f>
        <v>Nayarita</v>
      </c>
      <c r="D20" s="15"/>
    </row>
    <row r="21">
      <c r="A21" s="15" t="str">
        <f>IFERROR(__xludf.DUMMYFUNCTION("""COMPUTED_VALUE"""),"Nuevo León")</f>
        <v>Nuevo León</v>
      </c>
      <c r="B21" s="15" t="str">
        <f>IFERROR(__xludf.DUMMYFUNCTION("""COMPUTED_VALUE"""),"New Leonese")</f>
        <v>New Leonese</v>
      </c>
      <c r="C21" s="15" t="str">
        <f>IFERROR(__xludf.DUMMYFUNCTION("""COMPUTED_VALUE"""),"Neoleonés, neoleonense")</f>
        <v>Neoleonés, neoleonense</v>
      </c>
      <c r="D21" s="15" t="str">
        <f>IFERROR(__xludf.DUMMYFUNCTION("""COMPUTED_VALUE"""),"""Regio/a""")</f>
        <v>"Regio/a"</v>
      </c>
    </row>
    <row r="22">
      <c r="A22" s="15" t="str">
        <f>IFERROR(__xludf.DUMMYFUNCTION("""COMPUTED_VALUE"""),"Oaxaca")</f>
        <v>Oaxaca</v>
      </c>
      <c r="B22" s="15" t="str">
        <f>IFERROR(__xludf.DUMMYFUNCTION("""COMPUTED_VALUE"""),"Oaxacan")</f>
        <v>Oaxacan</v>
      </c>
      <c r="C22" s="15" t="str">
        <f>IFERROR(__xludf.DUMMYFUNCTION("""COMPUTED_VALUE"""),"Oaxaqueño/-a")</f>
        <v>Oaxaqueño/-a</v>
      </c>
      <c r="D22" s="15" t="str">
        <f>IFERROR(__xludf.DUMMYFUNCTION("""COMPUTED_VALUE"""),"""Oaxaco""")</f>
        <v>"Oaxaco"</v>
      </c>
    </row>
    <row r="23">
      <c r="A23" s="15" t="str">
        <f>IFERROR(__xludf.DUMMYFUNCTION("""COMPUTED_VALUE"""),"Puebla")</f>
        <v>Puebla</v>
      </c>
      <c r="B23" s="15" t="str">
        <f>IFERROR(__xludf.DUMMYFUNCTION("""COMPUTED_VALUE"""),"Pueblan/Poblano")</f>
        <v>Pueblan/Poblano</v>
      </c>
      <c r="C23" s="15" t="str">
        <f>IFERROR(__xludf.DUMMYFUNCTION("""COMPUTED_VALUE"""),"Poblano/-a")</f>
        <v>Poblano/-a</v>
      </c>
      <c r="D23" s="15"/>
    </row>
    <row r="24">
      <c r="A24" s="15" t="str">
        <f>IFERROR(__xludf.DUMMYFUNCTION("""COMPUTED_VALUE"""),"Querétaro")</f>
        <v>Querétaro</v>
      </c>
      <c r="B24" s="15" t="str">
        <f>IFERROR(__xludf.DUMMYFUNCTION("""COMPUTED_VALUE"""),"Queretan")</f>
        <v>Queretan</v>
      </c>
      <c r="C24" s="15" t="str">
        <f>IFERROR(__xludf.DUMMYFUNCTION("""COMPUTED_VALUE"""),"Queretano/-a")</f>
        <v>Queretano/-a</v>
      </c>
      <c r="D24" s="15"/>
    </row>
    <row r="25">
      <c r="A25" s="15" t="str">
        <f>IFERROR(__xludf.DUMMYFUNCTION("""COMPUTED_VALUE"""),"Quintana Roo")</f>
        <v>Quintana Roo</v>
      </c>
      <c r="B25" s="15" t="str">
        <f>IFERROR(__xludf.DUMMYFUNCTION("""COMPUTED_VALUE"""),"Quintanaroan")</f>
        <v>Quintanaroan</v>
      </c>
      <c r="C25" s="15" t="str">
        <f>IFERROR(__xludf.DUMMYFUNCTION("""COMPUTED_VALUE"""),"Quintanarroense")</f>
        <v>Quintanarroense</v>
      </c>
      <c r="D25" s="15"/>
    </row>
    <row r="26">
      <c r="A26" s="15" t="str">
        <f>IFERROR(__xludf.DUMMYFUNCTION("""COMPUTED_VALUE"""),"San Luis Potosí")</f>
        <v>San Luis Potosí</v>
      </c>
      <c r="B26" s="15" t="str">
        <f>IFERROR(__xludf.DUMMYFUNCTION("""COMPUTED_VALUE"""),"Potosinian")</f>
        <v>Potosinian</v>
      </c>
      <c r="C26" s="15" t="str">
        <f>IFERROR(__xludf.DUMMYFUNCTION("""COMPUTED_VALUE"""),"Potosino/-a")</f>
        <v>Potosino/-a</v>
      </c>
      <c r="D26" s="15"/>
    </row>
    <row r="27">
      <c r="A27" s="15" t="str">
        <f>IFERROR(__xludf.DUMMYFUNCTION("""COMPUTED_VALUE"""),"Sinaloa")</f>
        <v>Sinaloa</v>
      </c>
      <c r="B27" s="15" t="str">
        <f>IFERROR(__xludf.DUMMYFUNCTION("""COMPUTED_VALUE"""),"Sinaloan")</f>
        <v>Sinaloan</v>
      </c>
      <c r="C27" s="15" t="str">
        <f>IFERROR(__xludf.DUMMYFUNCTION("""COMPUTED_VALUE"""),"Sinaloense")</f>
        <v>Sinaloense</v>
      </c>
      <c r="D27" s="15"/>
    </row>
    <row r="28">
      <c r="A28" s="15" t="str">
        <f>IFERROR(__xludf.DUMMYFUNCTION("""COMPUTED_VALUE"""),"Sonora")</f>
        <v>Sonora</v>
      </c>
      <c r="B28" s="15" t="str">
        <f>IFERROR(__xludf.DUMMYFUNCTION("""COMPUTED_VALUE"""),"Sonoran")</f>
        <v>Sonoran</v>
      </c>
      <c r="C28" s="15" t="str">
        <f>IFERROR(__xludf.DUMMYFUNCTION("""COMPUTED_VALUE"""),"Sonorense")</f>
        <v>Sonorense</v>
      </c>
      <c r="D28" s="15"/>
    </row>
    <row r="29">
      <c r="A29" s="15" t="str">
        <f>IFERROR(__xludf.DUMMYFUNCTION("""COMPUTED_VALUE"""),"Tabasco")</f>
        <v>Tabasco</v>
      </c>
      <c r="B29" s="15" t="str">
        <f>IFERROR(__xludf.DUMMYFUNCTION("""COMPUTED_VALUE"""),"Tabascan")</f>
        <v>Tabascan</v>
      </c>
      <c r="C29" s="15" t="str">
        <f>IFERROR(__xludf.DUMMYFUNCTION("""COMPUTED_VALUE"""),"Tabasqueño/-a")</f>
        <v>Tabasqueño/-a</v>
      </c>
      <c r="D29" s="15"/>
    </row>
    <row r="30">
      <c r="A30" s="15" t="str">
        <f>IFERROR(__xludf.DUMMYFUNCTION("""COMPUTED_VALUE"""),"Tamaulipas")</f>
        <v>Tamaulipas</v>
      </c>
      <c r="B30" s="15" t="str">
        <f>IFERROR(__xludf.DUMMYFUNCTION("""COMPUTED_VALUE"""),"Tamaulipan")</f>
        <v>Tamaulipan</v>
      </c>
      <c r="C30" s="15" t="str">
        <f>IFERROR(__xludf.DUMMYFUNCTION("""COMPUTED_VALUE"""),"Tamaulipeco/-a")</f>
        <v>Tamaulipeco/-a</v>
      </c>
      <c r="D30" s="15"/>
    </row>
    <row r="31">
      <c r="A31" s="15" t="str">
        <f>IFERROR(__xludf.DUMMYFUNCTION("""COMPUTED_VALUE"""),"Tlaxcala")</f>
        <v>Tlaxcala</v>
      </c>
      <c r="B31" s="15" t="str">
        <f>IFERROR(__xludf.DUMMYFUNCTION("""COMPUTED_VALUE"""),"Tlaxcaltheque")</f>
        <v>Tlaxcaltheque</v>
      </c>
      <c r="C31" s="15" t="str">
        <f>IFERROR(__xludf.DUMMYFUNCTION("""COMPUTED_VALUE"""),"Tlaxcalteco/ -a")</f>
        <v>Tlaxcalteco/ -a</v>
      </c>
      <c r="D31" s="15"/>
    </row>
    <row r="32">
      <c r="A32" s="15" t="str">
        <f>IFERROR(__xludf.DUMMYFUNCTION("""COMPUTED_VALUE"""),"Veracruz")</f>
        <v>Veracruz</v>
      </c>
      <c r="B32" s="15" t="str">
        <f>IFERROR(__xludf.DUMMYFUNCTION("""COMPUTED_VALUE"""),"Veracruzan")</f>
        <v>Veracruzan</v>
      </c>
      <c r="C32" s="15" t="str">
        <f>IFERROR(__xludf.DUMMYFUNCTION("""COMPUTED_VALUE"""),"Veracruzano/-a")</f>
        <v>Veracruzano/-a</v>
      </c>
      <c r="D32" s="15" t="str">
        <f>IFERROR(__xludf.DUMMYFUNCTION("""COMPUTED_VALUE"""),"""Jarocho/a""")</f>
        <v>"Jarocho/a"</v>
      </c>
    </row>
    <row r="33">
      <c r="A33" s="15" t="str">
        <f>IFERROR(__xludf.DUMMYFUNCTION("""COMPUTED_VALUE"""),"Yucatán")</f>
        <v>Yucatán</v>
      </c>
      <c r="B33" s="15" t="str">
        <f>IFERROR(__xludf.DUMMYFUNCTION("""COMPUTED_VALUE"""),"Yucatheque")</f>
        <v>Yucatheque</v>
      </c>
      <c r="C33" s="15" t="str">
        <f>IFERROR(__xludf.DUMMYFUNCTION("""COMPUTED_VALUE"""),"Yucateco/-a")</f>
        <v>Yucateco/-a</v>
      </c>
      <c r="D33" s="15" t="str">
        <f>IFERROR(__xludf.DUMMYFUNCTION("""COMPUTED_VALUE"""),"""Costeño/a""")</f>
        <v>"Costeño/a"</v>
      </c>
    </row>
    <row r="34">
      <c r="A34" s="15" t="str">
        <f>IFERROR(__xludf.DUMMYFUNCTION("""COMPUTED_VALUE"""),"Zacatecas")</f>
        <v>Zacatecas</v>
      </c>
      <c r="B34" s="15" t="str">
        <f>IFERROR(__xludf.DUMMYFUNCTION("""COMPUTED_VALUE"""),"Zacatecan")</f>
        <v>Zacatecan</v>
      </c>
      <c r="C34" s="15" t="str">
        <f>IFERROR(__xludf.DUMMYFUNCTION("""COMPUTED_VALUE"""),"Zacatecano/-a")</f>
        <v>Zacatecano/-a</v>
      </c>
      <c r="D34" s="15"/>
    </row>
    <row r="35">
      <c r="A35" s="15" t="str">
        <f>IFERROR(__xludf.DUMMYFUNCTION("""COMPUTED_VALUE"""),"1. *Capitalino* is often used to refer to people from Mexico City; 
   however, *capitalino* can be used to refer to people from any state 
   capital. ""Defeño"" and ""Chilango"" are listed by the Royal Spanish Academy")</f>
        <v>1. *Capitalino* is often used to refer to people from Mexico City; 
   however, *capitalino* can be used to refer to people from any state 
   capital. "Defeño" and "Chilango" are listed by the Royal Spanish Academy</v>
      </c>
      <c r="B35" s="15"/>
      <c r="C35" s="15"/>
      <c r="D35" s="1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tr">
        <f>IFERROR(__xludf.DUMMYFUNCTION("IMPORTHTML(""https://en.wikipedia.org/wiki/List_of_adjectival_and_demonymic_forms_of_place_names"", ""table"", 10)"),"Region/Island")</f>
        <v>Region/Island</v>
      </c>
      <c r="B1" s="15" t="str">
        <f>IFERROR(__xludf.DUMMYFUNCTION("""COMPUTED_VALUE"""),"Adjective")</f>
        <v>Adjective</v>
      </c>
      <c r="C1" s="15" t="str">
        <f>IFERROR(__xludf.DUMMYFUNCTION("""COMPUTED_VALUE"""),"Demonym")</f>
        <v>Demonym</v>
      </c>
      <c r="D1" s="15"/>
    </row>
    <row r="2">
      <c r="A2" s="15"/>
      <c r="B2" s="15"/>
      <c r="C2" s="15"/>
      <c r="D2" s="15" t="str">
        <f>IFERROR(__xludf.DUMMYFUNCTION("""COMPUTED_VALUE"""),"*colloquial*")</f>
        <v>*colloquial*</v>
      </c>
    </row>
    <row r="3">
      <c r="A3" s="15" t="str">
        <f>IFERROR(__xludf.DUMMYFUNCTION("""COMPUTED_VALUE"""),"Auckland Region")</f>
        <v>Auckland Region</v>
      </c>
      <c r="B3" s="15" t="str">
        <f>IFERROR(__xludf.DUMMYFUNCTION("""COMPUTED_VALUE"""),"Auckland")</f>
        <v>Auckland</v>
      </c>
      <c r="C3" s="15" t="str">
        <f>IFERROR(__xludf.DUMMYFUNCTION("""COMPUTED_VALUE"""),"Aucklanders")</f>
        <v>Aucklanders</v>
      </c>
      <c r="D3" s="15" t="str">
        <f>IFERROR(__xludf.DUMMYFUNCTION("""COMPUTED_VALUE"""),"""Jafas""")</f>
        <v>"Jafas"</v>
      </c>
    </row>
    <row r="4">
      <c r="A4" s="15" t="str">
        <f>IFERROR(__xludf.DUMMYFUNCTION("""COMPUTED_VALUE"""),"Bay of Plenty Region")</f>
        <v>Bay of Plenty Region</v>
      </c>
      <c r="B4" s="15" t="str">
        <f>IFERROR(__xludf.DUMMYFUNCTION("""COMPUTED_VALUE"""),"Bay of Plenty")</f>
        <v>Bay of Plenty</v>
      </c>
      <c r="C4" s="15" t="str">
        <f>IFERROR(__xludf.DUMMYFUNCTION("""COMPUTED_VALUE"""),"Bay of Plentiers[5]")</f>
        <v>Bay of Plentiers[5]</v>
      </c>
      <c r="D4" s="15" t="str">
        <f>IFERROR(__xludf.DUMMYFUNCTION("""COMPUTED_VALUE"""),"""BOPians""[*citation needed*]")</f>
        <v>"BOPians"[*citation needed*]</v>
      </c>
    </row>
    <row r="5">
      <c r="A5" s="15" t="str">
        <f>IFERROR(__xludf.DUMMYFUNCTION("""COMPUTED_VALUE"""),"Canterbury Region")</f>
        <v>Canterbury Region</v>
      </c>
      <c r="B5" s="15" t="str">
        <f>IFERROR(__xludf.DUMMYFUNCTION("""COMPUTED_VALUE"""),"Canterbury")</f>
        <v>Canterbury</v>
      </c>
      <c r="C5" s="15" t="str">
        <f>IFERROR(__xludf.DUMMYFUNCTION("""COMPUTED_VALUE"""),"Cantabrians")</f>
        <v>Cantabrians</v>
      </c>
      <c r="D5" s="15" t="str">
        <f>IFERROR(__xludf.DUMMYFUNCTION("""COMPUTED_VALUE"""),"""Cantabs""")</f>
        <v>"Cantabs"</v>
      </c>
    </row>
    <row r="6">
      <c r="A6" s="15" t="str">
        <f>IFERROR(__xludf.DUMMYFUNCTION("""COMPUTED_VALUE"""),"Gisborne Region")</f>
        <v>Gisborne Region</v>
      </c>
      <c r="B6" s="15" t="str">
        <f>IFERROR(__xludf.DUMMYFUNCTION("""COMPUTED_VALUE"""),"Gisborne, East Coast")</f>
        <v>Gisborne, East Coast</v>
      </c>
      <c r="C6" s="15" t="str">
        <f>IFERROR(__xludf.DUMMYFUNCTION("""COMPUTED_VALUE"""),"Gisbornians,[5] East Coasters")</f>
        <v>Gisbornians,[5] East Coasters</v>
      </c>
      <c r="D6" s="15"/>
    </row>
    <row r="7">
      <c r="A7" s="15" t="str">
        <f>IFERROR(__xludf.DUMMYFUNCTION("""COMPUTED_VALUE"""),"Hawke's Bay Region")</f>
        <v>Hawke's Bay Region</v>
      </c>
      <c r="B7" s="15" t="str">
        <f>IFERROR(__xludf.DUMMYFUNCTION("""COMPUTED_VALUE"""),"Hawke's Bay")</f>
        <v>Hawke's Bay</v>
      </c>
      <c r="C7" s="15" t="str">
        <f>IFERROR(__xludf.DUMMYFUNCTION("""COMPUTED_VALUE"""),"Hawke's Bayers")</f>
        <v>Hawke's Bayers</v>
      </c>
      <c r="D7" s="15"/>
    </row>
    <row r="8">
      <c r="A8" s="15" t="str">
        <f>IFERROR(__xludf.DUMMYFUNCTION("""COMPUTED_VALUE"""),"Manawatū-Whanganui Region")</f>
        <v>Manawatū-Whanganui Region</v>
      </c>
      <c r="B8" s="15" t="str">
        <f>IFERROR(__xludf.DUMMYFUNCTION("""COMPUTED_VALUE"""),"Manawatū-Whanganui, Manawatu, Wanganui")</f>
        <v>Manawatū-Whanganui, Manawatu, Wanganui</v>
      </c>
      <c r="C8" s="15" t="str">
        <f>IFERROR(__xludf.DUMMYFUNCTION("""COMPUTED_VALUE"""),"Manawatū-Whanganuians, Manawatuans, Whanganuians")</f>
        <v>Manawatū-Whanganuians, Manawatuans, Whanganuians</v>
      </c>
      <c r="D8" s="15"/>
    </row>
    <row r="9">
      <c r="A9" s="15" t="str">
        <f>IFERROR(__xludf.DUMMYFUNCTION("""COMPUTED_VALUE"""),"Marlborough Region")</f>
        <v>Marlborough Region</v>
      </c>
      <c r="B9" s="15" t="str">
        <f>IFERROR(__xludf.DUMMYFUNCTION("""COMPUTED_VALUE"""),"Marlborough")</f>
        <v>Marlborough</v>
      </c>
      <c r="C9" s="15" t="str">
        <f>IFERROR(__xludf.DUMMYFUNCTION("""COMPUTED_VALUE"""),"Marlburians")</f>
        <v>Marlburians</v>
      </c>
      <c r="D9" s="15"/>
    </row>
    <row r="10">
      <c r="A10" s="15" t="str">
        <f>IFERROR(__xludf.DUMMYFUNCTION("""COMPUTED_VALUE"""),"Nelson Region")</f>
        <v>Nelson Region</v>
      </c>
      <c r="B10" s="15" t="str">
        <f>IFERROR(__xludf.DUMMYFUNCTION("""COMPUTED_VALUE"""),"Nelsonian")</f>
        <v>Nelsonian</v>
      </c>
      <c r="C10" s="15" t="str">
        <f>IFERROR(__xludf.DUMMYFUNCTION("""COMPUTED_VALUE"""),"Nelsonians")</f>
        <v>Nelsonians</v>
      </c>
      <c r="D10" s="15"/>
    </row>
    <row r="11">
      <c r="A11" s="15" t="str">
        <f>IFERROR(__xludf.DUMMYFUNCTION("""COMPUTED_VALUE"""),"Northland Region")</f>
        <v>Northland Region</v>
      </c>
      <c r="B11" s="15" t="str">
        <f>IFERROR(__xludf.DUMMYFUNCTION("""COMPUTED_VALUE"""),"Northland")</f>
        <v>Northland</v>
      </c>
      <c r="C11" s="15" t="str">
        <f>IFERROR(__xludf.DUMMYFUNCTION("""COMPUTED_VALUE"""),"Northlanders")</f>
        <v>Northlanders</v>
      </c>
      <c r="D11" s="15"/>
    </row>
    <row r="12">
      <c r="A12" s="15" t="str">
        <f>IFERROR(__xludf.DUMMYFUNCTION("""COMPUTED_VALUE"""),"Otago Region")</f>
        <v>Otago Region</v>
      </c>
      <c r="B12" s="15" t="str">
        <f>IFERROR(__xludf.DUMMYFUNCTION("""COMPUTED_VALUE"""),"Otago")</f>
        <v>Otago</v>
      </c>
      <c r="C12" s="15" t="str">
        <f>IFERROR(__xludf.DUMMYFUNCTION("""COMPUTED_VALUE"""),"Otagoites,[5] Otagoans")</f>
        <v>Otagoites,[5] Otagoans</v>
      </c>
      <c r="D12" s="15"/>
    </row>
    <row r="13">
      <c r="A13" s="15" t="str">
        <f>IFERROR(__xludf.DUMMYFUNCTION("""COMPUTED_VALUE"""),"Southland Region")</f>
        <v>Southland Region</v>
      </c>
      <c r="B13" s="15" t="str">
        <f>IFERROR(__xludf.DUMMYFUNCTION("""COMPUTED_VALUE"""),"Southland")</f>
        <v>Southland</v>
      </c>
      <c r="C13" s="15" t="str">
        <f>IFERROR(__xludf.DUMMYFUNCTION("""COMPUTED_VALUE"""),"Southlanders")</f>
        <v>Southlanders</v>
      </c>
      <c r="D13" s="15"/>
    </row>
    <row r="14">
      <c r="A14" s="15" t="str">
        <f>IFERROR(__xludf.DUMMYFUNCTION("""COMPUTED_VALUE"""),"Taranaki Region")</f>
        <v>Taranaki Region</v>
      </c>
      <c r="B14" s="15" t="str">
        <f>IFERROR(__xludf.DUMMYFUNCTION("""COMPUTED_VALUE"""),"Taranaki")</f>
        <v>Taranaki</v>
      </c>
      <c r="C14" s="15" t="str">
        <f>IFERROR(__xludf.DUMMYFUNCTION("""COMPUTED_VALUE"""),"Taranakians")</f>
        <v>Taranakians</v>
      </c>
      <c r="D14" s="15" t="str">
        <f>IFERROR(__xludf.DUMMYFUNCTION("""COMPUTED_VALUE"""),"""'Nakians""")</f>
        <v>"'Nakians"</v>
      </c>
    </row>
    <row r="15">
      <c r="A15" s="15" t="str">
        <f>IFERROR(__xludf.DUMMYFUNCTION("""COMPUTED_VALUE"""),"Tasman Region")</f>
        <v>Tasman Region</v>
      </c>
      <c r="B15" s="15" t="str">
        <f>IFERROR(__xludf.DUMMYFUNCTION("""COMPUTED_VALUE"""),"Tasman")</f>
        <v>Tasman</v>
      </c>
      <c r="C15" s="15" t="str">
        <f>IFERROR(__xludf.DUMMYFUNCTION("""COMPUTED_VALUE"""),"Tasmanites")</f>
        <v>Tasmanites</v>
      </c>
      <c r="D15" s="15"/>
    </row>
    <row r="16">
      <c r="A16" s="15" t="str">
        <f>IFERROR(__xludf.DUMMYFUNCTION("""COMPUTED_VALUE"""),"Waikato Region")</f>
        <v>Waikato Region</v>
      </c>
      <c r="B16" s="15" t="str">
        <f>IFERROR(__xludf.DUMMYFUNCTION("""COMPUTED_VALUE"""),"Waikato")</f>
        <v>Waikato</v>
      </c>
      <c r="C16" s="15" t="str">
        <f>IFERROR(__xludf.DUMMYFUNCTION("""COMPUTED_VALUE"""),"Waikatoans")</f>
        <v>Waikatoans</v>
      </c>
      <c r="D16" s="15" t="str">
        <f>IFERROR(__xludf.DUMMYFUNCTION("""COMPUTED_VALUE"""),"""Mooloos""")</f>
        <v>"Mooloos"</v>
      </c>
    </row>
    <row r="17">
      <c r="A17" s="15" t="str">
        <f>IFERROR(__xludf.DUMMYFUNCTION("""COMPUTED_VALUE"""),"Wellington Region")</f>
        <v>Wellington Region</v>
      </c>
      <c r="B17" s="15" t="str">
        <f>IFERROR(__xludf.DUMMYFUNCTION("""COMPUTED_VALUE"""),"Wellington, Wellingtonian")</f>
        <v>Wellington, Wellingtonian</v>
      </c>
      <c r="C17" s="15" t="str">
        <f>IFERROR(__xludf.DUMMYFUNCTION("""COMPUTED_VALUE"""),"Wellingtonians")</f>
        <v>Wellingtonians</v>
      </c>
      <c r="D17" s="15"/>
    </row>
    <row r="18">
      <c r="A18" s="15" t="str">
        <f>IFERROR(__xludf.DUMMYFUNCTION("""COMPUTED_VALUE"""),"West Coast Region")</f>
        <v>West Coast Region</v>
      </c>
      <c r="B18" s="15" t="str">
        <f>IFERROR(__xludf.DUMMYFUNCTION("""COMPUTED_VALUE"""),"West Coast")</f>
        <v>West Coast</v>
      </c>
      <c r="C18" s="15" t="str">
        <f>IFERROR(__xludf.DUMMYFUNCTION("""COMPUTED_VALUE"""),"West Coasters")</f>
        <v>West Coasters</v>
      </c>
      <c r="D18" s="15" t="str">
        <f>IFERROR(__xludf.DUMMYFUNCTION("""COMPUTED_VALUE"""),"""Coasters""")</f>
        <v>"Coasters"</v>
      </c>
    </row>
    <row r="19">
      <c r="A19" s="15" t="str">
        <f>IFERROR(__xludf.DUMMYFUNCTION("""COMPUTED_VALUE"""),"*North Island*")</f>
        <v>*North Island*</v>
      </c>
      <c r="B19" s="15" t="str">
        <f>IFERROR(__xludf.DUMMYFUNCTION("""COMPUTED_VALUE"""),"North Island")</f>
        <v>North Island</v>
      </c>
      <c r="C19" s="15" t="str">
        <f>IFERROR(__xludf.DUMMYFUNCTION("""COMPUTED_VALUE"""),"North Islanders")</f>
        <v>North Islanders</v>
      </c>
      <c r="D19" s="15"/>
    </row>
    <row r="20">
      <c r="A20" s="15" t="str">
        <f>IFERROR(__xludf.DUMMYFUNCTION("""COMPUTED_VALUE"""),"*South Island*")</f>
        <v>*South Island*</v>
      </c>
      <c r="B20" s="15" t="str">
        <f>IFERROR(__xludf.DUMMYFUNCTION("""COMPUTED_VALUE"""),"South Island / Mainland")</f>
        <v>South Island / Mainland</v>
      </c>
      <c r="C20" s="15" t="str">
        <f>IFERROR(__xludf.DUMMYFUNCTION("""COMPUTED_VALUE"""),"South Islanders")</f>
        <v>South Islanders</v>
      </c>
      <c r="D20" s="15" t="str">
        <f>IFERROR(__xludf.DUMMYFUNCTION("""COMPUTED_VALUE"""),"""Mainlanders""")</f>
        <v>"Mainlanders"</v>
      </c>
    </row>
    <row r="21">
      <c r="A21" s="15" t="str">
        <f>IFERROR(__xludf.DUMMYFUNCTION("""COMPUTED_VALUE"""),"*Stewart Island*")</f>
        <v>*Stewart Island*</v>
      </c>
      <c r="B21" s="15" t="str">
        <f>IFERROR(__xludf.DUMMYFUNCTION("""COMPUTED_VALUE"""),"Stewart Island, Rakiuran")</f>
        <v>Stewart Island, Rakiuran</v>
      </c>
      <c r="C21" s="15" t="str">
        <f>IFERROR(__xludf.DUMMYFUNCTION("""COMPUTED_VALUE"""),"Stewart Islanders")</f>
        <v>Stewart Islanders</v>
      </c>
      <c r="D21" s="15"/>
    </row>
    <row r="22">
      <c r="A22" s="15" t="str">
        <f>IFERROR(__xludf.DUMMYFUNCTION("""COMPUTED_VALUE"""),"*Chatham Islands*")</f>
        <v>*Chatham Islands*</v>
      </c>
      <c r="B22" s="15" t="str">
        <f>IFERROR(__xludf.DUMMYFUNCTION("""COMPUTED_VALUE"""),"Chatham")</f>
        <v>Chatham</v>
      </c>
      <c r="C22" s="15" t="str">
        <f>IFERROR(__xludf.DUMMYFUNCTION("""COMPUTED_VALUE"""),"Chatham Islanders")</f>
        <v>Chatham Islanders</v>
      </c>
      <c r="D22" s="1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tr">
        <f>IFERROR(__xludf.DUMMYFUNCTION("IMPORTHTML(""https://en.wikipedia.org/wiki/List_of_adjectival_and_demonymic_forms_of_place_names"", ""table"", 11)"),"Name")</f>
        <v>Name</v>
      </c>
      <c r="B1" s="15" t="str">
        <f>IFERROR(__xludf.DUMMYFUNCTION("""COMPUTED_VALUE"""),"Adjective")</f>
        <v>Adjective</v>
      </c>
      <c r="C1" s="15" t="str">
        <f>IFERROR(__xludf.DUMMYFUNCTION("""COMPUTED_VALUE"""),"Demonym")</f>
        <v>Demonym</v>
      </c>
      <c r="D1" s="15"/>
    </row>
    <row r="2">
      <c r="A2" s="15"/>
      <c r="B2" s="15"/>
      <c r="C2" s="15"/>
      <c r="D2" s="15" t="str">
        <f>IFERROR(__xludf.DUMMYFUNCTION("""COMPUTED_VALUE"""),"*colloquial*")</f>
        <v>*colloquial*</v>
      </c>
    </row>
    <row r="3">
      <c r="A3" s="15" t="str">
        <f>IFERROR(__xludf.DUMMYFUNCTION("""COMPUTED_VALUE"""),"Acarnania")</f>
        <v>Acarnania</v>
      </c>
      <c r="B3" s="15" t="str">
        <f>IFERROR(__xludf.DUMMYFUNCTION("""COMPUTED_VALUE"""),"Acarnanian")</f>
        <v>Acarnanian</v>
      </c>
      <c r="C3" s="15" t="str">
        <f>IFERROR(__xludf.DUMMYFUNCTION("""COMPUTED_VALUE"""),"Acarnanians")</f>
        <v>Acarnanians</v>
      </c>
      <c r="D3" s="15"/>
    </row>
    <row r="4">
      <c r="A4" s="15" t="str">
        <f>IFERROR(__xludf.DUMMYFUNCTION("""COMPUTED_VALUE"""),"Achaea")</f>
        <v>Achaea</v>
      </c>
      <c r="B4" s="15" t="str">
        <f>IFERROR(__xludf.DUMMYFUNCTION("""COMPUTED_VALUE"""),"Achaean")</f>
        <v>Achaean</v>
      </c>
      <c r="C4" s="15" t="str">
        <f>IFERROR(__xludf.DUMMYFUNCTION("""COMPUTED_VALUE"""),"Achaeans")</f>
        <v>Achaeans</v>
      </c>
      <c r="D4" s="15"/>
    </row>
    <row r="5">
      <c r="A5" s="15" t="str">
        <f>IFERROR(__xludf.DUMMYFUNCTION("""COMPUTED_VALUE"""),"Aegina")</f>
        <v>Aegina</v>
      </c>
      <c r="B5" s="15" t="str">
        <f>IFERROR(__xludf.DUMMYFUNCTION("""COMPUTED_VALUE"""),"Aeginetan")</f>
        <v>Aeginetan</v>
      </c>
      <c r="C5" s="15" t="str">
        <f>IFERROR(__xludf.DUMMYFUNCTION("""COMPUTED_VALUE"""),"Aeginetans")</f>
        <v>Aeginetans</v>
      </c>
      <c r="D5" s="15"/>
    </row>
    <row r="6">
      <c r="A6" s="15" t="str">
        <f>IFERROR(__xludf.DUMMYFUNCTION("""COMPUTED_VALUE"""),"Aethaea")</f>
        <v>Aethaea</v>
      </c>
      <c r="B6" s="15" t="str">
        <f>IFERROR(__xludf.DUMMYFUNCTION("""COMPUTED_VALUE"""),"Aethaean")</f>
        <v>Aethaean</v>
      </c>
      <c r="C6" s="15" t="str">
        <f>IFERROR(__xludf.DUMMYFUNCTION("""COMPUTED_VALUE"""),"Aethaeans")</f>
        <v>Aethaeans</v>
      </c>
      <c r="D6" s="15"/>
    </row>
    <row r="7">
      <c r="A7" s="15" t="str">
        <f>IFERROR(__xludf.DUMMYFUNCTION("""COMPUTED_VALUE"""),"Aetolia")</f>
        <v>Aetolia</v>
      </c>
      <c r="B7" s="15" t="str">
        <f>IFERROR(__xludf.DUMMYFUNCTION("""COMPUTED_VALUE"""),"Aetolian")</f>
        <v>Aetolian</v>
      </c>
      <c r="C7" s="15" t="str">
        <f>IFERROR(__xludf.DUMMYFUNCTION("""COMPUTED_VALUE"""),"Aetolians")</f>
        <v>Aetolians</v>
      </c>
      <c r="D7" s="15"/>
    </row>
    <row r="8">
      <c r="A8" s="15" t="str">
        <f>IFERROR(__xludf.DUMMYFUNCTION("""COMPUTED_VALUE"""),"Andalusia")</f>
        <v>Andalusia</v>
      </c>
      <c r="B8" s="15" t="str">
        <f>IFERROR(__xludf.DUMMYFUNCTION("""COMPUTED_VALUE"""),"Andalusian")</f>
        <v>Andalusian</v>
      </c>
      <c r="C8" s="15" t="str">
        <f>IFERROR(__xludf.DUMMYFUNCTION("""COMPUTED_VALUE"""),"Andalusians")</f>
        <v>Andalusians</v>
      </c>
      <c r="D8" s="15"/>
    </row>
    <row r="9">
      <c r="A9" s="15" t="str">
        <f>IFERROR(__xludf.DUMMYFUNCTION("""COMPUTED_VALUE"""),"Apulia")</f>
        <v>Apulia</v>
      </c>
      <c r="B9" s="15" t="str">
        <f>IFERROR(__xludf.DUMMYFUNCTION("""COMPUTED_VALUE"""),"Apulian")</f>
        <v>Apulian</v>
      </c>
      <c r="C9" s="15" t="str">
        <f>IFERROR(__xludf.DUMMYFUNCTION("""COMPUTED_VALUE"""),"Apulians")</f>
        <v>Apulians</v>
      </c>
      <c r="D9" s="15"/>
    </row>
    <row r="10">
      <c r="A10" s="15" t="str">
        <f>IFERROR(__xludf.DUMMYFUNCTION("""COMPUTED_VALUE"""),"Aquitania")</f>
        <v>Aquitania</v>
      </c>
      <c r="B10" s="15" t="str">
        <f>IFERROR(__xludf.DUMMYFUNCTION("""COMPUTED_VALUE"""),"Aquitanian")</f>
        <v>Aquitanian</v>
      </c>
      <c r="C10" s="15" t="str">
        <f>IFERROR(__xludf.DUMMYFUNCTION("""COMPUTED_VALUE"""),"Aquitanians")</f>
        <v>Aquitanians</v>
      </c>
      <c r="D10" s="15"/>
    </row>
    <row r="11">
      <c r="A11" s="15" t="str">
        <f>IFERROR(__xludf.DUMMYFUNCTION("""COMPUTED_VALUE"""),"Arcadia")</f>
        <v>Arcadia</v>
      </c>
      <c r="B11" s="15" t="str">
        <f>IFERROR(__xludf.DUMMYFUNCTION("""COMPUTED_VALUE"""),"Arcadian")</f>
        <v>Arcadian</v>
      </c>
      <c r="C11" s="15" t="str">
        <f>IFERROR(__xludf.DUMMYFUNCTION("""COMPUTED_VALUE"""),"Arcadians")</f>
        <v>Arcadians</v>
      </c>
      <c r="D11" s="15"/>
    </row>
    <row r="12">
      <c r="A12" s="15" t="str">
        <f>IFERROR(__xludf.DUMMYFUNCTION("""COMPUTED_VALUE"""),"Argos")</f>
        <v>Argos</v>
      </c>
      <c r="B12" s="15" t="str">
        <f>IFERROR(__xludf.DUMMYFUNCTION("""COMPUTED_VALUE"""),"Argive")</f>
        <v>Argive</v>
      </c>
      <c r="C12" s="15" t="str">
        <f>IFERROR(__xludf.DUMMYFUNCTION("""COMPUTED_VALUE"""),"Argives")</f>
        <v>Argives</v>
      </c>
      <c r="D12" s="15"/>
    </row>
    <row r="13">
      <c r="A13" s="15" t="str">
        <f>IFERROR(__xludf.DUMMYFUNCTION("""COMPUTED_VALUE"""),"Arretium")</f>
        <v>Arretium</v>
      </c>
      <c r="B13" s="15" t="str">
        <f>IFERROR(__xludf.DUMMYFUNCTION("""COMPUTED_VALUE"""),"Arretine")</f>
        <v>Arretine</v>
      </c>
      <c r="C13" s="15" t="str">
        <f>IFERROR(__xludf.DUMMYFUNCTION("""COMPUTED_VALUE"""),"Arretines")</f>
        <v>Arretines</v>
      </c>
      <c r="D13" s="15"/>
    </row>
    <row r="14">
      <c r="A14" s="15" t="str">
        <f>IFERROR(__xludf.DUMMYFUNCTION("""COMPUTED_VALUE"""),"Athens")</f>
        <v>Athens</v>
      </c>
      <c r="B14" s="15" t="str">
        <f>IFERROR(__xludf.DUMMYFUNCTION("""COMPUTED_VALUE"""),"Athenian")</f>
        <v>Athenian</v>
      </c>
      <c r="C14" s="15" t="str">
        <f>IFERROR(__xludf.DUMMYFUNCTION("""COMPUTED_VALUE"""),"Athenians")</f>
        <v>Athenians</v>
      </c>
      <c r="D14" s="15"/>
    </row>
    <row r="15">
      <c r="A15" s="15" t="str">
        <f>IFERROR(__xludf.DUMMYFUNCTION("""COMPUTED_VALUE"""),"Bactria, Bactriana")</f>
        <v>Bactria, Bactriana</v>
      </c>
      <c r="B15" s="15" t="str">
        <f>IFERROR(__xludf.DUMMYFUNCTION("""COMPUTED_VALUE"""),"Bactrian")</f>
        <v>Bactrian</v>
      </c>
      <c r="C15" s="15" t="str">
        <f>IFERROR(__xludf.DUMMYFUNCTION("""COMPUTED_VALUE"""),"Bactrians")</f>
        <v>Bactrians</v>
      </c>
      <c r="D15" s="15"/>
    </row>
    <row r="16">
      <c r="A16" s="15" t="str">
        <f>IFERROR(__xludf.DUMMYFUNCTION("""COMPUTED_VALUE"""),"Bavaria")</f>
        <v>Bavaria</v>
      </c>
      <c r="B16" s="15" t="str">
        <f>IFERROR(__xludf.DUMMYFUNCTION("""COMPUTED_VALUE"""),"Bavarian")</f>
        <v>Bavarian</v>
      </c>
      <c r="C16" s="15" t="str">
        <f>IFERROR(__xludf.DUMMYFUNCTION("""COMPUTED_VALUE"""),"Bavarians")</f>
        <v>Bavarians</v>
      </c>
      <c r="D16" s="15"/>
    </row>
    <row r="17">
      <c r="A17" s="15" t="str">
        <f>IFERROR(__xludf.DUMMYFUNCTION("""COMPUTED_VALUE"""),"Boeotia")</f>
        <v>Boeotia</v>
      </c>
      <c r="B17" s="15" t="str">
        <f>IFERROR(__xludf.DUMMYFUNCTION("""COMPUTED_VALUE"""),"Boeotian, Beotian")</f>
        <v>Boeotian, Beotian</v>
      </c>
      <c r="C17" s="15" t="str">
        <f>IFERROR(__xludf.DUMMYFUNCTION("""COMPUTED_VALUE"""),"Boeotians, Beotians")</f>
        <v>Boeotians, Beotians</v>
      </c>
      <c r="D17" s="15"/>
    </row>
    <row r="18">
      <c r="A18" s="15" t="str">
        <f>IFERROR(__xludf.DUMMYFUNCTION("""COMPUTED_VALUE"""),"Boiohaemum")</f>
        <v>Boiohaemum</v>
      </c>
      <c r="B18" s="15" t="str">
        <f>IFERROR(__xludf.DUMMYFUNCTION("""COMPUTED_VALUE"""),"Boius")</f>
        <v>Boius</v>
      </c>
      <c r="C18" s="15" t="str">
        <f>IFERROR(__xludf.DUMMYFUNCTION("""COMPUTED_VALUE"""),"Boii")</f>
        <v>Boii</v>
      </c>
      <c r="D18" s="15"/>
    </row>
    <row r="19">
      <c r="A19" s="15" t="str">
        <f>IFERROR(__xludf.DUMMYFUNCTION("""COMPUTED_VALUE"""),"Bosporus, Bosphorus")</f>
        <v>Bosporus, Bosphorus</v>
      </c>
      <c r="B19" s="15" t="str">
        <f>IFERROR(__xludf.DUMMYFUNCTION("""COMPUTED_VALUE"""),"Bosporan, Bosphoran")</f>
        <v>Bosporan, Bosphoran</v>
      </c>
      <c r="C19" s="15" t="str">
        <f>IFERROR(__xludf.DUMMYFUNCTION("""COMPUTED_VALUE"""),"Bosporans, Bosphorans")</f>
        <v>Bosporans, Bosphorans</v>
      </c>
      <c r="D19" s="15"/>
    </row>
    <row r="20">
      <c r="A20" s="15" t="str">
        <f>IFERROR(__xludf.DUMMYFUNCTION("""COMPUTED_VALUE"""),"Bruttium")</f>
        <v>Bruttium</v>
      </c>
      <c r="B20" s="15" t="str">
        <f>IFERROR(__xludf.DUMMYFUNCTION("""COMPUTED_VALUE"""),"(Bruttus ?), Bruttian")</f>
        <v>(Bruttus ?), Bruttian</v>
      </c>
      <c r="C20" s="15" t="str">
        <f>IFERROR(__xludf.DUMMYFUNCTION("""COMPUTED_VALUE"""),"Brutti, Bruttians")</f>
        <v>Brutti, Bruttians</v>
      </c>
      <c r="D20" s="15"/>
    </row>
    <row r="21">
      <c r="A21" s="15" t="str">
        <f>IFERROR(__xludf.DUMMYFUNCTION("""COMPUTED_VALUE"""),"Byzantium")</f>
        <v>Byzantium</v>
      </c>
      <c r="B21" s="15" t="str">
        <f>IFERROR(__xludf.DUMMYFUNCTION("""COMPUTED_VALUE"""),"Byzantine")</f>
        <v>Byzantine</v>
      </c>
      <c r="C21" s="15" t="str">
        <f>IFERROR(__xludf.DUMMYFUNCTION("""COMPUTED_VALUE"""),"Byzantines")</f>
        <v>Byzantines</v>
      </c>
      <c r="D21" s="15"/>
    </row>
    <row r="22">
      <c r="A22" s="15" t="str">
        <f>IFERROR(__xludf.DUMMYFUNCTION("""COMPUTED_VALUE"""),"Calabria")</f>
        <v>Calabria</v>
      </c>
      <c r="B22" s="15" t="str">
        <f>IFERROR(__xludf.DUMMYFUNCTION("""COMPUTED_VALUE"""),"Calabrian")</f>
        <v>Calabrian</v>
      </c>
      <c r="C22" s="15" t="str">
        <f>IFERROR(__xludf.DUMMYFUNCTION("""COMPUTED_VALUE"""),"Calabrians")</f>
        <v>Calabrians</v>
      </c>
      <c r="D22" s="15"/>
    </row>
    <row r="23">
      <c r="A23" s="15" t="str">
        <f>IFERROR(__xludf.DUMMYFUNCTION("""COMPUTED_VALUE"""),"Campania")</f>
        <v>Campania</v>
      </c>
      <c r="B23" s="15" t="str">
        <f>IFERROR(__xludf.DUMMYFUNCTION("""COMPUTED_VALUE"""),"Campanian")</f>
        <v>Campanian</v>
      </c>
      <c r="C23" s="15" t="str">
        <f>IFERROR(__xludf.DUMMYFUNCTION("""COMPUTED_VALUE"""),"Campanians")</f>
        <v>Campanians</v>
      </c>
      <c r="D23" s="15"/>
    </row>
    <row r="24">
      <c r="A24" s="15" t="str">
        <f>IFERROR(__xludf.DUMMYFUNCTION("""COMPUTED_VALUE"""),"Cantabria")</f>
        <v>Cantabria</v>
      </c>
      <c r="B24" s="15" t="str">
        <f>IFERROR(__xludf.DUMMYFUNCTION("""COMPUTED_VALUE"""),"Cantabrian")</f>
        <v>Cantabrian</v>
      </c>
      <c r="C24" s="15" t="str">
        <f>IFERROR(__xludf.DUMMYFUNCTION("""COMPUTED_VALUE"""),"Cantabrians")</f>
        <v>Cantabrians</v>
      </c>
      <c r="D24" s="15"/>
    </row>
    <row r="25">
      <c r="A25" s="15" t="str">
        <f>IFERROR(__xludf.DUMMYFUNCTION("""COMPUTED_VALUE"""),"Caria")</f>
        <v>Caria</v>
      </c>
      <c r="B25" s="15" t="str">
        <f>IFERROR(__xludf.DUMMYFUNCTION("""COMPUTED_VALUE"""),"Carian")</f>
        <v>Carian</v>
      </c>
      <c r="C25" s="15" t="str">
        <f>IFERROR(__xludf.DUMMYFUNCTION("""COMPUTED_VALUE"""),"Carians")</f>
        <v>Carians</v>
      </c>
      <c r="D25" s="15"/>
    </row>
    <row r="26">
      <c r="A26" s="15" t="str">
        <f>IFERROR(__xludf.DUMMYFUNCTION("""COMPUTED_VALUE"""),"Carthage")</f>
        <v>Carthage</v>
      </c>
      <c r="B26" s="15" t="str">
        <f>IFERROR(__xludf.DUMMYFUNCTION("""COMPUTED_VALUE"""),"Carthaginian")</f>
        <v>Carthaginian</v>
      </c>
      <c r="C26" s="15" t="str">
        <f>IFERROR(__xludf.DUMMYFUNCTION("""COMPUTED_VALUE"""),"Carthaginians")</f>
        <v>Carthaginians</v>
      </c>
      <c r="D26" s="15"/>
    </row>
    <row r="27">
      <c r="A27" s="15" t="str">
        <f>IFERROR(__xludf.DUMMYFUNCTION("""COMPUTED_VALUE"""),"Carystus")</f>
        <v>Carystus</v>
      </c>
      <c r="B27" s="15" t="str">
        <f>IFERROR(__xludf.DUMMYFUNCTION("""COMPUTED_VALUE"""),"Carystian")</f>
        <v>Carystian</v>
      </c>
      <c r="C27" s="15" t="str">
        <f>IFERROR(__xludf.DUMMYFUNCTION("""COMPUTED_VALUE"""),"Carystians")</f>
        <v>Carystians</v>
      </c>
      <c r="D27" s="15"/>
    </row>
    <row r="28">
      <c r="A28" s="15" t="str">
        <f>IFERROR(__xludf.DUMMYFUNCTION("""COMPUTED_VALUE"""),"Catalonia")</f>
        <v>Catalonia</v>
      </c>
      <c r="B28" s="15" t="str">
        <f>IFERROR(__xludf.DUMMYFUNCTION("""COMPUTED_VALUE"""),"Catalan, Catalonian")</f>
        <v>Catalan, Catalonian</v>
      </c>
      <c r="C28" s="15" t="str">
        <f>IFERROR(__xludf.DUMMYFUNCTION("""COMPUTED_VALUE"""),"Catalans, Catalonians")</f>
        <v>Catalans, Catalonians</v>
      </c>
      <c r="D28" s="15"/>
    </row>
    <row r="29">
      <c r="A29" s="15" t="str">
        <f>IFERROR(__xludf.DUMMYFUNCTION("""COMPUTED_VALUE"""),"Cephalonia")</f>
        <v>Cephalonia</v>
      </c>
      <c r="B29" s="15" t="str">
        <f>IFERROR(__xludf.DUMMYFUNCTION("""COMPUTED_VALUE"""),"Cephalonian")</f>
        <v>Cephalonian</v>
      </c>
      <c r="C29" s="15" t="str">
        <f>IFERROR(__xludf.DUMMYFUNCTION("""COMPUTED_VALUE"""),"Cephalonians")</f>
        <v>Cephalonians</v>
      </c>
      <c r="D29" s="15"/>
    </row>
    <row r="30">
      <c r="A30" s="15" t="str">
        <f>IFERROR(__xludf.DUMMYFUNCTION("""COMPUTED_VALUE"""),"Chalcis")</f>
        <v>Chalcis</v>
      </c>
      <c r="B30" s="15" t="str">
        <f>IFERROR(__xludf.DUMMYFUNCTION("""COMPUTED_VALUE"""),"Chalcidian")</f>
        <v>Chalcidian</v>
      </c>
      <c r="C30" s="15" t="str">
        <f>IFERROR(__xludf.DUMMYFUNCTION("""COMPUTED_VALUE"""),"Chalcidians")</f>
        <v>Chalcidians</v>
      </c>
      <c r="D30" s="15"/>
    </row>
    <row r="31">
      <c r="A31" s="15" t="str">
        <f>IFERROR(__xludf.DUMMYFUNCTION("""COMPUTED_VALUE"""),"Chios")</f>
        <v>Chios</v>
      </c>
      <c r="B31" s="15" t="str">
        <f>IFERROR(__xludf.DUMMYFUNCTION("""COMPUTED_VALUE"""),"Chiot")</f>
        <v>Chiot</v>
      </c>
      <c r="C31" s="15" t="str">
        <f>IFERROR(__xludf.DUMMYFUNCTION("""COMPUTED_VALUE"""),"Chiots")</f>
        <v>Chiots</v>
      </c>
      <c r="D31" s="15"/>
    </row>
    <row r="32">
      <c r="A32" s="15" t="str">
        <f>IFERROR(__xludf.DUMMYFUNCTION("""COMPUTED_VALUE"""),"Colchis")</f>
        <v>Colchis</v>
      </c>
      <c r="B32" s="15" t="str">
        <f>IFERROR(__xludf.DUMMYFUNCTION("""COMPUTED_VALUE"""),"Colchian")</f>
        <v>Colchian</v>
      </c>
      <c r="C32" s="15" t="str">
        <f>IFERROR(__xludf.DUMMYFUNCTION("""COMPUTED_VALUE"""),"Colchians")</f>
        <v>Colchians</v>
      </c>
      <c r="D32" s="15"/>
    </row>
    <row r="33">
      <c r="A33" s="15" t="str">
        <f>IFERROR(__xludf.DUMMYFUNCTION("""COMPUTED_VALUE"""),"Colossae")</f>
        <v>Colossae</v>
      </c>
      <c r="B33" s="15" t="str">
        <f>IFERROR(__xludf.DUMMYFUNCTION("""COMPUTED_VALUE"""),"Colossian")</f>
        <v>Colossian</v>
      </c>
      <c r="C33" s="15" t="str">
        <f>IFERROR(__xludf.DUMMYFUNCTION("""COMPUTED_VALUE"""),"Colossians")</f>
        <v>Colossians</v>
      </c>
      <c r="D33" s="15"/>
    </row>
    <row r="34">
      <c r="A34" s="15" t="str">
        <f>IFERROR(__xludf.DUMMYFUNCTION("""COMPUTED_VALUE"""),"Consentia")</f>
        <v>Consentia</v>
      </c>
      <c r="B34" s="15" t="str">
        <f>IFERROR(__xludf.DUMMYFUNCTION("""COMPUTED_VALUE"""),"Consentian")</f>
        <v>Consentian</v>
      </c>
      <c r="C34" s="15" t="str">
        <f>IFERROR(__xludf.DUMMYFUNCTION("""COMPUTED_VALUE"""),"Consentians")</f>
        <v>Consentians</v>
      </c>
      <c r="D34" s="15"/>
    </row>
    <row r="35">
      <c r="A35" s="15" t="str">
        <f>IFERROR(__xludf.DUMMYFUNCTION("""COMPUTED_VALUE"""),"Corcyra")</f>
        <v>Corcyra</v>
      </c>
      <c r="B35" s="15" t="str">
        <f>IFERROR(__xludf.DUMMYFUNCTION("""COMPUTED_VALUE"""),"Corcyrean")</f>
        <v>Corcyrean</v>
      </c>
      <c r="C35" s="15" t="str">
        <f>IFERROR(__xludf.DUMMYFUNCTION("""COMPUTED_VALUE"""),"Corcyreans")</f>
        <v>Corcyreans</v>
      </c>
      <c r="D35" s="15"/>
    </row>
    <row r="36">
      <c r="A36" s="15" t="str">
        <f>IFERROR(__xludf.DUMMYFUNCTION("""COMPUTED_VALUE"""),"Corsica")</f>
        <v>Corsica</v>
      </c>
      <c r="B36" s="15" t="str">
        <f>IFERROR(__xludf.DUMMYFUNCTION("""COMPUTED_VALUE"""),"Corsican")</f>
        <v>Corsican</v>
      </c>
      <c r="C36" s="15" t="str">
        <f>IFERROR(__xludf.DUMMYFUNCTION("""COMPUTED_VALUE"""),"Corsicans")</f>
        <v>Corsicans</v>
      </c>
      <c r="D36" s="15"/>
    </row>
    <row r="37">
      <c r="A37" s="15" t="str">
        <f>IFERROR(__xludf.DUMMYFUNCTION("""COMPUTED_VALUE"""),"Crete")</f>
        <v>Crete</v>
      </c>
      <c r="B37" s="15" t="str">
        <f>IFERROR(__xludf.DUMMYFUNCTION("""COMPUTED_VALUE"""),"Cretan")</f>
        <v>Cretan</v>
      </c>
      <c r="C37" s="15" t="str">
        <f>IFERROR(__xludf.DUMMYFUNCTION("""COMPUTED_VALUE"""),"Cretans")</f>
        <v>Cretans</v>
      </c>
      <c r="D37" s="15"/>
    </row>
    <row r="38">
      <c r="A38" s="15" t="str">
        <f>IFERROR(__xludf.DUMMYFUNCTION("""COMPUTED_VALUE"""),"Croton")</f>
        <v>Croton</v>
      </c>
      <c r="B38" s="15" t="str">
        <f>IFERROR(__xludf.DUMMYFUNCTION("""COMPUTED_VALUE"""),"Crotonian")</f>
        <v>Crotonian</v>
      </c>
      <c r="C38" s="15" t="str">
        <f>IFERROR(__xludf.DUMMYFUNCTION("""COMPUTED_VALUE"""),"Crotonians")</f>
        <v>Crotonians</v>
      </c>
      <c r="D38" s="15"/>
    </row>
    <row r="39">
      <c r="A39" s="15" t="str">
        <f>IFERROR(__xludf.DUMMYFUNCTION("""COMPUTED_VALUE"""),"Cyclades")</f>
        <v>Cyclades</v>
      </c>
      <c r="B39" s="15" t="str">
        <f>IFERROR(__xludf.DUMMYFUNCTION("""COMPUTED_VALUE"""),"Cycladian")</f>
        <v>Cycladian</v>
      </c>
      <c r="C39" s="15" t="str">
        <f>IFERROR(__xludf.DUMMYFUNCTION("""COMPUTED_VALUE"""),"Cycladians")</f>
        <v>Cycladians</v>
      </c>
      <c r="D39" s="15"/>
    </row>
    <row r="40">
      <c r="A40" s="15" t="str">
        <f>IFERROR(__xludf.DUMMYFUNCTION("""COMPUTED_VALUE"""),"Cyprus")</f>
        <v>Cyprus</v>
      </c>
      <c r="B40" s="15" t="str">
        <f>IFERROR(__xludf.DUMMYFUNCTION("""COMPUTED_VALUE"""),"Cypriot, Cypriote")</f>
        <v>Cypriot, Cypriote</v>
      </c>
      <c r="C40" s="15" t="str">
        <f>IFERROR(__xludf.DUMMYFUNCTION("""COMPUTED_VALUE"""),"Cypriots, Cypriotes")</f>
        <v>Cypriots, Cypriotes</v>
      </c>
      <c r="D40" s="15"/>
    </row>
    <row r="41">
      <c r="A41" s="15" t="str">
        <f>IFERROR(__xludf.DUMMYFUNCTION("""COMPUTED_VALUE"""),"Cyrenaica")</f>
        <v>Cyrenaica</v>
      </c>
      <c r="B41" s="15" t="str">
        <f>IFERROR(__xludf.DUMMYFUNCTION("""COMPUTED_VALUE"""),"Cyrenaic")</f>
        <v>Cyrenaic</v>
      </c>
      <c r="C41" s="15" t="str">
        <f>IFERROR(__xludf.DUMMYFUNCTION("""COMPUTED_VALUE"""),"Cyrenaics")</f>
        <v>Cyrenaics</v>
      </c>
      <c r="D41" s="15"/>
    </row>
    <row r="42">
      <c r="A42" s="15" t="str">
        <f>IFERROR(__xludf.DUMMYFUNCTION("""COMPUTED_VALUE"""),"Cyrene")</f>
        <v>Cyrene</v>
      </c>
      <c r="B42" s="15" t="str">
        <f>IFERROR(__xludf.DUMMYFUNCTION("""COMPUTED_VALUE"""),"Cyrenian")</f>
        <v>Cyrenian</v>
      </c>
      <c r="C42" s="15" t="str">
        <f>IFERROR(__xludf.DUMMYFUNCTION("""COMPUTED_VALUE"""),"Cyrenians")</f>
        <v>Cyrenians</v>
      </c>
      <c r="D42" s="15"/>
    </row>
    <row r="43">
      <c r="A43" s="15" t="str">
        <f>IFERROR(__xludf.DUMMYFUNCTION("""COMPUTED_VALUE"""),"Dacia")</f>
        <v>Dacia</v>
      </c>
      <c r="B43" s="15" t="str">
        <f>IFERROR(__xludf.DUMMYFUNCTION("""COMPUTED_VALUE"""),"Dacian")</f>
        <v>Dacian</v>
      </c>
      <c r="C43" s="15" t="str">
        <f>IFERROR(__xludf.DUMMYFUNCTION("""COMPUTED_VALUE"""),"Dacians")</f>
        <v>Dacians</v>
      </c>
      <c r="D43" s="15"/>
    </row>
    <row r="44">
      <c r="A44" s="15" t="str">
        <f>IFERROR(__xludf.DUMMYFUNCTION("""COMPUTED_VALUE"""),"Dalmatia")</f>
        <v>Dalmatia</v>
      </c>
      <c r="B44" s="15" t="str">
        <f>IFERROR(__xludf.DUMMYFUNCTION("""COMPUTED_VALUE"""),"Dalmatian")</f>
        <v>Dalmatian</v>
      </c>
      <c r="C44" s="15" t="str">
        <f>IFERROR(__xludf.DUMMYFUNCTION("""COMPUTED_VALUE"""),"Dalmatians")</f>
        <v>Dalmatians</v>
      </c>
      <c r="D44" s="15"/>
    </row>
    <row r="45">
      <c r="A45" s="15" t="str">
        <f>IFERROR(__xludf.DUMMYFUNCTION("""COMPUTED_VALUE"""),"Delos")</f>
        <v>Delos</v>
      </c>
      <c r="B45" s="15" t="str">
        <f>IFERROR(__xludf.DUMMYFUNCTION("""COMPUTED_VALUE"""),"Delian")</f>
        <v>Delian</v>
      </c>
      <c r="C45" s="15" t="str">
        <f>IFERROR(__xludf.DUMMYFUNCTION("""COMPUTED_VALUE"""),"Delians")</f>
        <v>Delians</v>
      </c>
      <c r="D45" s="15"/>
    </row>
    <row r="46">
      <c r="A46" s="15" t="str">
        <f>IFERROR(__xludf.DUMMYFUNCTION("""COMPUTED_VALUE"""),"Dodecanese")</f>
        <v>Dodecanese</v>
      </c>
      <c r="B46" s="15" t="str">
        <f>IFERROR(__xludf.DUMMYFUNCTION("""COMPUTED_VALUE"""),"Dodecanesian")</f>
        <v>Dodecanesian</v>
      </c>
      <c r="C46" s="15" t="str">
        <f>IFERROR(__xludf.DUMMYFUNCTION("""COMPUTED_VALUE"""),"Dodecanesians")</f>
        <v>Dodecanesians</v>
      </c>
      <c r="D46" s="15"/>
    </row>
    <row r="47">
      <c r="A47" s="15" t="str">
        <f>IFERROR(__xludf.DUMMYFUNCTION("""COMPUTED_VALUE"""),"Edonia")</f>
        <v>Edonia</v>
      </c>
      <c r="B47" s="15" t="str">
        <f>IFERROR(__xludf.DUMMYFUNCTION("""COMPUTED_VALUE"""),"Edonian")</f>
        <v>Edonian</v>
      </c>
      <c r="C47" s="15" t="str">
        <f>IFERROR(__xludf.DUMMYFUNCTION("""COMPUTED_VALUE"""),"Edonians")</f>
        <v>Edonians</v>
      </c>
      <c r="D47" s="15"/>
    </row>
    <row r="48">
      <c r="A48" s="15" t="str">
        <f>IFERROR(__xludf.DUMMYFUNCTION("""COMPUTED_VALUE"""),"Egesta")</f>
        <v>Egesta</v>
      </c>
      <c r="B48" s="15" t="str">
        <f>IFERROR(__xludf.DUMMYFUNCTION("""COMPUTED_VALUE"""),"Egestan")</f>
        <v>Egestan</v>
      </c>
      <c r="C48" s="15" t="str">
        <f>IFERROR(__xludf.DUMMYFUNCTION("""COMPUTED_VALUE"""),"Egestans")</f>
        <v>Egestans</v>
      </c>
      <c r="D48" s="15"/>
    </row>
    <row r="49">
      <c r="A49" s="15" t="str">
        <f>IFERROR(__xludf.DUMMYFUNCTION("""COMPUTED_VALUE"""),"Eleusina or Eleusis")</f>
        <v>Eleusina or Eleusis</v>
      </c>
      <c r="B49" s="15" t="str">
        <f>IFERROR(__xludf.DUMMYFUNCTION("""COMPUTED_VALUE"""),"Eleusian, Eleusinian")</f>
        <v>Eleusian, Eleusinian</v>
      </c>
      <c r="C49" s="15" t="str">
        <f>IFERROR(__xludf.DUMMYFUNCTION("""COMPUTED_VALUE"""),"Eleusians, Eleusinians")</f>
        <v>Eleusians, Eleusinians</v>
      </c>
      <c r="D49" s="15"/>
    </row>
    <row r="50">
      <c r="A50" s="15" t="str">
        <f>IFERROR(__xludf.DUMMYFUNCTION("""COMPUTED_VALUE"""),"Elis or Eleia")</f>
        <v>Elis or Eleia</v>
      </c>
      <c r="B50" s="15" t="str">
        <f>IFERROR(__xludf.DUMMYFUNCTION("""COMPUTED_VALUE"""),"Elian")</f>
        <v>Elian</v>
      </c>
      <c r="C50" s="15" t="str">
        <f>IFERROR(__xludf.DUMMYFUNCTION("""COMPUTED_VALUE"""),"Elians")</f>
        <v>Elians</v>
      </c>
      <c r="D50" s="15"/>
    </row>
    <row r="51">
      <c r="A51" s="15" t="str">
        <f>IFERROR(__xludf.DUMMYFUNCTION("""COMPUTED_VALUE"""),"Ephesus")</f>
        <v>Ephesus</v>
      </c>
      <c r="B51" s="15" t="str">
        <f>IFERROR(__xludf.DUMMYFUNCTION("""COMPUTED_VALUE"""),"Ephesian")</f>
        <v>Ephesian</v>
      </c>
      <c r="C51" s="15" t="str">
        <f>IFERROR(__xludf.DUMMYFUNCTION("""COMPUTED_VALUE"""),"Ephesians")</f>
        <v>Ephesians</v>
      </c>
      <c r="D51" s="15"/>
    </row>
    <row r="52">
      <c r="A52" s="15" t="str">
        <f>IFERROR(__xludf.DUMMYFUNCTION("""COMPUTED_VALUE"""),"Epidamnus or Epidamnos")</f>
        <v>Epidamnus or Epidamnos</v>
      </c>
      <c r="B52" s="15" t="str">
        <f>IFERROR(__xludf.DUMMYFUNCTION("""COMPUTED_VALUE"""),"Epidamnian")</f>
        <v>Epidamnian</v>
      </c>
      <c r="C52" s="15" t="str">
        <f>IFERROR(__xludf.DUMMYFUNCTION("""COMPUTED_VALUE"""),"Epidamnians")</f>
        <v>Epidamnians</v>
      </c>
      <c r="D52" s="15"/>
    </row>
    <row r="53">
      <c r="A53" s="15" t="str">
        <f>IFERROR(__xludf.DUMMYFUNCTION("""COMPUTED_VALUE"""),"Epidaurus")</f>
        <v>Epidaurus</v>
      </c>
      <c r="B53" s="15" t="str">
        <f>IFERROR(__xludf.DUMMYFUNCTION("""COMPUTED_VALUE"""),"Epidaurian")</f>
        <v>Epidaurian</v>
      </c>
      <c r="C53" s="15" t="str">
        <f>IFERROR(__xludf.DUMMYFUNCTION("""COMPUTED_VALUE"""),"Epidaurians")</f>
        <v>Epidaurians</v>
      </c>
      <c r="D53" s="15"/>
    </row>
    <row r="54">
      <c r="A54" s="15" t="str">
        <f>IFERROR(__xludf.DUMMYFUNCTION("""COMPUTED_VALUE"""),"Epirus")</f>
        <v>Epirus</v>
      </c>
      <c r="B54" s="15" t="str">
        <f>IFERROR(__xludf.DUMMYFUNCTION("""COMPUTED_VALUE"""),"Epirote")</f>
        <v>Epirote</v>
      </c>
      <c r="C54" s="15" t="str">
        <f>IFERROR(__xludf.DUMMYFUNCTION("""COMPUTED_VALUE"""),"Epirotes")</f>
        <v>Epirotes</v>
      </c>
      <c r="D54" s="15"/>
    </row>
    <row r="55">
      <c r="A55" s="15" t="str">
        <f>IFERROR(__xludf.DUMMYFUNCTION("""COMPUTED_VALUE"""),"Eretria")</f>
        <v>Eretria</v>
      </c>
      <c r="B55" s="15" t="str">
        <f>IFERROR(__xludf.DUMMYFUNCTION("""COMPUTED_VALUE"""),"Eretrian")</f>
        <v>Eretrian</v>
      </c>
      <c r="C55" s="15" t="str">
        <f>IFERROR(__xludf.DUMMYFUNCTION("""COMPUTED_VALUE"""),"Eretrians")</f>
        <v>Eretrians</v>
      </c>
      <c r="D55" s="15"/>
    </row>
    <row r="56">
      <c r="A56" s="15" t="str">
        <f>IFERROR(__xludf.DUMMYFUNCTION("""COMPUTED_VALUE"""),"Etruria")</f>
        <v>Etruria</v>
      </c>
      <c r="B56" s="15" t="str">
        <f>IFERROR(__xludf.DUMMYFUNCTION("""COMPUTED_VALUE"""),"Etrurian, Etruscan")</f>
        <v>Etrurian, Etruscan</v>
      </c>
      <c r="C56" s="15" t="str">
        <f>IFERROR(__xludf.DUMMYFUNCTION("""COMPUTED_VALUE"""),"Etruscans")</f>
        <v>Etruscans</v>
      </c>
      <c r="D56" s="15"/>
    </row>
    <row r="57">
      <c r="A57" s="15" t="str">
        <f>IFERROR(__xludf.DUMMYFUNCTION("""COMPUTED_VALUE"""),"Euboea")</f>
        <v>Euboea</v>
      </c>
      <c r="B57" s="15" t="str">
        <f>IFERROR(__xludf.DUMMYFUNCTION("""COMPUTED_VALUE"""),"Euboean")</f>
        <v>Euboean</v>
      </c>
      <c r="C57" s="15" t="str">
        <f>IFERROR(__xludf.DUMMYFUNCTION("""COMPUTED_VALUE"""),"Euboeans")</f>
        <v>Euboeans</v>
      </c>
      <c r="D57" s="15"/>
    </row>
    <row r="58">
      <c r="A58" s="15" t="str">
        <f>IFERROR(__xludf.DUMMYFUNCTION("""COMPUTED_VALUE"""),"Galatia")</f>
        <v>Galatia</v>
      </c>
      <c r="B58" s="15" t="str">
        <f>IFERROR(__xludf.DUMMYFUNCTION("""COMPUTED_VALUE"""),"Galatian")</f>
        <v>Galatian</v>
      </c>
      <c r="C58" s="15" t="str">
        <f>IFERROR(__xludf.DUMMYFUNCTION("""COMPUTED_VALUE"""),"Galatians")</f>
        <v>Galatians</v>
      </c>
      <c r="D58" s="15"/>
    </row>
    <row r="59">
      <c r="A59" s="15" t="str">
        <f>IFERROR(__xludf.DUMMYFUNCTION("""COMPUTED_VALUE"""),"Gallaecia")</f>
        <v>Gallaecia</v>
      </c>
      <c r="B59" s="15" t="str">
        <f>IFERROR(__xludf.DUMMYFUNCTION("""COMPUTED_VALUE"""),"Gallaecus")</f>
        <v>Gallaecus</v>
      </c>
      <c r="C59" s="15" t="str">
        <f>IFERROR(__xludf.DUMMYFUNCTION("""COMPUTED_VALUE"""),"Gallaeci")</f>
        <v>Gallaeci</v>
      </c>
      <c r="D59" s="15"/>
    </row>
    <row r="60">
      <c r="A60" s="15" t="str">
        <f>IFERROR(__xludf.DUMMYFUNCTION("""COMPUTED_VALUE"""),"Gallia or Gaul")</f>
        <v>Gallia or Gaul</v>
      </c>
      <c r="B60" s="15" t="str">
        <f>IFERROR(__xludf.DUMMYFUNCTION("""COMPUTED_VALUE"""),"Gaulish")</f>
        <v>Gaulish</v>
      </c>
      <c r="C60" s="15" t="str">
        <f>IFERROR(__xludf.DUMMYFUNCTION("""COMPUTED_VALUE"""),"Gauls")</f>
        <v>Gauls</v>
      </c>
      <c r="D60" s="15"/>
    </row>
    <row r="61">
      <c r="A61" s="15" t="str">
        <f>IFERROR(__xludf.DUMMYFUNCTION("""COMPUTED_VALUE"""),"Germania")</f>
        <v>Germania</v>
      </c>
      <c r="B61" s="15" t="str">
        <f>IFERROR(__xludf.DUMMYFUNCTION("""COMPUTED_VALUE"""),"Germanic, Germanus")</f>
        <v>Germanic, Germanus</v>
      </c>
      <c r="C61" s="15" t="str">
        <f>IFERROR(__xludf.DUMMYFUNCTION("""COMPUTED_VALUE"""),"Germanic, Germani")</f>
        <v>Germanic, Germani</v>
      </c>
      <c r="D61" s="15"/>
    </row>
    <row r="62">
      <c r="A62" s="15" t="str">
        <f>IFERROR(__xludf.DUMMYFUNCTION("""COMPUTED_VALUE"""),"Iberia")</f>
        <v>Iberia</v>
      </c>
      <c r="B62" s="15" t="str">
        <f>IFERROR(__xludf.DUMMYFUNCTION("""COMPUTED_VALUE"""),"Iberian")</f>
        <v>Iberian</v>
      </c>
      <c r="C62" s="15" t="str">
        <f>IFERROR(__xludf.DUMMYFUNCTION("""COMPUTED_VALUE"""),"Iberians")</f>
        <v>Iberians</v>
      </c>
      <c r="D62" s="15"/>
    </row>
    <row r="63">
      <c r="A63" s="15" t="str">
        <f>IFERROR(__xludf.DUMMYFUNCTION("""COMPUTED_VALUE"""),"Illyria")</f>
        <v>Illyria</v>
      </c>
      <c r="B63" s="15" t="str">
        <f>IFERROR(__xludf.DUMMYFUNCTION("""COMPUTED_VALUE"""),"Illyrian")</f>
        <v>Illyrian</v>
      </c>
      <c r="C63" s="15" t="str">
        <f>IFERROR(__xludf.DUMMYFUNCTION("""COMPUTED_VALUE"""),"Illyrians")</f>
        <v>Illyrians</v>
      </c>
      <c r="D63" s="15"/>
    </row>
    <row r="64">
      <c r="A64" s="15" t="str">
        <f>IFERROR(__xludf.DUMMYFUNCTION("""COMPUTED_VALUE"""),"Ionia")</f>
        <v>Ionia</v>
      </c>
      <c r="B64" s="15" t="str">
        <f>IFERROR(__xludf.DUMMYFUNCTION("""COMPUTED_VALUE"""),"Ionian")</f>
        <v>Ionian</v>
      </c>
      <c r="C64" s="15" t="str">
        <f>IFERROR(__xludf.DUMMYFUNCTION("""COMPUTED_VALUE"""),"Ionians")</f>
        <v>Ionians</v>
      </c>
      <c r="D64" s="15"/>
    </row>
    <row r="65">
      <c r="A65" s="15" t="str">
        <f>IFERROR(__xludf.DUMMYFUNCTION("""COMPUTED_VALUE"""),"Kalymnos")</f>
        <v>Kalymnos</v>
      </c>
      <c r="B65" s="15" t="str">
        <f>IFERROR(__xludf.DUMMYFUNCTION("""COMPUTED_VALUE"""),"Kalymnian")</f>
        <v>Kalymnian</v>
      </c>
      <c r="C65" s="15" t="str">
        <f>IFERROR(__xludf.DUMMYFUNCTION("""COMPUTED_VALUE"""),"Kalymnians")</f>
        <v>Kalymnians</v>
      </c>
      <c r="D65" s="15"/>
    </row>
    <row r="66">
      <c r="A66" s="15" t="str">
        <f>IFERROR(__xludf.DUMMYFUNCTION("""COMPUTED_VALUE"""),"Kaulonia")</f>
        <v>Kaulonia</v>
      </c>
      <c r="B66" s="15" t="str">
        <f>IFERROR(__xludf.DUMMYFUNCTION("""COMPUTED_VALUE"""),"Kaulonian")</f>
        <v>Kaulonian</v>
      </c>
      <c r="C66" s="15" t="str">
        <f>IFERROR(__xludf.DUMMYFUNCTION("""COMPUTED_VALUE"""),"Kaulonians")</f>
        <v>Kaulonians</v>
      </c>
      <c r="D66" s="15"/>
    </row>
    <row r="67">
      <c r="A67" s="15" t="str">
        <f>IFERROR(__xludf.DUMMYFUNCTION("""COMPUTED_VALUE"""),"Knossos")</f>
        <v>Knossos</v>
      </c>
      <c r="B67" s="15" t="str">
        <f>IFERROR(__xludf.DUMMYFUNCTION("""COMPUTED_VALUE"""),"Knossian")</f>
        <v>Knossian</v>
      </c>
      <c r="C67" s="15" t="str">
        <f>IFERROR(__xludf.DUMMYFUNCTION("""COMPUTED_VALUE"""),"Knossians")</f>
        <v>Knossians</v>
      </c>
      <c r="D67" s="15"/>
    </row>
    <row r="68">
      <c r="A68" s="15" t="str">
        <f>IFERROR(__xludf.DUMMYFUNCTION("""COMPUTED_VALUE"""),"Lakedaimon/ia or Lakedaemon/ia")</f>
        <v>Lakedaimon/ia or Lakedaemon/ia</v>
      </c>
      <c r="B68" s="15" t="str">
        <f>IFERROR(__xludf.DUMMYFUNCTION("""COMPUTED_VALUE"""),"Lakedaimonian or Lakedaemonian")</f>
        <v>Lakedaimonian or Lakedaemonian</v>
      </c>
      <c r="C68" s="15" t="str">
        <f>IFERROR(__xludf.DUMMYFUNCTION("""COMPUTED_VALUE"""),"Lakedaimonians or Lakedaemonians")</f>
        <v>Lakedaimonians or Lakedaemonians</v>
      </c>
      <c r="D68" s="15"/>
    </row>
    <row r="69">
      <c r="A69" s="15" t="str">
        <f>IFERROR(__xludf.DUMMYFUNCTION("""COMPUTED_VALUE"""),"Larissa")</f>
        <v>Larissa</v>
      </c>
      <c r="B69" s="15" t="str">
        <f>IFERROR(__xludf.DUMMYFUNCTION("""COMPUTED_VALUE"""),"Larissan")</f>
        <v>Larissan</v>
      </c>
      <c r="C69" s="15" t="str">
        <f>IFERROR(__xludf.DUMMYFUNCTION("""COMPUTED_VALUE"""),"Larissans")</f>
        <v>Larissans</v>
      </c>
      <c r="D69" s="15"/>
    </row>
    <row r="70">
      <c r="A70" s="15" t="str">
        <f>IFERROR(__xludf.DUMMYFUNCTION("""COMPUTED_VALUE"""),"Latium")</f>
        <v>Latium</v>
      </c>
      <c r="B70" s="15" t="str">
        <f>IFERROR(__xludf.DUMMYFUNCTION("""COMPUTED_VALUE"""),"Latin")</f>
        <v>Latin</v>
      </c>
      <c r="C70" s="15" t="str">
        <f>IFERROR(__xludf.DUMMYFUNCTION("""COMPUTED_VALUE"""),"Latins")</f>
        <v>Latins</v>
      </c>
      <c r="D70" s="15"/>
    </row>
    <row r="71">
      <c r="A71" s="15" t="str">
        <f>IFERROR(__xludf.DUMMYFUNCTION("""COMPUTED_VALUE"""),"Leontini, Leontium")</f>
        <v>Leontini, Leontium</v>
      </c>
      <c r="B71" s="15" t="str">
        <f>IFERROR(__xludf.DUMMYFUNCTION("""COMPUTED_VALUE"""),"Leontinian")</f>
        <v>Leontinian</v>
      </c>
      <c r="C71" s="15" t="str">
        <f>IFERROR(__xludf.DUMMYFUNCTION("""COMPUTED_VALUE"""),"Leontinians")</f>
        <v>Leontinians</v>
      </c>
      <c r="D71" s="15"/>
    </row>
    <row r="72">
      <c r="A72" s="15" t="str">
        <f>IFERROR(__xludf.DUMMYFUNCTION("""COMPUTED_VALUE"""),"Lesbos")</f>
        <v>Lesbos</v>
      </c>
      <c r="B72" s="15" t="str">
        <f>IFERROR(__xludf.DUMMYFUNCTION("""COMPUTED_VALUE"""),"Lesbian")</f>
        <v>Lesbian</v>
      </c>
      <c r="C72" s="15" t="str">
        <f>IFERROR(__xludf.DUMMYFUNCTION("""COMPUTED_VALUE"""),"Lesbians")</f>
        <v>Lesbians</v>
      </c>
      <c r="D72" s="15"/>
    </row>
    <row r="73">
      <c r="A73" s="15" t="str">
        <f>IFERROR(__xludf.DUMMYFUNCTION("""COMPUTED_VALUE"""),"Locris")</f>
        <v>Locris</v>
      </c>
      <c r="B73" s="15" t="str">
        <f>IFERROR(__xludf.DUMMYFUNCTION("""COMPUTED_VALUE"""),"Locrian")</f>
        <v>Locrian</v>
      </c>
      <c r="C73" s="15" t="str">
        <f>IFERROR(__xludf.DUMMYFUNCTION("""COMPUTED_VALUE"""),"Locrians")</f>
        <v>Locrians</v>
      </c>
      <c r="D73" s="15"/>
    </row>
    <row r="74">
      <c r="A74" s="15" t="str">
        <f>IFERROR(__xludf.DUMMYFUNCTION("""COMPUTED_VALUE"""),"Lucania")</f>
        <v>Lucania</v>
      </c>
      <c r="B74" s="15" t="str">
        <f>IFERROR(__xludf.DUMMYFUNCTION("""COMPUTED_VALUE"""),"Lucanian")</f>
        <v>Lucanian</v>
      </c>
      <c r="C74" s="15" t="str">
        <f>IFERROR(__xludf.DUMMYFUNCTION("""COMPUTED_VALUE"""),"Lucanians")</f>
        <v>Lucanians</v>
      </c>
      <c r="D74" s="15"/>
    </row>
    <row r="75">
      <c r="A75" s="15" t="str">
        <f>IFERROR(__xludf.DUMMYFUNCTION("""COMPUTED_VALUE"""),"Lydia")</f>
        <v>Lydia</v>
      </c>
      <c r="B75" s="15" t="str">
        <f>IFERROR(__xludf.DUMMYFUNCTION("""COMPUTED_VALUE"""),"Lydian")</f>
        <v>Lydian</v>
      </c>
      <c r="C75" s="15" t="str">
        <f>IFERROR(__xludf.DUMMYFUNCTION("""COMPUTED_VALUE"""),"Lydians")</f>
        <v>Lydians</v>
      </c>
      <c r="D75" s="15"/>
    </row>
    <row r="76">
      <c r="A76" s="15" t="str">
        <f>IFERROR(__xludf.DUMMYFUNCTION("""COMPUTED_VALUE"""),"Macedonia")</f>
        <v>Macedonia</v>
      </c>
      <c r="B76" s="15" t="str">
        <f>IFERROR(__xludf.DUMMYFUNCTION("""COMPUTED_VALUE"""),"Macedonian")</f>
        <v>Macedonian</v>
      </c>
      <c r="C76" s="15" t="str">
        <f>IFERROR(__xludf.DUMMYFUNCTION("""COMPUTED_VALUE"""),"Macedonians")</f>
        <v>Macedonians</v>
      </c>
      <c r="D76" s="15"/>
    </row>
    <row r="77">
      <c r="A77" s="15" t="str">
        <f>IFERROR(__xludf.DUMMYFUNCTION("""COMPUTED_VALUE"""),"Maeonia")</f>
        <v>Maeonia</v>
      </c>
      <c r="B77" s="15" t="str">
        <f>IFERROR(__xludf.DUMMYFUNCTION("""COMPUTED_VALUE"""),"Maeonian")</f>
        <v>Maeonian</v>
      </c>
      <c r="C77" s="15" t="str">
        <f>IFERROR(__xludf.DUMMYFUNCTION("""COMPUTED_VALUE"""),"Maeonians")</f>
        <v>Maeonians</v>
      </c>
      <c r="D77" s="15"/>
    </row>
    <row r="78">
      <c r="A78" s="15" t="str">
        <f>IFERROR(__xludf.DUMMYFUNCTION("""COMPUTED_VALUE"""),"Mantineia")</f>
        <v>Mantineia</v>
      </c>
      <c r="B78" s="15" t="str">
        <f>IFERROR(__xludf.DUMMYFUNCTION("""COMPUTED_VALUE"""),"Mantinean")</f>
        <v>Mantinean</v>
      </c>
      <c r="C78" s="15" t="str">
        <f>IFERROR(__xludf.DUMMYFUNCTION("""COMPUTED_VALUE"""),"Mantineans")</f>
        <v>Mantineans</v>
      </c>
      <c r="D78" s="15"/>
    </row>
    <row r="79">
      <c r="A79" s="15" t="str">
        <f>IFERROR(__xludf.DUMMYFUNCTION("""COMPUTED_VALUE"""),"Marathon")</f>
        <v>Marathon</v>
      </c>
      <c r="B79" s="15" t="str">
        <f>IFERROR(__xludf.DUMMYFUNCTION("""COMPUTED_VALUE"""),"Marathonian")</f>
        <v>Marathonian</v>
      </c>
      <c r="C79" s="15" t="str">
        <f>IFERROR(__xludf.DUMMYFUNCTION("""COMPUTED_VALUE"""),"Marathonians")</f>
        <v>Marathonians</v>
      </c>
      <c r="D79" s="15"/>
    </row>
    <row r="80">
      <c r="A80" s="15" t="str">
        <f>IFERROR(__xludf.DUMMYFUNCTION("""COMPUTED_VALUE"""),"Media")</f>
        <v>Media</v>
      </c>
      <c r="B80" s="15" t="str">
        <f>IFERROR(__xludf.DUMMYFUNCTION("""COMPUTED_VALUE"""),"Median")</f>
        <v>Median</v>
      </c>
      <c r="C80" s="15" t="str">
        <f>IFERROR(__xludf.DUMMYFUNCTION("""COMPUTED_VALUE"""),"Medes, Medians")</f>
        <v>Medes, Medians</v>
      </c>
      <c r="D80" s="15"/>
    </row>
    <row r="81">
      <c r="A81" s="15" t="str">
        <f>IFERROR(__xludf.DUMMYFUNCTION("""COMPUTED_VALUE"""),"Megara")</f>
        <v>Megara</v>
      </c>
      <c r="B81" s="15" t="str">
        <f>IFERROR(__xludf.DUMMYFUNCTION("""COMPUTED_VALUE"""),"Megarian")</f>
        <v>Megarian</v>
      </c>
      <c r="C81" s="15" t="str">
        <f>IFERROR(__xludf.DUMMYFUNCTION("""COMPUTED_VALUE"""),"Megarians")</f>
        <v>Megarians</v>
      </c>
      <c r="D81" s="15"/>
    </row>
    <row r="82">
      <c r="A82" s="15" t="str">
        <f>IFERROR(__xludf.DUMMYFUNCTION("""COMPUTED_VALUE"""),"Melite")</f>
        <v>Melite</v>
      </c>
      <c r="B82" s="15" t="str">
        <f>IFERROR(__xludf.DUMMYFUNCTION("""COMPUTED_VALUE"""),"Melitian")</f>
        <v>Melitian</v>
      </c>
      <c r="C82" s="15" t="str">
        <f>IFERROR(__xludf.DUMMYFUNCTION("""COMPUTED_VALUE"""),"Melitians")</f>
        <v>Melitians</v>
      </c>
      <c r="D82" s="15"/>
    </row>
    <row r="83">
      <c r="A83" s="15" t="str">
        <f>IFERROR(__xludf.DUMMYFUNCTION("""COMPUTED_VALUE"""),"Melos")</f>
        <v>Melos</v>
      </c>
      <c r="B83" s="15" t="str">
        <f>IFERROR(__xludf.DUMMYFUNCTION("""COMPUTED_VALUE"""),"Melian")</f>
        <v>Melian</v>
      </c>
      <c r="C83" s="15" t="str">
        <f>IFERROR(__xludf.DUMMYFUNCTION("""COMPUTED_VALUE"""),"Melians")</f>
        <v>Melians</v>
      </c>
      <c r="D83" s="15"/>
    </row>
    <row r="84">
      <c r="A84" s="15" t="str">
        <f>IFERROR(__xludf.DUMMYFUNCTION("""COMPUTED_VALUE"""),"Mesopotamia")</f>
        <v>Mesopotamia</v>
      </c>
      <c r="B84" s="15" t="str">
        <f>IFERROR(__xludf.DUMMYFUNCTION("""COMPUTED_VALUE"""),"Mesopotamian")</f>
        <v>Mesopotamian</v>
      </c>
      <c r="C84" s="15" t="str">
        <f>IFERROR(__xludf.DUMMYFUNCTION("""COMPUTED_VALUE"""),"Mesopotamians")</f>
        <v>Mesopotamians</v>
      </c>
      <c r="D84" s="15"/>
    </row>
    <row r="85">
      <c r="A85" s="15" t="str">
        <f>IFERROR(__xludf.DUMMYFUNCTION("""COMPUTED_VALUE"""),"Messenia")</f>
        <v>Messenia</v>
      </c>
      <c r="B85" s="15" t="str">
        <f>IFERROR(__xludf.DUMMYFUNCTION("""COMPUTED_VALUE"""),"Messenian")</f>
        <v>Messenian</v>
      </c>
      <c r="C85" s="15" t="str">
        <f>IFERROR(__xludf.DUMMYFUNCTION("""COMPUTED_VALUE"""),"Messenians")</f>
        <v>Messenians</v>
      </c>
      <c r="D85" s="15"/>
    </row>
    <row r="86">
      <c r="A86" s="15" t="str">
        <f>IFERROR(__xludf.DUMMYFUNCTION("""COMPUTED_VALUE"""),"Miletus")</f>
        <v>Miletus</v>
      </c>
      <c r="B86" s="15" t="str">
        <f>IFERROR(__xludf.DUMMYFUNCTION("""COMPUTED_VALUE"""),"Milesian")</f>
        <v>Milesian</v>
      </c>
      <c r="C86" s="15" t="str">
        <f>IFERROR(__xludf.DUMMYFUNCTION("""COMPUTED_VALUE"""),"Milesians")</f>
        <v>Milesians</v>
      </c>
      <c r="D86" s="15"/>
    </row>
    <row r="87">
      <c r="A87" s="15" t="str">
        <f>IFERROR(__xludf.DUMMYFUNCTION("""COMPUTED_VALUE"""),"Mithymna or Methymna")</f>
        <v>Mithymna or Methymna</v>
      </c>
      <c r="B87" s="15" t="str">
        <f>IFERROR(__xludf.DUMMYFUNCTION("""COMPUTED_VALUE"""),"Methymnian")</f>
        <v>Methymnian</v>
      </c>
      <c r="C87" s="15" t="str">
        <f>IFERROR(__xludf.DUMMYFUNCTION("""COMPUTED_VALUE"""),"Methymnians")</f>
        <v>Methymnians</v>
      </c>
      <c r="D87" s="15"/>
    </row>
    <row r="88">
      <c r="A88" s="15" t="str">
        <f>IFERROR(__xludf.DUMMYFUNCTION("""COMPUTED_VALUE"""),"Moravia")</f>
        <v>Moravia</v>
      </c>
      <c r="B88" s="15" t="str">
        <f>IFERROR(__xludf.DUMMYFUNCTION("""COMPUTED_VALUE"""),"Moravian")</f>
        <v>Moravian</v>
      </c>
      <c r="C88" s="15" t="str">
        <f>IFERROR(__xludf.DUMMYFUNCTION("""COMPUTED_VALUE"""),"Moravians")</f>
        <v>Moravians</v>
      </c>
      <c r="D88" s="15"/>
    </row>
    <row r="89">
      <c r="A89" s="15" t="str">
        <f>IFERROR(__xludf.DUMMYFUNCTION("""COMPUTED_VALUE"""),"Mycenae")</f>
        <v>Mycenae</v>
      </c>
      <c r="B89" s="15" t="str">
        <f>IFERROR(__xludf.DUMMYFUNCTION("""COMPUTED_VALUE"""),"Mycenaean")</f>
        <v>Mycenaean</v>
      </c>
      <c r="C89" s="15" t="str">
        <f>IFERROR(__xludf.DUMMYFUNCTION("""COMPUTED_VALUE"""),"Mycenaeans")</f>
        <v>Mycenaeans</v>
      </c>
      <c r="D89" s="15"/>
    </row>
    <row r="90">
      <c r="A90" s="15" t="str">
        <f>IFERROR(__xludf.DUMMYFUNCTION("""COMPUTED_VALUE"""),"Mytilene")</f>
        <v>Mytilene</v>
      </c>
      <c r="B90" s="15" t="str">
        <f>IFERROR(__xludf.DUMMYFUNCTION("""COMPUTED_VALUE"""),"Mytilenean")</f>
        <v>Mytilenean</v>
      </c>
      <c r="C90" s="15" t="str">
        <f>IFERROR(__xludf.DUMMYFUNCTION("""COMPUTED_VALUE"""),"Mytileneans")</f>
        <v>Mytileneans</v>
      </c>
      <c r="D90" s="15"/>
    </row>
    <row r="91">
      <c r="A91" s="15" t="str">
        <f>IFERROR(__xludf.DUMMYFUNCTION("""COMPUTED_VALUE"""),"Naupactus or Nafpaktos")</f>
        <v>Naupactus or Nafpaktos</v>
      </c>
      <c r="B91" s="15" t="str">
        <f>IFERROR(__xludf.DUMMYFUNCTION("""COMPUTED_VALUE"""),"Naupactian")</f>
        <v>Naupactian</v>
      </c>
      <c r="C91" s="15" t="str">
        <f>IFERROR(__xludf.DUMMYFUNCTION("""COMPUTED_VALUE"""),"Naupactians")</f>
        <v>Naupactians</v>
      </c>
      <c r="D91" s="15"/>
    </row>
    <row r="92">
      <c r="A92" s="15" t="str">
        <f>IFERROR(__xludf.DUMMYFUNCTION("""COMPUTED_VALUE"""),"Naxos")</f>
        <v>Naxos</v>
      </c>
      <c r="B92" s="15" t="str">
        <f>IFERROR(__xludf.DUMMYFUNCTION("""COMPUTED_VALUE"""),"Naxian")</f>
        <v>Naxian</v>
      </c>
      <c r="C92" s="15" t="str">
        <f>IFERROR(__xludf.DUMMYFUNCTION("""COMPUTED_VALUE"""),"Naxians")</f>
        <v>Naxians</v>
      </c>
      <c r="D92" s="15"/>
    </row>
    <row r="93">
      <c r="A93" s="15" t="str">
        <f>IFERROR(__xludf.DUMMYFUNCTION("""COMPUTED_VALUE"""),"Nisyros")</f>
        <v>Nisyros</v>
      </c>
      <c r="B93" s="15" t="str">
        <f>IFERROR(__xludf.DUMMYFUNCTION("""COMPUTED_VALUE"""),"Nisyrian")</f>
        <v>Nisyrian</v>
      </c>
      <c r="C93" s="15" t="str">
        <f>IFERROR(__xludf.DUMMYFUNCTION("""COMPUTED_VALUE"""),"Nisyrians")</f>
        <v>Nisyrians</v>
      </c>
      <c r="D93" s="15"/>
    </row>
    <row r="94">
      <c r="A94" s="15" t="str">
        <f>IFERROR(__xludf.DUMMYFUNCTION("""COMPUTED_VALUE"""),"Oea")</f>
        <v>Oea</v>
      </c>
      <c r="B94" s="15" t="str">
        <f>IFERROR(__xludf.DUMMYFUNCTION("""COMPUTED_VALUE"""),"Oean")</f>
        <v>Oean</v>
      </c>
      <c r="C94" s="15" t="str">
        <f>IFERROR(__xludf.DUMMYFUNCTION("""COMPUTED_VALUE"""),"Oeans")</f>
        <v>Oeans</v>
      </c>
      <c r="D94" s="15"/>
    </row>
    <row r="95">
      <c r="A95" s="15" t="str">
        <f>IFERROR(__xludf.DUMMYFUNCTION("""COMPUTED_VALUE"""),"Olympia")</f>
        <v>Olympia</v>
      </c>
      <c r="B95" s="15" t="str">
        <f>IFERROR(__xludf.DUMMYFUNCTION("""COMPUTED_VALUE"""),"Olympian")</f>
        <v>Olympian</v>
      </c>
      <c r="C95" s="15" t="str">
        <f>IFERROR(__xludf.DUMMYFUNCTION("""COMPUTED_VALUE"""),"Olympians")</f>
        <v>Olympians</v>
      </c>
      <c r="D95" s="15"/>
    </row>
    <row r="96">
      <c r="A96" s="15" t="str">
        <f>IFERROR(__xludf.DUMMYFUNCTION("""COMPUTED_VALUE"""),"Oiniades, Oiniadai")</f>
        <v>Oiniades, Oiniadai</v>
      </c>
      <c r="B96" s="15" t="str">
        <f>IFERROR(__xludf.DUMMYFUNCTION("""COMPUTED_VALUE"""),"Oiniadan")</f>
        <v>Oiniadan</v>
      </c>
      <c r="C96" s="15" t="str">
        <f>IFERROR(__xludf.DUMMYFUNCTION("""COMPUTED_VALUE"""),"Oiniadans")</f>
        <v>Oiniadans</v>
      </c>
      <c r="D96" s="15"/>
    </row>
    <row r="97">
      <c r="A97" s="15" t="str">
        <f>IFERROR(__xludf.DUMMYFUNCTION("""COMPUTED_VALUE"""),"Orkney Islands")</f>
        <v>Orkney Islands</v>
      </c>
      <c r="B97" s="15" t="str">
        <f>IFERROR(__xludf.DUMMYFUNCTION("""COMPUTED_VALUE"""),"Orcadian")</f>
        <v>Orcadian</v>
      </c>
      <c r="C97" s="15" t="str">
        <f>IFERROR(__xludf.DUMMYFUNCTION("""COMPUTED_VALUE"""),"Orcadians")</f>
        <v>Orcadians</v>
      </c>
      <c r="D97" s="15"/>
    </row>
    <row r="98">
      <c r="A98" s="15" t="str">
        <f>IFERROR(__xludf.DUMMYFUNCTION("""COMPUTED_VALUE"""),"Paeonia or Paionia")</f>
        <v>Paeonia or Paionia</v>
      </c>
      <c r="B98" s="15" t="str">
        <f>IFERROR(__xludf.DUMMYFUNCTION("""COMPUTED_VALUE"""),"Paeonian")</f>
        <v>Paeonian</v>
      </c>
      <c r="C98" s="15" t="str">
        <f>IFERROR(__xludf.DUMMYFUNCTION("""COMPUTED_VALUE"""),"Paeonians")</f>
        <v>Paeonians</v>
      </c>
      <c r="D98" s="15"/>
    </row>
    <row r="99">
      <c r="A99" s="15" t="str">
        <f>IFERROR(__xludf.DUMMYFUNCTION("""COMPUTED_VALUE"""),"Pamphylia")</f>
        <v>Pamphylia</v>
      </c>
      <c r="B99" s="15" t="str">
        <f>IFERROR(__xludf.DUMMYFUNCTION("""COMPUTED_VALUE"""),"Pamphylian")</f>
        <v>Pamphylian</v>
      </c>
      <c r="C99" s="15" t="str">
        <f>IFERROR(__xludf.DUMMYFUNCTION("""COMPUTED_VALUE"""),"Pamphylians")</f>
        <v>Pamphylians</v>
      </c>
      <c r="D99" s="15"/>
    </row>
    <row r="100">
      <c r="A100" s="15" t="str">
        <f>IFERROR(__xludf.DUMMYFUNCTION("""COMPUTED_VALUE"""),"Paros")</f>
        <v>Paros</v>
      </c>
      <c r="B100" s="15" t="str">
        <f>IFERROR(__xludf.DUMMYFUNCTION("""COMPUTED_VALUE"""),"Parian")</f>
        <v>Parian</v>
      </c>
      <c r="C100" s="15" t="str">
        <f>IFERROR(__xludf.DUMMYFUNCTION("""COMPUTED_VALUE"""),"Parians")</f>
        <v>Parians</v>
      </c>
      <c r="D100" s="15"/>
    </row>
    <row r="101">
      <c r="A101" s="15" t="str">
        <f>IFERROR(__xludf.DUMMYFUNCTION("""COMPUTED_VALUE"""),"Patmos")</f>
        <v>Patmos</v>
      </c>
      <c r="B101" s="15" t="str">
        <f>IFERROR(__xludf.DUMMYFUNCTION("""COMPUTED_VALUE"""),"Patmian")</f>
        <v>Patmian</v>
      </c>
      <c r="C101" s="15" t="str">
        <f>IFERROR(__xludf.DUMMYFUNCTION("""COMPUTED_VALUE"""),"Patmians")</f>
        <v>Patmians</v>
      </c>
      <c r="D101" s="15"/>
    </row>
    <row r="102">
      <c r="A102" s="15" t="str">
        <f>IFERROR(__xludf.DUMMYFUNCTION("""COMPUTED_VALUE"""),"Peloponnese")</f>
        <v>Peloponnese</v>
      </c>
      <c r="B102" s="15" t="str">
        <f>IFERROR(__xludf.DUMMYFUNCTION("""COMPUTED_VALUE"""),"Peloponnesian")</f>
        <v>Peloponnesian</v>
      </c>
      <c r="C102" s="15" t="str">
        <f>IFERROR(__xludf.DUMMYFUNCTION("""COMPUTED_VALUE"""),"Peloponnesians")</f>
        <v>Peloponnesians</v>
      </c>
      <c r="D102" s="15"/>
    </row>
    <row r="103">
      <c r="A103" s="15" t="str">
        <f>IFERROR(__xludf.DUMMYFUNCTION("""COMPUTED_VALUE"""),"Pergamum")</f>
        <v>Pergamum</v>
      </c>
      <c r="B103" s="15" t="str">
        <f>IFERROR(__xludf.DUMMYFUNCTION("""COMPUTED_VALUE"""),"Pergamian")</f>
        <v>Pergamian</v>
      </c>
      <c r="C103" s="15" t="str">
        <f>IFERROR(__xludf.DUMMYFUNCTION("""COMPUTED_VALUE"""),"Pergamians")</f>
        <v>Pergamians</v>
      </c>
      <c r="D103" s="15"/>
    </row>
    <row r="104">
      <c r="A104" s="15" t="str">
        <f>IFERROR(__xludf.DUMMYFUNCTION("""COMPUTED_VALUE"""),"Persia")</f>
        <v>Persia</v>
      </c>
      <c r="B104" s="15" t="str">
        <f>IFERROR(__xludf.DUMMYFUNCTION("""COMPUTED_VALUE"""),"Persian")</f>
        <v>Persian</v>
      </c>
      <c r="C104" s="15" t="str">
        <f>IFERROR(__xludf.DUMMYFUNCTION("""COMPUTED_VALUE"""),"Persians")</f>
        <v>Persians</v>
      </c>
      <c r="D104" s="15"/>
    </row>
    <row r="105">
      <c r="A105" s="15" t="str">
        <f>IFERROR(__xludf.DUMMYFUNCTION("""COMPUTED_VALUE"""),"Philippi")</f>
        <v>Philippi</v>
      </c>
      <c r="B105" s="15" t="str">
        <f>IFERROR(__xludf.DUMMYFUNCTION("""COMPUTED_VALUE"""),"Philippian")</f>
        <v>Philippian</v>
      </c>
      <c r="C105" s="15" t="str">
        <f>IFERROR(__xludf.DUMMYFUNCTION("""COMPUTED_VALUE"""),"Philippians")</f>
        <v>Philippians</v>
      </c>
      <c r="D105" s="15"/>
    </row>
    <row r="106">
      <c r="A106" s="15" t="str">
        <f>IFERROR(__xludf.DUMMYFUNCTION("""COMPUTED_VALUE"""),"Phlius")</f>
        <v>Phlius</v>
      </c>
      <c r="B106" s="15" t="str">
        <f>IFERROR(__xludf.DUMMYFUNCTION("""COMPUTED_VALUE"""),"Phliasian")</f>
        <v>Phliasian</v>
      </c>
      <c r="C106" s="15" t="str">
        <f>IFERROR(__xludf.DUMMYFUNCTION("""COMPUTED_VALUE"""),"Phliasians")</f>
        <v>Phliasians</v>
      </c>
      <c r="D106" s="15"/>
    </row>
    <row r="107">
      <c r="A107" s="15" t="str">
        <f>IFERROR(__xludf.DUMMYFUNCTION("""COMPUTED_VALUE"""),"Phocis")</f>
        <v>Phocis</v>
      </c>
      <c r="B107" s="15" t="str">
        <f>IFERROR(__xludf.DUMMYFUNCTION("""COMPUTED_VALUE"""),"Phocian")</f>
        <v>Phocian</v>
      </c>
      <c r="C107" s="15" t="str">
        <f>IFERROR(__xludf.DUMMYFUNCTION("""COMPUTED_VALUE"""),"Phocians")</f>
        <v>Phocians</v>
      </c>
      <c r="D107" s="15"/>
    </row>
    <row r="108">
      <c r="A108" s="15" t="str">
        <f>IFERROR(__xludf.DUMMYFUNCTION("""COMPUTED_VALUE"""),"Phoenicia")</f>
        <v>Phoenicia</v>
      </c>
      <c r="B108" s="15" t="str">
        <f>IFERROR(__xludf.DUMMYFUNCTION("""COMPUTED_VALUE"""),"Phoenician")</f>
        <v>Phoenician</v>
      </c>
      <c r="C108" s="15" t="str">
        <f>IFERROR(__xludf.DUMMYFUNCTION("""COMPUTED_VALUE"""),"Phoenicians")</f>
        <v>Phoenicians</v>
      </c>
      <c r="D108" s="15"/>
    </row>
    <row r="109">
      <c r="A109" s="15" t="str">
        <f>IFERROR(__xludf.DUMMYFUNCTION("""COMPUTED_VALUE"""),"Phrygia")</f>
        <v>Phrygia</v>
      </c>
      <c r="B109" s="15" t="str">
        <f>IFERROR(__xludf.DUMMYFUNCTION("""COMPUTED_VALUE"""),"Phrygian")</f>
        <v>Phrygian</v>
      </c>
      <c r="C109" s="15" t="str">
        <f>IFERROR(__xludf.DUMMYFUNCTION("""COMPUTED_VALUE"""),"Phrygians")</f>
        <v>Phrygians</v>
      </c>
      <c r="D109" s="15"/>
    </row>
    <row r="110">
      <c r="A110" s="15" t="str">
        <f>IFERROR(__xludf.DUMMYFUNCTION("""COMPUTED_VALUE"""),"Pisidia")</f>
        <v>Pisidia</v>
      </c>
      <c r="B110" s="15" t="str">
        <f>IFERROR(__xludf.DUMMYFUNCTION("""COMPUTED_VALUE"""),"Pisidian")</f>
        <v>Pisidian</v>
      </c>
      <c r="C110" s="15" t="str">
        <f>IFERROR(__xludf.DUMMYFUNCTION("""COMPUTED_VALUE"""),"Pisidians")</f>
        <v>Pisidians</v>
      </c>
      <c r="D110" s="15"/>
    </row>
    <row r="111">
      <c r="A111" s="15" t="str">
        <f>IFERROR(__xludf.DUMMYFUNCTION("""COMPUTED_VALUE"""),"Pontus")</f>
        <v>Pontus</v>
      </c>
      <c r="B111" s="15" t="str">
        <f>IFERROR(__xludf.DUMMYFUNCTION("""COMPUTED_VALUE"""),"Pontian")</f>
        <v>Pontian</v>
      </c>
      <c r="C111" s="15" t="str">
        <f>IFERROR(__xludf.DUMMYFUNCTION("""COMPUTED_VALUE"""),"Pontians")</f>
        <v>Pontians</v>
      </c>
      <c r="D111" s="15"/>
    </row>
    <row r="112">
      <c r="A112" s="15" t="str">
        <f>IFERROR(__xludf.DUMMYFUNCTION("""COMPUTED_VALUE"""),"Pylos")</f>
        <v>Pylos</v>
      </c>
      <c r="B112" s="15" t="str">
        <f>IFERROR(__xludf.DUMMYFUNCTION("""COMPUTED_VALUE"""),"Pylosian")</f>
        <v>Pylosian</v>
      </c>
      <c r="C112" s="15" t="str">
        <f>IFERROR(__xludf.DUMMYFUNCTION("""COMPUTED_VALUE"""),"Pylosians")</f>
        <v>Pylosians</v>
      </c>
      <c r="D112" s="15"/>
    </row>
    <row r="113">
      <c r="A113" s="15" t="str">
        <f>IFERROR(__xludf.DUMMYFUNCTION("""COMPUTED_VALUE"""),"Rhegion")</f>
        <v>Rhegion</v>
      </c>
      <c r="B113" s="15" t="str">
        <f>IFERROR(__xludf.DUMMYFUNCTION("""COMPUTED_VALUE"""),"Rhegian, Rhegine")</f>
        <v>Rhegian, Rhegine</v>
      </c>
      <c r="C113" s="15" t="str">
        <f>IFERROR(__xludf.DUMMYFUNCTION("""COMPUTED_VALUE"""),"Rhegians, Rhegines")</f>
        <v>Rhegians, Rhegines</v>
      </c>
      <c r="D113" s="15"/>
    </row>
    <row r="114">
      <c r="A114" s="15" t="str">
        <f>IFERROR(__xludf.DUMMYFUNCTION("""COMPUTED_VALUE"""),"Rhodes")</f>
        <v>Rhodes</v>
      </c>
      <c r="B114" s="15" t="str">
        <f>IFERROR(__xludf.DUMMYFUNCTION("""COMPUTED_VALUE"""),"Rhodian")</f>
        <v>Rhodian</v>
      </c>
      <c r="C114" s="15" t="str">
        <f>IFERROR(__xludf.DUMMYFUNCTION("""COMPUTED_VALUE"""),"Rhodians")</f>
        <v>Rhodians</v>
      </c>
      <c r="D114" s="15"/>
    </row>
    <row r="115">
      <c r="A115" s="15" t="str">
        <f>IFERROR(__xludf.DUMMYFUNCTION("""COMPUTED_VALUE"""),"Rhithymna, Rhithymnia, Rithymna")</f>
        <v>Rhithymna, Rhithymnia, Rithymna</v>
      </c>
      <c r="B115" s="15" t="str">
        <f>IFERROR(__xludf.DUMMYFUNCTION("""COMPUTED_VALUE"""),"Rhithymnian")</f>
        <v>Rhithymnian</v>
      </c>
      <c r="C115" s="15" t="str">
        <f>IFERROR(__xludf.DUMMYFUNCTION("""COMPUTED_VALUE"""),"Rhithymnians")</f>
        <v>Rhithymnians</v>
      </c>
      <c r="D115" s="15"/>
    </row>
    <row r="116">
      <c r="A116" s="15" t="str">
        <f>IFERROR(__xludf.DUMMYFUNCTION("""COMPUTED_VALUE"""),"Rome")</f>
        <v>Rome</v>
      </c>
      <c r="B116" s="15" t="str">
        <f>IFERROR(__xludf.DUMMYFUNCTION("""COMPUTED_VALUE"""),"Roman")</f>
        <v>Roman</v>
      </c>
      <c r="C116" s="15" t="str">
        <f>IFERROR(__xludf.DUMMYFUNCTION("""COMPUTED_VALUE"""),"Romans")</f>
        <v>Romans</v>
      </c>
      <c r="D116" s="15"/>
    </row>
    <row r="117">
      <c r="A117" s="15" t="str">
        <f>IFERROR(__xludf.DUMMYFUNCTION("""COMPUTED_VALUE"""),"Sabinum")</f>
        <v>Sabinum</v>
      </c>
      <c r="B117" s="15" t="str">
        <f>IFERROR(__xludf.DUMMYFUNCTION("""COMPUTED_VALUE"""),"Sabine")</f>
        <v>Sabine</v>
      </c>
      <c r="C117" s="15" t="str">
        <f>IFERROR(__xludf.DUMMYFUNCTION("""COMPUTED_VALUE"""),"Sabines")</f>
        <v>Sabines</v>
      </c>
      <c r="D117" s="15"/>
    </row>
    <row r="118">
      <c r="A118" s="15" t="str">
        <f>IFERROR(__xludf.DUMMYFUNCTION("""COMPUTED_VALUE"""),"Salamis")</f>
        <v>Salamis</v>
      </c>
      <c r="B118" s="15" t="str">
        <f>IFERROR(__xludf.DUMMYFUNCTION("""COMPUTED_VALUE"""),"Salaminian")</f>
        <v>Salaminian</v>
      </c>
      <c r="C118" s="15" t="str">
        <f>IFERROR(__xludf.DUMMYFUNCTION("""COMPUTED_VALUE"""),"Salaminians")</f>
        <v>Salaminians</v>
      </c>
      <c r="D118" s="15"/>
    </row>
    <row r="119">
      <c r="A119" s="15" t="str">
        <f>IFERROR(__xludf.DUMMYFUNCTION("""COMPUTED_VALUE"""),"Samnium")</f>
        <v>Samnium</v>
      </c>
      <c r="B119" s="15" t="str">
        <f>IFERROR(__xludf.DUMMYFUNCTION("""COMPUTED_VALUE"""),"Samnite")</f>
        <v>Samnite</v>
      </c>
      <c r="C119" s="15" t="str">
        <f>IFERROR(__xludf.DUMMYFUNCTION("""COMPUTED_VALUE"""),"Samnites")</f>
        <v>Samnites</v>
      </c>
      <c r="D119" s="15"/>
    </row>
    <row r="120">
      <c r="A120" s="15" t="str">
        <f>IFERROR(__xludf.DUMMYFUNCTION("""COMPUTED_VALUE"""),"Samos")</f>
        <v>Samos</v>
      </c>
      <c r="B120" s="15" t="str">
        <f>IFERROR(__xludf.DUMMYFUNCTION("""COMPUTED_VALUE"""),"Samian")</f>
        <v>Samian</v>
      </c>
      <c r="C120" s="15" t="str">
        <f>IFERROR(__xludf.DUMMYFUNCTION("""COMPUTED_VALUE"""),"Samians")</f>
        <v>Samians</v>
      </c>
      <c r="D120" s="15"/>
    </row>
    <row r="121">
      <c r="A121" s="15" t="str">
        <f>IFERROR(__xludf.DUMMYFUNCTION("""COMPUTED_VALUE"""),"Sardinia")</f>
        <v>Sardinia</v>
      </c>
      <c r="B121" s="15" t="str">
        <f>IFERROR(__xludf.DUMMYFUNCTION("""COMPUTED_VALUE"""),"Sardinian, Sardi")</f>
        <v>Sardinian, Sardi</v>
      </c>
      <c r="C121" s="15" t="str">
        <f>IFERROR(__xludf.DUMMYFUNCTION("""COMPUTED_VALUE"""),"Sardinians, Sardi")</f>
        <v>Sardinians, Sardi</v>
      </c>
      <c r="D121" s="15"/>
    </row>
    <row r="122">
      <c r="A122" s="15" t="str">
        <f>IFERROR(__xludf.DUMMYFUNCTION("""COMPUTED_VALUE"""),"Sardis")</f>
        <v>Sardis</v>
      </c>
      <c r="B122" s="15" t="str">
        <f>IFERROR(__xludf.DUMMYFUNCTION("""COMPUTED_VALUE"""),"Sardianus, Sardian")</f>
        <v>Sardianus, Sardian</v>
      </c>
      <c r="C122" s="15" t="str">
        <f>IFERROR(__xludf.DUMMYFUNCTION("""COMPUTED_VALUE"""),"Sardiani, Sardians")</f>
        <v>Sardiani, Sardians</v>
      </c>
      <c r="D122" s="15"/>
    </row>
    <row r="123">
      <c r="A123" s="15" t="str">
        <f>IFERROR(__xludf.DUMMYFUNCTION("""COMPUTED_VALUE"""),"Sarmatia")</f>
        <v>Sarmatia</v>
      </c>
      <c r="B123" s="15" t="str">
        <f>IFERROR(__xludf.DUMMYFUNCTION("""COMPUTED_VALUE"""),"Sarmatian, Sarmata, or Sauromata")</f>
        <v>Sarmatian, Sarmata, or Sauromata</v>
      </c>
      <c r="C123" s="15" t="str">
        <f>IFERROR(__xludf.DUMMYFUNCTION("""COMPUTED_VALUE"""),"Sarmatians, Sarmatae, or Sauromatae")</f>
        <v>Sarmatians, Sarmatae, or Sauromatae</v>
      </c>
      <c r="D123" s="15"/>
    </row>
    <row r="124">
      <c r="A124" s="15" t="str">
        <f>IFERROR(__xludf.DUMMYFUNCTION("""COMPUTED_VALUE"""),"Scythia")</f>
        <v>Scythia</v>
      </c>
      <c r="B124" s="15" t="str">
        <f>IFERROR(__xludf.DUMMYFUNCTION("""COMPUTED_VALUE"""),"Scytha, Scythian")</f>
        <v>Scytha, Scythian</v>
      </c>
      <c r="C124" s="15" t="str">
        <f>IFERROR(__xludf.DUMMYFUNCTION("""COMPUTED_VALUE"""),"Scythae, Scythians")</f>
        <v>Scythae, Scythians</v>
      </c>
      <c r="D124" s="15"/>
    </row>
    <row r="125">
      <c r="A125" s="15" t="str">
        <f>IFERROR(__xludf.DUMMYFUNCTION("""COMPUTED_VALUE"""),"Serrae, Serrhae")</f>
        <v>Serrae, Serrhae</v>
      </c>
      <c r="B125" s="15" t="str">
        <f>IFERROR(__xludf.DUMMYFUNCTION("""COMPUTED_VALUE"""),"Serrean")</f>
        <v>Serrean</v>
      </c>
      <c r="C125" s="15" t="str">
        <f>IFERROR(__xludf.DUMMYFUNCTION("""COMPUTED_VALUE"""),"Serreans")</f>
        <v>Serreans</v>
      </c>
      <c r="D125" s="15"/>
    </row>
    <row r="126">
      <c r="A126" s="15" t="str">
        <f>IFERROR(__xludf.DUMMYFUNCTION("""COMPUTED_VALUE"""),"Serica")</f>
        <v>Serica</v>
      </c>
      <c r="B126" s="15" t="str">
        <f>IFERROR(__xludf.DUMMYFUNCTION("""COMPUTED_VALUE"""),"Sere")</f>
        <v>Sere</v>
      </c>
      <c r="C126" s="15" t="str">
        <f>IFERROR(__xludf.DUMMYFUNCTION("""COMPUTED_VALUE"""),"Seres")</f>
        <v>Seres</v>
      </c>
      <c r="D126" s="15"/>
    </row>
    <row r="127">
      <c r="A127" s="15" t="str">
        <f>IFERROR(__xludf.DUMMYFUNCTION("""COMPUTED_VALUE"""),"Sicily")</f>
        <v>Sicily</v>
      </c>
      <c r="B127" s="15" t="str">
        <f>IFERROR(__xludf.DUMMYFUNCTION("""COMPUTED_VALUE"""),"Sicilian")</f>
        <v>Sicilian</v>
      </c>
      <c r="C127" s="15" t="str">
        <f>IFERROR(__xludf.DUMMYFUNCTION("""COMPUTED_VALUE"""),"Sicilians")</f>
        <v>Sicilians</v>
      </c>
      <c r="D127" s="15"/>
    </row>
    <row r="128">
      <c r="A128" s="15" t="str">
        <f>IFERROR(__xludf.DUMMYFUNCTION("""COMPUTED_VALUE"""),"Sicyon")</f>
        <v>Sicyon</v>
      </c>
      <c r="B128" s="15" t="str">
        <f>IFERROR(__xludf.DUMMYFUNCTION("""COMPUTED_VALUE"""),"Sicyonian")</f>
        <v>Sicyonian</v>
      </c>
      <c r="C128" s="15" t="str">
        <f>IFERROR(__xludf.DUMMYFUNCTION("""COMPUTED_VALUE"""),"Sicyonian")</f>
        <v>Sicyonian</v>
      </c>
      <c r="D128" s="15"/>
    </row>
    <row r="129">
      <c r="A129" s="15" t="str">
        <f>IFERROR(__xludf.DUMMYFUNCTION("""COMPUTED_VALUE"""),"Sidon, or Saïda")</f>
        <v>Sidon, or Saïda</v>
      </c>
      <c r="B129" s="15" t="str">
        <f>IFERROR(__xludf.DUMMYFUNCTION("""COMPUTED_VALUE"""),"Sidonian")</f>
        <v>Sidonian</v>
      </c>
      <c r="C129" s="15" t="str">
        <f>IFERROR(__xludf.DUMMYFUNCTION("""COMPUTED_VALUE"""),"Sidonians")</f>
        <v>Sidonians</v>
      </c>
      <c r="D129" s="15"/>
    </row>
    <row r="130">
      <c r="A130" s="15" t="str">
        <f>IFERROR(__xludf.DUMMYFUNCTION("""COMPUTED_VALUE"""),"Silesia")</f>
        <v>Silesia</v>
      </c>
      <c r="B130" s="15" t="str">
        <f>IFERROR(__xludf.DUMMYFUNCTION("""COMPUTED_VALUE"""),"Silesian")</f>
        <v>Silesian</v>
      </c>
      <c r="C130" s="15" t="str">
        <f>IFERROR(__xludf.DUMMYFUNCTION("""COMPUTED_VALUE"""),"Silesians")</f>
        <v>Silesians</v>
      </c>
      <c r="D130" s="15"/>
    </row>
    <row r="131">
      <c r="A131" s="15" t="str">
        <f>IFERROR(__xludf.DUMMYFUNCTION("""COMPUTED_VALUE"""),"Skopelos")</f>
        <v>Skopelos</v>
      </c>
      <c r="B131" s="15" t="str">
        <f>IFERROR(__xludf.DUMMYFUNCTION("""COMPUTED_VALUE"""),"Skopelitan")</f>
        <v>Skopelitan</v>
      </c>
      <c r="C131" s="15" t="str">
        <f>IFERROR(__xludf.DUMMYFUNCTION("""COMPUTED_VALUE"""),"Skopelitans")</f>
        <v>Skopelitans</v>
      </c>
      <c r="D131" s="15"/>
    </row>
    <row r="132">
      <c r="A132" s="15" t="str">
        <f>IFERROR(__xludf.DUMMYFUNCTION("""COMPUTED_VALUE"""),"Sparta")</f>
        <v>Sparta</v>
      </c>
      <c r="B132" s="15" t="str">
        <f>IFERROR(__xludf.DUMMYFUNCTION("""COMPUTED_VALUE"""),"Spartan")</f>
        <v>Spartan</v>
      </c>
      <c r="C132" s="15" t="str">
        <f>IFERROR(__xludf.DUMMYFUNCTION("""COMPUTED_VALUE"""),"Spartans")</f>
        <v>Spartans</v>
      </c>
      <c r="D132" s="15"/>
    </row>
    <row r="133">
      <c r="A133" s="15" t="str">
        <f>IFERROR(__xludf.DUMMYFUNCTION("""COMPUTED_VALUE"""),"Suebia")</f>
        <v>Suebia</v>
      </c>
      <c r="B133" s="15" t="str">
        <f>IFERROR(__xludf.DUMMYFUNCTION("""COMPUTED_VALUE"""),"Suebius")</f>
        <v>Suebius</v>
      </c>
      <c r="C133" s="15" t="str">
        <f>IFERROR(__xludf.DUMMYFUNCTION("""COMPUTED_VALUE"""),"Suebi")</f>
        <v>Suebi</v>
      </c>
      <c r="D133" s="15"/>
    </row>
    <row r="134">
      <c r="A134" s="15" t="str">
        <f>IFERROR(__xludf.DUMMYFUNCTION("""COMPUTED_VALUE"""),"Symi")</f>
        <v>Symi</v>
      </c>
      <c r="B134" s="15" t="str">
        <f>IFERROR(__xludf.DUMMYFUNCTION("""COMPUTED_VALUE"""),"Symian")</f>
        <v>Symian</v>
      </c>
      <c r="C134" s="15" t="str">
        <f>IFERROR(__xludf.DUMMYFUNCTION("""COMPUTED_VALUE"""),"Symians")</f>
        <v>Symians</v>
      </c>
      <c r="D134" s="15"/>
    </row>
    <row r="135">
      <c r="A135" s="15" t="str">
        <f>IFERROR(__xludf.DUMMYFUNCTION("""COMPUTED_VALUE"""),"Syracuse")</f>
        <v>Syracuse</v>
      </c>
      <c r="B135" s="15" t="str">
        <f>IFERROR(__xludf.DUMMYFUNCTION("""COMPUTED_VALUE"""),"Syracusan")</f>
        <v>Syracusan</v>
      </c>
      <c r="C135" s="15" t="str">
        <f>IFERROR(__xludf.DUMMYFUNCTION("""COMPUTED_VALUE"""),"Syracusans")</f>
        <v>Syracusans</v>
      </c>
      <c r="D135" s="15"/>
    </row>
    <row r="136">
      <c r="A136" s="15" t="str">
        <f>IFERROR(__xludf.DUMMYFUNCTION("""COMPUTED_VALUE"""),"Taras, Tarentum")</f>
        <v>Taras, Tarentum</v>
      </c>
      <c r="B136" s="15" t="str">
        <f>IFERROR(__xludf.DUMMYFUNCTION("""COMPUTED_VALUE"""),"Tarentine, Tarentumian")</f>
        <v>Tarentine, Tarentumian</v>
      </c>
      <c r="C136" s="15" t="str">
        <f>IFERROR(__xludf.DUMMYFUNCTION("""COMPUTED_VALUE"""),"Tarentines, Tarentumians")</f>
        <v>Tarentines, Tarentumians</v>
      </c>
      <c r="D136" s="15"/>
    </row>
    <row r="137">
      <c r="A137" s="15" t="str">
        <f>IFERROR(__xludf.DUMMYFUNCTION("""COMPUTED_VALUE"""),"Tegea")</f>
        <v>Tegea</v>
      </c>
      <c r="B137" s="15" t="str">
        <f>IFERROR(__xludf.DUMMYFUNCTION("""COMPUTED_VALUE"""),"Tegean")</f>
        <v>Tegean</v>
      </c>
      <c r="C137" s="15" t="str">
        <f>IFERROR(__xludf.DUMMYFUNCTION("""COMPUTED_VALUE"""),"Tegeans")</f>
        <v>Tegeans</v>
      </c>
      <c r="D137" s="15"/>
    </row>
    <row r="138">
      <c r="A138" s="15" t="str">
        <f>IFERROR(__xludf.DUMMYFUNCTION("""COMPUTED_VALUE"""),"Tenedos")</f>
        <v>Tenedos</v>
      </c>
      <c r="B138" s="15" t="str">
        <f>IFERROR(__xludf.DUMMYFUNCTION("""COMPUTED_VALUE"""),"Tenedian")</f>
        <v>Tenedian</v>
      </c>
      <c r="C138" s="15" t="str">
        <f>IFERROR(__xludf.DUMMYFUNCTION("""COMPUTED_VALUE"""),"Tenedians")</f>
        <v>Tenedians</v>
      </c>
      <c r="D138" s="15"/>
    </row>
    <row r="139">
      <c r="A139" s="15" t="str">
        <f>IFERROR(__xludf.DUMMYFUNCTION("""COMPUTED_VALUE"""),"Tenedos")</f>
        <v>Tenedos</v>
      </c>
      <c r="B139" s="15" t="str">
        <f>IFERROR(__xludf.DUMMYFUNCTION("""COMPUTED_VALUE"""),"Tenedian")</f>
        <v>Tenedian</v>
      </c>
      <c r="C139" s="15" t="str">
        <f>IFERROR(__xludf.DUMMYFUNCTION("""COMPUTED_VALUE"""),"Tenedians")</f>
        <v>Tenedians</v>
      </c>
      <c r="D139" s="15"/>
    </row>
    <row r="140">
      <c r="A140" s="15" t="str">
        <f>IFERROR(__xludf.DUMMYFUNCTION("""COMPUTED_VALUE"""),"Thasos")</f>
        <v>Thasos</v>
      </c>
      <c r="B140" s="15" t="str">
        <f>IFERROR(__xludf.DUMMYFUNCTION("""COMPUTED_VALUE"""),"Thasian")</f>
        <v>Thasian</v>
      </c>
      <c r="C140" s="15" t="str">
        <f>IFERROR(__xludf.DUMMYFUNCTION("""COMPUTED_VALUE"""),"Thasians")</f>
        <v>Thasians</v>
      </c>
      <c r="D140" s="15"/>
    </row>
    <row r="141">
      <c r="A141" s="15" t="str">
        <f>IFERROR(__xludf.DUMMYFUNCTION("""COMPUTED_VALUE"""),"Thebes")</f>
        <v>Thebes</v>
      </c>
      <c r="B141" s="15" t="str">
        <f>IFERROR(__xludf.DUMMYFUNCTION("""COMPUTED_VALUE"""),"Theban")</f>
        <v>Theban</v>
      </c>
      <c r="C141" s="15" t="str">
        <f>IFERROR(__xludf.DUMMYFUNCTION("""COMPUTED_VALUE"""),"Thebans")</f>
        <v>Thebans</v>
      </c>
      <c r="D141" s="15"/>
    </row>
    <row r="142">
      <c r="A142" s="15" t="str">
        <f>IFERROR(__xludf.DUMMYFUNCTION("""COMPUTED_VALUE"""),"Thespis")</f>
        <v>Thespis</v>
      </c>
      <c r="B142" s="15" t="str">
        <f>IFERROR(__xludf.DUMMYFUNCTION("""COMPUTED_VALUE"""),"Thespian")</f>
        <v>Thespian</v>
      </c>
      <c r="C142" s="15" t="str">
        <f>IFERROR(__xludf.DUMMYFUNCTION("""COMPUTED_VALUE"""),"Thespians")</f>
        <v>Thespians</v>
      </c>
      <c r="D142" s="15"/>
    </row>
    <row r="143">
      <c r="A143" s="15" t="str">
        <f>IFERROR(__xludf.DUMMYFUNCTION("""COMPUTED_VALUE"""),"Thessaly")</f>
        <v>Thessaly</v>
      </c>
      <c r="B143" s="15" t="str">
        <f>IFERROR(__xludf.DUMMYFUNCTION("""COMPUTED_VALUE"""),"Thessalian")</f>
        <v>Thessalian</v>
      </c>
      <c r="C143" s="15" t="str">
        <f>IFERROR(__xludf.DUMMYFUNCTION("""COMPUTED_VALUE"""),"Thessalians")</f>
        <v>Thessalians</v>
      </c>
      <c r="D143" s="15"/>
    </row>
    <row r="144">
      <c r="A144" s="15" t="str">
        <f>IFERROR(__xludf.DUMMYFUNCTION("""COMPUTED_VALUE"""),"Thrace")</f>
        <v>Thrace</v>
      </c>
      <c r="B144" s="15" t="str">
        <f>IFERROR(__xludf.DUMMYFUNCTION("""COMPUTED_VALUE"""),"Thracian")</f>
        <v>Thracian</v>
      </c>
      <c r="C144" s="15" t="str">
        <f>IFERROR(__xludf.DUMMYFUNCTION("""COMPUTED_VALUE"""),"Thracians")</f>
        <v>Thracians</v>
      </c>
      <c r="D144" s="15"/>
    </row>
    <row r="145">
      <c r="A145" s="15" t="str">
        <f>IFERROR(__xludf.DUMMYFUNCTION("""COMPUTED_VALUE"""),"Thria")</f>
        <v>Thria</v>
      </c>
      <c r="B145" s="15" t="str">
        <f>IFERROR(__xludf.DUMMYFUNCTION("""COMPUTED_VALUE"""),"Thriasian")</f>
        <v>Thriasian</v>
      </c>
      <c r="C145" s="15" t="str">
        <f>IFERROR(__xludf.DUMMYFUNCTION("""COMPUTED_VALUE"""),"Thriasians")</f>
        <v>Thriasians</v>
      </c>
      <c r="D145" s="15"/>
    </row>
    <row r="146">
      <c r="A146" s="15" t="str">
        <f>IFERROR(__xludf.DUMMYFUNCTION("""COMPUTED_VALUE"""),"Thuria")</f>
        <v>Thuria</v>
      </c>
      <c r="B146" s="15" t="str">
        <f>IFERROR(__xludf.DUMMYFUNCTION("""COMPUTED_VALUE"""),"Thuriat")</f>
        <v>Thuriat</v>
      </c>
      <c r="C146" s="15" t="str">
        <f>IFERROR(__xludf.DUMMYFUNCTION("""COMPUTED_VALUE"""),"Thuriats")</f>
        <v>Thuriats</v>
      </c>
      <c r="D146" s="15"/>
    </row>
    <row r="147">
      <c r="A147" s="15" t="str">
        <f>IFERROR(__xludf.DUMMYFUNCTION("""COMPUTED_VALUE"""),"Thurii")</f>
        <v>Thurii</v>
      </c>
      <c r="B147" s="15" t="str">
        <f>IFERROR(__xludf.DUMMYFUNCTION("""COMPUTED_VALUE"""),"Thurian")</f>
        <v>Thurian</v>
      </c>
      <c r="C147" s="15" t="str">
        <f>IFERROR(__xludf.DUMMYFUNCTION("""COMPUTED_VALUE"""),"Thurians")</f>
        <v>Thurians</v>
      </c>
      <c r="D147" s="15"/>
    </row>
    <row r="148">
      <c r="A148" s="15" t="str">
        <f>IFERROR(__xludf.DUMMYFUNCTION("""COMPUTED_VALUE"""),"Thynia")</f>
        <v>Thynia</v>
      </c>
      <c r="B148" s="15" t="str">
        <f>IFERROR(__xludf.DUMMYFUNCTION("""COMPUTED_VALUE"""),"Thynian")</f>
        <v>Thynian</v>
      </c>
      <c r="C148" s="15" t="str">
        <f>IFERROR(__xludf.DUMMYFUNCTION("""COMPUTED_VALUE"""),"Thynians")</f>
        <v>Thynians</v>
      </c>
      <c r="D148" s="15"/>
    </row>
    <row r="149">
      <c r="A149" s="15" t="str">
        <f>IFERROR(__xludf.DUMMYFUNCTION("""COMPUTED_VALUE"""),"Trichonos")</f>
        <v>Trichonos</v>
      </c>
      <c r="B149" s="15" t="str">
        <f>IFERROR(__xludf.DUMMYFUNCTION("""COMPUTED_VALUE"""),"Trichonian")</f>
        <v>Trichonian</v>
      </c>
      <c r="C149" s="15" t="str">
        <f>IFERROR(__xludf.DUMMYFUNCTION("""COMPUTED_VALUE"""),"Trichonians")</f>
        <v>Trichonians</v>
      </c>
      <c r="D149" s="15"/>
    </row>
    <row r="150">
      <c r="A150" s="15" t="str">
        <f>IFERROR(__xludf.DUMMYFUNCTION("""COMPUTED_VALUE"""),"Troezen")</f>
        <v>Troezen</v>
      </c>
      <c r="B150" s="15" t="str">
        <f>IFERROR(__xludf.DUMMYFUNCTION("""COMPUTED_VALUE"""),"Troezenian")</f>
        <v>Troezenian</v>
      </c>
      <c r="C150" s="15" t="str">
        <f>IFERROR(__xludf.DUMMYFUNCTION("""COMPUTED_VALUE"""),"Troezenians")</f>
        <v>Troezenians</v>
      </c>
      <c r="D150" s="15"/>
    </row>
    <row r="151">
      <c r="A151" s="15" t="str">
        <f>IFERROR(__xludf.DUMMYFUNCTION("""COMPUTED_VALUE"""),"Troy")</f>
        <v>Troy</v>
      </c>
      <c r="B151" s="15" t="str">
        <f>IFERROR(__xludf.DUMMYFUNCTION("""COMPUTED_VALUE"""),"Trojan")</f>
        <v>Trojan</v>
      </c>
      <c r="C151" s="15" t="str">
        <f>IFERROR(__xludf.DUMMYFUNCTION("""COMPUTED_VALUE"""),"Trojans")</f>
        <v>Trojans</v>
      </c>
      <c r="D151" s="15"/>
    </row>
    <row r="152">
      <c r="A152" s="15" t="str">
        <f>IFERROR(__xludf.DUMMYFUNCTION("""COMPUTED_VALUE"""),"Umbria")</f>
        <v>Umbria</v>
      </c>
      <c r="B152" s="15" t="str">
        <f>IFERROR(__xludf.DUMMYFUNCTION("""COMPUTED_VALUE"""),"Umbrian")</f>
        <v>Umbrian</v>
      </c>
      <c r="C152" s="15" t="str">
        <f>IFERROR(__xludf.DUMMYFUNCTION("""COMPUTED_VALUE"""),"Umbrians")</f>
        <v>Umbrians</v>
      </c>
      <c r="D152" s="15"/>
    </row>
    <row r="153">
      <c r="A153" s="15" t="str">
        <f>IFERROR(__xludf.DUMMYFUNCTION("""COMPUTED_VALUE"""),"Xanthi")</f>
        <v>Xanthi</v>
      </c>
      <c r="B153" s="15" t="str">
        <f>IFERROR(__xludf.DUMMYFUNCTION("""COMPUTED_VALUE"""),"Xanthian")</f>
        <v>Xanthian</v>
      </c>
      <c r="C153" s="15" t="str">
        <f>IFERROR(__xludf.DUMMYFUNCTION("""COMPUTED_VALUE"""),"Xanthians")</f>
        <v>Xanthians</v>
      </c>
      <c r="D153" s="15"/>
    </row>
    <row r="154">
      <c r="A154" s="15" t="str">
        <f>IFERROR(__xludf.DUMMYFUNCTION("""COMPUTED_VALUE"""),"Zakynthos")</f>
        <v>Zakynthos</v>
      </c>
      <c r="B154" s="15" t="str">
        <f>IFERROR(__xludf.DUMMYFUNCTION("""COMPUTED_VALUE"""),"Zakynthian")</f>
        <v>Zakynthian</v>
      </c>
      <c r="C154" s="15" t="str">
        <f>IFERROR(__xludf.DUMMYFUNCTION("""COMPUTED_VALUE"""),"Zakynthians")</f>
        <v>Zakynthians</v>
      </c>
      <c r="D154" s="1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tr">
        <f>IFERROR(__xludf.DUMMYFUNCTION("IMPORTHTML(""https://en.wikipedia.org/wiki/List_of_adjectival_and_demonymic_forms_of_place_names"", ""table"", 12)"),"Name")</f>
        <v>Name</v>
      </c>
      <c r="B1" s="15" t="str">
        <f>IFERROR(__xludf.DUMMYFUNCTION("""COMPUTED_VALUE"""),"Adjective")</f>
        <v>Adjective</v>
      </c>
      <c r="C1" s="15" t="str">
        <f>IFERROR(__xludf.DUMMYFUNCTION("""COMPUTED_VALUE"""),"Demonym")</f>
        <v>Demonym</v>
      </c>
    </row>
    <row r="2">
      <c r="A2" s="15" t="str">
        <f>IFERROR(__xludf.DUMMYFUNCTION("""COMPUTED_VALUE"""),"Atlantis")</f>
        <v>Atlantis</v>
      </c>
      <c r="B2" s="15" t="str">
        <f>IFERROR(__xludf.DUMMYFUNCTION("""COMPUTED_VALUE"""),"Atlantean, Atlantine")</f>
        <v>Atlantean, Atlantine</v>
      </c>
      <c r="C2" s="15" t="str">
        <f>IFERROR(__xludf.DUMMYFUNCTION("""COMPUTED_VALUE"""),"Atlanteans, Atlantans")</f>
        <v>Atlanteans, Atlantans</v>
      </c>
    </row>
    <row r="3">
      <c r="A3" s="15" t="str">
        <f>IFERROR(__xludf.DUMMYFUNCTION("""COMPUTED_VALUE"""),"Aloria")</f>
        <v>Aloria</v>
      </c>
      <c r="B3" s="15" t="str">
        <f>IFERROR(__xludf.DUMMYFUNCTION("""COMPUTED_VALUE"""),"Alorn")</f>
        <v>Alorn</v>
      </c>
      <c r="C3" s="15" t="str">
        <f>IFERROR(__xludf.DUMMYFUNCTION("""COMPUTED_VALUE"""),"Alorns")</f>
        <v>Alorns</v>
      </c>
    </row>
    <row r="4">
      <c r="A4" s="15" t="str">
        <f>IFERROR(__xludf.DUMMYFUNCTION("""COMPUTED_VALUE"""),"Andor")</f>
        <v>Andor</v>
      </c>
      <c r="B4" s="15" t="str">
        <f>IFERROR(__xludf.DUMMYFUNCTION("""COMPUTED_VALUE"""),"Andorian")</f>
        <v>Andorian</v>
      </c>
      <c r="C4" s="15" t="str">
        <f>IFERROR(__xludf.DUMMYFUNCTION("""COMPUTED_VALUE"""),"Andorians")</f>
        <v>Andorians</v>
      </c>
    </row>
    <row r="5">
      <c r="A5" s="15" t="str">
        <f>IFERROR(__xludf.DUMMYFUNCTION("""COMPUTED_VALUE"""),"Attilan")</f>
        <v>Attilan</v>
      </c>
      <c r="B5" s="15"/>
      <c r="C5" s="15" t="str">
        <f>IFERROR(__xludf.DUMMYFUNCTION("""COMPUTED_VALUE"""),"Inhumans")</f>
        <v>Inhumans</v>
      </c>
    </row>
    <row r="6">
      <c r="A6" s="15" t="str">
        <f>IFERROR(__xludf.DUMMYFUNCTION("""COMPUTED_VALUE"""),"Blefuscu")</f>
        <v>Blefuscu</v>
      </c>
      <c r="B6" s="15" t="str">
        <f>IFERROR(__xludf.DUMMYFUNCTION("""COMPUTED_VALUE"""),"Blefuscudian")</f>
        <v>Blefuscudian</v>
      </c>
      <c r="C6" s="15" t="str">
        <f>IFERROR(__xludf.DUMMYFUNCTION("""COMPUTED_VALUE"""),"Blefuscudians")</f>
        <v>Blefuscudians</v>
      </c>
    </row>
    <row r="7">
      <c r="A7" s="15" t="str">
        <f>IFERROR(__xludf.DUMMYFUNCTION("""COMPUTED_VALUE"""),"Black Marsh")</f>
        <v>Black Marsh</v>
      </c>
      <c r="B7" s="15" t="str">
        <f>IFERROR(__xludf.DUMMYFUNCTION("""COMPUTED_VALUE"""),"Argonian")</f>
        <v>Argonian</v>
      </c>
      <c r="C7" s="15" t="str">
        <f>IFERROR(__xludf.DUMMYFUNCTION("""COMPUTED_VALUE"""),"Argonians, Saxhleel")</f>
        <v>Argonians, Saxhleel</v>
      </c>
    </row>
    <row r="8">
      <c r="A8" s="15" t="str">
        <f>IFERROR(__xludf.DUMMYFUNCTION("""COMPUTED_VALUE"""),"Borduria")</f>
        <v>Borduria</v>
      </c>
      <c r="B8" s="15" t="str">
        <f>IFERROR(__xludf.DUMMYFUNCTION("""COMPUTED_VALUE"""),"Bordurian")</f>
        <v>Bordurian</v>
      </c>
      <c r="C8" s="15" t="str">
        <f>IFERROR(__xludf.DUMMYFUNCTION("""COMPUTED_VALUE"""),"Bordurians")</f>
        <v>Bordurians</v>
      </c>
    </row>
    <row r="9">
      <c r="A9" s="15" t="str">
        <f>IFERROR(__xludf.DUMMYFUNCTION("""COMPUTED_VALUE"""),"Brobdingnag")</f>
        <v>Brobdingnag</v>
      </c>
      <c r="B9" s="15" t="str">
        <f>IFERROR(__xludf.DUMMYFUNCTION("""COMPUTED_VALUE"""),"Brobdingnagian")</f>
        <v>Brobdingnagian</v>
      </c>
      <c r="C9" s="15" t="str">
        <f>IFERROR(__xludf.DUMMYFUNCTION("""COMPUTED_VALUE"""),"Brobdingnagians")</f>
        <v>Brobdingnagians</v>
      </c>
    </row>
    <row r="10">
      <c r="A10" s="15" t="str">
        <f>IFERROR(__xludf.DUMMYFUNCTION("""COMPUTED_VALUE"""),"Laputa")</f>
        <v>Laputa</v>
      </c>
      <c r="B10" s="15" t="str">
        <f>IFERROR(__xludf.DUMMYFUNCTION("""COMPUTED_VALUE"""),"Laputian")</f>
        <v>Laputian</v>
      </c>
      <c r="C10" s="15" t="str">
        <f>IFERROR(__xludf.DUMMYFUNCTION("""COMPUTED_VALUE"""),"Laputans")</f>
        <v>Laputans</v>
      </c>
    </row>
    <row r="11">
      <c r="A11" s="15" t="str">
        <f>IFERROR(__xludf.DUMMYFUNCTION("""COMPUTED_VALUE"""),"Lilliput")</f>
        <v>Lilliput</v>
      </c>
      <c r="B11" s="15" t="str">
        <f>IFERROR(__xludf.DUMMYFUNCTION("""COMPUTED_VALUE"""),"Lilliputian")</f>
        <v>Lilliputian</v>
      </c>
      <c r="C11" s="15" t="str">
        <f>IFERROR(__xludf.DUMMYFUNCTION("""COMPUTED_VALUE"""),"Lilliputians")</f>
        <v>Lilliputians</v>
      </c>
    </row>
    <row r="12">
      <c r="A12" s="15" t="str">
        <f>IFERROR(__xludf.DUMMYFUNCTION("""COMPUTED_VALUE"""),"Cardassia Prime")</f>
        <v>Cardassia Prime</v>
      </c>
      <c r="B12" s="15" t="str">
        <f>IFERROR(__xludf.DUMMYFUNCTION("""COMPUTED_VALUE"""),"Cardassian")</f>
        <v>Cardassian</v>
      </c>
      <c r="C12" s="15" t="str">
        <f>IFERROR(__xludf.DUMMYFUNCTION("""COMPUTED_VALUE"""),"Cardassians")</f>
        <v>Cardassians</v>
      </c>
    </row>
    <row r="13">
      <c r="A13" s="15" t="str">
        <f>IFERROR(__xludf.DUMMYFUNCTION("""COMPUTED_VALUE"""),"Cyrodiil")</f>
        <v>Cyrodiil</v>
      </c>
      <c r="B13" s="15" t="str">
        <f>IFERROR(__xludf.DUMMYFUNCTION("""COMPUTED_VALUE"""),"Cyrodilic")</f>
        <v>Cyrodilic</v>
      </c>
      <c r="C13" s="15" t="str">
        <f>IFERROR(__xludf.DUMMYFUNCTION("""COMPUTED_VALUE"""),"Cyrodil, Cyrods, Imperials")</f>
        <v>Cyrodil, Cyrods, Imperials</v>
      </c>
    </row>
    <row r="14">
      <c r="A14" s="15" t="str">
        <f>IFERROR(__xludf.DUMMYFUNCTION("""COMPUTED_VALUE"""),"Bajor")</f>
        <v>Bajor</v>
      </c>
      <c r="B14" s="15" t="str">
        <f>IFERROR(__xludf.DUMMYFUNCTION("""COMPUTED_VALUE"""),"Bajoran")</f>
        <v>Bajoran</v>
      </c>
      <c r="C14" s="15" t="str">
        <f>IFERROR(__xludf.DUMMYFUNCTION("""COMPUTED_VALUE"""),"Bajorans, Bajora")</f>
        <v>Bajorans, Bajora</v>
      </c>
    </row>
    <row r="15">
      <c r="A15" s="15" t="str">
        <f>IFERROR(__xludf.DUMMYFUNCTION("""COMPUTED_VALUE"""),"Dorne")</f>
        <v>Dorne</v>
      </c>
      <c r="B15" s="15" t="str">
        <f>IFERROR(__xludf.DUMMYFUNCTION("""COMPUTED_VALUE"""),"Dornish")</f>
        <v>Dornish</v>
      </c>
      <c r="C15" s="15" t="str">
        <f>IFERROR(__xludf.DUMMYFUNCTION("""COMPUTED_VALUE"""),"Dornish")</f>
        <v>Dornish</v>
      </c>
    </row>
    <row r="16">
      <c r="A16" s="15" t="str">
        <f>IFERROR(__xludf.DUMMYFUNCTION("""COMPUTED_VALUE"""),"Elsweyr")</f>
        <v>Elsweyr</v>
      </c>
      <c r="B16" s="15" t="str">
        <f>IFERROR(__xludf.DUMMYFUNCTION("""COMPUTED_VALUE"""),"Khajiiti")</f>
        <v>Khajiiti</v>
      </c>
      <c r="C16" s="15" t="str">
        <f>IFERROR(__xludf.DUMMYFUNCTION("""COMPUTED_VALUE"""),"Khajiit")</f>
        <v>Khajiit</v>
      </c>
    </row>
    <row r="17">
      <c r="A17" s="15" t="str">
        <f>IFERROR(__xludf.DUMMYFUNCTION("""COMPUTED_VALUE"""),"Ferenginar")</f>
        <v>Ferenginar</v>
      </c>
      <c r="B17" s="15" t="str">
        <f>IFERROR(__xludf.DUMMYFUNCTION("""COMPUTED_VALUE"""),"Ferengi")</f>
        <v>Ferengi</v>
      </c>
      <c r="C17" s="15" t="str">
        <f>IFERROR(__xludf.DUMMYFUNCTION("""COMPUTED_VALUE"""),"Ferengi")</f>
        <v>Ferengi</v>
      </c>
    </row>
    <row r="18">
      <c r="A18" s="15" t="str">
        <f>IFERROR(__xludf.DUMMYFUNCTION("""COMPUTED_VALUE"""),"Gallifrey")</f>
        <v>Gallifrey</v>
      </c>
      <c r="B18" s="15" t="str">
        <f>IFERROR(__xludf.DUMMYFUNCTION("""COMPUTED_VALUE"""),"Gallifreyan")</f>
        <v>Gallifreyan</v>
      </c>
      <c r="C18" s="15" t="str">
        <f>IFERROR(__xludf.DUMMYFUNCTION("""COMPUTED_VALUE"""),"Gallifreyans")</f>
        <v>Gallifreyans</v>
      </c>
    </row>
    <row r="19">
      <c r="A19" s="15" t="str">
        <f>IFERROR(__xludf.DUMMYFUNCTION("""COMPUTED_VALUE"""),"Genosha")</f>
        <v>Genosha</v>
      </c>
      <c r="B19" s="15" t="str">
        <f>IFERROR(__xludf.DUMMYFUNCTION("""COMPUTED_VALUE"""),"Genoshan")</f>
        <v>Genoshan</v>
      </c>
      <c r="C19" s="15" t="str">
        <f>IFERROR(__xludf.DUMMYFUNCTION("""COMPUTED_VALUE"""),"Genoshans")</f>
        <v>Genoshans</v>
      </c>
    </row>
    <row r="20">
      <c r="A20" s="15" t="str">
        <f>IFERROR(__xludf.DUMMYFUNCTION("""COMPUTED_VALUE"""),"Hammerfell")</f>
        <v>Hammerfell</v>
      </c>
      <c r="B20" s="15" t="str">
        <f>IFERROR(__xludf.DUMMYFUNCTION("""COMPUTED_VALUE"""),"Redguard")</f>
        <v>Redguard</v>
      </c>
      <c r="C20" s="15" t="str">
        <f>IFERROR(__xludf.DUMMYFUNCTION("""COMPUTED_VALUE"""),"Redguards")</f>
        <v>Redguards</v>
      </c>
    </row>
    <row r="21">
      <c r="A21" s="15" t="str">
        <f>IFERROR(__xludf.DUMMYFUNCTION("""COMPUTED_VALUE"""),"High Rock")</f>
        <v>High Rock</v>
      </c>
      <c r="B21" s="15" t="str">
        <f>IFERROR(__xludf.DUMMYFUNCTION("""COMPUTED_VALUE"""),"Breton")</f>
        <v>Breton</v>
      </c>
      <c r="C21" s="15" t="str">
        <f>IFERROR(__xludf.DUMMYFUNCTION("""COMPUTED_VALUE"""),"Bretons")</f>
        <v>Bretons</v>
      </c>
    </row>
    <row r="22">
      <c r="A22" s="15" t="str">
        <f>IFERROR(__xludf.DUMMYFUNCTION("""COMPUTED_VALUE"""),"Islandia")</f>
        <v>Islandia</v>
      </c>
      <c r="B22" s="15" t="str">
        <f>IFERROR(__xludf.DUMMYFUNCTION("""COMPUTED_VALUE"""),"Islandian")</f>
        <v>Islandian</v>
      </c>
      <c r="C22" s="15" t="str">
        <f>IFERROR(__xludf.DUMMYFUNCTION("""COMPUTED_VALUE"""),"Islandians")</f>
        <v>Islandians</v>
      </c>
    </row>
    <row r="23">
      <c r="A23" s="15" t="str">
        <f>IFERROR(__xludf.DUMMYFUNCTION("""COMPUTED_VALUE"""),"Krypton")</f>
        <v>Krypton</v>
      </c>
      <c r="B23" s="15" t="str">
        <f>IFERROR(__xludf.DUMMYFUNCTION("""COMPUTED_VALUE"""),"Kryptonian")</f>
        <v>Kryptonian</v>
      </c>
      <c r="C23" s="15" t="str">
        <f>IFERROR(__xludf.DUMMYFUNCTION("""COMPUTED_VALUE"""),"Kryptonians")</f>
        <v>Kryptonians</v>
      </c>
    </row>
    <row r="24">
      <c r="A24" s="15" t="str">
        <f>IFERROR(__xludf.DUMMYFUNCTION("""COMPUTED_VALUE"""),"Latveria")</f>
        <v>Latveria</v>
      </c>
      <c r="B24" s="15" t="str">
        <f>IFERROR(__xludf.DUMMYFUNCTION("""COMPUTED_VALUE"""),"Latverian")</f>
        <v>Latverian</v>
      </c>
      <c r="C24" s="15" t="str">
        <f>IFERROR(__xludf.DUMMYFUNCTION("""COMPUTED_VALUE"""),"Latverians")</f>
        <v>Latverians</v>
      </c>
    </row>
    <row r="25">
      <c r="A25" s="15" t="str">
        <f>IFERROR(__xludf.DUMMYFUNCTION("""COMPUTED_VALUE"""),"Luggnagg")</f>
        <v>Luggnagg</v>
      </c>
      <c r="B25" s="15"/>
      <c r="C25" s="15" t="str">
        <f>IFERROR(__xludf.DUMMYFUNCTION("""COMPUTED_VALUE"""),"Luggnaggians")</f>
        <v>Luggnaggians</v>
      </c>
    </row>
    <row r="26">
      <c r="A26" s="15" t="str">
        <f>IFERROR(__xludf.DUMMYFUNCTION("""COMPUTED_VALUE"""),"Morrowind")</f>
        <v>Morrowind</v>
      </c>
      <c r="B26" s="15" t="str">
        <f>IFERROR(__xludf.DUMMYFUNCTION("""COMPUTED_VALUE"""),"Velothi, Dunmeri")</f>
        <v>Velothi, Dunmeri</v>
      </c>
      <c r="C26" s="15" t="str">
        <f>IFERROR(__xludf.DUMMYFUNCTION("""COMPUTED_VALUE"""),"The Dunmer, Dark Elves")</f>
        <v>The Dunmer, Dark Elves</v>
      </c>
    </row>
    <row r="27">
      <c r="A27" s="15" t="str">
        <f>IFERROR(__xludf.DUMMYFUNCTION("""COMPUTED_VALUE"""),"Narnia")</f>
        <v>Narnia</v>
      </c>
      <c r="B27" s="15" t="str">
        <f>IFERROR(__xludf.DUMMYFUNCTION("""COMPUTED_VALUE"""),"Narnian")</f>
        <v>Narnian</v>
      </c>
      <c r="C27" s="15" t="str">
        <f>IFERROR(__xludf.DUMMYFUNCTION("""COMPUTED_VALUE"""),"Narnians")</f>
        <v>Narnians</v>
      </c>
    </row>
    <row r="28">
      <c r="A28" s="15" t="str">
        <f>IFERROR(__xludf.DUMMYFUNCTION("""COMPUTED_VALUE"""),"Numenor")</f>
        <v>Numenor</v>
      </c>
      <c r="B28" s="15" t="str">
        <f>IFERROR(__xludf.DUMMYFUNCTION("""COMPUTED_VALUE"""),"Numenorean")</f>
        <v>Numenorean</v>
      </c>
      <c r="C28" s="15" t="str">
        <f>IFERROR(__xludf.DUMMYFUNCTION("""COMPUTED_VALUE"""),"Numenoreans, Dunedan (sg), Dunedain (pl)")</f>
        <v>Numenoreans, Dunedan (sg), Dunedain (pl)</v>
      </c>
    </row>
    <row r="29">
      <c r="A29" s="15" t="str">
        <f>IFERROR(__xludf.DUMMYFUNCTION("""COMPUTED_VALUE"""),"Daedric Planes of Oblivion")</f>
        <v>Daedric Planes of Oblivion</v>
      </c>
      <c r="B29" s="15" t="str">
        <f>IFERROR(__xludf.DUMMYFUNCTION("""COMPUTED_VALUE"""),"Daedric")</f>
        <v>Daedric</v>
      </c>
      <c r="C29" s="15" t="str">
        <f>IFERROR(__xludf.DUMMYFUNCTION("""COMPUTED_VALUE"""),"Daedroth (sing), Daedra (pl)")</f>
        <v>Daedroth (sing), Daedra (pl)</v>
      </c>
    </row>
    <row r="30">
      <c r="A30" s="15" t="str">
        <f>IFERROR(__xludf.DUMMYFUNCTION("""COMPUTED_VALUE"""),"Orsinium")</f>
        <v>Orsinium</v>
      </c>
      <c r="B30" s="15" t="str">
        <f>IFERROR(__xludf.DUMMYFUNCTION("""COMPUTED_VALUE"""),"Orcish")</f>
        <v>Orcish</v>
      </c>
      <c r="C30" s="15" t="str">
        <f>IFERROR(__xludf.DUMMYFUNCTION("""COMPUTED_VALUE"""),"The Orsimer, Orcs")</f>
        <v>The Orsimer, Orcs</v>
      </c>
    </row>
    <row r="31">
      <c r="A31" s="15" t="str">
        <f>IFERROR(__xludf.DUMMYFUNCTION("""COMPUTED_VALUE"""),"Oz")</f>
        <v>Oz</v>
      </c>
      <c r="B31" s="15" t="str">
        <f>IFERROR(__xludf.DUMMYFUNCTION("""COMPUTED_VALUE"""),"Ozian")</f>
        <v>Ozian</v>
      </c>
      <c r="C31" s="15" t="str">
        <f>IFERROR(__xludf.DUMMYFUNCTION("""COMPUTED_VALUE"""),"Ozite[6]")</f>
        <v>Ozite[6]</v>
      </c>
    </row>
    <row r="32">
      <c r="A32" s="15" t="str">
        <f>IFERROR(__xludf.DUMMYFUNCTION("""COMPUTED_VALUE"""),"Poictesme")</f>
        <v>Poictesme</v>
      </c>
      <c r="B32" s="15"/>
      <c r="C32" s="15" t="str">
        <f>IFERROR(__xludf.DUMMYFUNCTION("""COMPUTED_VALUE"""),"Poictoumois")</f>
        <v>Poictoumois</v>
      </c>
    </row>
    <row r="33">
      <c r="A33" s="15" t="str">
        <f>IFERROR(__xludf.DUMMYFUNCTION("""COMPUTED_VALUE"""),"Qo'noS")</f>
        <v>Qo'noS</v>
      </c>
      <c r="B33" s="15" t="str">
        <f>IFERROR(__xludf.DUMMYFUNCTION("""COMPUTED_VALUE"""),"Klingon")</f>
        <v>Klingon</v>
      </c>
      <c r="C33" s="15" t="str">
        <f>IFERROR(__xludf.DUMMYFUNCTION("""COMPUTED_VALUE"""),"Klingons")</f>
        <v>Klingons</v>
      </c>
    </row>
    <row r="34">
      <c r="A34" s="15" t="str">
        <f>IFERROR(__xludf.DUMMYFUNCTION("""COMPUTED_VALUE"""),"Remus")</f>
        <v>Remus</v>
      </c>
      <c r="B34" s="15" t="str">
        <f>IFERROR(__xludf.DUMMYFUNCTION("""COMPUTED_VALUE"""),"Reman")</f>
        <v>Reman</v>
      </c>
      <c r="C34" s="15" t="str">
        <f>IFERROR(__xludf.DUMMYFUNCTION("""COMPUTED_VALUE"""),"Remans")</f>
        <v>Remans</v>
      </c>
    </row>
    <row r="35">
      <c r="A35" s="15" t="str">
        <f>IFERROR(__xludf.DUMMYFUNCTION("""COMPUTED_VALUE"""),"Rohan")</f>
        <v>Rohan</v>
      </c>
      <c r="B35" s="15" t="str">
        <f>IFERROR(__xludf.DUMMYFUNCTION("""COMPUTED_VALUE"""),"Rohirric")</f>
        <v>Rohirric</v>
      </c>
      <c r="C35" s="15" t="str">
        <f>IFERROR(__xludf.DUMMYFUNCTION("""COMPUTED_VALUE"""),"Rohirrim")</f>
        <v>Rohirrim</v>
      </c>
    </row>
    <row r="36">
      <c r="A36" s="15" t="str">
        <f>IFERROR(__xludf.DUMMYFUNCTION("""COMPUTED_VALUE"""),"Romulus")</f>
        <v>Romulus</v>
      </c>
      <c r="B36" s="15" t="str">
        <f>IFERROR(__xludf.DUMMYFUNCTION("""COMPUTED_VALUE"""),"Romulan")</f>
        <v>Romulan</v>
      </c>
      <c r="C36" s="15" t="str">
        <f>IFERROR(__xludf.DUMMYFUNCTION("""COMPUTED_VALUE"""),"Romulans")</f>
        <v>Romulans</v>
      </c>
    </row>
    <row r="37">
      <c r="A37" s="15" t="str">
        <f>IFERROR(__xludf.DUMMYFUNCTION("""COMPUTED_VALUE"""),"Skaro")</f>
        <v>Skaro</v>
      </c>
      <c r="B37" s="15" t="str">
        <f>IFERROR(__xludf.DUMMYFUNCTION("""COMPUTED_VALUE"""),"Skaroene, Skarosian")</f>
        <v>Skaroene, Skarosian</v>
      </c>
      <c r="C37" s="15" t="str">
        <f>IFERROR(__xludf.DUMMYFUNCTION("""COMPUTED_VALUE"""),"Skarosians")</f>
        <v>Skarosians</v>
      </c>
    </row>
    <row r="38">
      <c r="A38" s="15" t="str">
        <f>IFERROR(__xludf.DUMMYFUNCTION("""COMPUTED_VALUE"""),"Sodor")</f>
        <v>Sodor</v>
      </c>
      <c r="B38" s="15" t="str">
        <f>IFERROR(__xludf.DUMMYFUNCTION("""COMPUTED_VALUE"""),"Sudrian")</f>
        <v>Sudrian</v>
      </c>
      <c r="C38" s="15" t="str">
        <f>IFERROR(__xludf.DUMMYFUNCTION("""COMPUTED_VALUE"""),"Sudrians[7]")</f>
        <v>Sudrians[7]</v>
      </c>
    </row>
    <row r="39">
      <c r="A39" s="15" t="str">
        <f>IFERROR(__xludf.DUMMYFUNCTION("""COMPUTED_VALUE"""),"Skyrim")</f>
        <v>Skyrim</v>
      </c>
      <c r="B39" s="15" t="str">
        <f>IFERROR(__xludf.DUMMYFUNCTION("""COMPUTED_VALUE"""),"Nordic, Norse")</f>
        <v>Nordic, Norse</v>
      </c>
      <c r="C39" s="15" t="str">
        <f>IFERROR(__xludf.DUMMYFUNCTION("""COMPUTED_VALUE"""),"Nords")</f>
        <v>Nords</v>
      </c>
    </row>
    <row r="40">
      <c r="A40" s="15" t="str">
        <f>IFERROR(__xludf.DUMMYFUNCTION("""COMPUTED_VALUE"""),"Summerset Isles")</f>
        <v>Summerset Isles</v>
      </c>
      <c r="B40" s="15" t="str">
        <f>IFERROR(__xludf.DUMMYFUNCTION("""COMPUTED_VALUE"""),"Altmeri")</f>
        <v>Altmeri</v>
      </c>
      <c r="C40" s="15" t="str">
        <f>IFERROR(__xludf.DUMMYFUNCTION("""COMPUTED_VALUE"""),"The Altmer, High Elves")</f>
        <v>The Altmer, High Elves</v>
      </c>
    </row>
    <row r="41">
      <c r="A41" s="15" t="str">
        <f>IFERROR(__xludf.DUMMYFUNCTION("""COMPUTED_VALUE"""),"Sontar")</f>
        <v>Sontar</v>
      </c>
      <c r="B41" s="15" t="str">
        <f>IFERROR(__xludf.DUMMYFUNCTION("""COMPUTED_VALUE"""),"Sontaran")</f>
        <v>Sontaran</v>
      </c>
      <c r="C41" s="15" t="str">
        <f>IFERROR(__xludf.DUMMYFUNCTION("""COMPUTED_VALUE"""),"Sontarans")</f>
        <v>Sontarans</v>
      </c>
    </row>
    <row r="42">
      <c r="A42" s="15" t="str">
        <f>IFERROR(__xludf.DUMMYFUNCTION("""COMPUTED_VALUE"""),"Syldavia")</f>
        <v>Syldavia</v>
      </c>
      <c r="B42" s="15" t="str">
        <f>IFERROR(__xludf.DUMMYFUNCTION("""COMPUTED_VALUE"""),"Syldavian")</f>
        <v>Syldavian</v>
      </c>
      <c r="C42" s="15" t="str">
        <f>IFERROR(__xludf.DUMMYFUNCTION("""COMPUTED_VALUE"""),"Syldavians")</f>
        <v>Syldavians</v>
      </c>
    </row>
    <row r="43">
      <c r="A43" s="15" t="str">
        <f>IFERROR(__xludf.DUMMYFUNCTION("""COMPUTED_VALUE"""),"Utopia")</f>
        <v>Utopia</v>
      </c>
      <c r="B43" s="15" t="str">
        <f>IFERROR(__xludf.DUMMYFUNCTION("""COMPUTED_VALUE"""),"Utopian")</f>
        <v>Utopian</v>
      </c>
      <c r="C43" s="15" t="str">
        <f>IFERROR(__xludf.DUMMYFUNCTION("""COMPUTED_VALUE"""),"Utopians")</f>
        <v>Utopians</v>
      </c>
    </row>
    <row r="44">
      <c r="A44" s="15" t="str">
        <f>IFERROR(__xludf.DUMMYFUNCTION("""COMPUTED_VALUE"""),"Wakanda")</f>
        <v>Wakanda</v>
      </c>
      <c r="B44" s="15" t="str">
        <f>IFERROR(__xludf.DUMMYFUNCTION("""COMPUTED_VALUE"""),"Wakandan")</f>
        <v>Wakandan</v>
      </c>
      <c r="C44" s="15" t="str">
        <f>IFERROR(__xludf.DUMMYFUNCTION("""COMPUTED_VALUE"""),"Wakandans")</f>
        <v>Wakandans</v>
      </c>
    </row>
    <row r="45">
      <c r="A45" s="15" t="str">
        <f>IFERROR(__xludf.DUMMYFUNCTION("""COMPUTED_VALUE"""),"Westeros")</f>
        <v>Westeros</v>
      </c>
      <c r="B45" s="15" t="str">
        <f>IFERROR(__xludf.DUMMYFUNCTION("""COMPUTED_VALUE"""),"Westerosi")</f>
        <v>Westerosi</v>
      </c>
      <c r="C45" s="15" t="str">
        <f>IFERROR(__xludf.DUMMYFUNCTION("""COMPUTED_VALUE"""),"Westerosi")</f>
        <v>Westerosi</v>
      </c>
    </row>
    <row r="46">
      <c r="A46" s="15" t="str">
        <f>IFERROR(__xludf.DUMMYFUNCTION("""COMPUTED_VALUE"""),"Valenwood")</f>
        <v>Valenwood</v>
      </c>
      <c r="B46" s="15" t="str">
        <f>IFERROR(__xludf.DUMMYFUNCTION("""COMPUTED_VALUE"""),"Bosmeri")</f>
        <v>Bosmeri</v>
      </c>
      <c r="C46" s="15" t="str">
        <f>IFERROR(__xludf.DUMMYFUNCTION("""COMPUTED_VALUE"""),"The Bosmer, Wood Elves")</f>
        <v>The Bosmer, Wood Elves</v>
      </c>
    </row>
    <row r="47">
      <c r="A47" s="15" t="str">
        <f>IFERROR(__xludf.DUMMYFUNCTION("""COMPUTED_VALUE"""),"Vulcan")</f>
        <v>Vulcan</v>
      </c>
      <c r="B47" s="15" t="str">
        <f>IFERROR(__xludf.DUMMYFUNCTION("""COMPUTED_VALUE"""),"Vulcan, Vulcanian")</f>
        <v>Vulcan, Vulcanian</v>
      </c>
      <c r="C47" s="15" t="str">
        <f>IFERROR(__xludf.DUMMYFUNCTION("""COMPUTED_VALUE"""),"Vulcans")</f>
        <v>Vulcans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tr">
        <f>IFERROR(__xludf.DUMMYFUNCTION("IMPORTHTML(""https://en.wikipedia.org/wiki/List_of_adjectivals_and_demonyms_for_cities"", ""table"")"),"City")</f>
        <v>City</v>
      </c>
      <c r="B1" s="15" t="str">
        <f>IFERROR(__xludf.DUMMYFUNCTION("""COMPUTED_VALUE"""),"Adjective")</f>
        <v>Adjective</v>
      </c>
      <c r="C1" s="15" t="str">
        <f>IFERROR(__xludf.DUMMYFUNCTION("""COMPUTED_VALUE"""),"Demonym (colloquial)")</f>
        <v>Demonym (colloquial)</v>
      </c>
    </row>
    <row r="2">
      <c r="A2" s="15" t="str">
        <f>IFERROR(__xludf.DUMMYFUNCTION("""COMPUTED_VALUE"""),"Aalborg")</f>
        <v>Aalborg</v>
      </c>
      <c r="B2" s="15" t="str">
        <f>IFERROR(__xludf.DUMMYFUNCTION("""COMPUTED_VALUE"""),"Aalborgenser")</f>
        <v>Aalborgenser</v>
      </c>
      <c r="C2" s="15" t="str">
        <f>IFERROR(__xludf.DUMMYFUNCTION("""COMPUTED_VALUE"""),"Aalborgenser")</f>
        <v>Aalborgenser</v>
      </c>
    </row>
    <row r="3">
      <c r="A3" s="15" t="str">
        <f>IFERROR(__xludf.DUMMYFUNCTION("""COMPUTED_VALUE"""),"Aarhus")</f>
        <v>Aarhus</v>
      </c>
      <c r="B3" s="15" t="str">
        <f>IFERROR(__xludf.DUMMYFUNCTION("""COMPUTED_VALUE"""),"Aarhusian")</f>
        <v>Aarhusian</v>
      </c>
      <c r="C3" s="15" t="str">
        <f>IFERROR(__xludf.DUMMYFUNCTION("""COMPUTED_VALUE"""),"Aarhusian")</f>
        <v>Aarhusian</v>
      </c>
    </row>
    <row r="4">
      <c r="A4" s="15" t="str">
        <f>IFERROR(__xludf.DUMMYFUNCTION("""COMPUTED_VALUE"""),"Aberdeen")</f>
        <v>Aberdeen</v>
      </c>
      <c r="B4" s="15" t="str">
        <f>IFERROR(__xludf.DUMMYFUNCTION("""COMPUTED_VALUE"""),"Aberdonian")</f>
        <v>Aberdonian</v>
      </c>
      <c r="C4" s="15" t="str">
        <f>IFERROR(__xludf.DUMMYFUNCTION("""COMPUTED_VALUE"""),"Aberdonian")</f>
        <v>Aberdonian</v>
      </c>
    </row>
    <row r="5">
      <c r="A5" s="15" t="str">
        <f>IFERROR(__xludf.DUMMYFUNCTION("""COMPUTED_VALUE"""),"Abidjan")</f>
        <v>Abidjan</v>
      </c>
      <c r="B5" s="15" t="str">
        <f>IFERROR(__xludf.DUMMYFUNCTION("""COMPUTED_VALUE"""),"Abidjanais")</f>
        <v>Abidjanais</v>
      </c>
      <c r="C5" s="15" t="str">
        <f>IFERROR(__xludf.DUMMYFUNCTION("""COMPUTED_VALUE"""),"Abidjanais")</f>
        <v>Abidjanais</v>
      </c>
    </row>
    <row r="6">
      <c r="A6" s="15" t="str">
        <f>IFERROR(__xludf.DUMMYFUNCTION("""COMPUTED_VALUE"""),"Adana")</f>
        <v>Adana</v>
      </c>
      <c r="B6" s="15" t="str">
        <f>IFERROR(__xludf.DUMMYFUNCTION("""COMPUTED_VALUE"""),"Adanite")</f>
        <v>Adanite</v>
      </c>
      <c r="C6" s="15" t="str">
        <f>IFERROR(__xludf.DUMMYFUNCTION("""COMPUTED_VALUE"""),"Adanite")</f>
        <v>Adanite</v>
      </c>
    </row>
    <row r="7">
      <c r="A7" s="15" t="str">
        <f>IFERROR(__xludf.DUMMYFUNCTION("""COMPUTED_VALUE"""),"Adelaide")</f>
        <v>Adelaide</v>
      </c>
      <c r="B7" s="15" t="str">
        <f>IFERROR(__xludf.DUMMYFUNCTION("""COMPUTED_VALUE"""),"Adelaidean")</f>
        <v>Adelaidean</v>
      </c>
      <c r="C7" s="15" t="str">
        <f>IFERROR(__xludf.DUMMYFUNCTION("""COMPUTED_VALUE"""),"Adelaidean")</f>
        <v>Adelaidean</v>
      </c>
    </row>
    <row r="8">
      <c r="A8" s="15" t="str">
        <f>IFERROR(__xludf.DUMMYFUNCTION("""COMPUTED_VALUE"""),"Addis Ababa")</f>
        <v>Addis Ababa</v>
      </c>
      <c r="B8" s="15" t="str">
        <f>IFERROR(__xludf.DUMMYFUNCTION("""COMPUTED_VALUE"""),"Addis Ababian")</f>
        <v>Addis Ababian</v>
      </c>
      <c r="C8" s="15" t="str">
        <f>IFERROR(__xludf.DUMMYFUNCTION("""COMPUTED_VALUE"""),"Addis Ababian")</f>
        <v>Addis Ababian</v>
      </c>
    </row>
    <row r="9">
      <c r="A9" s="15" t="str">
        <f>IFERROR(__xludf.DUMMYFUNCTION("""COMPUTED_VALUE"""),"Ahmedabad")</f>
        <v>Ahmedabad</v>
      </c>
      <c r="B9" s="15" t="str">
        <f>IFERROR(__xludf.DUMMYFUNCTION("""COMPUTED_VALUE"""),"Amdavadi")</f>
        <v>Amdavadi</v>
      </c>
      <c r="C9" s="15" t="str">
        <f>IFERROR(__xludf.DUMMYFUNCTION("""COMPUTED_VALUE"""),"Amdavadi")</f>
        <v>Amdavadi</v>
      </c>
    </row>
    <row r="10">
      <c r="A10" s="15" t="str">
        <f>IFERROR(__xludf.DUMMYFUNCTION("""COMPUTED_VALUE"""),"Aguascalientes")</f>
        <v>Aguascalientes</v>
      </c>
      <c r="B10" s="15" t="str">
        <f>IFERROR(__xludf.DUMMYFUNCTION("""COMPUTED_VALUE"""),"Hidrocálido")</f>
        <v>Hidrocálido</v>
      </c>
      <c r="C10" s="15" t="str">
        <f>IFERROR(__xludf.DUMMYFUNCTION("""COMPUTED_VALUE"""),"Hidrocálido")</f>
        <v>Hidrocálido</v>
      </c>
    </row>
    <row r="11">
      <c r="A11" s="15" t="str">
        <f>IFERROR(__xludf.DUMMYFUNCTION("""COMPUTED_VALUE"""),"Agde")</f>
        <v>Agde</v>
      </c>
      <c r="B11" s="15" t="str">
        <f>IFERROR(__xludf.DUMMYFUNCTION("""COMPUTED_VALUE"""),"Agathois")</f>
        <v>Agathois</v>
      </c>
      <c r="C11" s="15" t="str">
        <f>IFERROR(__xludf.DUMMYFUNCTION("""COMPUTED_VALUE"""),"Agathois")</f>
        <v>Agathois</v>
      </c>
    </row>
    <row r="12">
      <c r="A12" s="15" t="str">
        <f>IFERROR(__xludf.DUMMYFUNCTION("""COMPUTED_VALUE"""),"Aix-en-Provence")</f>
        <v>Aix-en-Provence</v>
      </c>
      <c r="B12" s="15" t="str">
        <f>IFERROR(__xludf.DUMMYFUNCTION("""COMPUTED_VALUE"""),"Aixois")</f>
        <v>Aixois</v>
      </c>
      <c r="C12" s="15" t="str">
        <f>IFERROR(__xludf.DUMMYFUNCTION("""COMPUTED_VALUE"""),"Aixois")</f>
        <v>Aixois</v>
      </c>
    </row>
    <row r="13">
      <c r="A13" s="15" t="str">
        <f>IFERROR(__xludf.DUMMYFUNCTION("""COMPUTED_VALUE"""),"Albany")</f>
        <v>Albany</v>
      </c>
      <c r="B13" s="15" t="str">
        <f>IFERROR(__xludf.DUMMYFUNCTION("""COMPUTED_VALUE"""),"Albanian")</f>
        <v>Albanian</v>
      </c>
      <c r="C13" s="15" t="str">
        <f>IFERROR(__xludf.DUMMYFUNCTION("""COMPUTED_VALUE"""),"Albanian")</f>
        <v>Albanian</v>
      </c>
    </row>
    <row r="14">
      <c r="A14" s="15" t="str">
        <f>IFERROR(__xludf.DUMMYFUNCTION("""COMPUTED_VALUE"""),"Albuquerque")</f>
        <v>Albuquerque</v>
      </c>
      <c r="B14" s="15" t="str">
        <f>IFERROR(__xludf.DUMMYFUNCTION("""COMPUTED_VALUE"""),"Albuquerquean")</f>
        <v>Albuquerquean</v>
      </c>
      <c r="C14" s="15" t="str">
        <f>IFERROR(__xludf.DUMMYFUNCTION("""COMPUTED_VALUE"""),"Albuquerquean, Burqueño")</f>
        <v>Albuquerquean, Burqueño</v>
      </c>
    </row>
    <row r="15">
      <c r="A15" s="15" t="str">
        <f>IFERROR(__xludf.DUMMYFUNCTION("""COMPUTED_VALUE"""),"Aleppo")</f>
        <v>Aleppo</v>
      </c>
      <c r="B15" s="15" t="str">
        <f>IFERROR(__xludf.DUMMYFUNCTION("""COMPUTED_VALUE"""),"Aleppine")</f>
        <v>Aleppine</v>
      </c>
      <c r="C15" s="15" t="str">
        <f>IFERROR(__xludf.DUMMYFUNCTION("""COMPUTED_VALUE"""),"Aleppine")</f>
        <v>Aleppine</v>
      </c>
    </row>
    <row r="16">
      <c r="A16" s="15" t="str">
        <f>IFERROR(__xludf.DUMMYFUNCTION("""COMPUTED_VALUE"""),"Alexandria")</f>
        <v>Alexandria</v>
      </c>
      <c r="B16" s="15" t="str">
        <f>IFERROR(__xludf.DUMMYFUNCTION("""COMPUTED_VALUE"""),"Alexandrian")</f>
        <v>Alexandrian</v>
      </c>
      <c r="C16" s="15" t="str">
        <f>IFERROR(__xludf.DUMMYFUNCTION("""COMPUTED_VALUE"""),"Alexandrine")</f>
        <v>Alexandrine</v>
      </c>
    </row>
    <row r="17">
      <c r="A17" s="15" t="str">
        <f>IFERROR(__xludf.DUMMYFUNCTION("""COMPUTED_VALUE"""),"Algiers")</f>
        <v>Algiers</v>
      </c>
      <c r="B17" s="15" t="str">
        <f>IFERROR(__xludf.DUMMYFUNCTION("""COMPUTED_VALUE"""),"Algérois")</f>
        <v>Algérois</v>
      </c>
      <c r="C17" s="15" t="str">
        <f>IFERROR(__xludf.DUMMYFUNCTION("""COMPUTED_VALUE"""),"Algérois")</f>
        <v>Algérois</v>
      </c>
    </row>
    <row r="18">
      <c r="A18" s="15" t="str">
        <f>IFERROR(__xludf.DUMMYFUNCTION("""COMPUTED_VALUE"""),"Almería")</f>
        <v>Almería</v>
      </c>
      <c r="B18" s="15" t="str">
        <f>IFERROR(__xludf.DUMMYFUNCTION("""COMPUTED_VALUE"""),"Almerian, Almeriense, Urcitano")</f>
        <v>Almerian, Almeriense, Urcitano</v>
      </c>
      <c r="C18" s="15" t="str">
        <f>IFERROR(__xludf.DUMMYFUNCTION("""COMPUTED_VALUE"""),"Almerian, Almeriense, Urcitano")</f>
        <v>Almerian, Almeriense, Urcitano</v>
      </c>
    </row>
    <row r="19">
      <c r="A19" s="15" t="str">
        <f>IFERROR(__xludf.DUMMYFUNCTION("""COMPUTED_VALUE"""),"Alpine[*which?*]")</f>
        <v>Alpine[*which?*]</v>
      </c>
      <c r="B19" s="15" t="str">
        <f>IFERROR(__xludf.DUMMYFUNCTION("""COMPUTED_VALUE"""),"Alpinian")</f>
        <v>Alpinian</v>
      </c>
      <c r="C19" s="15" t="str">
        <f>IFERROR(__xludf.DUMMYFUNCTION("""COMPUTED_VALUE"""),"Alpinian")</f>
        <v>Alpinian</v>
      </c>
    </row>
    <row r="20">
      <c r="A20" s="15" t="str">
        <f>IFERROR(__xludf.DUMMYFUNCTION("""COMPUTED_VALUE"""),"Amalfi")</f>
        <v>Amalfi</v>
      </c>
      <c r="B20" s="15" t="str">
        <f>IFERROR(__xludf.DUMMYFUNCTION("""COMPUTED_VALUE"""),"Amalfitan")</f>
        <v>Amalfitan</v>
      </c>
      <c r="C20" s="15" t="str">
        <f>IFERROR(__xludf.DUMMYFUNCTION("""COMPUTED_VALUE"""),"Amalfitan")</f>
        <v>Amalfitan</v>
      </c>
    </row>
    <row r="21">
      <c r="A21" s="15" t="str">
        <f>IFERROR(__xludf.DUMMYFUNCTION("""COMPUTED_VALUE"""),"Amman")</f>
        <v>Amman</v>
      </c>
      <c r="B21" s="15" t="str">
        <f>IFERROR(__xludf.DUMMYFUNCTION("""COMPUTED_VALUE"""),"Ammani")</f>
        <v>Ammani</v>
      </c>
      <c r="C21" s="15" t="str">
        <f>IFERROR(__xludf.DUMMYFUNCTION("""COMPUTED_VALUE"""),"Ammani")</f>
        <v>Ammani</v>
      </c>
    </row>
    <row r="22">
      <c r="A22" s="15" t="str">
        <f>IFERROR(__xludf.DUMMYFUNCTION("""COMPUTED_VALUE"""),"Ammon")</f>
        <v>Ammon</v>
      </c>
      <c r="B22" s="15" t="str">
        <f>IFERROR(__xludf.DUMMYFUNCTION("""COMPUTED_VALUE"""),"Ammonite")</f>
        <v>Ammonite</v>
      </c>
      <c r="C22" s="15" t="str">
        <f>IFERROR(__xludf.DUMMYFUNCTION("""COMPUTED_VALUE"""),"Ammonite")</f>
        <v>Ammonite</v>
      </c>
    </row>
    <row r="23">
      <c r="A23" s="15" t="str">
        <f>IFERROR(__xludf.DUMMYFUNCTION("""COMPUTED_VALUE"""),"Amparo")</f>
        <v>Amparo</v>
      </c>
      <c r="B23" s="15" t="str">
        <f>IFERROR(__xludf.DUMMYFUNCTION("""COMPUTED_VALUE"""),"Amparense")</f>
        <v>Amparense</v>
      </c>
      <c r="C23" s="15" t="str">
        <f>IFERROR(__xludf.DUMMYFUNCTION("""COMPUTED_VALUE"""),"Amparense")</f>
        <v>Amparense</v>
      </c>
    </row>
    <row r="24">
      <c r="A24" s="15" t="str">
        <f>IFERROR(__xludf.DUMMYFUNCTION("""COMPUTED_VALUE"""),"Amsterdam")</f>
        <v>Amsterdam</v>
      </c>
      <c r="B24" s="15" t="str">
        <f>IFERROR(__xludf.DUMMYFUNCTION("""COMPUTED_VALUE"""),"Amsterdammer")</f>
        <v>Amsterdammer</v>
      </c>
      <c r="C24" s="15" t="str">
        <f>IFERROR(__xludf.DUMMYFUNCTION("""COMPUTED_VALUE"""),"Amsterdammer")</f>
        <v>Amsterdammer</v>
      </c>
    </row>
    <row r="25">
      <c r="A25" s="15" t="str">
        <f>IFERROR(__xludf.DUMMYFUNCTION("""COMPUTED_VALUE"""),"Anchorage")</f>
        <v>Anchorage</v>
      </c>
      <c r="B25" s="15" t="str">
        <f>IFERROR(__xludf.DUMMYFUNCTION("""COMPUTED_VALUE"""),"Anchorageite")</f>
        <v>Anchorageite</v>
      </c>
      <c r="C25" s="15" t="str">
        <f>IFERROR(__xludf.DUMMYFUNCTION("""COMPUTED_VALUE"""),"Anchorageite")</f>
        <v>Anchorageite</v>
      </c>
    </row>
    <row r="26">
      <c r="A26" s="15" t="str">
        <f>IFERROR(__xludf.DUMMYFUNCTION("""COMPUTED_VALUE"""),"Andong")</f>
        <v>Andong</v>
      </c>
      <c r="B26" s="15" t="str">
        <f>IFERROR(__xludf.DUMMYFUNCTION("""COMPUTED_VALUE"""),"Andong, Andongite")</f>
        <v>Andong, Andongite</v>
      </c>
      <c r="C26" s="15" t="str">
        <f>IFERROR(__xludf.DUMMYFUNCTION("""COMPUTED_VALUE"""),"Andongite")</f>
        <v>Andongite</v>
      </c>
    </row>
    <row r="27">
      <c r="A27" s="15" t="str">
        <f>IFERROR(__xludf.DUMMYFUNCTION("""COMPUTED_VALUE"""),"Ankara")</f>
        <v>Ankara</v>
      </c>
      <c r="B27" s="15" t="str">
        <f>IFERROR(__xludf.DUMMYFUNCTION("""COMPUTED_VALUE"""),"Ankarite")</f>
        <v>Ankarite</v>
      </c>
      <c r="C27" s="15" t="str">
        <f>IFERROR(__xludf.DUMMYFUNCTION("""COMPUTED_VALUE"""),"Ankarite")</f>
        <v>Ankarite</v>
      </c>
    </row>
    <row r="28">
      <c r="A28" s="15" t="str">
        <f>IFERROR(__xludf.DUMMYFUNCTION("""COMPUTED_VALUE"""),"Angeles")</f>
        <v>Angeles</v>
      </c>
      <c r="B28" s="15" t="str">
        <f>IFERROR(__xludf.DUMMYFUNCTION("""COMPUTED_VALUE"""),"Angelino")</f>
        <v>Angelino</v>
      </c>
      <c r="C28" s="15" t="str">
        <f>IFERROR(__xludf.DUMMYFUNCTION("""COMPUTED_VALUE"""),"Angelino")</f>
        <v>Angelino</v>
      </c>
    </row>
    <row r="29">
      <c r="A29" s="15" t="str">
        <f>IFERROR(__xludf.DUMMYFUNCTION("""COMPUTED_VALUE"""),"Angers")</f>
        <v>Angers</v>
      </c>
      <c r="B29" s="15" t="str">
        <f>IFERROR(__xludf.DUMMYFUNCTION("""COMPUTED_VALUE"""),"Anjou")</f>
        <v>Anjou</v>
      </c>
      <c r="C29" s="15" t="str">
        <f>IFERROR(__xludf.DUMMYFUNCTION("""COMPUTED_VALUE"""),"Angevin")</f>
        <v>Angevin</v>
      </c>
    </row>
    <row r="30">
      <c r="A30" s="15" t="str">
        <f>IFERROR(__xludf.DUMMYFUNCTION("""COMPUTED_VALUE"""),"Annapolis, Maryland")</f>
        <v>Annapolis, Maryland</v>
      </c>
      <c r="B30" s="15" t="str">
        <f>IFERROR(__xludf.DUMMYFUNCTION("""COMPUTED_VALUE"""),"Annapolitan")</f>
        <v>Annapolitan</v>
      </c>
      <c r="C30" s="15" t="str">
        <f>IFERROR(__xludf.DUMMYFUNCTION("""COMPUTED_VALUE"""),"Annapolitan")</f>
        <v>Annapolitan</v>
      </c>
    </row>
    <row r="31">
      <c r="A31" s="15" t="str">
        <f>IFERROR(__xludf.DUMMYFUNCTION("""COMPUTED_VALUE"""),"Antakya")</f>
        <v>Antakya</v>
      </c>
      <c r="B31" s="15" t="str">
        <f>IFERROR(__xludf.DUMMYFUNCTION("""COMPUTED_VALUE"""),"Antakyan, Antiochian")</f>
        <v>Antakyan, Antiochian</v>
      </c>
      <c r="C31" s="15" t="str">
        <f>IFERROR(__xludf.DUMMYFUNCTION("""COMPUTED_VALUE"""),"Antakyan, Antiochian")</f>
        <v>Antakyan, Antiochian</v>
      </c>
    </row>
    <row r="32">
      <c r="A32" s="15" t="str">
        <f>IFERROR(__xludf.DUMMYFUNCTION("""COMPUTED_VALUE"""),"Antalya")</f>
        <v>Antalya</v>
      </c>
      <c r="B32" s="15" t="str">
        <f>IFERROR(__xludf.DUMMYFUNCTION("""COMPUTED_VALUE"""),"Antalyan")</f>
        <v>Antalyan</v>
      </c>
      <c r="C32" s="15" t="str">
        <f>IFERROR(__xludf.DUMMYFUNCTION("""COMPUTED_VALUE"""),"Antalyan")</f>
        <v>Antalyan</v>
      </c>
    </row>
    <row r="33">
      <c r="A33" s="15" t="str">
        <f>IFERROR(__xludf.DUMMYFUNCTION("""COMPUTED_VALUE"""),"Aosta")</f>
        <v>Aosta</v>
      </c>
      <c r="B33" s="15" t="str">
        <f>IFERROR(__xludf.DUMMYFUNCTION("""COMPUTED_VALUE"""),"Aostan, Aostain")</f>
        <v>Aostan, Aostain</v>
      </c>
      <c r="C33" s="15" t="str">
        <f>IFERROR(__xludf.DUMMYFUNCTION("""COMPUTED_VALUE"""),"Aostan, Aostain")</f>
        <v>Aostan, Aostain</v>
      </c>
    </row>
    <row r="34">
      <c r="A34" s="15" t="str">
        <f>IFERROR(__xludf.DUMMYFUNCTION("""COMPUTED_VALUE"""),"Aqaba")</f>
        <v>Aqaba</v>
      </c>
      <c r="B34" s="15" t="str">
        <f>IFERROR(__xludf.DUMMYFUNCTION("""COMPUTED_VALUE"""),"Aqabawi")</f>
        <v>Aqabawi</v>
      </c>
      <c r="C34" s="15" t="str">
        <f>IFERROR(__xludf.DUMMYFUNCTION("""COMPUTED_VALUE"""),"Aqabawi")</f>
        <v>Aqabawi</v>
      </c>
    </row>
    <row r="35">
      <c r="A35" s="15" t="str">
        <f>IFERROR(__xludf.DUMMYFUNCTION("""COMPUTED_VALUE"""),"Arequipa")</f>
        <v>Arequipa</v>
      </c>
      <c r="B35" s="15" t="str">
        <f>IFERROR(__xludf.DUMMYFUNCTION("""COMPUTED_VALUE"""),"Arequipeño (m), Arequipeña (f)")</f>
        <v>Arequipeño (m), Arequipeña (f)</v>
      </c>
      <c r="C35" s="15" t="str">
        <f>IFERROR(__xludf.DUMMYFUNCTION("""COMPUTED_VALUE"""),"Arequipeño (m), Arequipeña (f)")</f>
        <v>Arequipeño (m), Arequipeña (f)</v>
      </c>
    </row>
    <row r="36">
      <c r="A36" s="15" t="str">
        <f>IFERROR(__xludf.DUMMYFUNCTION("""COMPUTED_VALUE"""),"Arlington")</f>
        <v>Arlington</v>
      </c>
      <c r="B36" s="15" t="str">
        <f>IFERROR(__xludf.DUMMYFUNCTION("""COMPUTED_VALUE"""),"Arlingtonian")</f>
        <v>Arlingtonian</v>
      </c>
      <c r="C36" s="15" t="str">
        <f>IFERROR(__xludf.DUMMYFUNCTION("""COMPUTED_VALUE"""),"Arlingtonian")</f>
        <v>Arlingtonian</v>
      </c>
    </row>
    <row r="37">
      <c r="A37" s="15" t="str">
        <f>IFERROR(__xludf.DUMMYFUNCTION("""COMPUTED_VALUE"""),"Armagh")</f>
        <v>Armagh</v>
      </c>
      <c r="B37" s="15" t="str">
        <f>IFERROR(__xludf.DUMMYFUNCTION("""COMPUTED_VALUE"""),"Armachian")</f>
        <v>Armachian</v>
      </c>
      <c r="C37" s="15" t="str">
        <f>IFERROR(__xludf.DUMMYFUNCTION("""COMPUTED_VALUE"""),"Armachian")</f>
        <v>Armachian</v>
      </c>
    </row>
    <row r="38">
      <c r="A38" s="15" t="str">
        <f>IFERROR(__xludf.DUMMYFUNCTION("""COMPUTED_VALUE"""),"Armidale")</f>
        <v>Armidale</v>
      </c>
      <c r="B38" s="15" t="str">
        <f>IFERROR(__xludf.DUMMYFUNCTION("""COMPUTED_VALUE"""),"Armidilian")</f>
        <v>Armidilian</v>
      </c>
      <c r="C38" s="15" t="str">
        <f>IFERROR(__xludf.DUMMYFUNCTION("""COMPUTED_VALUE"""),"Armidilian")</f>
        <v>Armidilian</v>
      </c>
    </row>
    <row r="39">
      <c r="A39" s="15" t="str">
        <f>IFERROR(__xludf.DUMMYFUNCTION("""COMPUTED_VALUE"""),"Ashdod")</f>
        <v>Ashdod</v>
      </c>
      <c r="B39" s="15" t="str">
        <f>IFERROR(__xludf.DUMMYFUNCTION("""COMPUTED_VALUE"""),"Ashdodi")</f>
        <v>Ashdodi</v>
      </c>
      <c r="C39" s="15" t="str">
        <f>IFERROR(__xludf.DUMMYFUNCTION("""COMPUTED_VALUE"""),"Ashdodi")</f>
        <v>Ashdodi</v>
      </c>
    </row>
    <row r="40">
      <c r="A40" s="15" t="str">
        <f>IFERROR(__xludf.DUMMYFUNCTION("""COMPUTED_VALUE"""),"Asheville")</f>
        <v>Asheville</v>
      </c>
      <c r="B40" s="15" t="str">
        <f>IFERROR(__xludf.DUMMYFUNCTION("""COMPUTED_VALUE"""),"Ashevillain")</f>
        <v>Ashevillain</v>
      </c>
      <c r="C40" s="15" t="str">
        <f>IFERROR(__xludf.DUMMYFUNCTION("""COMPUTED_VALUE"""),"Ashevillain")</f>
        <v>Ashevillain</v>
      </c>
    </row>
    <row r="41">
      <c r="A41" s="15" t="str">
        <f>IFERROR(__xludf.DUMMYFUNCTION("""COMPUTED_VALUE"""),"Ashkelon")</f>
        <v>Ashkelon</v>
      </c>
      <c r="B41" s="15" t="str">
        <f>IFERROR(__xludf.DUMMYFUNCTION("""COMPUTED_VALUE"""),"Ashkelonian")</f>
        <v>Ashkelonian</v>
      </c>
      <c r="C41" s="15" t="str">
        <f>IFERROR(__xludf.DUMMYFUNCTION("""COMPUTED_VALUE"""),"Ashkelonian")</f>
        <v>Ashkelonian</v>
      </c>
    </row>
    <row r="42">
      <c r="A42" s="15" t="str">
        <f>IFERROR(__xludf.DUMMYFUNCTION("""COMPUTED_VALUE"""),"Asmara")</f>
        <v>Asmara</v>
      </c>
      <c r="B42" s="15" t="str">
        <f>IFERROR(__xludf.DUMMYFUNCTION("""COMPUTED_VALUE"""),"Asmaran")</f>
        <v>Asmaran</v>
      </c>
      <c r="C42" s="15" t="str">
        <f>IFERROR(__xludf.DUMMYFUNCTION("""COMPUTED_VALUE"""),"Asmaran")</f>
        <v>Asmaran</v>
      </c>
    </row>
    <row r="43">
      <c r="A43" s="15" t="str">
        <f>IFERROR(__xludf.DUMMYFUNCTION("""COMPUTED_VALUE"""),"Asunción")</f>
        <v>Asunción</v>
      </c>
      <c r="B43" s="15" t="str">
        <f>IFERROR(__xludf.DUMMYFUNCTION("""COMPUTED_VALUE"""),"Asunceno")</f>
        <v>Asunceno</v>
      </c>
      <c r="C43" s="15" t="str">
        <f>IFERROR(__xludf.DUMMYFUNCTION("""COMPUTED_VALUE"""),"Asunceno")</f>
        <v>Asunceno</v>
      </c>
    </row>
    <row r="44">
      <c r="A44" s="15" t="str">
        <f>IFERROR(__xludf.DUMMYFUNCTION("""COMPUTED_VALUE"""),"Athens")</f>
        <v>Athens</v>
      </c>
      <c r="B44" s="15" t="str">
        <f>IFERROR(__xludf.DUMMYFUNCTION("""COMPUTED_VALUE"""),"Athenian, Attic[a]")</f>
        <v>Athenian, Attic[a]</v>
      </c>
      <c r="C44" s="15" t="str">
        <f>IFERROR(__xludf.DUMMYFUNCTION("""COMPUTED_VALUE"""),"Athenian")</f>
        <v>Athenian</v>
      </c>
    </row>
    <row r="45">
      <c r="A45" s="15" t="str">
        <f>IFERROR(__xludf.DUMMYFUNCTION("""COMPUTED_VALUE"""),"Atlanta")</f>
        <v>Atlanta</v>
      </c>
      <c r="B45" s="15" t="str">
        <f>IFERROR(__xludf.DUMMYFUNCTION("""COMPUTED_VALUE"""),"Atlantan")</f>
        <v>Atlantan</v>
      </c>
      <c r="C45" s="15" t="str">
        <f>IFERROR(__xludf.DUMMYFUNCTION("""COMPUTED_VALUE"""),"Atlantan")</f>
        <v>Atlantan</v>
      </c>
    </row>
    <row r="46">
      <c r="A46" s="15" t="str">
        <f>IFERROR(__xludf.DUMMYFUNCTION("""COMPUTED_VALUE"""),"Auckland")</f>
        <v>Auckland</v>
      </c>
      <c r="B46" s="15" t="str">
        <f>IFERROR(__xludf.DUMMYFUNCTION("""COMPUTED_VALUE"""),"Auckland")</f>
        <v>Auckland</v>
      </c>
      <c r="C46" s="15" t="str">
        <f>IFERROR(__xludf.DUMMYFUNCTION("""COMPUTED_VALUE"""),"Aucklander, Jafa")</f>
        <v>Aucklander, Jafa</v>
      </c>
    </row>
    <row r="47">
      <c r="A47" s="15" t="str">
        <f>IFERROR(__xludf.DUMMYFUNCTION("""COMPUTED_VALUE"""),"Austin")</f>
        <v>Austin</v>
      </c>
      <c r="B47" s="15" t="str">
        <f>IFERROR(__xludf.DUMMYFUNCTION("""COMPUTED_VALUE"""),"Austonian")</f>
        <v>Austonian</v>
      </c>
      <c r="C47" s="15" t="str">
        <f>IFERROR(__xludf.DUMMYFUNCTION("""COMPUTED_VALUE"""),"Austinite")</f>
        <v>Austinite</v>
      </c>
    </row>
    <row r="48">
      <c r="A48" s="15" t="str">
        <f>IFERROR(__xludf.DUMMYFUNCTION("""COMPUTED_VALUE"""),"Aydın")</f>
        <v>Aydın</v>
      </c>
      <c r="B48" s="15" t="str">
        <f>IFERROR(__xludf.DUMMYFUNCTION("""COMPUTED_VALUE"""),"Aydinian")</f>
        <v>Aydinian</v>
      </c>
      <c r="C48" s="15" t="str">
        <f>IFERROR(__xludf.DUMMYFUNCTION("""COMPUTED_VALUE"""),"Aydinian")</f>
        <v>Aydinian</v>
      </c>
    </row>
    <row r="49">
      <c r="A49" s="15" t="str">
        <f>IFERROR(__xludf.DUMMYFUNCTION("""COMPUTED_VALUE"""),"Bacolod")</f>
        <v>Bacolod</v>
      </c>
      <c r="B49" s="15" t="str">
        <f>IFERROR(__xludf.DUMMYFUNCTION("""COMPUTED_VALUE"""),"Bacolodnon")</f>
        <v>Bacolodnon</v>
      </c>
      <c r="C49" s="15" t="str">
        <f>IFERROR(__xludf.DUMMYFUNCTION("""COMPUTED_VALUE"""),"Bacolodnon")</f>
        <v>Bacolodnon</v>
      </c>
    </row>
    <row r="50">
      <c r="A50" s="15" t="str">
        <f>IFERROR(__xludf.DUMMYFUNCTION("""COMPUTED_VALUE"""),"Baku")</f>
        <v>Baku</v>
      </c>
      <c r="B50" s="15" t="str">
        <f>IFERROR(__xludf.DUMMYFUNCTION("""COMPUTED_VALUE"""),"Bakuvian")</f>
        <v>Bakuvian</v>
      </c>
      <c r="C50" s="15" t="str">
        <f>IFERROR(__xludf.DUMMYFUNCTION("""COMPUTED_VALUE"""),"Bakuvian")</f>
        <v>Bakuvian</v>
      </c>
    </row>
    <row r="51">
      <c r="A51" s="15" t="str">
        <f>IFERROR(__xludf.DUMMYFUNCTION("""COMPUTED_VALUE"""),"Balıkesir")</f>
        <v>Balıkesir</v>
      </c>
      <c r="B51" s="15" t="str">
        <f>IFERROR(__xludf.DUMMYFUNCTION("""COMPUTED_VALUE"""),"Balikesirian")</f>
        <v>Balikesirian</v>
      </c>
      <c r="C51" s="15" t="str">
        <f>IFERROR(__xludf.DUMMYFUNCTION("""COMPUTED_VALUE"""),"Balikesirian")</f>
        <v>Balikesirian</v>
      </c>
    </row>
    <row r="52">
      <c r="A52" s="15" t="str">
        <f>IFERROR(__xludf.DUMMYFUNCTION("""COMPUTED_VALUE"""),"Baltimore")</f>
        <v>Baltimore</v>
      </c>
      <c r="B52" s="15" t="str">
        <f>IFERROR(__xludf.DUMMYFUNCTION("""COMPUTED_VALUE"""),"Baltimorean")</f>
        <v>Baltimorean</v>
      </c>
      <c r="C52" s="15" t="str">
        <f>IFERROR(__xludf.DUMMYFUNCTION("""COMPUTED_VALUE"""),"Baltimorean")</f>
        <v>Baltimorean</v>
      </c>
    </row>
    <row r="53">
      <c r="A53" s="15" t="str">
        <f>IFERROR(__xludf.DUMMYFUNCTION("""COMPUTED_VALUE"""),"Bandung")</f>
        <v>Bandung</v>
      </c>
      <c r="B53" s="15" t="str">
        <f>IFERROR(__xludf.DUMMYFUNCTION("""COMPUTED_VALUE"""),"Bandungite")</f>
        <v>Bandungite</v>
      </c>
      <c r="C53" s="15" t="str">
        <f>IFERROR(__xludf.DUMMYFUNCTION("""COMPUTED_VALUE"""),"Bandungite")</f>
        <v>Bandungite</v>
      </c>
    </row>
    <row r="54">
      <c r="A54" s="15" t="str">
        <f>IFERROR(__xludf.DUMMYFUNCTION("""COMPUTED_VALUE"""),"Bangalore")</f>
        <v>Bangalore</v>
      </c>
      <c r="B54" s="15" t="str">
        <f>IFERROR(__xludf.DUMMYFUNCTION("""COMPUTED_VALUE"""),"Bangalorean")</f>
        <v>Bangalorean</v>
      </c>
      <c r="C54" s="15" t="str">
        <f>IFERROR(__xludf.DUMMYFUNCTION("""COMPUTED_VALUE"""),"Bangalorean")</f>
        <v>Bangalorean</v>
      </c>
    </row>
    <row r="55">
      <c r="A55" s="15" t="str">
        <f>IFERROR(__xludf.DUMMYFUNCTION("""COMPUTED_VALUE"""),"Bangkok")</f>
        <v>Bangkok</v>
      </c>
      <c r="B55" s="15" t="str">
        <f>IFERROR(__xludf.DUMMYFUNCTION("""COMPUTED_VALUE"""),"Bangkokian")</f>
        <v>Bangkokian</v>
      </c>
      <c r="C55" s="15" t="str">
        <f>IFERROR(__xludf.DUMMYFUNCTION("""COMPUTED_VALUE"""),"Bangkokian")</f>
        <v>Bangkokian</v>
      </c>
    </row>
    <row r="56">
      <c r="A56" s="15" t="str">
        <f>IFERROR(__xludf.DUMMYFUNCTION("""COMPUTED_VALUE"""),"Barcelona")</f>
        <v>Barcelona</v>
      </c>
      <c r="B56" s="15" t="str">
        <f>IFERROR(__xludf.DUMMYFUNCTION("""COMPUTED_VALUE"""),"Barcelonian")</f>
        <v>Barcelonian</v>
      </c>
      <c r="C56" s="15" t="str">
        <f>IFERROR(__xludf.DUMMYFUNCTION("""COMPUTED_VALUE"""),"Barcelonian")</f>
        <v>Barcelonian</v>
      </c>
    </row>
    <row r="57">
      <c r="A57" s="15" t="str">
        <f>IFERROR(__xludf.DUMMYFUNCTION("""COMPUTED_VALUE"""),"Barisal")</f>
        <v>Barisal</v>
      </c>
      <c r="B57" s="15" t="str">
        <f>IFERROR(__xludf.DUMMYFUNCTION("""COMPUTED_VALUE"""),"Barisali")</f>
        <v>Barisali</v>
      </c>
      <c r="C57" s="15" t="str">
        <f>IFERROR(__xludf.DUMMYFUNCTION("""COMPUTED_VALUE"""),"Barisali, Borishali, Barisailla, Borishailla")</f>
        <v>Barisali, Borishali, Barisailla, Borishailla</v>
      </c>
    </row>
    <row r="58">
      <c r="A58" s="15" t="str">
        <f>IFERROR(__xludf.DUMMYFUNCTION("""COMPUTED_VALUE"""),"Basel")</f>
        <v>Basel</v>
      </c>
      <c r="B58" s="15" t="str">
        <f>IFERROR(__xludf.DUMMYFUNCTION("""COMPUTED_VALUE"""),"Basler")</f>
        <v>Basler</v>
      </c>
      <c r="C58" s="15" t="str">
        <f>IFERROR(__xludf.DUMMYFUNCTION("""COMPUTED_VALUE"""),"Basler, Bebbi")</f>
        <v>Basler, Bebbi</v>
      </c>
    </row>
    <row r="59">
      <c r="A59" s="15" t="str">
        <f>IFERROR(__xludf.DUMMYFUNCTION("""COMPUTED_VALUE"""),"Bath")</f>
        <v>Bath</v>
      </c>
      <c r="B59" s="15" t="str">
        <f>IFERROR(__xludf.DUMMYFUNCTION("""COMPUTED_VALUE"""),"Bathonian")</f>
        <v>Bathonian</v>
      </c>
      <c r="C59" s="15" t="str">
        <f>IFERROR(__xludf.DUMMYFUNCTION("""COMPUTED_VALUE"""),"Bathonian")</f>
        <v>Bathonian</v>
      </c>
    </row>
    <row r="60">
      <c r="A60" s="15" t="str">
        <f>IFERROR(__xludf.DUMMYFUNCTION("""COMPUTED_VALUE"""),"Baton Rouge")</f>
        <v>Baton Rouge</v>
      </c>
      <c r="B60" s="15" t="str">
        <f>IFERROR(__xludf.DUMMYFUNCTION("""COMPUTED_VALUE"""),"Baton Rougean")</f>
        <v>Baton Rougean</v>
      </c>
      <c r="C60" s="15" t="str">
        <f>IFERROR(__xludf.DUMMYFUNCTION("""COMPUTED_VALUE"""),"Baton Rougean")</f>
        <v>Baton Rougean</v>
      </c>
    </row>
    <row r="61">
      <c r="A61" s="15" t="str">
        <f>IFERROR(__xludf.DUMMYFUNCTION("""COMPUTED_VALUE"""),"Bedford")</f>
        <v>Bedford</v>
      </c>
      <c r="B61" s="15" t="str">
        <f>IFERROR(__xludf.DUMMYFUNCTION("""COMPUTED_VALUE"""),"Bedfordian (not Bedfordite)")</f>
        <v>Bedfordian (not Bedfordite)</v>
      </c>
      <c r="C61" s="15" t="str">
        <f>IFERROR(__xludf.DUMMYFUNCTION("""COMPUTED_VALUE"""),"Bedfordian")</f>
        <v>Bedfordian</v>
      </c>
    </row>
    <row r="62">
      <c r="A62" s="15" t="str">
        <f>IFERROR(__xludf.DUMMYFUNCTION("""COMPUTED_VALUE"""),"Beersheba")</f>
        <v>Beersheba</v>
      </c>
      <c r="B62" s="15" t="str">
        <f>IFERROR(__xludf.DUMMYFUNCTION("""COMPUTED_VALUE"""),"Beersheban")</f>
        <v>Beersheban</v>
      </c>
      <c r="C62" s="15" t="str">
        <f>IFERROR(__xludf.DUMMYFUNCTION("""COMPUTED_VALUE"""),"Beersheban")</f>
        <v>Beersheban</v>
      </c>
    </row>
    <row r="63">
      <c r="A63" s="15" t="str">
        <f>IFERROR(__xludf.DUMMYFUNCTION("""COMPUTED_VALUE"""),"Beijing (Peking)")</f>
        <v>Beijing (Peking)</v>
      </c>
      <c r="B63" s="15" t="str">
        <f>IFERROR(__xludf.DUMMYFUNCTION("""COMPUTED_VALUE"""),"Beijingese, Pekinese")</f>
        <v>Beijingese, Pekinese</v>
      </c>
      <c r="C63" s="15" t="str">
        <f>IFERROR(__xludf.DUMMYFUNCTION("""COMPUTED_VALUE"""),"Beijinger, Pekinese")</f>
        <v>Beijinger, Pekinese</v>
      </c>
    </row>
    <row r="64">
      <c r="A64" s="15" t="str">
        <f>IFERROR(__xludf.DUMMYFUNCTION("""COMPUTED_VALUE"""),"Beirut")</f>
        <v>Beirut</v>
      </c>
      <c r="B64" s="15" t="str">
        <f>IFERROR(__xludf.DUMMYFUNCTION("""COMPUTED_VALUE"""),"Beiruti")</f>
        <v>Beiruti</v>
      </c>
      <c r="C64" s="15" t="str">
        <f>IFERROR(__xludf.DUMMYFUNCTION("""COMPUTED_VALUE"""),"Beiruti")</f>
        <v>Beiruti</v>
      </c>
    </row>
    <row r="65">
      <c r="A65" s="15" t="str">
        <f>IFERROR(__xludf.DUMMYFUNCTION("""COMPUTED_VALUE"""),"Belfast")</f>
        <v>Belfast</v>
      </c>
      <c r="B65" s="15" t="str">
        <f>IFERROR(__xludf.DUMMYFUNCTION("""COMPUTED_VALUE"""),"Belfast, Belfastian")</f>
        <v>Belfast, Belfastian</v>
      </c>
      <c r="C65" s="15" t="str">
        <f>IFERROR(__xludf.DUMMYFUNCTION("""COMPUTED_VALUE"""),"Belfastie, Belfaster, Belfastian, Belfastite")</f>
        <v>Belfastie, Belfaster, Belfastian, Belfastite</v>
      </c>
    </row>
    <row r="66">
      <c r="A66" s="15" t="str">
        <f>IFERROR(__xludf.DUMMYFUNCTION("""COMPUTED_VALUE"""),"Belford Roxo")</f>
        <v>Belford Roxo</v>
      </c>
      <c r="B66" s="15" t="str">
        <f>IFERROR(__xludf.DUMMYFUNCTION("""COMPUTED_VALUE"""),"Belforroxense")</f>
        <v>Belforroxense</v>
      </c>
      <c r="C66" s="15"/>
    </row>
    <row r="67">
      <c r="A67" s="15" t="str">
        <f>IFERROR(__xludf.DUMMYFUNCTION("""COMPUTED_VALUE"""),"Belo Horizonte")</f>
        <v>Belo Horizonte</v>
      </c>
      <c r="B67" s="15" t="str">
        <f>IFERROR(__xludf.DUMMYFUNCTION("""COMPUTED_VALUE"""),"Belo-Horizontino")</f>
        <v>Belo-Horizontino</v>
      </c>
      <c r="C67" s="15" t="str">
        <f>IFERROR(__xludf.DUMMYFUNCTION("""COMPUTED_VALUE"""),"Belo-Horizontino")</f>
        <v>Belo-Horizontino</v>
      </c>
    </row>
    <row r="68">
      <c r="A68" s="15" t="str">
        <f>IFERROR(__xludf.DUMMYFUNCTION("""COMPUTED_VALUE"""),"Belgrade")</f>
        <v>Belgrade</v>
      </c>
      <c r="B68" s="15" t="str">
        <f>IFERROR(__xludf.DUMMYFUNCTION("""COMPUTED_VALUE"""),"Belgradian")</f>
        <v>Belgradian</v>
      </c>
      <c r="C68" s="15" t="str">
        <f>IFERROR(__xludf.DUMMYFUNCTION("""COMPUTED_VALUE"""),"Belgradian, Belgrader")</f>
        <v>Belgradian, Belgrader</v>
      </c>
    </row>
    <row r="69">
      <c r="A69" s="15" t="str">
        <f>IFERROR(__xludf.DUMMYFUNCTION("""COMPUTED_VALUE"""),"Bellinzona")</f>
        <v>Bellinzona</v>
      </c>
      <c r="B69" s="15" t="str">
        <f>IFERROR(__xludf.DUMMYFUNCTION("""COMPUTED_VALUE"""),"Bellinzonese")</f>
        <v>Bellinzonese</v>
      </c>
      <c r="C69" s="15"/>
    </row>
    <row r="70">
      <c r="A70" s="15" t="str">
        <f>IFERROR(__xludf.DUMMYFUNCTION("""COMPUTED_VALUE"""),"Benevento")</f>
        <v>Benevento</v>
      </c>
      <c r="B70" s="15" t="str">
        <f>IFERROR(__xludf.DUMMYFUNCTION("""COMPUTED_VALUE"""),"Beneventan")</f>
        <v>Beneventan</v>
      </c>
      <c r="C70" s="15" t="str">
        <f>IFERROR(__xludf.DUMMYFUNCTION("""COMPUTED_VALUE"""),"Beneventan")</f>
        <v>Beneventan</v>
      </c>
    </row>
    <row r="71">
      <c r="A71" s="15" t="str">
        <f>IFERROR(__xludf.DUMMYFUNCTION("""COMPUTED_VALUE"""),"Bengeo")</f>
        <v>Bengeo</v>
      </c>
      <c r="B71" s="15" t="str">
        <f>IFERROR(__xludf.DUMMYFUNCTION("""COMPUTED_VALUE"""),"Bengean")</f>
        <v>Bengean</v>
      </c>
      <c r="C71" s="15" t="str">
        <f>IFERROR(__xludf.DUMMYFUNCTION("""COMPUTED_VALUE"""),"Bengean")</f>
        <v>Bengean</v>
      </c>
    </row>
    <row r="72">
      <c r="A72" s="15" t="str">
        <f>IFERROR(__xludf.DUMMYFUNCTION("""COMPUTED_VALUE"""),"Bergamo")</f>
        <v>Bergamo</v>
      </c>
      <c r="B72" s="15" t="str">
        <f>IFERROR(__xludf.DUMMYFUNCTION("""COMPUTED_VALUE"""),"Bergamasque")</f>
        <v>Bergamasque</v>
      </c>
      <c r="C72" s="15" t="str">
        <f>IFERROR(__xludf.DUMMYFUNCTION("""COMPUTED_VALUE"""),"Bergamasque")</f>
        <v>Bergamasque</v>
      </c>
    </row>
    <row r="73">
      <c r="A73" s="15" t="str">
        <f>IFERROR(__xludf.DUMMYFUNCTION("""COMPUTED_VALUE"""),"Bergen")</f>
        <v>Bergen</v>
      </c>
      <c r="B73" s="15" t="str">
        <f>IFERROR(__xludf.DUMMYFUNCTION("""COMPUTED_VALUE"""),"Bergener")</f>
        <v>Bergener</v>
      </c>
      <c r="C73" s="15" t="str">
        <f>IFERROR(__xludf.DUMMYFUNCTION("""COMPUTED_VALUE"""),"Bergenese")</f>
        <v>Bergenese</v>
      </c>
    </row>
    <row r="74">
      <c r="A74" s="15" t="str">
        <f>IFERROR(__xludf.DUMMYFUNCTION("""COMPUTED_VALUE"""),"Berlin")</f>
        <v>Berlin</v>
      </c>
      <c r="B74" s="15" t="str">
        <f>IFERROR(__xludf.DUMMYFUNCTION("""COMPUTED_VALUE"""),"Berliner, Berlinese")</f>
        <v>Berliner, Berlinese</v>
      </c>
      <c r="C74" s="15" t="str">
        <f>IFERROR(__xludf.DUMMYFUNCTION("""COMPUTED_VALUE"""),"Berliner")</f>
        <v>Berliner</v>
      </c>
    </row>
    <row r="75">
      <c r="A75" s="15" t="str">
        <f>IFERROR(__xludf.DUMMYFUNCTION("""COMPUTED_VALUE"""),"Bern")</f>
        <v>Bern</v>
      </c>
      <c r="B75" s="15" t="str">
        <f>IFERROR(__xludf.DUMMYFUNCTION("""COMPUTED_VALUE"""),"Bernese")</f>
        <v>Bernese</v>
      </c>
      <c r="C75" s="15" t="str">
        <f>IFERROR(__xludf.DUMMYFUNCTION("""COMPUTED_VALUE"""),"Bernese")</f>
        <v>Bernese</v>
      </c>
    </row>
    <row r="76">
      <c r="A76" s="15" t="str">
        <f>IFERROR(__xludf.DUMMYFUNCTION("""COMPUTED_VALUE"""),"Béziers")</f>
        <v>Béziers</v>
      </c>
      <c r="B76" s="15" t="str">
        <f>IFERROR(__xludf.DUMMYFUNCTION("""COMPUTED_VALUE"""),"Bitterois")</f>
        <v>Bitterois</v>
      </c>
      <c r="C76" s="15" t="str">
        <f>IFERROR(__xludf.DUMMYFUNCTION("""COMPUTED_VALUE"""),"Bitterois")</f>
        <v>Bitterois</v>
      </c>
    </row>
    <row r="77">
      <c r="A77" s="15" t="str">
        <f>IFERROR(__xludf.DUMMYFUNCTION("""COMPUTED_VALUE"""),"Bhopal")</f>
        <v>Bhopal</v>
      </c>
      <c r="B77" s="15" t="str">
        <f>IFERROR(__xludf.DUMMYFUNCTION("""COMPUTED_VALUE"""),"Bhopali")</f>
        <v>Bhopali</v>
      </c>
      <c r="C77" s="15" t="str">
        <f>IFERROR(__xludf.DUMMYFUNCTION("""COMPUTED_VALUE"""),"Bhopali")</f>
        <v>Bhopali</v>
      </c>
    </row>
    <row r="78">
      <c r="A78" s="15" t="str">
        <f>IFERROR(__xludf.DUMMYFUNCTION("""COMPUTED_VALUE"""),"Birmingham")</f>
        <v>Birmingham</v>
      </c>
      <c r="B78" s="15" t="str">
        <f>IFERROR(__xludf.DUMMYFUNCTION("""COMPUTED_VALUE"""),"Brummie")</f>
        <v>Brummie</v>
      </c>
      <c r="C78" s="15" t="str">
        <f>IFERROR(__xludf.DUMMYFUNCTION("""COMPUTED_VALUE"""),"Brummie")</f>
        <v>Brummie</v>
      </c>
    </row>
    <row r="79">
      <c r="A79" s="15" t="str">
        <f>IFERROR(__xludf.DUMMYFUNCTION("""COMPUTED_VALUE"""),"Birmingham, Alabama")</f>
        <v>Birmingham, Alabama</v>
      </c>
      <c r="B79" s="15" t="str">
        <f>IFERROR(__xludf.DUMMYFUNCTION("""COMPUTED_VALUE"""),"Birminghamian")</f>
        <v>Birminghamian</v>
      </c>
      <c r="C79" s="15" t="str">
        <f>IFERROR(__xludf.DUMMYFUNCTION("""COMPUTED_VALUE"""),"Birminghamian, Birminghamster, Ham'r")</f>
        <v>Birminghamian, Birminghamster, Ham'r</v>
      </c>
    </row>
    <row r="80">
      <c r="A80" s="15" t="str">
        <f>IFERROR(__xludf.DUMMYFUNCTION("""COMPUTED_VALUE"""),"Blackburn")</f>
        <v>Blackburn</v>
      </c>
      <c r="B80" s="15" t="str">
        <f>IFERROR(__xludf.DUMMYFUNCTION("""COMPUTED_VALUE"""),"Blackburnian")</f>
        <v>Blackburnian</v>
      </c>
      <c r="C80" s="15" t="str">
        <f>IFERROR(__xludf.DUMMYFUNCTION("""COMPUTED_VALUE"""),"Blackburnian")</f>
        <v>Blackburnian</v>
      </c>
    </row>
    <row r="81">
      <c r="A81" s="15" t="str">
        <f>IFERROR(__xludf.DUMMYFUNCTION("""COMPUTED_VALUE"""),"Blois")</f>
        <v>Blois</v>
      </c>
      <c r="B81" s="15"/>
      <c r="C81" s="15" t="str">
        <f>IFERROR(__xludf.DUMMYFUNCTION("""COMPUTED_VALUE"""),"Blesois")</f>
        <v>Blesois</v>
      </c>
    </row>
    <row r="82">
      <c r="A82" s="15" t="str">
        <f>IFERROR(__xludf.DUMMYFUNCTION("""COMPUTED_VALUE"""),"Bnei Brak")</f>
        <v>Bnei Brak</v>
      </c>
      <c r="B82" s="15" t="str">
        <f>IFERROR(__xludf.DUMMYFUNCTION("""COMPUTED_VALUE"""),"Bnei Brakian")</f>
        <v>Bnei Brakian</v>
      </c>
      <c r="C82" s="15" t="str">
        <f>IFERROR(__xludf.DUMMYFUNCTION("""COMPUTED_VALUE"""),"Bnei Brakian")</f>
        <v>Bnei Brakian</v>
      </c>
    </row>
    <row r="83">
      <c r="A83" s="15" t="str">
        <f>IFERROR(__xludf.DUMMYFUNCTION("""COMPUTED_VALUE"""),"Bodrum")</f>
        <v>Bodrum</v>
      </c>
      <c r="B83" s="15" t="str">
        <f>IFERROR(__xludf.DUMMYFUNCTION("""COMPUTED_VALUE"""),"Bodrumian")</f>
        <v>Bodrumian</v>
      </c>
      <c r="C83" s="15" t="str">
        <f>IFERROR(__xludf.DUMMYFUNCTION("""COMPUTED_VALUE"""),"Bodrumite")</f>
        <v>Bodrumite</v>
      </c>
    </row>
    <row r="84">
      <c r="A84" s="15" t="str">
        <f>IFERROR(__xludf.DUMMYFUNCTION("""COMPUTED_VALUE"""),"Boise")</f>
        <v>Boise</v>
      </c>
      <c r="B84" s="15" t="str">
        <f>IFERROR(__xludf.DUMMYFUNCTION("""COMPUTED_VALUE"""),"Boisean")</f>
        <v>Boisean</v>
      </c>
      <c r="C84" s="15" t="str">
        <f>IFERROR(__xludf.DUMMYFUNCTION("""COMPUTED_VALUE"""),"Boisean")</f>
        <v>Boisean</v>
      </c>
    </row>
    <row r="85">
      <c r="A85" s="15" t="str">
        <f>IFERROR(__xludf.DUMMYFUNCTION("""COMPUTED_VALUE"""),"Bologna")</f>
        <v>Bologna</v>
      </c>
      <c r="B85" s="15" t="str">
        <f>IFERROR(__xludf.DUMMYFUNCTION("""COMPUTED_VALUE"""),"Bolognese")</f>
        <v>Bolognese</v>
      </c>
      <c r="C85" s="15" t="str">
        <f>IFERROR(__xludf.DUMMYFUNCTION("""COMPUTED_VALUE"""),"Bolognese")</f>
        <v>Bolognese</v>
      </c>
    </row>
    <row r="86">
      <c r="A86" s="15" t="str">
        <f>IFERROR(__xludf.DUMMYFUNCTION("""COMPUTED_VALUE"""),"Bogotá")</f>
        <v>Bogotá</v>
      </c>
      <c r="B86" s="15" t="str">
        <f>IFERROR(__xludf.DUMMYFUNCTION("""COMPUTED_VALUE"""),"Bogotano (m), Bogotana (f)")</f>
        <v>Bogotano (m), Bogotana (f)</v>
      </c>
      <c r="C86" s="15" t="str">
        <f>IFERROR(__xludf.DUMMYFUNCTION("""COMPUTED_VALUE"""),"Bogotano (m), Bogotana (f), Rolo (m), Rola (f)")</f>
        <v>Bogotano (m), Bogotana (f), Rolo (m), Rola (f)</v>
      </c>
    </row>
    <row r="87">
      <c r="A87" s="15" t="str">
        <f>IFERROR(__xludf.DUMMYFUNCTION("""COMPUTED_VALUE"""),"Bolgatanga")</f>
        <v>Bolgatanga</v>
      </c>
      <c r="B87" s="15" t="str">
        <f>IFERROR(__xludf.DUMMYFUNCTION("""COMPUTED_VALUE"""),"Guruŋa")</f>
        <v>Guruŋa</v>
      </c>
      <c r="C87" s="15" t="str">
        <f>IFERROR(__xludf.DUMMYFUNCTION("""COMPUTED_VALUE"""),"Guruŋa")</f>
        <v>Guruŋa</v>
      </c>
    </row>
    <row r="88">
      <c r="A88" s="15" t="str">
        <f>IFERROR(__xludf.DUMMYFUNCTION("""COMPUTED_VALUE"""),"Bolton")</f>
        <v>Bolton</v>
      </c>
      <c r="B88" s="15" t="str">
        <f>IFERROR(__xludf.DUMMYFUNCTION("""COMPUTED_VALUE"""),"Boltonian")</f>
        <v>Boltonian</v>
      </c>
      <c r="C88" s="15" t="str">
        <f>IFERROR(__xludf.DUMMYFUNCTION("""COMPUTED_VALUE"""),"Boltonian")</f>
        <v>Boltonian</v>
      </c>
    </row>
    <row r="89">
      <c r="A89" s="15" t="str">
        <f>IFERROR(__xludf.DUMMYFUNCTION("""COMPUTED_VALUE"""),"Bordeaux")</f>
        <v>Bordeaux</v>
      </c>
      <c r="B89" s="15" t="str">
        <f>IFERROR(__xludf.DUMMYFUNCTION("""COMPUTED_VALUE"""),"Bordelais")</f>
        <v>Bordelais</v>
      </c>
      <c r="C89" s="15" t="str">
        <f>IFERROR(__xludf.DUMMYFUNCTION("""COMPUTED_VALUE"""),"Bordelais")</f>
        <v>Bordelais</v>
      </c>
    </row>
    <row r="90">
      <c r="A90" s="15" t="str">
        <f>IFERROR(__xludf.DUMMYFUNCTION("""COMPUTED_VALUE"""),"Bossangoa")</f>
        <v>Bossangoa</v>
      </c>
      <c r="B90" s="15" t="str">
        <f>IFERROR(__xludf.DUMMYFUNCTION("""COMPUTED_VALUE"""),"Bossangoan")</f>
        <v>Bossangoan</v>
      </c>
      <c r="C90" s="15" t="str">
        <f>IFERROR(__xludf.DUMMYFUNCTION("""COMPUTED_VALUE"""),"Bossangoan")</f>
        <v>Bossangoan</v>
      </c>
    </row>
    <row r="91">
      <c r="A91" s="15" t="str">
        <f>IFERROR(__xludf.DUMMYFUNCTION("""COMPUTED_VALUE"""),"Boston")</f>
        <v>Boston</v>
      </c>
      <c r="B91" s="15" t="str">
        <f>IFERROR(__xludf.DUMMYFUNCTION("""COMPUTED_VALUE"""),"Bostonian")</f>
        <v>Bostonian</v>
      </c>
      <c r="C91" s="15" t="str">
        <f>IFERROR(__xludf.DUMMYFUNCTION("""COMPUTED_VALUE"""),"Bostonian")</f>
        <v>Bostonian</v>
      </c>
    </row>
    <row r="92">
      <c r="A92" s="15" t="str">
        <f>IFERROR(__xludf.DUMMYFUNCTION("""COMPUTED_VALUE"""),"Bradford")</f>
        <v>Bradford</v>
      </c>
      <c r="B92" s="15" t="str">
        <f>IFERROR(__xludf.DUMMYFUNCTION("""COMPUTED_VALUE"""),"Bradfordian")</f>
        <v>Bradfordian</v>
      </c>
      <c r="C92" s="15" t="str">
        <f>IFERROR(__xludf.DUMMYFUNCTION("""COMPUTED_VALUE"""),"Bradfordian")</f>
        <v>Bradfordian</v>
      </c>
    </row>
    <row r="93">
      <c r="A93" s="15" t="str">
        <f>IFERROR(__xludf.DUMMYFUNCTION("""COMPUTED_VALUE"""),"Brasilia")</f>
        <v>Brasilia</v>
      </c>
      <c r="B93" s="15" t="str">
        <f>IFERROR(__xludf.DUMMYFUNCTION("""COMPUTED_VALUE"""),"Brasiliense")</f>
        <v>Brasiliense</v>
      </c>
      <c r="C93" s="15" t="str">
        <f>IFERROR(__xludf.DUMMYFUNCTION("""COMPUTED_VALUE"""),"Brasiliense")</f>
        <v>Brasiliense</v>
      </c>
    </row>
    <row r="94">
      <c r="A94" s="15" t="str">
        <f>IFERROR(__xludf.DUMMYFUNCTION("""COMPUTED_VALUE"""),"Bratislava")</f>
        <v>Bratislava</v>
      </c>
      <c r="B94" s="15" t="str">
        <f>IFERROR(__xludf.DUMMYFUNCTION("""COMPUTED_VALUE"""),"Bratislavan")</f>
        <v>Bratislavan</v>
      </c>
      <c r="C94" s="15" t="str">
        <f>IFERROR(__xludf.DUMMYFUNCTION("""COMPUTED_VALUE"""),"Bratislavan")</f>
        <v>Bratislavan</v>
      </c>
    </row>
    <row r="95">
      <c r="A95" s="15" t="str">
        <f>IFERROR(__xludf.DUMMYFUNCTION("""COMPUTED_VALUE"""),"Bremen")</f>
        <v>Bremen</v>
      </c>
      <c r="B95" s="15" t="str">
        <f>IFERROR(__xludf.DUMMYFUNCTION("""COMPUTED_VALUE"""),"Bremer")</f>
        <v>Bremer</v>
      </c>
      <c r="C95" s="15" t="str">
        <f>IFERROR(__xludf.DUMMYFUNCTION("""COMPUTED_VALUE"""),"Bremer")</f>
        <v>Bremer</v>
      </c>
    </row>
    <row r="96">
      <c r="A96" s="15" t="str">
        <f>IFERROR(__xludf.DUMMYFUNCTION("""COMPUTED_VALUE"""),"Brescia")</f>
        <v>Brescia</v>
      </c>
      <c r="B96" s="15" t="str">
        <f>IFERROR(__xludf.DUMMYFUNCTION("""COMPUTED_VALUE"""),"Brescian")</f>
        <v>Brescian</v>
      </c>
      <c r="C96" s="15" t="str">
        <f>IFERROR(__xludf.DUMMYFUNCTION("""COMPUTED_VALUE"""),"Brescian")</f>
        <v>Brescian</v>
      </c>
    </row>
    <row r="97">
      <c r="A97" s="15" t="str">
        <f>IFERROR(__xludf.DUMMYFUNCTION("""COMPUTED_VALUE"""),"Brighton")</f>
        <v>Brighton</v>
      </c>
      <c r="B97" s="15" t="str">
        <f>IFERROR(__xludf.DUMMYFUNCTION("""COMPUTED_VALUE"""),"Brightonian")</f>
        <v>Brightonian</v>
      </c>
      <c r="C97" s="15" t="str">
        <f>IFERROR(__xludf.DUMMYFUNCTION("""COMPUTED_VALUE"""),"Brightonian")</f>
        <v>Brightonian</v>
      </c>
    </row>
    <row r="98">
      <c r="A98" s="15" t="str">
        <f>IFERROR(__xludf.DUMMYFUNCTION("""COMPUTED_VALUE"""),"Brisbane")</f>
        <v>Brisbane</v>
      </c>
      <c r="B98" s="15" t="str">
        <f>IFERROR(__xludf.DUMMYFUNCTION("""COMPUTED_VALUE"""),"Brisbanian")</f>
        <v>Brisbanian</v>
      </c>
      <c r="C98" s="15" t="str">
        <f>IFERROR(__xludf.DUMMYFUNCTION("""COMPUTED_VALUE"""),"Brisbanite, Brisbanian, Brisvegan (slang), Briswegian (slang)")</f>
        <v>Brisbanite, Brisbanian, Brisvegan (slang), Briswegian (slang)</v>
      </c>
    </row>
    <row r="99">
      <c r="A99" s="15" t="str">
        <f>IFERROR(__xludf.DUMMYFUNCTION("""COMPUTED_VALUE"""),"Bristol")</f>
        <v>Bristol</v>
      </c>
      <c r="B99" s="15" t="str">
        <f>IFERROR(__xludf.DUMMYFUNCTION("""COMPUTED_VALUE"""),"Bristolian")</f>
        <v>Bristolian</v>
      </c>
      <c r="C99" s="15" t="str">
        <f>IFERROR(__xludf.DUMMYFUNCTION("""COMPUTED_VALUE"""),"Bristolian")</f>
        <v>Bristolian</v>
      </c>
    </row>
    <row r="100">
      <c r="A100" s="15" t="str">
        <f>IFERROR(__xludf.DUMMYFUNCTION("""COMPUTED_VALUE"""),"Brooklyn")</f>
        <v>Brooklyn</v>
      </c>
      <c r="B100" s="15" t="str">
        <f>IFERROR(__xludf.DUMMYFUNCTION("""COMPUTED_VALUE"""),"Brooklynite")</f>
        <v>Brooklynite</v>
      </c>
      <c r="C100" s="15" t="str">
        <f>IFERROR(__xludf.DUMMYFUNCTION("""COMPUTED_VALUE"""),"Brooklynite")</f>
        <v>Brooklynite</v>
      </c>
    </row>
    <row r="101">
      <c r="A101" s="15" t="str">
        <f>IFERROR(__xludf.DUMMYFUNCTION("""COMPUTED_VALUE"""),"Brussels")</f>
        <v>Brussels</v>
      </c>
      <c r="B101" s="15" t="str">
        <f>IFERROR(__xludf.DUMMYFUNCTION("""COMPUTED_VALUE"""),"Brusselian")</f>
        <v>Brusselian</v>
      </c>
      <c r="C101" s="15" t="str">
        <f>IFERROR(__xludf.DUMMYFUNCTION("""COMPUTED_VALUE"""),"Brusselian, Bruxellois,[b] Brusselaar,[c] Brusseleir[d], Kiekefretter 
(slang), Ket(je) (slang), Zinneke (slang)")</f>
        <v>Brusselian, Bruxellois,[b] Brusselaar,[c] Brusseleir[d], Kiekefretter 
(slang), Ket(je) (slang), Zinneke (slang)</v>
      </c>
    </row>
    <row r="102">
      <c r="A102" s="15" t="str">
        <f>IFERROR(__xludf.DUMMYFUNCTION("""COMPUTED_VALUE"""),"Bucaramanga")</f>
        <v>Bucaramanga</v>
      </c>
      <c r="B102" s="15" t="str">
        <f>IFERROR(__xludf.DUMMYFUNCTION("""COMPUTED_VALUE"""),"Bumangués (m), Bumanguésa (f), Santandereano (m), Santandereana (f)")</f>
        <v>Bumangués (m), Bumanguésa (f), Santandereano (m), Santandereana (f)</v>
      </c>
      <c r="C102" s="15" t="str">
        <f>IFERROR(__xludf.DUMMYFUNCTION("""COMPUTED_VALUE"""),"Bumangués (m), Bumanguésa (f), Santandereano (m), Santandereana (f)")</f>
        <v>Bumangués (m), Bumanguésa (f), Santandereano (m), Santandereana (f)</v>
      </c>
    </row>
    <row r="103">
      <c r="A103" s="15" t="str">
        <f>IFERROR(__xludf.DUMMYFUNCTION("""COMPUTED_VALUE"""),"Bucharest")</f>
        <v>Bucharest</v>
      </c>
      <c r="B103" s="15" t="str">
        <f>IFERROR(__xludf.DUMMYFUNCTION("""COMPUTED_VALUE"""),"Bucharestian")</f>
        <v>Bucharestian</v>
      </c>
      <c r="C103" s="15" t="str">
        <f>IFERROR(__xludf.DUMMYFUNCTION("""COMPUTED_VALUE"""),"Bucharester")</f>
        <v>Bucharester</v>
      </c>
    </row>
    <row r="104">
      <c r="A104" s="15" t="str">
        <f>IFERROR(__xludf.DUMMYFUNCTION("""COMPUTED_VALUE"""),"Budapest")</f>
        <v>Budapest</v>
      </c>
      <c r="B104" s="15" t="str">
        <f>IFERROR(__xludf.DUMMYFUNCTION("""COMPUTED_VALUE"""),"Budapestian")</f>
        <v>Budapestian</v>
      </c>
      <c r="C104" s="15" t="str">
        <f>IFERROR(__xludf.DUMMYFUNCTION("""COMPUTED_VALUE"""),"Budapester, Budapestian")</f>
        <v>Budapester, Budapestian</v>
      </c>
    </row>
    <row r="105">
      <c r="A105" s="15" t="str">
        <f>IFERROR(__xludf.DUMMYFUNCTION("""COMPUTED_VALUE"""),"Buenos Aires (City)")</f>
        <v>Buenos Aires (City)</v>
      </c>
      <c r="B105" s="15" t="str">
        <f>IFERROR(__xludf.DUMMYFUNCTION("""COMPUTED_VALUE"""),"Porteño")</f>
        <v>Porteño</v>
      </c>
      <c r="C105" s="15" t="str">
        <f>IFERROR(__xludf.DUMMYFUNCTION("""COMPUTED_VALUE"""),"Porteño")</f>
        <v>Porteño</v>
      </c>
    </row>
    <row r="106">
      <c r="A106" s="15" t="str">
        <f>IFERROR(__xludf.DUMMYFUNCTION("""COMPUTED_VALUE"""),"Buffalo")</f>
        <v>Buffalo</v>
      </c>
      <c r="B106" s="15" t="str">
        <f>IFERROR(__xludf.DUMMYFUNCTION("""COMPUTED_VALUE"""),"Buffalonian")</f>
        <v>Buffalonian</v>
      </c>
      <c r="C106" s="15" t="str">
        <f>IFERROR(__xludf.DUMMYFUNCTION("""COMPUTED_VALUE"""),"Buffalonian")</f>
        <v>Buffalonian</v>
      </c>
    </row>
    <row r="107">
      <c r="A107" s="15" t="str">
        <f>IFERROR(__xludf.DUMMYFUNCTION("""COMPUTED_VALUE"""),"Burlington")</f>
        <v>Burlington</v>
      </c>
      <c r="B107" s="15" t="str">
        <f>IFERROR(__xludf.DUMMYFUNCTION("""COMPUTED_VALUE"""),"Burlingtonian")</f>
        <v>Burlingtonian</v>
      </c>
      <c r="C107" s="15" t="str">
        <f>IFERROR(__xludf.DUMMYFUNCTION("""COMPUTED_VALUE"""),"Burlingtonian")</f>
        <v>Burlingtonian</v>
      </c>
    </row>
    <row r="108">
      <c r="A108" s="15" t="str">
        <f>IFERROR(__xludf.DUMMYFUNCTION("""COMPUTED_VALUE"""),"Bursa")</f>
        <v>Bursa</v>
      </c>
      <c r="B108" s="15" t="str">
        <f>IFERROR(__xludf.DUMMYFUNCTION("""COMPUTED_VALUE"""),"Bursanese")</f>
        <v>Bursanese</v>
      </c>
      <c r="C108" s="15" t="str">
        <f>IFERROR(__xludf.DUMMYFUNCTION("""COMPUTED_VALUE"""),"Bursanese")</f>
        <v>Bursanese</v>
      </c>
    </row>
    <row r="109">
      <c r="A109" s="15" t="str">
        <f>IFERROR(__xludf.DUMMYFUNCTION("""COMPUTED_VALUE"""),"Busan")</f>
        <v>Busan</v>
      </c>
      <c r="B109" s="15" t="str">
        <f>IFERROR(__xludf.DUMMYFUNCTION("""COMPUTED_VALUE"""),"Busan, Busanian")</f>
        <v>Busan, Busanian</v>
      </c>
      <c r="C109" s="15" t="str">
        <f>IFERROR(__xludf.DUMMYFUNCTION("""COMPUTED_VALUE"""),"Busanian")</f>
        <v>Busanian</v>
      </c>
    </row>
    <row r="110">
      <c r="A110" s="15" t="str">
        <f>IFERROR(__xludf.DUMMYFUNCTION("""COMPUTED_VALUE"""),"Cádiz")</f>
        <v>Cádiz</v>
      </c>
      <c r="B110" s="15" t="str">
        <f>IFERROR(__xludf.DUMMYFUNCTION("""COMPUTED_VALUE"""),"Gaditano,")</f>
        <v>Gaditano,</v>
      </c>
      <c r="C110" s="15" t="str">
        <f>IFERROR(__xludf.DUMMYFUNCTION("""COMPUTED_VALUE"""),"Gaditano")</f>
        <v>Gaditano</v>
      </c>
    </row>
    <row r="111">
      <c r="A111" s="15" t="str">
        <f>IFERROR(__xludf.DUMMYFUNCTION("""COMPUTED_VALUE"""),"Calais")</f>
        <v>Calais</v>
      </c>
      <c r="B111" s="15" t="str">
        <f>IFERROR(__xludf.DUMMYFUNCTION("""COMPUTED_VALUE"""),"Calais")</f>
        <v>Calais</v>
      </c>
      <c r="C111" s="15" t="str">
        <f>IFERROR(__xludf.DUMMYFUNCTION("""COMPUTED_VALUE"""),"Calaisiens")</f>
        <v>Calaisiens</v>
      </c>
    </row>
    <row r="112">
      <c r="A112" s="15" t="str">
        <f>IFERROR(__xludf.DUMMYFUNCTION("""COMPUTED_VALUE"""),"Cagayan de Oro")</f>
        <v>Cagayan de Oro</v>
      </c>
      <c r="B112" s="15" t="str">
        <f>IFERROR(__xludf.DUMMYFUNCTION("""COMPUTED_VALUE"""),"Cagayanon")</f>
        <v>Cagayanon</v>
      </c>
      <c r="C112" s="15" t="str">
        <f>IFERROR(__xludf.DUMMYFUNCTION("""COMPUTED_VALUE"""),"Cagayanon")</f>
        <v>Cagayanon</v>
      </c>
    </row>
    <row r="113">
      <c r="A113" s="15" t="str">
        <f>IFERROR(__xludf.DUMMYFUNCTION("""COMPUTED_VALUE"""),"Cairns")</f>
        <v>Cairns</v>
      </c>
      <c r="B113" s="15" t="str">
        <f>IFERROR(__xludf.DUMMYFUNCTION("""COMPUTED_VALUE"""),"Cairnsite")</f>
        <v>Cairnsite</v>
      </c>
      <c r="C113" s="15" t="str">
        <f>IFERROR(__xludf.DUMMYFUNCTION("""COMPUTED_VALUE"""),"Cairnsite")</f>
        <v>Cairnsite</v>
      </c>
    </row>
    <row r="114">
      <c r="A114" s="15" t="str">
        <f>IFERROR(__xludf.DUMMYFUNCTION("""COMPUTED_VALUE"""),"Cairo")</f>
        <v>Cairo</v>
      </c>
      <c r="B114" s="15" t="str">
        <f>IFERROR(__xludf.DUMMYFUNCTION("""COMPUTED_VALUE"""),"Cairene")</f>
        <v>Cairene</v>
      </c>
      <c r="C114" s="15" t="str">
        <f>IFERROR(__xludf.DUMMYFUNCTION("""COMPUTED_VALUE"""),"Cairene")</f>
        <v>Cairene</v>
      </c>
    </row>
    <row r="115">
      <c r="A115" s="15" t="str">
        <f>IFERROR(__xludf.DUMMYFUNCTION("""COMPUTED_VALUE"""),"Calgary")</f>
        <v>Calgary</v>
      </c>
      <c r="B115" s="15" t="str">
        <f>IFERROR(__xludf.DUMMYFUNCTION("""COMPUTED_VALUE"""),"Calgarian")</f>
        <v>Calgarian</v>
      </c>
      <c r="C115" s="15" t="str">
        <f>IFERROR(__xludf.DUMMYFUNCTION("""COMPUTED_VALUE"""),"Calgarian")</f>
        <v>Calgarian</v>
      </c>
    </row>
    <row r="116">
      <c r="A116" s="15" t="str">
        <f>IFERROR(__xludf.DUMMYFUNCTION("""COMPUTED_VALUE"""),"Cali")</f>
        <v>Cali</v>
      </c>
      <c r="B116" s="15" t="str">
        <f>IFERROR(__xludf.DUMMYFUNCTION("""COMPUTED_VALUE"""),"Caleño")</f>
        <v>Caleño</v>
      </c>
      <c r="C116" s="15" t="str">
        <f>IFERROR(__xludf.DUMMYFUNCTION("""COMPUTED_VALUE"""),"Caleño")</f>
        <v>Caleño</v>
      </c>
    </row>
    <row r="117">
      <c r="A117" s="15" t="str">
        <f>IFERROR(__xludf.DUMMYFUNCTION("""COMPUTED_VALUE"""),"Cambridge")</f>
        <v>Cambridge</v>
      </c>
      <c r="B117" s="15" t="str">
        <f>IFERROR(__xludf.DUMMYFUNCTION("""COMPUTED_VALUE"""),"Cantabrigian")</f>
        <v>Cantabrigian</v>
      </c>
      <c r="C117" s="15" t="str">
        <f>IFERROR(__xludf.DUMMYFUNCTION("""COMPUTED_VALUE"""),"Cantabrigian")</f>
        <v>Cantabrigian</v>
      </c>
    </row>
    <row r="118">
      <c r="A118" s="15" t="str">
        <f>IFERROR(__xludf.DUMMYFUNCTION("""COMPUTED_VALUE"""),"Cambridge, Massachusetts")</f>
        <v>Cambridge, Massachusetts</v>
      </c>
      <c r="B118" s="15" t="str">
        <f>IFERROR(__xludf.DUMMYFUNCTION("""COMPUTED_VALUE"""),"Cantabrigian")</f>
        <v>Cantabrigian</v>
      </c>
      <c r="C118" s="15" t="str">
        <f>IFERROR(__xludf.DUMMYFUNCTION("""COMPUTED_VALUE"""),"Cantabrigian")</f>
        <v>Cantabrigian</v>
      </c>
    </row>
    <row r="119">
      <c r="A119" s="15" t="str">
        <f>IFERROR(__xludf.DUMMYFUNCTION("""COMPUTED_VALUE"""),"Campinas")</f>
        <v>Campinas</v>
      </c>
      <c r="B119" s="15" t="str">
        <f>IFERROR(__xludf.DUMMYFUNCTION("""COMPUTED_VALUE"""),"Campineiro")</f>
        <v>Campineiro</v>
      </c>
      <c r="C119" s="15" t="str">
        <f>IFERROR(__xludf.DUMMYFUNCTION("""COMPUTED_VALUE"""),"Campineiro")</f>
        <v>Campineiro</v>
      </c>
    </row>
    <row r="120">
      <c r="A120" s="15" t="str">
        <f>IFERROR(__xludf.DUMMYFUNCTION("""COMPUTED_VALUE"""),"Campo Grande")</f>
        <v>Campo Grande</v>
      </c>
      <c r="B120" s="15" t="str">
        <f>IFERROR(__xludf.DUMMYFUNCTION("""COMPUTED_VALUE"""),"Campo-grandense")</f>
        <v>Campo-grandense</v>
      </c>
      <c r="C120" s="15" t="str">
        <f>IFERROR(__xludf.DUMMYFUNCTION("""COMPUTED_VALUE"""),"campo-grandense")</f>
        <v>campo-grandense</v>
      </c>
    </row>
    <row r="121">
      <c r="A121" s="15" t="str">
        <f>IFERROR(__xludf.DUMMYFUNCTION("""COMPUTED_VALUE"""),"Canberra")</f>
        <v>Canberra</v>
      </c>
      <c r="B121" s="15" t="str">
        <f>IFERROR(__xludf.DUMMYFUNCTION("""COMPUTED_VALUE"""),"Canberran")</f>
        <v>Canberran</v>
      </c>
      <c r="C121" s="15" t="str">
        <f>IFERROR(__xludf.DUMMYFUNCTION("""COMPUTED_VALUE"""),"Canberran")</f>
        <v>Canberran</v>
      </c>
    </row>
    <row r="122">
      <c r="A122" s="15" t="str">
        <f>IFERROR(__xludf.DUMMYFUNCTION("""COMPUTED_VALUE"""),"Cape Town")</f>
        <v>Cape Town</v>
      </c>
      <c r="B122" s="15" t="str">
        <f>IFERROR(__xludf.DUMMYFUNCTION("""COMPUTED_VALUE"""),"Capetonian")</f>
        <v>Capetonian</v>
      </c>
      <c r="C122" s="15" t="str">
        <f>IFERROR(__xludf.DUMMYFUNCTION("""COMPUTED_VALUE"""),"Capetonian")</f>
        <v>Capetonian</v>
      </c>
    </row>
    <row r="123">
      <c r="A123" s="15" t="str">
        <f>IFERROR(__xludf.DUMMYFUNCTION("""COMPUTED_VALUE"""),"Caracas")</f>
        <v>Caracas</v>
      </c>
      <c r="B123" s="15" t="str">
        <f>IFERROR(__xludf.DUMMYFUNCTION("""COMPUTED_VALUE"""),"Caraquenian")</f>
        <v>Caraquenian</v>
      </c>
      <c r="C123" s="15" t="str">
        <f>IFERROR(__xludf.DUMMYFUNCTION("""COMPUTED_VALUE"""),"Caraqueño (m), Caraqueña (f)")</f>
        <v>Caraqueño (m), Caraqueña (f)</v>
      </c>
    </row>
    <row r="124">
      <c r="A124" s="15" t="str">
        <f>IFERROR(__xludf.DUMMYFUNCTION("""COMPUTED_VALUE"""),"Cardiff")</f>
        <v>Cardiff</v>
      </c>
      <c r="B124" s="15" t="str">
        <f>IFERROR(__xludf.DUMMYFUNCTION("""COMPUTED_VALUE"""),"Cardiffian")</f>
        <v>Cardiffian</v>
      </c>
      <c r="C124" s="15" t="str">
        <f>IFERROR(__xludf.DUMMYFUNCTION("""COMPUTED_VALUE"""),"Cardiffian")</f>
        <v>Cardiffian</v>
      </c>
    </row>
    <row r="125">
      <c r="A125" s="15" t="str">
        <f>IFERROR(__xludf.DUMMYFUNCTION("""COMPUTED_VALUE"""),"Carlisle")</f>
        <v>Carlisle</v>
      </c>
      <c r="B125" s="15" t="str">
        <f>IFERROR(__xludf.DUMMYFUNCTION("""COMPUTED_VALUE"""),"Carlislian")</f>
        <v>Carlislian</v>
      </c>
      <c r="C125" s="15" t="str">
        <f>IFERROR(__xludf.DUMMYFUNCTION("""COMPUTED_VALUE"""),"Carlislian")</f>
        <v>Carlislian</v>
      </c>
    </row>
    <row r="126">
      <c r="A126" s="15" t="str">
        <f>IFERROR(__xludf.DUMMYFUNCTION("""COMPUTED_VALUE"""),"Carson City")</f>
        <v>Carson City</v>
      </c>
      <c r="B126" s="15" t="str">
        <f>IFERROR(__xludf.DUMMYFUNCTION("""COMPUTED_VALUE"""),"Carsonite")</f>
        <v>Carsonite</v>
      </c>
      <c r="C126" s="15" t="str">
        <f>IFERROR(__xludf.DUMMYFUNCTION("""COMPUTED_VALUE"""),"Carsonite")</f>
        <v>Carsonite</v>
      </c>
    </row>
    <row r="127">
      <c r="A127" s="15" t="str">
        <f>IFERROR(__xludf.DUMMYFUNCTION("""COMPUTED_VALUE"""),"Cartagena")</f>
        <v>Cartagena</v>
      </c>
      <c r="B127" s="15" t="str">
        <f>IFERROR(__xludf.DUMMYFUNCTION("""COMPUTED_VALUE"""),"Cartagenero (m), Cartagenera (f)")</f>
        <v>Cartagenero (m), Cartagenera (f)</v>
      </c>
      <c r="C127" s="15" t="str">
        <f>IFERROR(__xludf.DUMMYFUNCTION("""COMPUTED_VALUE"""),"Cartagenero (m), Cartagenera (f)")</f>
        <v>Cartagenero (m), Cartagenera (f)</v>
      </c>
    </row>
    <row r="128">
      <c r="A128" s="15" t="str">
        <f>IFERROR(__xludf.DUMMYFUNCTION("""COMPUTED_VALUE"""),"Carystus")</f>
        <v>Carystus</v>
      </c>
      <c r="B128" s="15" t="str">
        <f>IFERROR(__xludf.DUMMYFUNCTION("""COMPUTED_VALUE"""),"Carystian")</f>
        <v>Carystian</v>
      </c>
      <c r="C128" s="15" t="str">
        <f>IFERROR(__xludf.DUMMYFUNCTION("""COMPUTED_VALUE"""),"Christian")</f>
        <v>Christian</v>
      </c>
    </row>
    <row r="129">
      <c r="A129" s="15" t="str">
        <f>IFERROR(__xludf.DUMMYFUNCTION("""COMPUTED_VALUE"""),"Casper")</f>
        <v>Casper</v>
      </c>
      <c r="B129" s="15" t="str">
        <f>IFERROR(__xludf.DUMMYFUNCTION("""COMPUTED_VALUE"""),"Casperite")</f>
        <v>Casperite</v>
      </c>
      <c r="C129" s="15" t="str">
        <f>IFERROR(__xludf.DUMMYFUNCTION("""COMPUTED_VALUE"""),"Casperite")</f>
        <v>Casperite</v>
      </c>
    </row>
    <row r="130">
      <c r="A130" s="15" t="str">
        <f>IFERROR(__xludf.DUMMYFUNCTION("""COMPUTED_VALUE"""),"Castlecrag")</f>
        <v>Castlecrag</v>
      </c>
      <c r="B130" s="15" t="str">
        <f>IFERROR(__xludf.DUMMYFUNCTION("""COMPUTED_VALUE"""),"Castlecragian")</f>
        <v>Castlecragian</v>
      </c>
      <c r="C130" s="15" t="str">
        <f>IFERROR(__xludf.DUMMYFUNCTION("""COMPUTED_VALUE"""),"Cragman")</f>
        <v>Cragman</v>
      </c>
    </row>
    <row r="131">
      <c r="A131" s="15" t="str">
        <f>IFERROR(__xludf.DUMMYFUNCTION("""COMPUTED_VALUE"""),"Cebu")</f>
        <v>Cebu</v>
      </c>
      <c r="B131" s="15" t="str">
        <f>IFERROR(__xludf.DUMMYFUNCTION("""COMPUTED_VALUE"""),"Cebuano")</f>
        <v>Cebuano</v>
      </c>
      <c r="C131" s="15" t="str">
        <f>IFERROR(__xludf.DUMMYFUNCTION("""COMPUTED_VALUE"""),"Cebuano")</f>
        <v>Cebuano</v>
      </c>
    </row>
    <row r="132">
      <c r="A132" s="15" t="str">
        <f>IFERROR(__xludf.DUMMYFUNCTION("""COMPUTED_VALUE"""),"Changwon")</f>
        <v>Changwon</v>
      </c>
      <c r="B132" s="15" t="str">
        <f>IFERROR(__xludf.DUMMYFUNCTION("""COMPUTED_VALUE"""),"Changwon, Changwonian")</f>
        <v>Changwon, Changwonian</v>
      </c>
      <c r="C132" s="15" t="str">
        <f>IFERROR(__xludf.DUMMYFUNCTION("""COMPUTED_VALUE"""),"Changwonian")</f>
        <v>Changwonian</v>
      </c>
    </row>
    <row r="133">
      <c r="A133" s="15" t="str">
        <f>IFERROR(__xludf.DUMMYFUNCTION("""COMPUTED_VALUE"""),"Charleston (South Carolina)")</f>
        <v>Charleston (South Carolina)</v>
      </c>
      <c r="B133" s="15" t="str">
        <f>IFERROR(__xludf.DUMMYFUNCTION("""COMPUTED_VALUE"""),"Charlestonian")</f>
        <v>Charlestonian</v>
      </c>
      <c r="C133" s="15" t="str">
        <f>IFERROR(__xludf.DUMMYFUNCTION("""COMPUTED_VALUE"""),"Charlestonian")</f>
        <v>Charlestonian</v>
      </c>
    </row>
    <row r="134">
      <c r="A134" s="15" t="str">
        <f>IFERROR(__xludf.DUMMYFUNCTION("""COMPUTED_VALUE"""),"Charleston (West Virginia)")</f>
        <v>Charleston (West Virginia)</v>
      </c>
      <c r="B134" s="15" t="str">
        <f>IFERROR(__xludf.DUMMYFUNCTION("""COMPUTED_VALUE"""),"Charlestonian")</f>
        <v>Charlestonian</v>
      </c>
      <c r="C134" s="15" t="str">
        <f>IFERROR(__xludf.DUMMYFUNCTION("""COMPUTED_VALUE"""),"Charlestonian")</f>
        <v>Charlestonian</v>
      </c>
    </row>
    <row r="135">
      <c r="A135" s="15" t="str">
        <f>IFERROR(__xludf.DUMMYFUNCTION("""COMPUTED_VALUE"""),"Charlotte")</f>
        <v>Charlotte</v>
      </c>
      <c r="B135" s="15" t="str">
        <f>IFERROR(__xludf.DUMMYFUNCTION("""COMPUTED_VALUE"""),"Charlottean")</f>
        <v>Charlottean</v>
      </c>
      <c r="C135" s="15" t="str">
        <f>IFERROR(__xludf.DUMMYFUNCTION("""COMPUTED_VALUE"""),"Charlottean")</f>
        <v>Charlottean</v>
      </c>
    </row>
    <row r="136">
      <c r="A136" s="15" t="str">
        <f>IFERROR(__xludf.DUMMYFUNCTION("""COMPUTED_VALUE"""),"Chelmsford")</f>
        <v>Chelmsford</v>
      </c>
      <c r="B136" s="15" t="str">
        <f>IFERROR(__xludf.DUMMYFUNCTION("""COMPUTED_VALUE"""),"Chelmsfordian")</f>
        <v>Chelmsfordian</v>
      </c>
      <c r="C136" s="15" t="str">
        <f>IFERROR(__xludf.DUMMYFUNCTION("""COMPUTED_VALUE"""),"Chelmsfordian")</f>
        <v>Chelmsfordian</v>
      </c>
    </row>
    <row r="137">
      <c r="A137" s="15" t="str">
        <f>IFERROR(__xludf.DUMMYFUNCTION("""COMPUTED_VALUE"""),"Cheltenham")</f>
        <v>Cheltenham</v>
      </c>
      <c r="B137" s="15" t="str">
        <f>IFERROR(__xludf.DUMMYFUNCTION("""COMPUTED_VALUE"""),"Cheltonian")</f>
        <v>Cheltonian</v>
      </c>
      <c r="C137" s="15" t="str">
        <f>IFERROR(__xludf.DUMMYFUNCTION("""COMPUTED_VALUE"""),"Cheltonian")</f>
        <v>Cheltonian</v>
      </c>
    </row>
    <row r="138">
      <c r="A138" s="15" t="str">
        <f>IFERROR(__xludf.DUMMYFUNCTION("""COMPUTED_VALUE"""),"Chennai")</f>
        <v>Chennai</v>
      </c>
      <c r="B138" s="15" t="str">
        <f>IFERROR(__xludf.DUMMYFUNCTION("""COMPUTED_VALUE"""),"Chennaite")</f>
        <v>Chennaite</v>
      </c>
      <c r="C138" s="15" t="str">
        <f>IFERROR(__xludf.DUMMYFUNCTION("""COMPUTED_VALUE"""),"Chennaite")</f>
        <v>Chennaite</v>
      </c>
    </row>
    <row r="139">
      <c r="A139" s="15" t="str">
        <f>IFERROR(__xludf.DUMMYFUNCTION("""COMPUTED_VALUE"""),"Chester")</f>
        <v>Chester</v>
      </c>
      <c r="B139" s="15" t="str">
        <f>IFERROR(__xludf.DUMMYFUNCTION("""COMPUTED_VALUE"""),"Cestrian")</f>
        <v>Cestrian</v>
      </c>
      <c r="C139" s="15" t="str">
        <f>IFERROR(__xludf.DUMMYFUNCTION("""COMPUTED_VALUE"""),"Cestrian")</f>
        <v>Cestrian</v>
      </c>
    </row>
    <row r="140">
      <c r="A140" s="15" t="str">
        <f>IFERROR(__xludf.DUMMYFUNCTION("""COMPUTED_VALUE"""),"Chesterfield")</f>
        <v>Chesterfield</v>
      </c>
      <c r="B140" s="15" t="str">
        <f>IFERROR(__xludf.DUMMYFUNCTION("""COMPUTED_VALUE"""),"Cestrefeldian")</f>
        <v>Cestrefeldian</v>
      </c>
      <c r="C140" s="15" t="str">
        <f>IFERROR(__xludf.DUMMYFUNCTION("""COMPUTED_VALUE"""),"Cestrefeldian")</f>
        <v>Cestrefeldian</v>
      </c>
    </row>
    <row r="141">
      <c r="A141" s="15" t="str">
        <f>IFERROR(__xludf.DUMMYFUNCTION("""COMPUTED_VALUE"""),"Cheyenne")</f>
        <v>Cheyenne</v>
      </c>
      <c r="B141" s="15" t="str">
        <f>IFERROR(__xludf.DUMMYFUNCTION("""COMPUTED_VALUE"""),"Cheyenneite")</f>
        <v>Cheyenneite</v>
      </c>
      <c r="C141" s="15" t="str">
        <f>IFERROR(__xludf.DUMMYFUNCTION("""COMPUTED_VALUE"""),"Cheyenneite")</f>
        <v>Cheyenneite</v>
      </c>
    </row>
    <row r="142">
      <c r="A142" s="15" t="str">
        <f>IFERROR(__xludf.DUMMYFUNCTION("""COMPUTED_VALUE"""),"Chiasso")</f>
        <v>Chiasso</v>
      </c>
      <c r="B142" s="15" t="str">
        <f>IFERROR(__xludf.DUMMYFUNCTION("""COMPUTED_VALUE"""),"Chiassese")</f>
        <v>Chiassese</v>
      </c>
      <c r="C142" s="15"/>
    </row>
    <row r="143">
      <c r="A143" s="15" t="str">
        <f>IFERROR(__xludf.DUMMYFUNCTION("""COMPUTED_VALUE"""),"Chicago")</f>
        <v>Chicago</v>
      </c>
      <c r="B143" s="15" t="str">
        <f>IFERROR(__xludf.DUMMYFUNCTION("""COMPUTED_VALUE"""),"Chicagoan")</f>
        <v>Chicagoan</v>
      </c>
      <c r="C143" s="15" t="str">
        <f>IFERROR(__xludf.DUMMYFUNCTION("""COMPUTED_VALUE"""),"Chicagoan")</f>
        <v>Chicagoan</v>
      </c>
    </row>
    <row r="144">
      <c r="A144" s="15" t="str">
        <f>IFERROR(__xludf.DUMMYFUNCTION("""COMPUTED_VALUE"""),"Chichester")</f>
        <v>Chichester</v>
      </c>
      <c r="B144" s="15" t="str">
        <f>IFERROR(__xludf.DUMMYFUNCTION("""COMPUTED_VALUE"""),"Cicestrian")</f>
        <v>Cicestrian</v>
      </c>
      <c r="C144" s="15" t="str">
        <f>IFERROR(__xludf.DUMMYFUNCTION("""COMPUTED_VALUE"""),"Cicestrian")</f>
        <v>Cicestrian</v>
      </c>
    </row>
    <row r="145">
      <c r="A145" s="15" t="str">
        <f>IFERROR(__xludf.DUMMYFUNCTION("""COMPUTED_VALUE"""),"Chilliwack")</f>
        <v>Chilliwack</v>
      </c>
      <c r="B145" s="15" t="str">
        <f>IFERROR(__xludf.DUMMYFUNCTION("""COMPUTED_VALUE"""),"Chilliwackian")</f>
        <v>Chilliwackian</v>
      </c>
      <c r="C145" s="15" t="str">
        <f>IFERROR(__xludf.DUMMYFUNCTION("""COMPUTED_VALUE"""),"Chilliwackian, Chilliwacker, Chilliwhacko")</f>
        <v>Chilliwackian, Chilliwacker, Chilliwhacko</v>
      </c>
    </row>
    <row r="146">
      <c r="A146" s="15" t="str">
        <f>IFERROR(__xludf.DUMMYFUNCTION("""COMPUTED_VALUE"""),"Chittagong")</f>
        <v>Chittagong</v>
      </c>
      <c r="B146" s="15" t="str">
        <f>IFERROR(__xludf.DUMMYFUNCTION("""COMPUTED_VALUE"""),"Chittagonian")</f>
        <v>Chittagonian</v>
      </c>
      <c r="C146" s="15" t="str">
        <f>IFERROR(__xludf.DUMMYFUNCTION("""COMPUTED_VALUE"""),"Chittagonian, Chottogrami, Chatigaiya, Sitainga, Chittagainga")</f>
        <v>Chittagonian, Chottogrami, Chatigaiya, Sitainga, Chittagainga</v>
      </c>
    </row>
    <row r="147">
      <c r="A147" s="15" t="str">
        <f>IFERROR(__xludf.DUMMYFUNCTION("""COMPUTED_VALUE"""),"Christchurch")</f>
        <v>Christchurch</v>
      </c>
      <c r="B147" s="15" t="str">
        <f>IFERROR(__xludf.DUMMYFUNCTION("""COMPUTED_VALUE"""),"Cantabrian")</f>
        <v>Cantabrian</v>
      </c>
      <c r="C147" s="15" t="str">
        <f>IFERROR(__xludf.DUMMYFUNCTION("""COMPUTED_VALUE"""),"Cantabrian")</f>
        <v>Cantabrian</v>
      </c>
    </row>
    <row r="148">
      <c r="A148" s="15" t="str">
        <f>IFERROR(__xludf.DUMMYFUNCTION("""COMPUTED_VALUE"""),"Cincinnati")</f>
        <v>Cincinnati</v>
      </c>
      <c r="B148" s="15" t="str">
        <f>IFERROR(__xludf.DUMMYFUNCTION("""COMPUTED_VALUE"""),"Cincinnatian")</f>
        <v>Cincinnatian</v>
      </c>
      <c r="C148" s="15" t="str">
        <f>IFERROR(__xludf.DUMMYFUNCTION("""COMPUTED_VALUE"""),"Cincinnatian")</f>
        <v>Cincinnatian</v>
      </c>
    </row>
    <row r="149">
      <c r="A149" s="15" t="str">
        <f>IFERROR(__xludf.DUMMYFUNCTION("""COMPUTED_VALUE"""),"Cleveland")</f>
        <v>Cleveland</v>
      </c>
      <c r="B149" s="15" t="str">
        <f>IFERROR(__xludf.DUMMYFUNCTION("""COMPUTED_VALUE"""),"Clevelander")</f>
        <v>Clevelander</v>
      </c>
      <c r="C149" s="15" t="str">
        <f>IFERROR(__xludf.DUMMYFUNCTION("""COMPUTED_VALUE"""),"Clevelander")</f>
        <v>Clevelander</v>
      </c>
    </row>
    <row r="150">
      <c r="A150" s="15" t="str">
        <f>IFERROR(__xludf.DUMMYFUNCTION("""COMPUTED_VALUE"""),"Coimbatore")</f>
        <v>Coimbatore</v>
      </c>
      <c r="B150" s="15" t="str">
        <f>IFERROR(__xludf.DUMMYFUNCTION("""COMPUTED_VALUE"""),"Coimbatoreian")</f>
        <v>Coimbatoreian</v>
      </c>
      <c r="C150" s="15" t="str">
        <f>IFERROR(__xludf.DUMMYFUNCTION("""COMPUTED_VALUE"""),"Coimbatoreian")</f>
        <v>Coimbatoreian</v>
      </c>
    </row>
    <row r="151">
      <c r="A151" s="15" t="str">
        <f>IFERROR(__xludf.DUMMYFUNCTION("""COMPUTED_VALUE"""),"Colchester")</f>
        <v>Colchester</v>
      </c>
      <c r="B151" s="15" t="str">
        <f>IFERROR(__xludf.DUMMYFUNCTION("""COMPUTED_VALUE"""),"Colchester")</f>
        <v>Colchester</v>
      </c>
      <c r="C151" s="15" t="str">
        <f>IFERROR(__xludf.DUMMYFUNCTION("""COMPUTED_VALUE"""),"Colcestrian")</f>
        <v>Colcestrian</v>
      </c>
    </row>
    <row r="152">
      <c r="A152" s="15" t="str">
        <f>IFERROR(__xludf.DUMMYFUNCTION("""COMPUTED_VALUE"""),"Columbus")</f>
        <v>Columbus</v>
      </c>
      <c r="B152" s="15" t="str">
        <f>IFERROR(__xludf.DUMMYFUNCTION("""COMPUTED_VALUE"""),"Columbusite")</f>
        <v>Columbusite</v>
      </c>
      <c r="C152" s="15" t="str">
        <f>IFERROR(__xludf.DUMMYFUNCTION("""COMPUTED_VALUE"""),"Columbusite")</f>
        <v>Columbusite</v>
      </c>
    </row>
    <row r="153">
      <c r="A153" s="15" t="str">
        <f>IFERROR(__xludf.DUMMYFUNCTION("""COMPUTED_VALUE"""),"Copenhagen")</f>
        <v>Copenhagen</v>
      </c>
      <c r="B153" s="15" t="str">
        <f>IFERROR(__xludf.DUMMYFUNCTION("""COMPUTED_VALUE"""),"Copenhagener")</f>
        <v>Copenhagener</v>
      </c>
      <c r="C153" s="15" t="str">
        <f>IFERROR(__xludf.DUMMYFUNCTION("""COMPUTED_VALUE"""),"Copenhagener")</f>
        <v>Copenhagener</v>
      </c>
    </row>
    <row r="154">
      <c r="A154" s="15" t="str">
        <f>IFERROR(__xludf.DUMMYFUNCTION("""COMPUTED_VALUE"""),"Córdoba")</f>
        <v>Córdoba</v>
      </c>
      <c r="B154" s="15" t="str">
        <f>IFERROR(__xludf.DUMMYFUNCTION("""COMPUTED_VALUE"""),"Cordobés, Cordobense")</f>
        <v>Cordobés, Cordobense</v>
      </c>
      <c r="C154" s="15" t="str">
        <f>IFERROR(__xludf.DUMMYFUNCTION("""COMPUTED_VALUE"""),"Cordobés")</f>
        <v>Cordobés</v>
      </c>
    </row>
    <row r="155">
      <c r="A155" s="15" t="str">
        <f>IFERROR(__xludf.DUMMYFUNCTION("""COMPUTED_VALUE"""),"Corinth")</f>
        <v>Corinth</v>
      </c>
      <c r="B155" s="15" t="str">
        <f>IFERROR(__xludf.DUMMYFUNCTION("""COMPUTED_VALUE"""),"Corinthian")</f>
        <v>Corinthian</v>
      </c>
      <c r="C155" s="15" t="str">
        <f>IFERROR(__xludf.DUMMYFUNCTION("""COMPUTED_VALUE"""),"Corinthian")</f>
        <v>Corinthian</v>
      </c>
    </row>
    <row r="156">
      <c r="A156" s="15" t="str">
        <f>IFERROR(__xludf.DUMMYFUNCTION("""COMPUTED_VALUE"""),"Cork")</f>
        <v>Cork</v>
      </c>
      <c r="B156" s="15" t="str">
        <f>IFERROR(__xludf.DUMMYFUNCTION("""COMPUTED_VALUE"""),"Cork")</f>
        <v>Cork</v>
      </c>
      <c r="C156" s="15" t="str">
        <f>IFERROR(__xludf.DUMMYFUNCTION("""COMPUTED_VALUE"""),"Corkonian, Leesider")</f>
        <v>Corkonian, Leesider</v>
      </c>
    </row>
    <row r="157">
      <c r="A157" s="15" t="str">
        <f>IFERROR(__xludf.DUMMYFUNCTION("""COMPUTED_VALUE"""),"Coventry")</f>
        <v>Coventry</v>
      </c>
      <c r="B157" s="15" t="str">
        <f>IFERROR(__xludf.DUMMYFUNCTION("""COMPUTED_VALUE"""),"Coventrian")</f>
        <v>Coventrian</v>
      </c>
      <c r="C157" s="15" t="str">
        <f>IFERROR(__xludf.DUMMYFUNCTION("""COMPUTED_VALUE"""),"Coventrian")</f>
        <v>Coventrian</v>
      </c>
    </row>
    <row r="158">
      <c r="A158" s="15" t="str">
        <f>IFERROR(__xludf.DUMMYFUNCTION("""COMPUTED_VALUE"""),"Culiacán")</f>
        <v>Culiacán</v>
      </c>
      <c r="B158" s="15" t="str">
        <f>IFERROR(__xludf.DUMMYFUNCTION("""COMPUTED_VALUE"""),"Culichi")</f>
        <v>Culichi</v>
      </c>
      <c r="C158" s="15" t="str">
        <f>IFERROR(__xludf.DUMMYFUNCTION("""COMPUTED_VALUE"""),"Cliché")</f>
        <v>Cliché</v>
      </c>
    </row>
    <row r="159">
      <c r="A159" s="15" t="str">
        <f>IFERROR(__xludf.DUMMYFUNCTION("""COMPUTED_VALUE"""),"Cusco")</f>
        <v>Cusco</v>
      </c>
      <c r="B159" s="15" t="str">
        <f>IFERROR(__xludf.DUMMYFUNCTION("""COMPUTED_VALUE"""),"Cusco")</f>
        <v>Cusco</v>
      </c>
      <c r="C159" s="15" t="str">
        <f>IFERROR(__xludf.DUMMYFUNCTION("""COMPUTED_VALUE"""),"Cusqueño (m), Cusqueña (f), Cuzqueño (m), Cuzqueña (f)")</f>
        <v>Cusqueño (m), Cusqueña (f), Cuzqueño (m), Cuzqueña (f)</v>
      </c>
    </row>
    <row r="160">
      <c r="A160" s="15" t="str">
        <f>IFERROR(__xludf.DUMMYFUNCTION("""COMPUTED_VALUE"""),"Kraków (Cracow)")</f>
        <v>Kraków (Cracow)</v>
      </c>
      <c r="B160" s="15" t="str">
        <f>IFERROR(__xludf.DUMMYFUNCTION("""COMPUTED_VALUE"""),"Krakovian, Cracovian")</f>
        <v>Krakovian, Cracovian</v>
      </c>
      <c r="C160" s="15" t="str">
        <f>IFERROR(__xludf.DUMMYFUNCTION("""COMPUTED_VALUE"""),"Krakovian, Cracovian")</f>
        <v>Krakovian, Cracovian</v>
      </c>
    </row>
    <row r="161">
      <c r="A161" s="15" t="str">
        <f>IFERROR(__xludf.DUMMYFUNCTION("""COMPUTED_VALUE"""),"Curitiba")</f>
        <v>Curitiba</v>
      </c>
      <c r="B161" s="15" t="str">
        <f>IFERROR(__xludf.DUMMYFUNCTION("""COMPUTED_VALUE"""),"Curitibano")</f>
        <v>Curitibano</v>
      </c>
      <c r="C161" s="15" t="str">
        <f>IFERROR(__xludf.DUMMYFUNCTION("""COMPUTED_VALUE"""),"Curitibano")</f>
        <v>Curitibano</v>
      </c>
    </row>
    <row r="162">
      <c r="A162" s="15" t="str">
        <f>IFERROR(__xludf.DUMMYFUNCTION("""COMPUTED_VALUE"""),"Daegu")</f>
        <v>Daegu</v>
      </c>
      <c r="B162" s="15" t="str">
        <f>IFERROR(__xludf.DUMMYFUNCTION("""COMPUTED_VALUE"""),"Daegu, Daeguite")</f>
        <v>Daegu, Daeguite</v>
      </c>
      <c r="C162" s="15" t="str">
        <f>IFERROR(__xludf.DUMMYFUNCTION("""COMPUTED_VALUE"""),"Daeguite")</f>
        <v>Daeguite</v>
      </c>
    </row>
    <row r="163">
      <c r="A163" s="15" t="str">
        <f>IFERROR(__xludf.DUMMYFUNCTION("""COMPUTED_VALUE"""),"Dalaman")</f>
        <v>Dalaman</v>
      </c>
      <c r="B163" s="15" t="str">
        <f>IFERROR(__xludf.DUMMYFUNCTION("""COMPUTED_VALUE"""),"Dalamanian")</f>
        <v>Dalamanian</v>
      </c>
      <c r="C163" s="15" t="str">
        <f>IFERROR(__xludf.DUMMYFUNCTION("""COMPUTED_VALUE"""),"Dalamanian")</f>
        <v>Dalamanian</v>
      </c>
    </row>
    <row r="164">
      <c r="A164" s="15" t="str">
        <f>IFERROR(__xludf.DUMMYFUNCTION("""COMPUTED_VALUE"""),"Dallas")</f>
        <v>Dallas</v>
      </c>
      <c r="B164" s="15" t="str">
        <f>IFERROR(__xludf.DUMMYFUNCTION("""COMPUTED_VALUE"""),"Dallasite")</f>
        <v>Dallasite</v>
      </c>
      <c r="C164" s="15" t="str">
        <f>IFERROR(__xludf.DUMMYFUNCTION("""COMPUTED_VALUE"""),"Dallasite")</f>
        <v>Dallasite</v>
      </c>
    </row>
    <row r="165">
      <c r="A165" s="15" t="str">
        <f>IFERROR(__xludf.DUMMYFUNCTION("""COMPUTED_VALUE"""),"Da Lat")</f>
        <v>Da Lat</v>
      </c>
      <c r="B165" s="15" t="str">
        <f>IFERROR(__xludf.DUMMYFUNCTION("""COMPUTED_VALUE"""),"Dalatese")</f>
        <v>Dalatese</v>
      </c>
      <c r="C165" s="15" t="str">
        <f>IFERROR(__xludf.DUMMYFUNCTION("""COMPUTED_VALUE"""),"Dalatese")</f>
        <v>Dalatese</v>
      </c>
    </row>
    <row r="166">
      <c r="A166" s="15" t="str">
        <f>IFERROR(__xludf.DUMMYFUNCTION("""COMPUTED_VALUE"""),"Dakar")</f>
        <v>Dakar</v>
      </c>
      <c r="B166" s="15" t="str">
        <f>IFERROR(__xludf.DUMMYFUNCTION("""COMPUTED_VALUE"""),"Dakarois")</f>
        <v>Dakarois</v>
      </c>
      <c r="C166" s="15" t="str">
        <f>IFERROR(__xludf.DUMMYFUNCTION("""COMPUTED_VALUE"""),"Dakarois")</f>
        <v>Dakarois</v>
      </c>
    </row>
    <row r="167">
      <c r="A167" s="15" t="str">
        <f>IFERROR(__xludf.DUMMYFUNCTION("""COMPUTED_VALUE"""),"Damascus")</f>
        <v>Damascus</v>
      </c>
      <c r="B167" s="15" t="str">
        <f>IFERROR(__xludf.DUMMYFUNCTION("""COMPUTED_VALUE"""),"Damascene")</f>
        <v>Damascene</v>
      </c>
      <c r="C167" s="15" t="str">
        <f>IFERROR(__xludf.DUMMYFUNCTION("""COMPUTED_VALUE"""),"Damascene")</f>
        <v>Damascene</v>
      </c>
    </row>
    <row r="168">
      <c r="A168" s="15" t="str">
        <f>IFERROR(__xludf.DUMMYFUNCTION("""COMPUTED_VALUE"""),"Darwin")</f>
        <v>Darwin</v>
      </c>
      <c r="B168" s="15" t="str">
        <f>IFERROR(__xludf.DUMMYFUNCTION("""COMPUTED_VALUE"""),"Darwinian[e]")</f>
        <v>Darwinian[e]</v>
      </c>
      <c r="C168" s="15" t="str">
        <f>IFERROR(__xludf.DUMMYFUNCTION("""COMPUTED_VALUE"""),"Darwinian[e]")</f>
        <v>Darwinian[e]</v>
      </c>
    </row>
    <row r="169">
      <c r="A169" s="15" t="str">
        <f>IFERROR(__xludf.DUMMYFUNCTION("""COMPUTED_VALUE"""),"Davao")</f>
        <v>Davao</v>
      </c>
      <c r="B169" s="15" t="str">
        <f>IFERROR(__xludf.DUMMYFUNCTION("""COMPUTED_VALUE"""),"Davaoeño")</f>
        <v>Davaoeño</v>
      </c>
      <c r="C169" s="15" t="str">
        <f>IFERROR(__xludf.DUMMYFUNCTION("""COMPUTED_VALUE"""),"Davaoeño")</f>
        <v>Davaoeño</v>
      </c>
    </row>
    <row r="170">
      <c r="A170" s="15" t="str">
        <f>IFERROR(__xludf.DUMMYFUNCTION("""COMPUTED_VALUE"""),"Delhi")</f>
        <v>Delhi</v>
      </c>
      <c r="B170" s="15" t="str">
        <f>IFERROR(__xludf.DUMMYFUNCTION("""COMPUTED_VALUE"""),"Delhiite")</f>
        <v>Delhiite</v>
      </c>
      <c r="C170" s="15" t="str">
        <f>IFERROR(__xludf.DUMMYFUNCTION("""COMPUTED_VALUE"""),"Delhiite")</f>
        <v>Delhiite</v>
      </c>
    </row>
    <row r="171">
      <c r="A171" s="15" t="str">
        <f>IFERROR(__xludf.DUMMYFUNCTION("""COMPUTED_VALUE"""),"Denizli")</f>
        <v>Denizli</v>
      </c>
      <c r="B171" s="15" t="str">
        <f>IFERROR(__xludf.DUMMYFUNCTION("""COMPUTED_VALUE"""),"Denizlian")</f>
        <v>Denizlian</v>
      </c>
      <c r="C171" s="15" t="str">
        <f>IFERROR(__xludf.DUMMYFUNCTION("""COMPUTED_VALUE"""),"Denizlian")</f>
        <v>Denizlian</v>
      </c>
    </row>
    <row r="172">
      <c r="A172" s="15" t="str">
        <f>IFERROR(__xludf.DUMMYFUNCTION("""COMPUTED_VALUE"""),"Denver")</f>
        <v>Denver</v>
      </c>
      <c r="B172" s="15" t="str">
        <f>IFERROR(__xludf.DUMMYFUNCTION("""COMPUTED_VALUE"""),"Denver, Mile High")</f>
        <v>Denver, Mile High</v>
      </c>
      <c r="C172" s="15" t="str">
        <f>IFERROR(__xludf.DUMMYFUNCTION("""COMPUTED_VALUE"""),"Denverite")</f>
        <v>Denverite</v>
      </c>
    </row>
    <row r="173">
      <c r="A173" s="15" t="str">
        <f>IFERROR(__xludf.DUMMYFUNCTION("""COMPUTED_VALUE"""),"Derry")</f>
        <v>Derry</v>
      </c>
      <c r="B173" s="15" t="str">
        <f>IFERROR(__xludf.DUMMYFUNCTION("""COMPUTED_VALUE"""),"Derry")</f>
        <v>Derry</v>
      </c>
      <c r="C173" s="15" t="str">
        <f>IFERROR(__xludf.DUMMYFUNCTION("""COMPUTED_VALUE"""),"Derrian")</f>
        <v>Derrian</v>
      </c>
    </row>
    <row r="174">
      <c r="A174" s="15" t="str">
        <f>IFERROR(__xludf.DUMMYFUNCTION("""COMPUTED_VALUE"""),"Detroit")</f>
        <v>Detroit</v>
      </c>
      <c r="B174" s="15" t="str">
        <f>IFERROR(__xludf.DUMMYFUNCTION("""COMPUTED_VALUE"""),"Detroiter")</f>
        <v>Detroiter</v>
      </c>
      <c r="C174" s="15" t="str">
        <f>IFERROR(__xludf.DUMMYFUNCTION("""COMPUTED_VALUE"""),"Detroiter")</f>
        <v>Detroiter</v>
      </c>
    </row>
    <row r="175">
      <c r="A175" s="15" t="str">
        <f>IFERROR(__xludf.DUMMYFUNCTION("""COMPUTED_VALUE"""),"Devonport")</f>
        <v>Devonport</v>
      </c>
      <c r="B175" s="15" t="str">
        <f>IFERROR(__xludf.DUMMYFUNCTION("""COMPUTED_VALUE"""),"Devonportian")</f>
        <v>Devonportian</v>
      </c>
      <c r="C175" s="15" t="str">
        <f>IFERROR(__xludf.DUMMYFUNCTION("""COMPUTED_VALUE"""),"Devonportian")</f>
        <v>Devonportian</v>
      </c>
    </row>
    <row r="176">
      <c r="A176" s="15" t="str">
        <f>IFERROR(__xludf.DUMMYFUNCTION("""COMPUTED_VALUE"""),"Dhaka")</f>
        <v>Dhaka</v>
      </c>
      <c r="B176" s="15" t="str">
        <f>IFERROR(__xludf.DUMMYFUNCTION("""COMPUTED_VALUE"""),"Dhakai")</f>
        <v>Dhakai</v>
      </c>
      <c r="C176" s="15" t="str">
        <f>IFERROR(__xludf.DUMMYFUNCTION("""COMPUTED_VALUE"""),"Dhakai, Dhakaiya, Dhakaite")</f>
        <v>Dhakai, Dhakaiya, Dhakaite</v>
      </c>
    </row>
    <row r="177">
      <c r="A177" s="15" t="str">
        <f>IFERROR(__xludf.DUMMYFUNCTION("""COMPUTED_VALUE"""),"Diyarbakır")</f>
        <v>Diyarbakır</v>
      </c>
      <c r="B177" s="15" t="str">
        <f>IFERROR(__xludf.DUMMYFUNCTION("""COMPUTED_VALUE"""),"Diyarbakirian")</f>
        <v>Diyarbakirian</v>
      </c>
      <c r="C177" s="15" t="str">
        <f>IFERROR(__xludf.DUMMYFUNCTION("""COMPUTED_VALUE"""),"Diyarbakirian")</f>
        <v>Diyarbakirian</v>
      </c>
    </row>
    <row r="178">
      <c r="A178" s="15" t="str">
        <f>IFERROR(__xludf.DUMMYFUNCTION("""COMPUTED_VALUE"""),"Dresden")</f>
        <v>Dresden</v>
      </c>
      <c r="B178" s="15" t="str">
        <f>IFERROR(__xludf.DUMMYFUNCTION("""COMPUTED_VALUE"""),"Dresdener")</f>
        <v>Dresdener</v>
      </c>
      <c r="C178" s="15" t="str">
        <f>IFERROR(__xludf.DUMMYFUNCTION("""COMPUTED_VALUE"""),"Dresdener")</f>
        <v>Dresdener</v>
      </c>
    </row>
    <row r="179">
      <c r="A179" s="15" t="str">
        <f>IFERROR(__xludf.DUMMYFUNCTION("""COMPUTED_VALUE"""),"Dublin")</f>
        <v>Dublin</v>
      </c>
      <c r="B179" s="15" t="str">
        <f>IFERROR(__xludf.DUMMYFUNCTION("""COMPUTED_VALUE"""),"Dublin")</f>
        <v>Dublin</v>
      </c>
      <c r="C179" s="15" t="str">
        <f>IFERROR(__xludf.DUMMYFUNCTION("""COMPUTED_VALUE"""),"Dubliner, Dub")</f>
        <v>Dubliner, Dub</v>
      </c>
    </row>
    <row r="180">
      <c r="A180" s="15" t="str">
        <f>IFERROR(__xludf.DUMMYFUNCTION("""COMPUTED_VALUE"""),"Dubai")</f>
        <v>Dubai</v>
      </c>
      <c r="B180" s="15" t="str">
        <f>IFERROR(__xludf.DUMMYFUNCTION("""COMPUTED_VALUE"""),"Dubaite")</f>
        <v>Dubaite</v>
      </c>
      <c r="C180" s="15" t="str">
        <f>IFERROR(__xludf.DUMMYFUNCTION("""COMPUTED_VALUE"""),"Dubaite")</f>
        <v>Dubaite</v>
      </c>
    </row>
    <row r="181">
      <c r="A181" s="15" t="str">
        <f>IFERROR(__xludf.DUMMYFUNCTION("""COMPUTED_VALUE"""),"Duluth")</f>
        <v>Duluth</v>
      </c>
      <c r="B181" s="15" t="str">
        <f>IFERROR(__xludf.DUMMYFUNCTION("""COMPUTED_VALUE"""),"Duluthian")</f>
        <v>Duluthian</v>
      </c>
      <c r="C181" s="15" t="str">
        <f>IFERROR(__xludf.DUMMYFUNCTION("""COMPUTED_VALUE"""),"Duluthian")</f>
        <v>Duluthian</v>
      </c>
    </row>
    <row r="182">
      <c r="A182" s="15" t="str">
        <f>IFERROR(__xludf.DUMMYFUNCTION("""COMPUTED_VALUE"""),"Dundee")</f>
        <v>Dundee</v>
      </c>
      <c r="B182" s="15" t="str">
        <f>IFERROR(__xludf.DUMMYFUNCTION("""COMPUTED_VALUE"""),"Dundonian")</f>
        <v>Dundonian</v>
      </c>
      <c r="C182" s="15" t="str">
        <f>IFERROR(__xludf.DUMMYFUNCTION("""COMPUTED_VALUE"""),"Dundonian")</f>
        <v>Dundonian</v>
      </c>
    </row>
    <row r="183">
      <c r="A183" s="15" t="str">
        <f>IFERROR(__xludf.DUMMYFUNCTION("""COMPUTED_VALUE"""),"Dunedin")</f>
        <v>Dunedin</v>
      </c>
      <c r="B183" s="15" t="str">
        <f>IFERROR(__xludf.DUMMYFUNCTION("""COMPUTED_VALUE"""),"Dunedin")</f>
        <v>Dunedin</v>
      </c>
      <c r="C183" s="15" t="str">
        <f>IFERROR(__xludf.DUMMYFUNCTION("""COMPUTED_VALUE"""),"Dunedinite")</f>
        <v>Dunedinite</v>
      </c>
    </row>
    <row r="184">
      <c r="A184" s="15" t="str">
        <f>IFERROR(__xludf.DUMMYFUNCTION("""COMPUTED_VALUE"""),"Durango")</f>
        <v>Durango</v>
      </c>
      <c r="B184" s="15" t="str">
        <f>IFERROR(__xludf.DUMMYFUNCTION("""COMPUTED_VALUE"""),"Durangoan")</f>
        <v>Durangoan</v>
      </c>
      <c r="C184" s="15" t="str">
        <f>IFERROR(__xludf.DUMMYFUNCTION("""COMPUTED_VALUE"""),"Duranguense, Durangoan")</f>
        <v>Duranguense, Durangoan</v>
      </c>
    </row>
    <row r="185">
      <c r="A185" s="15" t="str">
        <f>IFERROR(__xludf.DUMMYFUNCTION("""COMPUTED_VALUE"""),"Durban")</f>
        <v>Durban</v>
      </c>
      <c r="B185" s="15" t="str">
        <f>IFERROR(__xludf.DUMMYFUNCTION("""COMPUTED_VALUE"""),"Durban")</f>
        <v>Durban</v>
      </c>
      <c r="C185" s="15" t="str">
        <f>IFERROR(__xludf.DUMMYFUNCTION("""COMPUTED_VALUE"""),"Durbanite")</f>
        <v>Durbanite</v>
      </c>
    </row>
    <row r="186">
      <c r="A186" s="15" t="str">
        <f>IFERROR(__xludf.DUMMYFUNCTION("""COMPUTED_VALUE"""),"East Troy")</f>
        <v>East Troy</v>
      </c>
      <c r="B186" s="15" t="str">
        <f>IFERROR(__xludf.DUMMYFUNCTION("""COMPUTED_VALUE"""),"East Trojan")</f>
        <v>East Trojan</v>
      </c>
      <c r="C186" s="15" t="str">
        <f>IFERROR(__xludf.DUMMYFUNCTION("""COMPUTED_VALUE"""),"East Trojan")</f>
        <v>East Trojan</v>
      </c>
    </row>
    <row r="187">
      <c r="A187" s="15" t="str">
        <f>IFERROR(__xludf.DUMMYFUNCTION("""COMPUTED_VALUE"""),"Edinburgh")</f>
        <v>Edinburgh</v>
      </c>
      <c r="B187" s="15" t="str">
        <f>IFERROR(__xludf.DUMMYFUNCTION("""COMPUTED_VALUE"""),"Edinburgensian[f][1]")</f>
        <v>Edinburgensian[f][1]</v>
      </c>
      <c r="C187" s="15" t="str">
        <f>IFERROR(__xludf.DUMMYFUNCTION("""COMPUTED_VALUE"""),"Embran, Edinburger[g][2]")</f>
        <v>Embran, Edinburger[g][2]</v>
      </c>
    </row>
    <row r="188">
      <c r="A188" s="15" t="str">
        <f>IFERROR(__xludf.DUMMYFUNCTION("""COMPUTED_VALUE"""),"Edmonton")</f>
        <v>Edmonton</v>
      </c>
      <c r="B188" s="15" t="str">
        <f>IFERROR(__xludf.DUMMYFUNCTION("""COMPUTED_VALUE"""),"Edmontonian")</f>
        <v>Edmontonian</v>
      </c>
      <c r="C188" s="15" t="str">
        <f>IFERROR(__xludf.DUMMYFUNCTION("""COMPUTED_VALUE"""),"Edmontonian")</f>
        <v>Edmontonian</v>
      </c>
    </row>
    <row r="189">
      <c r="A189" s="15" t="str">
        <f>IFERROR(__xludf.DUMMYFUNCTION("""COMPUTED_VALUE"""),"Eilat")</f>
        <v>Eilat</v>
      </c>
      <c r="B189" s="15" t="str">
        <f>IFERROR(__xludf.DUMMYFUNCTION("""COMPUTED_VALUE"""),"Eilatian")</f>
        <v>Eilatian</v>
      </c>
      <c r="C189" s="15" t="str">
        <f>IFERROR(__xludf.DUMMYFUNCTION("""COMPUTED_VALUE"""),"Eilatian")</f>
        <v>Eilatian</v>
      </c>
    </row>
    <row r="190">
      <c r="A190" s="15" t="str">
        <f>IFERROR(__xludf.DUMMYFUNCTION("""COMPUTED_VALUE"""),"El Paso")</f>
        <v>El Paso</v>
      </c>
      <c r="B190" s="15" t="str">
        <f>IFERROR(__xludf.DUMMYFUNCTION("""COMPUTED_VALUE"""),"El Pasoan")</f>
        <v>El Pasoan</v>
      </c>
      <c r="C190" s="15" t="str">
        <f>IFERROR(__xludf.DUMMYFUNCTION("""COMPUTED_VALUE"""),"El Pasoan")</f>
        <v>El Pasoan</v>
      </c>
    </row>
    <row r="191">
      <c r="A191" s="15" t="str">
        <f>IFERROR(__xludf.DUMMYFUNCTION("""COMPUTED_VALUE"""),"Épalinges")</f>
        <v>Épalinges</v>
      </c>
      <c r="B191" s="15" t="str">
        <f>IFERROR(__xludf.DUMMYFUNCTION("""COMPUTED_VALUE"""),"Palinsard")</f>
        <v>Palinsard</v>
      </c>
      <c r="C191" s="15" t="str">
        <f>IFERROR(__xludf.DUMMYFUNCTION("""COMPUTED_VALUE"""),"Palinsard")</f>
        <v>Palinsard</v>
      </c>
    </row>
    <row r="192">
      <c r="A192" s="15" t="str">
        <f>IFERROR(__xludf.DUMMYFUNCTION("""COMPUTED_VALUE"""),"Epidaurus")</f>
        <v>Epidaurus</v>
      </c>
      <c r="B192" s="15" t="str">
        <f>IFERROR(__xludf.DUMMYFUNCTION("""COMPUTED_VALUE"""),"Epidaurian")</f>
        <v>Epidaurian</v>
      </c>
      <c r="C192" s="15" t="str">
        <f>IFERROR(__xludf.DUMMYFUNCTION("""COMPUTED_VALUE"""),"Epidaurian")</f>
        <v>Epidaurian</v>
      </c>
    </row>
    <row r="193">
      <c r="A193" s="15" t="str">
        <f>IFERROR(__xludf.DUMMYFUNCTION("""COMPUTED_VALUE"""),"Erzurum")</f>
        <v>Erzurum</v>
      </c>
      <c r="B193" s="15" t="str">
        <f>IFERROR(__xludf.DUMMYFUNCTION("""COMPUTED_VALUE"""),"Erzurumian")</f>
        <v>Erzurumian</v>
      </c>
      <c r="C193" s="15" t="str">
        <f>IFERROR(__xludf.DUMMYFUNCTION("""COMPUTED_VALUE"""),"Erzurumian")</f>
        <v>Erzurumian</v>
      </c>
    </row>
    <row r="194">
      <c r="A194" s="15" t="str">
        <f>IFERROR(__xludf.DUMMYFUNCTION("""COMPUTED_VALUE"""),"Eskişehir")</f>
        <v>Eskişehir</v>
      </c>
      <c r="B194" s="15" t="str">
        <f>IFERROR(__xludf.DUMMYFUNCTION("""COMPUTED_VALUE"""),"Eskishehirian")</f>
        <v>Eskishehirian</v>
      </c>
      <c r="C194" s="15" t="str">
        <f>IFERROR(__xludf.DUMMYFUNCTION("""COMPUTED_VALUE"""),"Eskishehirian")</f>
        <v>Eskishehirian</v>
      </c>
    </row>
    <row r="195">
      <c r="A195" s="15" t="str">
        <f>IFERROR(__xludf.DUMMYFUNCTION("""COMPUTED_VALUE"""),"Eugene")</f>
        <v>Eugene</v>
      </c>
      <c r="B195" s="15" t="str">
        <f>IFERROR(__xludf.DUMMYFUNCTION("""COMPUTED_VALUE"""),"Eugenean, Eugenian")</f>
        <v>Eugenean, Eugenian</v>
      </c>
      <c r="C195" s="15" t="str">
        <f>IFERROR(__xludf.DUMMYFUNCTION("""COMPUTED_VALUE"""),"Eugenean, Eugenian")</f>
        <v>Eugenean, Eugenian</v>
      </c>
    </row>
    <row r="196">
      <c r="A196" s="15" t="str">
        <f>IFERROR(__xludf.DUMMYFUNCTION("""COMPUTED_VALUE"""),"Everett")</f>
        <v>Everett</v>
      </c>
      <c r="B196" s="15" t="str">
        <f>IFERROR(__xludf.DUMMYFUNCTION("""COMPUTED_VALUE"""),"Everettite")</f>
        <v>Everettite</v>
      </c>
      <c r="C196" s="15" t="str">
        <f>IFERROR(__xludf.DUMMYFUNCTION("""COMPUTED_VALUE"""),"Everettite")</f>
        <v>Everettite</v>
      </c>
    </row>
    <row r="197">
      <c r="A197" s="15" t="str">
        <f>IFERROR(__xludf.DUMMYFUNCTION("""COMPUTED_VALUE"""),"Exeter")</f>
        <v>Exeter</v>
      </c>
      <c r="B197" s="15" t="str">
        <f>IFERROR(__xludf.DUMMYFUNCTION("""COMPUTED_VALUE"""),"Exonian")</f>
        <v>Exonian</v>
      </c>
      <c r="C197" s="15" t="str">
        <f>IFERROR(__xludf.DUMMYFUNCTION("""COMPUTED_VALUE"""),"Exonian")</f>
        <v>Exonian</v>
      </c>
    </row>
    <row r="198">
      <c r="A198" s="15" t="str">
        <f>IFERROR(__xludf.DUMMYFUNCTION("""COMPUTED_VALUE"""),"Famagusta")</f>
        <v>Famagusta</v>
      </c>
      <c r="B198" s="15" t="str">
        <f>IFERROR(__xludf.DUMMYFUNCTION("""COMPUTED_VALUE"""),"Salaminioti")</f>
        <v>Salaminioti</v>
      </c>
      <c r="C198" s="15" t="str">
        <f>IFERROR(__xludf.DUMMYFUNCTION("""COMPUTED_VALUE"""),"Salaminioti")</f>
        <v>Salaminioti</v>
      </c>
    </row>
    <row r="199">
      <c r="A199" s="15" t="str">
        <f>IFERROR(__xludf.DUMMYFUNCTION("""COMPUTED_VALUE"""),"Fargo")</f>
        <v>Fargo</v>
      </c>
      <c r="B199" s="15" t="str">
        <f>IFERROR(__xludf.DUMMYFUNCTION("""COMPUTED_VALUE"""),"Fargoan")</f>
        <v>Fargoan</v>
      </c>
      <c r="C199" s="15" t="str">
        <f>IFERROR(__xludf.DUMMYFUNCTION("""COMPUTED_VALUE"""),"Fargoan")</f>
        <v>Fargoan</v>
      </c>
    </row>
    <row r="200">
      <c r="A200" s="15" t="str">
        <f>IFERROR(__xludf.DUMMYFUNCTION("""COMPUTED_VALUE"""),"Ferrara")</f>
        <v>Ferrara</v>
      </c>
      <c r="B200" s="15" t="str">
        <f>IFERROR(__xludf.DUMMYFUNCTION("""COMPUTED_VALUE"""),"Ferrarese")</f>
        <v>Ferrarese</v>
      </c>
      <c r="C200" s="15" t="str">
        <f>IFERROR(__xludf.DUMMYFUNCTION("""COMPUTED_VALUE"""),"Ferrarese")</f>
        <v>Ferrarese</v>
      </c>
    </row>
    <row r="201">
      <c r="A201" s="15" t="str">
        <f>IFERROR(__xludf.DUMMYFUNCTION("""COMPUTED_VALUE"""),"Fethiye")</f>
        <v>Fethiye</v>
      </c>
      <c r="B201" s="15" t="str">
        <f>IFERROR(__xludf.DUMMYFUNCTION("""COMPUTED_VALUE"""),"Fethiyennese")</f>
        <v>Fethiyennese</v>
      </c>
      <c r="C201" s="15" t="str">
        <f>IFERROR(__xludf.DUMMYFUNCTION("""COMPUTED_VALUE"""),"Fethiyennese")</f>
        <v>Fethiyennese</v>
      </c>
    </row>
    <row r="202">
      <c r="A202" s="15" t="str">
        <f>IFERROR(__xludf.DUMMYFUNCTION("""COMPUTED_VALUE"""),"Filettino")</f>
        <v>Filettino</v>
      </c>
      <c r="B202" s="15" t="str">
        <f>IFERROR(__xludf.DUMMYFUNCTION("""COMPUTED_VALUE"""),"Filettinesi")</f>
        <v>Filettinesi</v>
      </c>
      <c r="C202" s="15" t="str">
        <f>IFERROR(__xludf.DUMMYFUNCTION("""COMPUTED_VALUE"""),"Filettinesi")</f>
        <v>Filettinesi</v>
      </c>
    </row>
    <row r="203">
      <c r="A203" s="15" t="str">
        <f>IFERROR(__xludf.DUMMYFUNCTION("""COMPUTED_VALUE"""),"Finchley")</f>
        <v>Finchley</v>
      </c>
      <c r="B203" s="15" t="str">
        <f>IFERROR(__xludf.DUMMYFUNCTION("""COMPUTED_VALUE"""),"Finchleian")</f>
        <v>Finchleian</v>
      </c>
      <c r="C203" s="15" t="str">
        <f>IFERROR(__xludf.DUMMYFUNCTION("""COMPUTED_VALUE"""),"Finchleian")</f>
        <v>Finchleian</v>
      </c>
    </row>
    <row r="204">
      <c r="A204" s="15" t="str">
        <f>IFERROR(__xludf.DUMMYFUNCTION("""COMPUTED_VALUE"""),"Florence")</f>
        <v>Florence</v>
      </c>
      <c r="B204" s="15" t="str">
        <f>IFERROR(__xludf.DUMMYFUNCTION("""COMPUTED_VALUE"""),"Florentine")</f>
        <v>Florentine</v>
      </c>
      <c r="C204" s="15" t="str">
        <f>IFERROR(__xludf.DUMMYFUNCTION("""COMPUTED_VALUE"""),"Florentine")</f>
        <v>Florentine</v>
      </c>
    </row>
    <row r="205">
      <c r="A205" s="15" t="str">
        <f>IFERROR(__xludf.DUMMYFUNCTION("""COMPUTED_VALUE"""),"Fort Lauderdale")</f>
        <v>Fort Lauderdale</v>
      </c>
      <c r="B205" s="15"/>
      <c r="C205" s="15" t="str">
        <f>IFERROR(__xludf.DUMMYFUNCTION("""COMPUTED_VALUE"""),"Fort Lauderdaler, Fort Lauderdalian")</f>
        <v>Fort Lauderdaler, Fort Lauderdalian</v>
      </c>
    </row>
    <row r="206">
      <c r="A206" s="15" t="str">
        <f>IFERROR(__xludf.DUMMYFUNCTION("""COMPUTED_VALUE"""),"Fort Wayne")</f>
        <v>Fort Wayne</v>
      </c>
      <c r="B206" s="15"/>
      <c r="C206" s="15" t="str">
        <f>IFERROR(__xludf.DUMMYFUNCTION("""COMPUTED_VALUE"""),"Fort Wayner")</f>
        <v>Fort Wayner</v>
      </c>
    </row>
    <row r="207">
      <c r="A207" s="15" t="str">
        <f>IFERROR(__xludf.DUMMYFUNCTION("""COMPUTED_VALUE"""),"Fort Worth")</f>
        <v>Fort Worth</v>
      </c>
      <c r="B207" s="15"/>
      <c r="C207" s="15" t="str">
        <f>IFERROR(__xludf.DUMMYFUNCTION("""COMPUTED_VALUE"""),"Fort Worthian, Fort Worther")</f>
        <v>Fort Worthian, Fort Worther</v>
      </c>
    </row>
    <row r="208">
      <c r="A208" s="15" t="str">
        <f>IFERROR(__xludf.DUMMYFUNCTION("""COMPUTED_VALUE"""),"Foz do Iguaçu")</f>
        <v>Foz do Iguaçu</v>
      </c>
      <c r="B208" s="15" t="str">
        <f>IFERROR(__xludf.DUMMYFUNCTION("""COMPUTED_VALUE"""),"Iguaçuense")</f>
        <v>Iguaçuense</v>
      </c>
      <c r="C208" s="15" t="str">
        <f>IFERROR(__xludf.DUMMYFUNCTION("""COMPUTED_VALUE"""),"Iguaçuense")</f>
        <v>Iguaçuense</v>
      </c>
    </row>
    <row r="209">
      <c r="A209" s="15" t="str">
        <f>IFERROR(__xludf.DUMMYFUNCTION("""COMPUTED_VALUE"""),"Frankfurt")</f>
        <v>Frankfurt</v>
      </c>
      <c r="B209" s="15" t="str">
        <f>IFERROR(__xludf.DUMMYFUNCTION("""COMPUTED_VALUE"""),"Frankfurter")</f>
        <v>Frankfurter</v>
      </c>
      <c r="C209" s="15" t="str">
        <f>IFERROR(__xludf.DUMMYFUNCTION("""COMPUTED_VALUE"""),"Frankfurter")</f>
        <v>Frankfurter</v>
      </c>
    </row>
    <row r="210">
      <c r="A210" s="15" t="str">
        <f>IFERROR(__xludf.DUMMYFUNCTION("""COMPUTED_VALUE"""),"Fredericton")</f>
        <v>Fredericton</v>
      </c>
      <c r="B210" s="15" t="str">
        <f>IFERROR(__xludf.DUMMYFUNCTION("""COMPUTED_VALUE"""),"Frederictonian")</f>
        <v>Frederictonian</v>
      </c>
      <c r="C210" s="15" t="str">
        <f>IFERROR(__xludf.DUMMYFUNCTION("""COMPUTED_VALUE"""),"Frederictonian")</f>
        <v>Frederictonian</v>
      </c>
    </row>
    <row r="211">
      <c r="A211" s="15" t="str">
        <f>IFERROR(__xludf.DUMMYFUNCTION("""COMPUTED_VALUE"""),"Fresno")</f>
        <v>Fresno</v>
      </c>
      <c r="B211" s="15" t="str">
        <f>IFERROR(__xludf.DUMMYFUNCTION("""COMPUTED_VALUE"""),"Fresnan")</f>
        <v>Fresnan</v>
      </c>
      <c r="C211" s="15" t="str">
        <f>IFERROR(__xludf.DUMMYFUNCTION("""COMPUTED_VALUE"""),"Fresnan, Fresnoan, Fresnian")</f>
        <v>Fresnan, Fresnoan, Fresnian</v>
      </c>
    </row>
    <row r="212">
      <c r="A212" s="15" t="str">
        <f>IFERROR(__xludf.DUMMYFUNCTION("""COMPUTED_VALUE"""),"Galway")</f>
        <v>Galway</v>
      </c>
      <c r="B212" s="15" t="str">
        <f>IFERROR(__xludf.DUMMYFUNCTION("""COMPUTED_VALUE"""),"Galway")</f>
        <v>Galway</v>
      </c>
      <c r="C212" s="15" t="str">
        <f>IFERROR(__xludf.DUMMYFUNCTION("""COMPUTED_VALUE"""),"Galwegian")</f>
        <v>Galwegian</v>
      </c>
    </row>
    <row r="213">
      <c r="A213" s="15" t="str">
        <f>IFERROR(__xludf.DUMMYFUNCTION("""COMPUTED_VALUE"""),"Gaza")</f>
        <v>Gaza</v>
      </c>
      <c r="B213" s="15" t="str">
        <f>IFERROR(__xludf.DUMMYFUNCTION("""COMPUTED_VALUE"""),"Gazan")</f>
        <v>Gazan</v>
      </c>
      <c r="C213" s="15" t="str">
        <f>IFERROR(__xludf.DUMMYFUNCTION("""COMPUTED_VALUE"""),"Gazan")</f>
        <v>Gazan</v>
      </c>
    </row>
    <row r="214">
      <c r="A214" s="15" t="str">
        <f>IFERROR(__xludf.DUMMYFUNCTION("""COMPUTED_VALUE"""),"Gaziantep")</f>
        <v>Gaziantep</v>
      </c>
      <c r="B214" s="15" t="str">
        <f>IFERROR(__xludf.DUMMYFUNCTION("""COMPUTED_VALUE"""),"Antepian")</f>
        <v>Antepian</v>
      </c>
      <c r="C214" s="15" t="str">
        <f>IFERROR(__xludf.DUMMYFUNCTION("""COMPUTED_VALUE"""),"Antepian")</f>
        <v>Antepian</v>
      </c>
    </row>
    <row r="215">
      <c r="A215" s="15" t="str">
        <f>IFERROR(__xludf.DUMMYFUNCTION("""COMPUTED_VALUE"""),"Gibraltar")</f>
        <v>Gibraltar</v>
      </c>
      <c r="B215" s="15" t="str">
        <f>IFERROR(__xludf.DUMMYFUNCTION("""COMPUTED_VALUE"""),"Gibraltarian")</f>
        <v>Gibraltarian</v>
      </c>
      <c r="C215" s="15"/>
    </row>
    <row r="216">
      <c r="A216" s="15" t="str">
        <f>IFERROR(__xludf.DUMMYFUNCTION("""COMPUTED_VALUE"""),"Geelong")</f>
        <v>Geelong</v>
      </c>
      <c r="B216" s="15" t="str">
        <f>IFERROR(__xludf.DUMMYFUNCTION("""COMPUTED_VALUE"""),"Geelong")</f>
        <v>Geelong</v>
      </c>
      <c r="C216" s="15" t="str">
        <f>IFERROR(__xludf.DUMMYFUNCTION("""COMPUTED_VALUE"""),"Geelongite, Pivotonian")</f>
        <v>Geelongite, Pivotonian</v>
      </c>
    </row>
    <row r="217">
      <c r="A217" s="15" t="str">
        <f>IFERROR(__xludf.DUMMYFUNCTION("""COMPUTED_VALUE"""),"Geneva")</f>
        <v>Geneva</v>
      </c>
      <c r="B217" s="15" t="str">
        <f>IFERROR(__xludf.DUMMYFUNCTION("""COMPUTED_VALUE"""),"Genevan, Genevese, Genfer")</f>
        <v>Genevan, Genevese, Genfer</v>
      </c>
      <c r="C217" s="15" t="str">
        <f>IFERROR(__xludf.DUMMYFUNCTION("""COMPUTED_VALUE"""),"Genevan, Genevese, Genfer")</f>
        <v>Genevan, Genevese, Genfer</v>
      </c>
    </row>
    <row r="218">
      <c r="A218" s="15" t="str">
        <f>IFERROR(__xludf.DUMMYFUNCTION("""COMPUTED_VALUE"""),"Genoa")</f>
        <v>Genoa</v>
      </c>
      <c r="B218" s="15" t="str">
        <f>IFERROR(__xludf.DUMMYFUNCTION("""COMPUTED_VALUE"""),"Genoese")</f>
        <v>Genoese</v>
      </c>
      <c r="C218" s="15" t="str">
        <f>IFERROR(__xludf.DUMMYFUNCTION("""COMPUTED_VALUE"""),"Genoese")</f>
        <v>Genoese</v>
      </c>
    </row>
    <row r="219">
      <c r="A219" s="15" t="str">
        <f>IFERROR(__xludf.DUMMYFUNCTION("""COMPUTED_VALUE"""),"Germiston")</f>
        <v>Germiston</v>
      </c>
      <c r="B219" s="15" t="str">
        <f>IFERROR(__xludf.DUMMYFUNCTION("""COMPUTED_VALUE"""),"Germistonian")</f>
        <v>Germistonian</v>
      </c>
      <c r="C219" s="15" t="str">
        <f>IFERROR(__xludf.DUMMYFUNCTION("""COMPUTED_VALUE"""),"Germistonian")</f>
        <v>Germistonian</v>
      </c>
    </row>
    <row r="220">
      <c r="A220" s="15" t="str">
        <f>IFERROR(__xludf.DUMMYFUNCTION("""COMPUTED_VALUE"""),"Ghent")</f>
        <v>Ghent</v>
      </c>
      <c r="B220" s="15" t="str">
        <f>IFERROR(__xludf.DUMMYFUNCTION("""COMPUTED_VALUE"""),"Ghentian")</f>
        <v>Ghentian</v>
      </c>
      <c r="C220" s="15" t="str">
        <f>IFERROR(__xludf.DUMMYFUNCTION("""COMPUTED_VALUE"""),"Ghentian")</f>
        <v>Ghentian</v>
      </c>
    </row>
    <row r="221">
      <c r="A221" s="15" t="str">
        <f>IFERROR(__xludf.DUMMYFUNCTION("""COMPUTED_VALUE"""),"Glasgow")</f>
        <v>Glasgow</v>
      </c>
      <c r="B221" s="15" t="str">
        <f>IFERROR(__xludf.DUMMYFUNCTION("""COMPUTED_VALUE"""),"Glaswegian")</f>
        <v>Glaswegian</v>
      </c>
      <c r="C221" s="15" t="str">
        <f>IFERROR(__xludf.DUMMYFUNCTION("""COMPUTED_VALUE"""),"Glaswegian, Weegie[3]")</f>
        <v>Glaswegian, Weegie[3]</v>
      </c>
    </row>
    <row r="222">
      <c r="A222" s="15" t="str">
        <f>IFERROR(__xludf.DUMMYFUNCTION("""COMPUTED_VALUE"""),"Godalming")</f>
        <v>Godalming</v>
      </c>
      <c r="B222" s="15" t="str">
        <f>IFERROR(__xludf.DUMMYFUNCTION("""COMPUTED_VALUE"""),"Godhelmian")</f>
        <v>Godhelmian</v>
      </c>
      <c r="C222" s="15" t="str">
        <f>IFERROR(__xludf.DUMMYFUNCTION("""COMPUTED_VALUE"""),"Godhelmian, Godalminger")</f>
        <v>Godhelmian, Godalminger</v>
      </c>
    </row>
    <row r="223">
      <c r="A223" s="15" t="str">
        <f>IFERROR(__xludf.DUMMYFUNCTION("""COMPUTED_VALUE"""),"Gold Coast")</f>
        <v>Gold Coast</v>
      </c>
      <c r="B223" s="15" t="str">
        <f>IFERROR(__xludf.DUMMYFUNCTION("""COMPUTED_VALUE"""),"Gold Coast")</f>
        <v>Gold Coast</v>
      </c>
      <c r="C223" s="15" t="str">
        <f>IFERROR(__xludf.DUMMYFUNCTION("""COMPUTED_VALUE"""),"Gold Coaster")</f>
        <v>Gold Coaster</v>
      </c>
    </row>
    <row r="224">
      <c r="A224" s="15" t="str">
        <f>IFERROR(__xludf.DUMMYFUNCTION("""COMPUTED_VALUE"""),"Gosford")</f>
        <v>Gosford</v>
      </c>
      <c r="B224" s="15" t="str">
        <f>IFERROR(__xludf.DUMMYFUNCTION("""COMPUTED_VALUE"""),"Gosford")</f>
        <v>Gosford</v>
      </c>
      <c r="C224" s="15" t="str">
        <f>IFERROR(__xludf.DUMMYFUNCTION("""COMPUTED_VALUE"""),"Gosfordian")</f>
        <v>Gosfordian</v>
      </c>
    </row>
    <row r="225">
      <c r="A225" s="15" t="str">
        <f>IFERROR(__xludf.DUMMYFUNCTION("""COMPUTED_VALUE"""),"Gothenburg")</f>
        <v>Gothenburg</v>
      </c>
      <c r="B225" s="15" t="str">
        <f>IFERROR(__xludf.DUMMYFUNCTION("""COMPUTED_VALUE"""),"Gothenburger")</f>
        <v>Gothenburger</v>
      </c>
      <c r="C225" s="15" t="str">
        <f>IFERROR(__xludf.DUMMYFUNCTION("""COMPUTED_VALUE"""),"Gothenburger")</f>
        <v>Gothenburger</v>
      </c>
    </row>
    <row r="226">
      <c r="A226" s="15" t="str">
        <f>IFERROR(__xludf.DUMMYFUNCTION("""COMPUTED_VALUE"""),"Granada")</f>
        <v>Granada</v>
      </c>
      <c r="B226" s="15" t="str">
        <f>IFERROR(__xludf.DUMMYFUNCTION("""COMPUTED_VALUE"""),"Granadino, Granadí, Iliberitano")</f>
        <v>Granadino, Granadí, Iliberitano</v>
      </c>
      <c r="C226" s="15" t="str">
        <f>IFERROR(__xludf.DUMMYFUNCTION("""COMPUTED_VALUE"""),"Granadino, Iliberitano")</f>
        <v>Granadino, Iliberitano</v>
      </c>
    </row>
    <row r="227">
      <c r="A227" s="15" t="str">
        <f>IFERROR(__xludf.DUMMYFUNCTION("""COMPUTED_VALUE"""),"Grand Rapids")</f>
        <v>Grand Rapids</v>
      </c>
      <c r="B227" s="15" t="str">
        <f>IFERROR(__xludf.DUMMYFUNCTION("""COMPUTED_VALUE"""),"Grand Rapidian")</f>
        <v>Grand Rapidian</v>
      </c>
      <c r="C227" s="15" t="str">
        <f>IFERROR(__xludf.DUMMYFUNCTION("""COMPUTED_VALUE"""),"Grand Rapidian")</f>
        <v>Grand Rapidian</v>
      </c>
    </row>
    <row r="228">
      <c r="A228" s="15" t="str">
        <f>IFERROR(__xludf.DUMMYFUNCTION("""COMPUTED_VALUE"""),"Graz")</f>
        <v>Graz</v>
      </c>
      <c r="B228" s="15" t="str">
        <f>IFERROR(__xludf.DUMMYFUNCTION("""COMPUTED_VALUE"""),"Grazer")</f>
        <v>Grazer</v>
      </c>
      <c r="C228" s="15" t="str">
        <f>IFERROR(__xludf.DUMMYFUNCTION("""COMPUTED_VALUE"""),"Grazer")</f>
        <v>Grazer</v>
      </c>
    </row>
    <row r="229">
      <c r="A229" s="15" t="str">
        <f>IFERROR(__xludf.DUMMYFUNCTION("""COMPUTED_VALUE"""),"Grenoble")</f>
        <v>Grenoble</v>
      </c>
      <c r="B229" s="15" t="str">
        <f>IFERROR(__xludf.DUMMYFUNCTION("""COMPUTED_VALUE"""),"Grenoblois")</f>
        <v>Grenoblois</v>
      </c>
      <c r="C229" s="15" t="str">
        <f>IFERROR(__xludf.DUMMYFUNCTION("""COMPUTED_VALUE"""),"Grenoblois")</f>
        <v>Grenoblois</v>
      </c>
    </row>
    <row r="230">
      <c r="A230" s="15" t="str">
        <f>IFERROR(__xludf.DUMMYFUNCTION("""COMPUTED_VALUE"""),"Guadalajara")</f>
        <v>Guadalajara</v>
      </c>
      <c r="B230" s="15" t="str">
        <f>IFERROR(__xludf.DUMMYFUNCTION("""COMPUTED_VALUE"""),"Tapatío")</f>
        <v>Tapatío</v>
      </c>
      <c r="C230" s="15" t="str">
        <f>IFERROR(__xludf.DUMMYFUNCTION("""COMPUTED_VALUE"""),"Tapatío")</f>
        <v>Tapatío</v>
      </c>
    </row>
    <row r="231">
      <c r="A231" s="15" t="str">
        <f>IFERROR(__xludf.DUMMYFUNCTION("""COMPUTED_VALUE"""),"Guangzhou (Canton)")</f>
        <v>Guangzhou (Canton)</v>
      </c>
      <c r="B231" s="15" t="str">
        <f>IFERROR(__xludf.DUMMYFUNCTION("""COMPUTED_VALUE"""),"Cantonese")</f>
        <v>Cantonese</v>
      </c>
      <c r="C231" s="15" t="str">
        <f>IFERROR(__xludf.DUMMYFUNCTION("""COMPUTED_VALUE"""),"Cantonese")</f>
        <v>Cantonese</v>
      </c>
    </row>
    <row r="232">
      <c r="A232" s="15" t="str">
        <f>IFERROR(__xludf.DUMMYFUNCTION("""COMPUTED_VALUE"""),"Guayaquil")</f>
        <v>Guayaquil</v>
      </c>
      <c r="B232" s="15" t="str">
        <f>IFERROR(__xludf.DUMMYFUNCTION("""COMPUTED_VALUE"""),"Guayaquilean")</f>
        <v>Guayaquilean</v>
      </c>
      <c r="C232" s="15" t="str">
        <f>IFERROR(__xludf.DUMMYFUNCTION("""COMPUTED_VALUE"""),"Guayaquilean")</f>
        <v>Guayaquilean</v>
      </c>
    </row>
    <row r="233">
      <c r="A233" s="15" t="str">
        <f>IFERROR(__xludf.DUMMYFUNCTION("""COMPUTED_VALUE"""),"Guelph")</f>
        <v>Guelph</v>
      </c>
      <c r="B233" s="15" t="str">
        <f>IFERROR(__xludf.DUMMYFUNCTION("""COMPUTED_VALUE"""),"Guelphite")</f>
        <v>Guelphite</v>
      </c>
      <c r="C233" s="15" t="str">
        <f>IFERROR(__xludf.DUMMYFUNCTION("""COMPUTED_VALUE"""),"Guelphite[4]")</f>
        <v>Guelphite[4]</v>
      </c>
    </row>
    <row r="234">
      <c r="A234" s="15" t="str">
        <f>IFERROR(__xludf.DUMMYFUNCTION("""COMPUTED_VALUE"""),"Gumi")</f>
        <v>Gumi</v>
      </c>
      <c r="B234" s="15" t="str">
        <f>IFERROR(__xludf.DUMMYFUNCTION("""COMPUTED_VALUE"""),"Gumi, Gumite")</f>
        <v>Gumi, Gumite</v>
      </c>
      <c r="C234" s="15" t="str">
        <f>IFERROR(__xludf.DUMMYFUNCTION("""COMPUTED_VALUE"""),"Gumite")</f>
        <v>Gumite</v>
      </c>
    </row>
    <row r="235">
      <c r="A235" s="15" t="str">
        <f>IFERROR(__xludf.DUMMYFUNCTION("""COMPUTED_VALUE"""),"Gwangju")</f>
        <v>Gwangju</v>
      </c>
      <c r="B235" s="15" t="str">
        <f>IFERROR(__xludf.DUMMYFUNCTION("""COMPUTED_VALUE"""),"Gwangju, Gwangjuite")</f>
        <v>Gwangju, Gwangjuite</v>
      </c>
      <c r="C235" s="15" t="str">
        <f>IFERROR(__xludf.DUMMYFUNCTION("""COMPUTED_VALUE"""),"Gwangjuite")</f>
        <v>Gwangjuite</v>
      </c>
    </row>
    <row r="236">
      <c r="A236" s="15" t="str">
        <f>IFERROR(__xludf.DUMMYFUNCTION("""COMPUTED_VALUE"""),"Gyeongju")</f>
        <v>Gyeongju</v>
      </c>
      <c r="B236" s="15" t="str">
        <f>IFERROR(__xludf.DUMMYFUNCTION("""COMPUTED_VALUE"""),"Gyeongju, Gyeongjuite")</f>
        <v>Gyeongju, Gyeongjuite</v>
      </c>
      <c r="C236" s="15" t="str">
        <f>IFERROR(__xludf.DUMMYFUNCTION("""COMPUTED_VALUE"""),"Gyeongjuite")</f>
        <v>Gyeongjuite</v>
      </c>
    </row>
    <row r="237">
      <c r="A237" s="15" t="str">
        <f>IFERROR(__xludf.DUMMYFUNCTION("""COMPUTED_VALUE"""),"The Hague")</f>
        <v>The Hague</v>
      </c>
      <c r="B237" s="15" t="str">
        <f>IFERROR(__xludf.DUMMYFUNCTION("""COMPUTED_VALUE"""),"Haguer")</f>
        <v>Haguer</v>
      </c>
      <c r="C237" s="15" t="str">
        <f>IFERROR(__xludf.DUMMYFUNCTION("""COMPUTED_VALUE"""),"Haguer")</f>
        <v>Haguer</v>
      </c>
    </row>
    <row r="238">
      <c r="A238" s="15" t="str">
        <f>IFERROR(__xludf.DUMMYFUNCTION("""COMPUTED_VALUE"""),"Haifa")</f>
        <v>Haifa</v>
      </c>
      <c r="B238" s="15" t="str">
        <f>IFERROR(__xludf.DUMMYFUNCTION("""COMPUTED_VALUE"""),"Haifan")</f>
        <v>Haifan</v>
      </c>
      <c r="C238" s="15" t="str">
        <f>IFERROR(__xludf.DUMMYFUNCTION("""COMPUTED_VALUE"""),"Haifan")</f>
        <v>Haifan</v>
      </c>
    </row>
    <row r="239">
      <c r="A239" s="15" t="str">
        <f>IFERROR(__xludf.DUMMYFUNCTION("""COMPUTED_VALUE"""),"Halifax")</f>
        <v>Halifax</v>
      </c>
      <c r="B239" s="15" t="str">
        <f>IFERROR(__xludf.DUMMYFUNCTION("""COMPUTED_VALUE"""),"Haligonian")</f>
        <v>Haligonian</v>
      </c>
      <c r="C239" s="15" t="str">
        <f>IFERROR(__xludf.DUMMYFUNCTION("""COMPUTED_VALUE"""),"Haligonian")</f>
        <v>Haligonian</v>
      </c>
    </row>
    <row r="240">
      <c r="A240" s="15" t="str">
        <f>IFERROR(__xludf.DUMMYFUNCTION("""COMPUTED_VALUE"""),"Hamburg")</f>
        <v>Hamburg</v>
      </c>
      <c r="B240" s="15" t="str">
        <f>IFERROR(__xludf.DUMMYFUNCTION("""COMPUTED_VALUE"""),"Hamburgian")</f>
        <v>Hamburgian</v>
      </c>
      <c r="C240" s="15" t="str">
        <f>IFERROR(__xludf.DUMMYFUNCTION("""COMPUTED_VALUE"""),"Hamburger")</f>
        <v>Hamburger</v>
      </c>
    </row>
    <row r="241">
      <c r="A241" s="15" t="str">
        <f>IFERROR(__xludf.DUMMYFUNCTION("""COMPUTED_VALUE"""),"Hamilton (Canada)")</f>
        <v>Hamilton (Canada)</v>
      </c>
      <c r="B241" s="15" t="str">
        <f>IFERROR(__xludf.DUMMYFUNCTION("""COMPUTED_VALUE"""),"Hamiltonian")</f>
        <v>Hamiltonian</v>
      </c>
      <c r="C241" s="15" t="str">
        <f>IFERROR(__xludf.DUMMYFUNCTION("""COMPUTED_VALUE"""),"Hamiltonian")</f>
        <v>Hamiltonian</v>
      </c>
    </row>
    <row r="242">
      <c r="A242" s="15" t="str">
        <f>IFERROR(__xludf.DUMMYFUNCTION("""COMPUTED_VALUE"""),"Hamilton (New Zealand)")</f>
        <v>Hamilton (New Zealand)</v>
      </c>
      <c r="B242" s="15" t="str">
        <f>IFERROR(__xludf.DUMMYFUNCTION("""COMPUTED_VALUE"""),"Hamiltonian")</f>
        <v>Hamiltonian</v>
      </c>
      <c r="C242" s="15" t="str">
        <f>IFERROR(__xludf.DUMMYFUNCTION("""COMPUTED_VALUE"""),"Hamiltonian")</f>
        <v>Hamiltonian</v>
      </c>
    </row>
    <row r="243">
      <c r="A243" s="15" t="str">
        <f>IFERROR(__xludf.DUMMYFUNCTION("""COMPUTED_VALUE"""),"Hanoi")</f>
        <v>Hanoi</v>
      </c>
      <c r="B243" s="15" t="str">
        <f>IFERROR(__xludf.DUMMYFUNCTION("""COMPUTED_VALUE"""),"Hanoian")</f>
        <v>Hanoian</v>
      </c>
      <c r="C243" s="15" t="str">
        <f>IFERROR(__xludf.DUMMYFUNCTION("""COMPUTED_VALUE"""),"Hanoian")</f>
        <v>Hanoian</v>
      </c>
    </row>
    <row r="244">
      <c r="A244" s="15" t="str">
        <f>IFERROR(__xludf.DUMMYFUNCTION("""COMPUTED_VALUE"""),"Hanover")</f>
        <v>Hanover</v>
      </c>
      <c r="B244" s="15" t="str">
        <f>IFERROR(__xludf.DUMMYFUNCTION("""COMPUTED_VALUE"""),"Hanoverian")</f>
        <v>Hanoverian</v>
      </c>
      <c r="C244" s="15" t="str">
        <f>IFERROR(__xludf.DUMMYFUNCTION("""COMPUTED_VALUE"""),"Hanoverian")</f>
        <v>Hanoverian</v>
      </c>
    </row>
    <row r="245">
      <c r="A245" s="15" t="str">
        <f>IFERROR(__xludf.DUMMYFUNCTION("""COMPUTED_VALUE"""),"Harbin")</f>
        <v>Harbin</v>
      </c>
      <c r="B245" s="15" t="str">
        <f>IFERROR(__xludf.DUMMYFUNCTION("""COMPUTED_VALUE"""),"Harbinite")</f>
        <v>Harbinite</v>
      </c>
      <c r="C245" s="15" t="str">
        <f>IFERROR(__xludf.DUMMYFUNCTION("""COMPUTED_VALUE"""),"Harbinite")</f>
        <v>Harbinite</v>
      </c>
    </row>
    <row r="246">
      <c r="A246" s="15" t="str">
        <f>IFERROR(__xludf.DUMMYFUNCTION("""COMPUTED_VALUE"""),"Harrisburg")</f>
        <v>Harrisburg</v>
      </c>
      <c r="B246" s="15" t="str">
        <f>IFERROR(__xludf.DUMMYFUNCTION("""COMPUTED_VALUE"""),"Harrisburger")</f>
        <v>Harrisburger</v>
      </c>
      <c r="C246" s="15" t="str">
        <f>IFERROR(__xludf.DUMMYFUNCTION("""COMPUTED_VALUE"""),"Harrisburger")</f>
        <v>Harrisburger</v>
      </c>
    </row>
    <row r="247">
      <c r="A247" s="15" t="str">
        <f>IFERROR(__xludf.DUMMYFUNCTION("""COMPUTED_VALUE"""),"Hartlepool")</f>
        <v>Hartlepool</v>
      </c>
      <c r="B247" s="15" t="str">
        <f>IFERROR(__xludf.DUMMYFUNCTION("""COMPUTED_VALUE"""),"Hartlepudlian")</f>
        <v>Hartlepudlian</v>
      </c>
      <c r="C247" s="15" t="str">
        <f>IFERROR(__xludf.DUMMYFUNCTION("""COMPUTED_VALUE"""),"Hartlepudlian, Monkey hanger")</f>
        <v>Hartlepudlian, Monkey hanger</v>
      </c>
    </row>
    <row r="248">
      <c r="A248" s="15" t="str">
        <f>IFERROR(__xludf.DUMMYFUNCTION("""COMPUTED_VALUE"""),"Hastings")</f>
        <v>Hastings</v>
      </c>
      <c r="B248" s="15" t="str">
        <f>IFERROR(__xludf.DUMMYFUNCTION("""COMPUTED_VALUE"""),"Hastingite")</f>
        <v>Hastingite</v>
      </c>
      <c r="C248" s="15" t="str">
        <f>IFERROR(__xludf.DUMMYFUNCTION("""COMPUTED_VALUE"""),"Hastingite")</f>
        <v>Hastingite</v>
      </c>
    </row>
    <row r="249">
      <c r="A249" s="15" t="str">
        <f>IFERROR(__xludf.DUMMYFUNCTION("""COMPUTED_VALUE"""),"Hastings")</f>
        <v>Hastings</v>
      </c>
      <c r="B249" s="15" t="str">
        <f>IFERROR(__xludf.DUMMYFUNCTION("""COMPUTED_VALUE"""),"Hastinger")</f>
        <v>Hastinger</v>
      </c>
      <c r="C249" s="15" t="str">
        <f>IFERROR(__xludf.DUMMYFUNCTION("""COMPUTED_VALUE"""),"Hastinger")</f>
        <v>Hastinger</v>
      </c>
    </row>
    <row r="250">
      <c r="A250" s="15" t="str">
        <f>IFERROR(__xludf.DUMMYFUNCTION("""COMPUTED_VALUE"""),"Hatay")</f>
        <v>Hatay</v>
      </c>
      <c r="B250" s="15" t="str">
        <f>IFERROR(__xludf.DUMMYFUNCTION("""COMPUTED_VALUE"""),"Hatayan (see also, Antakya)")</f>
        <v>Hatayan (see also, Antakya)</v>
      </c>
      <c r="C250" s="15" t="str">
        <f>IFERROR(__xludf.DUMMYFUNCTION("""COMPUTED_VALUE"""),"Hatayan (see also, Antakya)")</f>
        <v>Hatayan (see also, Antakya)</v>
      </c>
    </row>
    <row r="251">
      <c r="A251" s="15" t="str">
        <f>IFERROR(__xludf.DUMMYFUNCTION("""COMPUTED_VALUE"""),"Havana")</f>
        <v>Havana</v>
      </c>
      <c r="B251" s="15" t="str">
        <f>IFERROR(__xludf.DUMMYFUNCTION("""COMPUTED_VALUE"""),"Havanan; Habanero (m), Habanera (f)")</f>
        <v>Havanan; Habanero (m), Habanera (f)</v>
      </c>
      <c r="C251" s="15" t="str">
        <f>IFERROR(__xludf.DUMMYFUNCTION("""COMPUTED_VALUE"""),"Havanan; Habanero (m), Habanera (f)")</f>
        <v>Havanan; Habanero (m), Habanera (f)</v>
      </c>
    </row>
    <row r="252">
      <c r="A252" s="15" t="str">
        <f>IFERROR(__xludf.DUMMYFUNCTION("""COMPUTED_VALUE"""),"Helsinki")</f>
        <v>Helsinki</v>
      </c>
      <c r="B252" s="15" t="str">
        <f>IFERROR(__xludf.DUMMYFUNCTION("""COMPUTED_VALUE"""),"Helsinkian")</f>
        <v>Helsinkian</v>
      </c>
      <c r="C252" s="15" t="str">
        <f>IFERROR(__xludf.DUMMYFUNCTION("""COMPUTED_VALUE"""),"Helsinkian")</f>
        <v>Helsinkian</v>
      </c>
    </row>
    <row r="253">
      <c r="A253" s="15" t="str">
        <f>IFERROR(__xludf.DUMMYFUNCTION("""COMPUTED_VALUE"""),"Ho Chi Minh City")</f>
        <v>Ho Chi Minh City</v>
      </c>
      <c r="B253" s="15" t="str">
        <f>IFERROR(__xludf.DUMMYFUNCTION("""COMPUTED_VALUE"""),"Saigonese")</f>
        <v>Saigonese</v>
      </c>
      <c r="C253" s="15" t="str">
        <f>IFERROR(__xludf.DUMMYFUNCTION("""COMPUTED_VALUE"""),"Saigoner")</f>
        <v>Saigoner</v>
      </c>
    </row>
    <row r="254">
      <c r="A254" s="15" t="str">
        <f>IFERROR(__xludf.DUMMYFUNCTION("""COMPUTED_VALUE"""),"Hobart")</f>
        <v>Hobart</v>
      </c>
      <c r="B254" s="15" t="str">
        <f>IFERROR(__xludf.DUMMYFUNCTION("""COMPUTED_VALUE"""),"Hobartian")</f>
        <v>Hobartian</v>
      </c>
      <c r="C254" s="15" t="str">
        <f>IFERROR(__xludf.DUMMYFUNCTION("""COMPUTED_VALUE"""),"Hobartian")</f>
        <v>Hobartian</v>
      </c>
    </row>
    <row r="255">
      <c r="A255" s="15" t="str">
        <f>IFERROR(__xludf.DUMMYFUNCTION("""COMPUTED_VALUE"""),"Holon")</f>
        <v>Holon</v>
      </c>
      <c r="B255" s="15" t="str">
        <f>IFERROR(__xludf.DUMMYFUNCTION("""COMPUTED_VALUE"""),"Holonian")</f>
        <v>Holonian</v>
      </c>
      <c r="C255" s="15" t="str">
        <f>IFERROR(__xludf.DUMMYFUNCTION("""COMPUTED_VALUE"""),"Holonian")</f>
        <v>Holonian</v>
      </c>
    </row>
    <row r="256">
      <c r="A256" s="15" t="str">
        <f>IFERROR(__xludf.DUMMYFUNCTION("""COMPUTED_VALUE"""),"Hong Kong")</f>
        <v>Hong Kong</v>
      </c>
      <c r="B256" s="15" t="str">
        <f>IFERROR(__xludf.DUMMYFUNCTION("""COMPUTED_VALUE"""),"Hong Kong, Hongkongish, Hongkongese")</f>
        <v>Hong Kong, Hongkongish, Hongkongese</v>
      </c>
      <c r="C256" s="15" t="str">
        <f>IFERROR(__xludf.DUMMYFUNCTION("""COMPUTED_VALUE"""),"Hongkonger, Hongkongish, Honger, Hongkongese, Honkey")</f>
        <v>Hongkonger, Hongkongish, Honger, Hongkongese, Honkey</v>
      </c>
    </row>
    <row r="257">
      <c r="A257" s="15" t="str">
        <f>IFERROR(__xludf.DUMMYFUNCTION("""COMPUTED_VALUE"""),"Honolulu")</f>
        <v>Honolulu</v>
      </c>
      <c r="B257" s="15" t="str">
        <f>IFERROR(__xludf.DUMMYFUNCTION("""COMPUTED_VALUE"""),"Honolulan")</f>
        <v>Honolulan</v>
      </c>
      <c r="C257" s="15" t="str">
        <f>IFERROR(__xludf.DUMMYFUNCTION("""COMPUTED_VALUE"""),"Honolulan")</f>
        <v>Honolulan</v>
      </c>
    </row>
    <row r="258">
      <c r="A258" s="15" t="str">
        <f>IFERROR(__xludf.DUMMYFUNCTION("""COMPUTED_VALUE"""),"Houston")</f>
        <v>Houston</v>
      </c>
      <c r="B258" s="15" t="str">
        <f>IFERROR(__xludf.DUMMYFUNCTION("""COMPUTED_VALUE"""),"Houstonian")</f>
        <v>Houstonian</v>
      </c>
      <c r="C258" s="15" t="str">
        <f>IFERROR(__xludf.DUMMYFUNCTION("""COMPUTED_VALUE"""),"Houstonian, Houstonite")</f>
        <v>Houstonian, Houstonite</v>
      </c>
    </row>
    <row r="259">
      <c r="A259" s="15" t="str">
        <f>IFERROR(__xludf.DUMMYFUNCTION("""COMPUTED_VALUE"""),"Huelva")</f>
        <v>Huelva</v>
      </c>
      <c r="B259" s="15" t="str">
        <f>IFERROR(__xludf.DUMMYFUNCTION("""COMPUTED_VALUE"""),"Onubense, Huelveño")</f>
        <v>Onubense, Huelveño</v>
      </c>
      <c r="C259" s="15" t="str">
        <f>IFERROR(__xludf.DUMMYFUNCTION("""COMPUTED_VALUE"""),"Onubense, Huelveño")</f>
        <v>Onubense, Huelveño</v>
      </c>
    </row>
    <row r="260">
      <c r="A260" s="15" t="str">
        <f>IFERROR(__xludf.DUMMYFUNCTION("""COMPUTED_VALUE"""),"Hyderabad")</f>
        <v>Hyderabad</v>
      </c>
      <c r="B260" s="15" t="str">
        <f>IFERROR(__xludf.DUMMYFUNCTION("""COMPUTED_VALUE"""),"Hyderabadi")</f>
        <v>Hyderabadi</v>
      </c>
      <c r="C260" s="15" t="str">
        <f>IFERROR(__xludf.DUMMYFUNCTION("""COMPUTED_VALUE"""),"Hyderabadi")</f>
        <v>Hyderabadi</v>
      </c>
    </row>
    <row r="261">
      <c r="A261" s="15" t="str">
        <f>IFERROR(__xludf.DUMMYFUNCTION("""COMPUTED_VALUE"""),"Iloilo")</f>
        <v>Iloilo</v>
      </c>
      <c r="B261" s="15" t="str">
        <f>IFERROR(__xludf.DUMMYFUNCTION("""COMPUTED_VALUE"""),"Ilonggo")</f>
        <v>Ilonggo</v>
      </c>
      <c r="C261" s="15" t="str">
        <f>IFERROR(__xludf.DUMMYFUNCTION("""COMPUTED_VALUE"""),"Ilonggo")</f>
        <v>Ilonggo</v>
      </c>
    </row>
    <row r="262">
      <c r="A262" s="15" t="str">
        <f>IFERROR(__xludf.DUMMYFUNCTION("""COMPUTED_VALUE"""),"Incheon")</f>
        <v>Incheon</v>
      </c>
      <c r="B262" s="15" t="str">
        <f>IFERROR(__xludf.DUMMYFUNCTION("""COMPUTED_VALUE"""),"Incheon, Incheoner")</f>
        <v>Incheon, Incheoner</v>
      </c>
      <c r="C262" s="15" t="str">
        <f>IFERROR(__xludf.DUMMYFUNCTION("""COMPUTED_VALUE"""),"Incheoner")</f>
        <v>Incheoner</v>
      </c>
    </row>
    <row r="263">
      <c r="A263" s="15" t="str">
        <f>IFERROR(__xludf.DUMMYFUNCTION("""COMPUTED_VALUE"""),"Indianapolis")</f>
        <v>Indianapolis</v>
      </c>
      <c r="B263" s="15" t="str">
        <f>IFERROR(__xludf.DUMMYFUNCTION("""COMPUTED_VALUE"""),"Hoosier")</f>
        <v>Hoosier</v>
      </c>
      <c r="C263" s="15" t="str">
        <f>IFERROR(__xludf.DUMMYFUNCTION("""COMPUTED_VALUE"""),"Hoosier, Indianapolitan")</f>
        <v>Hoosier, Indianapolitan</v>
      </c>
    </row>
    <row r="264">
      <c r="A264" s="15" t="str">
        <f>IFERROR(__xludf.DUMMYFUNCTION("""COMPUTED_VALUE"""),"Invercargill")</f>
        <v>Invercargill</v>
      </c>
      <c r="B264" s="15" t="str">
        <f>IFERROR(__xludf.DUMMYFUNCTION("""COMPUTED_VALUE"""),"Invercargill")</f>
        <v>Invercargill</v>
      </c>
      <c r="C264" s="15" t="str">
        <f>IFERROR(__xludf.DUMMYFUNCTION("""COMPUTED_VALUE"""),"Invercargillite, Invercargillonian")</f>
        <v>Invercargillite, Invercargillonian</v>
      </c>
    </row>
    <row r="265">
      <c r="A265" s="15" t="str">
        <f>IFERROR(__xludf.DUMMYFUNCTION("""COMPUTED_VALUE"""),"Inverness")</f>
        <v>Inverness</v>
      </c>
      <c r="B265" s="15" t="str">
        <f>IFERROR(__xludf.DUMMYFUNCTION("""COMPUTED_VALUE"""),"Invernessian")</f>
        <v>Invernessian</v>
      </c>
      <c r="C265" s="15" t="str">
        <f>IFERROR(__xludf.DUMMYFUNCTION("""COMPUTED_VALUE"""),"Invernessian")</f>
        <v>Invernessian</v>
      </c>
    </row>
    <row r="266">
      <c r="A266" s="15" t="str">
        <f>IFERROR(__xludf.DUMMYFUNCTION("""COMPUTED_VALUE"""),"Ipoh")</f>
        <v>Ipoh</v>
      </c>
      <c r="B266" s="15" t="str">
        <f>IFERROR(__xludf.DUMMYFUNCTION("""COMPUTED_VALUE"""),"Ipohian")</f>
        <v>Ipohian</v>
      </c>
      <c r="C266" s="15" t="str">
        <f>IFERROR(__xludf.DUMMYFUNCTION("""COMPUTED_VALUE"""),"Ipohian")</f>
        <v>Ipohian</v>
      </c>
    </row>
    <row r="267">
      <c r="A267" s="15" t="str">
        <f>IFERROR(__xludf.DUMMYFUNCTION("""COMPUTED_VALUE"""),"Iqaluit")</f>
        <v>Iqaluit</v>
      </c>
      <c r="B267" s="15"/>
      <c r="C267" s="15" t="str">
        <f>IFERROR(__xludf.DUMMYFUNCTION("""COMPUTED_VALUE"""),"Iqalummiuq, Iqalummiut")</f>
        <v>Iqalummiuq, Iqalummiut</v>
      </c>
    </row>
    <row r="268">
      <c r="A268" s="15" t="str">
        <f>IFERROR(__xludf.DUMMYFUNCTION("""COMPUTED_VALUE"""),"Iriga")</f>
        <v>Iriga</v>
      </c>
      <c r="B268" s="15" t="str">
        <f>IFERROR(__xludf.DUMMYFUNCTION("""COMPUTED_VALUE"""),"Irigueño")</f>
        <v>Irigueño</v>
      </c>
      <c r="C268" s="15" t="str">
        <f>IFERROR(__xludf.DUMMYFUNCTION("""COMPUTED_VALUE"""),"Irigueño")</f>
        <v>Irigueño</v>
      </c>
    </row>
    <row r="269">
      <c r="A269" s="15" t="str">
        <f>IFERROR(__xludf.DUMMYFUNCTION("""COMPUTED_VALUE"""),"Islamabad")</f>
        <v>Islamabad</v>
      </c>
      <c r="B269" s="15" t="str">
        <f>IFERROR(__xludf.DUMMYFUNCTION("""COMPUTED_VALUE"""),"Islamabadi")</f>
        <v>Islamabadi</v>
      </c>
      <c r="C269" s="15" t="str">
        <f>IFERROR(__xludf.DUMMYFUNCTION("""COMPUTED_VALUE"""),"Islamabadian")</f>
        <v>Islamabadian</v>
      </c>
    </row>
    <row r="270">
      <c r="A270" s="15" t="str">
        <f>IFERROR(__xludf.DUMMYFUNCTION("""COMPUTED_VALUE"""),"Itabira")</f>
        <v>Itabira</v>
      </c>
      <c r="B270" s="15" t="str">
        <f>IFERROR(__xludf.DUMMYFUNCTION("""COMPUTED_VALUE"""),"Itabirano (m), Itabirana (f)")</f>
        <v>Itabirano (m), Itabirana (f)</v>
      </c>
      <c r="C270" s="15" t="str">
        <f>IFERROR(__xludf.DUMMYFUNCTION("""COMPUTED_VALUE"""),"Itabirano (m), Itabirana (f)")</f>
        <v>Itabirano (m), Itabirana (f)</v>
      </c>
    </row>
    <row r="271">
      <c r="A271" s="15" t="str">
        <f>IFERROR(__xludf.DUMMYFUNCTION("""COMPUTED_VALUE"""),"Itapira")</f>
        <v>Itapira</v>
      </c>
      <c r="B271" s="15" t="str">
        <f>IFERROR(__xludf.DUMMYFUNCTION("""COMPUTED_VALUE"""),"Itapirense")</f>
        <v>Itapirense</v>
      </c>
      <c r="C271" s="15" t="str">
        <f>IFERROR(__xludf.DUMMYFUNCTION("""COMPUTED_VALUE"""),"Itapirense")</f>
        <v>Itapirense</v>
      </c>
    </row>
    <row r="272">
      <c r="A272" s="15" t="str">
        <f>IFERROR(__xludf.DUMMYFUNCTION("""COMPUTED_VALUE"""),"Istanbul")</f>
        <v>Istanbul</v>
      </c>
      <c r="B272" s="15" t="str">
        <f>IFERROR(__xludf.DUMMYFUNCTION("""COMPUTED_VALUE"""),"Istanbulite")</f>
        <v>Istanbulite</v>
      </c>
      <c r="C272" s="15" t="str">
        <f>IFERROR(__xludf.DUMMYFUNCTION("""COMPUTED_VALUE"""),"Istanbulite")</f>
        <v>Istanbulite</v>
      </c>
    </row>
    <row r="273">
      <c r="A273" s="15" t="str">
        <f>IFERROR(__xludf.DUMMYFUNCTION("""COMPUTED_VALUE"""),"Ithaca, New York")</f>
        <v>Ithaca, New York</v>
      </c>
      <c r="B273" s="15" t="str">
        <f>IFERROR(__xludf.DUMMYFUNCTION("""COMPUTED_VALUE"""),"Ithacan")</f>
        <v>Ithacan</v>
      </c>
      <c r="C273" s="15" t="str">
        <f>IFERROR(__xludf.DUMMYFUNCTION("""COMPUTED_VALUE"""),"Ithacan")</f>
        <v>Ithacan</v>
      </c>
    </row>
    <row r="274">
      <c r="A274" s="15" t="str">
        <f>IFERROR(__xludf.DUMMYFUNCTION("""COMPUTED_VALUE"""),"Izmir")</f>
        <v>Izmir</v>
      </c>
      <c r="B274" s="15" t="str">
        <f>IFERROR(__xludf.DUMMYFUNCTION("""COMPUTED_VALUE"""),"Izmirite, Izmirian")</f>
        <v>Izmirite, Izmirian</v>
      </c>
      <c r="C274" s="15" t="str">
        <f>IFERROR(__xludf.DUMMYFUNCTION("""COMPUTED_VALUE"""),"Izmirite, Izmirian")</f>
        <v>Izmirite, Izmirian</v>
      </c>
    </row>
    <row r="275">
      <c r="A275" s="15" t="str">
        <f>IFERROR(__xludf.DUMMYFUNCTION("""COMPUTED_VALUE"""),"Izmit")</f>
        <v>Izmit</v>
      </c>
      <c r="B275" s="15" t="str">
        <f>IFERROR(__xludf.DUMMYFUNCTION("""COMPUTED_VALUE"""),"Izmitite")</f>
        <v>Izmitite</v>
      </c>
      <c r="C275" s="15" t="str">
        <f>IFERROR(__xludf.DUMMYFUNCTION("""COMPUTED_VALUE"""),"Izmitite")</f>
        <v>Izmitite</v>
      </c>
    </row>
    <row r="276">
      <c r="A276" s="15" t="str">
        <f>IFERROR(__xludf.DUMMYFUNCTION("""COMPUTED_VALUE"""),"Jacksonville")</f>
        <v>Jacksonville</v>
      </c>
      <c r="B276" s="15" t="str">
        <f>IFERROR(__xludf.DUMMYFUNCTION("""COMPUTED_VALUE"""),"Jacksonvillian, Jaxon")</f>
        <v>Jacksonvillian, Jaxon</v>
      </c>
      <c r="C276" s="15" t="str">
        <f>IFERROR(__xludf.DUMMYFUNCTION("""COMPUTED_VALUE"""),"Jacksonvillian, Jaxon[5]")</f>
        <v>Jacksonvillian, Jaxon[5]</v>
      </c>
    </row>
    <row r="277">
      <c r="A277" s="15" t="str">
        <f>IFERROR(__xludf.DUMMYFUNCTION("""COMPUTED_VALUE"""),"Jaén")</f>
        <v>Jaén</v>
      </c>
      <c r="B277" s="15" t="str">
        <f>IFERROR(__xludf.DUMMYFUNCTION("""COMPUTED_VALUE"""),"Jienense, Jaenés, Aurgitano")</f>
        <v>Jienense, Jaenés, Aurgitano</v>
      </c>
      <c r="C277" s="15" t="str">
        <f>IFERROR(__xludf.DUMMYFUNCTION("""COMPUTED_VALUE"""),"Jienense, Aurgitano")</f>
        <v>Jienense, Aurgitano</v>
      </c>
    </row>
    <row r="278">
      <c r="A278" s="15" t="str">
        <f>IFERROR(__xludf.DUMMYFUNCTION("""COMPUTED_VALUE"""),"Jakarta")</f>
        <v>Jakarta</v>
      </c>
      <c r="B278" s="15" t="str">
        <f>IFERROR(__xludf.DUMMYFUNCTION("""COMPUTED_VALUE"""),"Jakartan")</f>
        <v>Jakartan</v>
      </c>
      <c r="C278" s="15" t="str">
        <f>IFERROR(__xludf.DUMMYFUNCTION("""COMPUTED_VALUE"""),"Jakartanais, Jakartan")</f>
        <v>Jakartanais, Jakartan</v>
      </c>
    </row>
    <row r="279">
      <c r="A279" s="15" t="str">
        <f>IFERROR(__xludf.DUMMYFUNCTION("""COMPUTED_VALUE"""),"Jeonju")</f>
        <v>Jeonju</v>
      </c>
      <c r="B279" s="15" t="str">
        <f>IFERROR(__xludf.DUMMYFUNCTION("""COMPUTED_VALUE"""),"Jeonju, Jeonjuite")</f>
        <v>Jeonju, Jeonjuite</v>
      </c>
      <c r="C279" s="15" t="str">
        <f>IFERROR(__xludf.DUMMYFUNCTION("""COMPUTED_VALUE"""),"Jeonjuite")</f>
        <v>Jeonjuite</v>
      </c>
    </row>
    <row r="280">
      <c r="A280" s="15" t="str">
        <f>IFERROR(__xludf.DUMMYFUNCTION("""COMPUTED_VALUE"""),"Jerusalem")</f>
        <v>Jerusalem</v>
      </c>
      <c r="B280" s="15" t="str">
        <f>IFERROR(__xludf.DUMMYFUNCTION("""COMPUTED_VALUE"""),"Jerusalemite, Yerushalmi")</f>
        <v>Jerusalemite, Yerushalmi</v>
      </c>
      <c r="C280" s="15" t="str">
        <f>IFERROR(__xludf.DUMMYFUNCTION("""COMPUTED_VALUE"""),"Jerusalemite, Yerushalmi")</f>
        <v>Jerusalemite, Yerushalmi</v>
      </c>
    </row>
    <row r="281">
      <c r="A281" s="15" t="str">
        <f>IFERROR(__xludf.DUMMYFUNCTION("""COMPUTED_VALUE"""),"Johannesburg")</f>
        <v>Johannesburg</v>
      </c>
      <c r="B281" s="15" t="str">
        <f>IFERROR(__xludf.DUMMYFUNCTION("""COMPUTED_VALUE"""),"Johannesburg")</f>
        <v>Johannesburg</v>
      </c>
      <c r="C281" s="15" t="str">
        <f>IFERROR(__xludf.DUMMYFUNCTION("""COMPUTED_VALUE"""),"Johannesburger, Joburger")</f>
        <v>Johannesburger, Joburger</v>
      </c>
    </row>
    <row r="282">
      <c r="A282" s="15" t="str">
        <f>IFERROR(__xludf.DUMMYFUNCTION("""COMPUTED_VALUE"""),"Joshua, Texas")</f>
        <v>Joshua, Texas</v>
      </c>
      <c r="B282" s="15" t="str">
        <f>IFERROR(__xludf.DUMMYFUNCTION("""COMPUTED_VALUE"""),"Joshuan")</f>
        <v>Joshuan</v>
      </c>
      <c r="C282" s="15" t="str">
        <f>IFERROR(__xludf.DUMMYFUNCTION("""COMPUTED_VALUE"""),"Joshuan, Joshuvian")</f>
        <v>Joshuan, Joshuvian</v>
      </c>
    </row>
    <row r="283">
      <c r="A283" s="15" t="str">
        <f>IFERROR(__xludf.DUMMYFUNCTION("""COMPUTED_VALUE"""),"Juba")</f>
        <v>Juba</v>
      </c>
      <c r="B283" s="15" t="str">
        <f>IFERROR(__xludf.DUMMYFUNCTION("""COMPUTED_VALUE"""),"Juban")</f>
        <v>Juban</v>
      </c>
      <c r="C283" s="15" t="str">
        <f>IFERROR(__xludf.DUMMYFUNCTION("""COMPUTED_VALUE"""),"Juban")</f>
        <v>Juban</v>
      </c>
    </row>
    <row r="284">
      <c r="A284" s="15" t="str">
        <f>IFERROR(__xludf.DUMMYFUNCTION("""COMPUTED_VALUE"""),"Juiz de Fora")</f>
        <v>Juiz de Fora</v>
      </c>
      <c r="B284" s="15" t="str">
        <f>IFERROR(__xludf.DUMMYFUNCTION("""COMPUTED_VALUE"""),"Juiz-forano")</f>
        <v>Juiz-forano</v>
      </c>
      <c r="C284" s="15" t="str">
        <f>IFERROR(__xludf.DUMMYFUNCTION("""COMPUTED_VALUE"""),"Juiz-forano")</f>
        <v>Juiz-forano</v>
      </c>
    </row>
    <row r="285">
      <c r="A285" s="15" t="str">
        <f>IFERROR(__xludf.DUMMYFUNCTION("""COMPUTED_VALUE"""),"Juneau City/Borough")</f>
        <v>Juneau City/Borough</v>
      </c>
      <c r="B285" s="15"/>
      <c r="C285" s="15" t="str">
        <f>IFERROR(__xludf.DUMMYFUNCTION("""COMPUTED_VALUE"""),"Juneauite")</f>
        <v>Juneauite</v>
      </c>
    </row>
    <row r="286">
      <c r="A286" s="15" t="str">
        <f>IFERROR(__xludf.DUMMYFUNCTION("""COMPUTED_VALUE"""),"Kahramanmaraş")</f>
        <v>Kahramanmaraş</v>
      </c>
      <c r="B286" s="15" t="str">
        <f>IFERROR(__xludf.DUMMYFUNCTION("""COMPUTED_VALUE"""),"Marashian")</f>
        <v>Marashian</v>
      </c>
      <c r="C286" s="15" t="str">
        <f>IFERROR(__xludf.DUMMYFUNCTION("""COMPUTED_VALUE"""),"Marashian")</f>
        <v>Marashian</v>
      </c>
    </row>
    <row r="287">
      <c r="A287" s="15" t="str">
        <f>IFERROR(__xludf.DUMMYFUNCTION("""COMPUTED_VALUE"""),"Kandy")</f>
        <v>Kandy</v>
      </c>
      <c r="B287" s="15" t="str">
        <f>IFERROR(__xludf.DUMMYFUNCTION("""COMPUTED_VALUE"""),"Kandian")</f>
        <v>Kandian</v>
      </c>
      <c r="C287" s="15" t="str">
        <f>IFERROR(__xludf.DUMMYFUNCTION("""COMPUTED_VALUE"""),"Kandian")</f>
        <v>Kandian</v>
      </c>
    </row>
    <row r="288">
      <c r="A288" s="15" t="str">
        <f>IFERROR(__xludf.DUMMYFUNCTION("""COMPUTED_VALUE"""),"Kaluga")</f>
        <v>Kaluga</v>
      </c>
      <c r="B288" s="15" t="str">
        <f>IFERROR(__xludf.DUMMYFUNCTION("""COMPUTED_VALUE"""),"Kaluzhanin")</f>
        <v>Kaluzhanin</v>
      </c>
      <c r="C288" s="15" t="str">
        <f>IFERROR(__xludf.DUMMYFUNCTION("""COMPUTED_VALUE"""),"Kaluzhane")</f>
        <v>Kaluzhane</v>
      </c>
    </row>
    <row r="289">
      <c r="A289" s="15" t="str">
        <f>IFERROR(__xludf.DUMMYFUNCTION("""COMPUTED_VALUE"""),"Kansas City")</f>
        <v>Kansas City</v>
      </c>
      <c r="B289" s="15" t="str">
        <f>IFERROR(__xludf.DUMMYFUNCTION("""COMPUTED_VALUE"""),"Kansas Citian[h]")</f>
        <v>Kansas Citian[h]</v>
      </c>
      <c r="C289" s="15" t="str">
        <f>IFERROR(__xludf.DUMMYFUNCTION("""COMPUTED_VALUE"""),"Kansas Citian; Kansas Cityan; Kansas City, Missourian[i]")</f>
        <v>Kansas Citian; Kansas Cityan; Kansas City, Missourian[i]</v>
      </c>
    </row>
    <row r="290">
      <c r="A290" s="15" t="str">
        <f>IFERROR(__xludf.DUMMYFUNCTION("""COMPUTED_VALUE"""),"Karachi")</f>
        <v>Karachi</v>
      </c>
      <c r="B290" s="15" t="str">
        <f>IFERROR(__xludf.DUMMYFUNCTION("""COMPUTED_VALUE"""),"Karachiite")</f>
        <v>Karachiite</v>
      </c>
      <c r="C290" s="15" t="str">
        <f>IFERROR(__xludf.DUMMYFUNCTION("""COMPUTED_VALUE"""),"Karachiite")</f>
        <v>Karachiite</v>
      </c>
    </row>
    <row r="291">
      <c r="A291" s="15" t="str">
        <f>IFERROR(__xludf.DUMMYFUNCTION("""COMPUTED_VALUE"""),"Karpasia")</f>
        <v>Karpasia</v>
      </c>
      <c r="B291" s="15" t="str">
        <f>IFERROR(__xludf.DUMMYFUNCTION("""COMPUTED_VALUE"""),"Karpasias")</f>
        <v>Karpasias</v>
      </c>
      <c r="C291" s="15" t="str">
        <f>IFERROR(__xludf.DUMMYFUNCTION("""COMPUTED_VALUE"""),"Karpasias")</f>
        <v>Karpasias</v>
      </c>
    </row>
    <row r="292">
      <c r="A292" s="15" t="str">
        <f>IFERROR(__xludf.DUMMYFUNCTION("""COMPUTED_VALUE"""),"Kastoria")</f>
        <v>Kastoria</v>
      </c>
      <c r="B292" s="15" t="str">
        <f>IFERROR(__xludf.DUMMYFUNCTION("""COMPUTED_VALUE"""),"Kastorian")</f>
        <v>Kastorian</v>
      </c>
      <c r="C292" s="15" t="str">
        <f>IFERROR(__xludf.DUMMYFUNCTION("""COMPUTED_VALUE"""),"Kastorian")</f>
        <v>Kastorian</v>
      </c>
    </row>
    <row r="293">
      <c r="A293" s="15" t="str">
        <f>IFERROR(__xludf.DUMMYFUNCTION("""COMPUTED_VALUE"""),"Kayseri")</f>
        <v>Kayseri</v>
      </c>
      <c r="B293" s="15" t="str">
        <f>IFERROR(__xludf.DUMMYFUNCTION("""COMPUTED_VALUE"""),"Kayserian")</f>
        <v>Kayserian</v>
      </c>
      <c r="C293" s="15" t="str">
        <f>IFERROR(__xludf.DUMMYFUNCTION("""COMPUTED_VALUE"""),"Kayserian")</f>
        <v>Kayserian</v>
      </c>
    </row>
    <row r="294">
      <c r="A294" s="15" t="str">
        <f>IFERROR(__xludf.DUMMYFUNCTION("""COMPUTED_VALUE"""),"Kenosha")</f>
        <v>Kenosha</v>
      </c>
      <c r="B294" s="15" t="str">
        <f>IFERROR(__xludf.DUMMYFUNCTION("""COMPUTED_VALUE"""),"Kenoshan")</f>
        <v>Kenoshan</v>
      </c>
      <c r="C294" s="15" t="str">
        <f>IFERROR(__xludf.DUMMYFUNCTION("""COMPUTED_VALUE"""),"Kenoshan")</f>
        <v>Kenoshan</v>
      </c>
    </row>
    <row r="295">
      <c r="A295" s="15" t="str">
        <f>IFERROR(__xludf.DUMMYFUNCTION("""COMPUTED_VALUE"""),"Khulna")</f>
        <v>Khulna</v>
      </c>
      <c r="B295" s="15" t="str">
        <f>IFERROR(__xludf.DUMMYFUNCTION("""COMPUTED_VALUE"""),"Khulna")</f>
        <v>Khulna</v>
      </c>
      <c r="C295" s="15" t="str">
        <f>IFERROR(__xludf.DUMMYFUNCTION("""COMPUTED_VALUE"""),"Khulnaiya, Khulnaite")</f>
        <v>Khulnaiya, Khulnaite</v>
      </c>
    </row>
    <row r="296">
      <c r="A296" s="15" t="str">
        <f>IFERROR(__xludf.DUMMYFUNCTION("""COMPUTED_VALUE"""),"Kingston")</f>
        <v>Kingston</v>
      </c>
      <c r="B296" s="15" t="str">
        <f>IFERROR(__xludf.DUMMYFUNCTION("""COMPUTED_VALUE"""),"Kingstonian")</f>
        <v>Kingstonian</v>
      </c>
      <c r="C296" s="15" t="str">
        <f>IFERROR(__xludf.DUMMYFUNCTION("""COMPUTED_VALUE"""),"Kingstonian")</f>
        <v>Kingstonian</v>
      </c>
    </row>
    <row r="297">
      <c r="A297" s="15" t="str">
        <f>IFERROR(__xludf.DUMMYFUNCTION("""COMPUTED_VALUE"""),"Kingston upon Hull")</f>
        <v>Kingston upon Hull</v>
      </c>
      <c r="B297" s="15" t="str">
        <f>IFERROR(__xludf.DUMMYFUNCTION("""COMPUTED_VALUE"""),"Hullensian")</f>
        <v>Hullensian</v>
      </c>
      <c r="C297" s="15" t="str">
        <f>IFERROR(__xludf.DUMMYFUNCTION("""COMPUTED_VALUE"""),"Hullensian")</f>
        <v>Hullensian</v>
      </c>
    </row>
    <row r="298">
      <c r="A298" s="15" t="str">
        <f>IFERROR(__xludf.DUMMYFUNCTION("""COMPUTED_VALUE"""),"Kitchener")</f>
        <v>Kitchener</v>
      </c>
      <c r="B298" s="15" t="str">
        <f>IFERROR(__xludf.DUMMYFUNCTION("""COMPUTED_VALUE"""),"Kitchenerite")</f>
        <v>Kitchenerite</v>
      </c>
      <c r="C298" s="15" t="str">
        <f>IFERROR(__xludf.DUMMYFUNCTION("""COMPUTED_VALUE"""),"Kitchenerite")</f>
        <v>Kitchenerite</v>
      </c>
    </row>
    <row r="299">
      <c r="A299" s="15" t="str">
        <f>IFERROR(__xludf.DUMMYFUNCTION("""COMPUTED_VALUE"""),"Kocaeli")</f>
        <v>Kocaeli</v>
      </c>
      <c r="B299" s="15" t="str">
        <f>IFERROR(__xludf.DUMMYFUNCTION("""COMPUTED_VALUE"""),"Kocalian (see also, Izmit)")</f>
        <v>Kocalian (see also, Izmit)</v>
      </c>
      <c r="C299" s="15" t="str">
        <f>IFERROR(__xludf.DUMMYFUNCTION("""COMPUTED_VALUE"""),"Kocaelian (see also, Izmit)")</f>
        <v>Kocaelian (see also, Izmit)</v>
      </c>
    </row>
    <row r="300">
      <c r="A300" s="15" t="str">
        <f>IFERROR(__xludf.DUMMYFUNCTION("""COMPUTED_VALUE"""),"Konya")</f>
        <v>Konya</v>
      </c>
      <c r="B300" s="15" t="str">
        <f>IFERROR(__xludf.DUMMYFUNCTION("""COMPUTED_VALUE"""),"Konyanite")</f>
        <v>Konyanite</v>
      </c>
      <c r="C300" s="15" t="str">
        <f>IFERROR(__xludf.DUMMYFUNCTION("""COMPUTED_VALUE"""),"Konyanite")</f>
        <v>Konyanite</v>
      </c>
    </row>
    <row r="301">
      <c r="A301" s="15" t="str">
        <f>IFERROR(__xludf.DUMMYFUNCTION("""COMPUTED_VALUE"""),"Knoxville")</f>
        <v>Knoxville</v>
      </c>
      <c r="B301" s="15" t="str">
        <f>IFERROR(__xludf.DUMMYFUNCTION("""COMPUTED_VALUE"""),"Knoxvillian")</f>
        <v>Knoxvillian</v>
      </c>
      <c r="C301" s="15" t="str">
        <f>IFERROR(__xludf.DUMMYFUNCTION("""COMPUTED_VALUE"""),"Knoxvillian")</f>
        <v>Knoxvillian</v>
      </c>
    </row>
    <row r="302">
      <c r="A302" s="15" t="str">
        <f>IFERROR(__xludf.DUMMYFUNCTION("""COMPUTED_VALUE"""),"Kuala Lumpur")</f>
        <v>Kuala Lumpur</v>
      </c>
      <c r="B302" s="15" t="str">
        <f>IFERROR(__xludf.DUMMYFUNCTION("""COMPUTED_VALUE"""),"KLite, KL-ite, Kuala Lumpurian")</f>
        <v>KLite, KL-ite, Kuala Lumpurian</v>
      </c>
      <c r="C302" s="15" t="str">
        <f>IFERROR(__xludf.DUMMYFUNCTION("""COMPUTED_VALUE"""),"KLite, KL-ite, Kuala Lumpurian")</f>
        <v>KLite, KL-ite, Kuala Lumpurian</v>
      </c>
    </row>
    <row r="303">
      <c r="A303" s="15" t="str">
        <f>IFERROR(__xludf.DUMMYFUNCTION("""COMPUTED_VALUE"""),"Kuching")</f>
        <v>Kuching</v>
      </c>
      <c r="B303" s="15" t="str">
        <f>IFERROR(__xludf.DUMMYFUNCTION("""COMPUTED_VALUE"""),"Kuchingite")</f>
        <v>Kuchingite</v>
      </c>
      <c r="C303" s="15" t="str">
        <f>IFERROR(__xludf.DUMMYFUNCTION("""COMPUTED_VALUE"""),"Kuchingite")</f>
        <v>Kuchingite</v>
      </c>
    </row>
    <row r="304">
      <c r="A304" s="15" t="str">
        <f>IFERROR(__xludf.DUMMYFUNCTION("""COMPUTED_VALUE"""),"Kyiv")</f>
        <v>Kyiv</v>
      </c>
      <c r="B304" s="15" t="str">
        <f>IFERROR(__xludf.DUMMYFUNCTION("""COMPUTED_VALUE"""),"Kyivan, Kievan")</f>
        <v>Kyivan, Kievan</v>
      </c>
      <c r="C304" s="15" t="str">
        <f>IFERROR(__xludf.DUMMYFUNCTION("""COMPUTED_VALUE"""),"Kievan, Kievite, Kyivan, Kyïvan, Kyivite")</f>
        <v>Kievan, Kievite, Kyivan, Kyïvan, Kyivite</v>
      </c>
    </row>
    <row r="305">
      <c r="A305" s="15" t="str">
        <f>IFERROR(__xludf.DUMMYFUNCTION("""COMPUTED_VALUE"""),"Lagos")</f>
        <v>Lagos</v>
      </c>
      <c r="B305" s="15" t="str">
        <f>IFERROR(__xludf.DUMMYFUNCTION("""COMPUTED_VALUE"""),"Lagosian")</f>
        <v>Lagosian</v>
      </c>
      <c r="C305" s="15" t="str">
        <f>IFERROR(__xludf.DUMMYFUNCTION("""COMPUTED_VALUE"""),"Lagosian")</f>
        <v>Lagosian</v>
      </c>
    </row>
    <row r="306">
      <c r="A306" s="15" t="str">
        <f>IFERROR(__xludf.DUMMYFUNCTION("""COMPUTED_VALUE"""),"Lahore")</f>
        <v>Lahore</v>
      </c>
      <c r="B306" s="15" t="str">
        <f>IFERROR(__xludf.DUMMYFUNCTION("""COMPUTED_VALUE"""),"Lahori")</f>
        <v>Lahori</v>
      </c>
      <c r="C306" s="15" t="str">
        <f>IFERROR(__xludf.DUMMYFUNCTION("""COMPUTED_VALUE"""),"Lahori")</f>
        <v>Lahori</v>
      </c>
    </row>
    <row r="307">
      <c r="A307" s="15" t="str">
        <f>IFERROR(__xludf.DUMMYFUNCTION("""COMPUTED_VALUE"""),"Lancaster")</f>
        <v>Lancaster</v>
      </c>
      <c r="B307" s="15" t="str">
        <f>IFERROR(__xludf.DUMMYFUNCTION("""COMPUTED_VALUE"""),"Lancastrian")</f>
        <v>Lancastrian</v>
      </c>
      <c r="C307" s="15" t="str">
        <f>IFERROR(__xludf.DUMMYFUNCTION("""COMPUTED_VALUE"""),"Lancastrian")</f>
        <v>Lancastrian</v>
      </c>
    </row>
    <row r="308">
      <c r="A308" s="15" t="str">
        <f>IFERROR(__xludf.DUMMYFUNCTION("""COMPUTED_VALUE"""),"La Paz")</f>
        <v>La Paz</v>
      </c>
      <c r="B308" s="15" t="str">
        <f>IFERROR(__xludf.DUMMYFUNCTION("""COMPUTED_VALUE"""),"Paceño")</f>
        <v>Paceño</v>
      </c>
      <c r="C308" s="15" t="str">
        <f>IFERROR(__xludf.DUMMYFUNCTION("""COMPUTED_VALUE"""),"Paceño")</f>
        <v>Paceño</v>
      </c>
    </row>
    <row r="309">
      <c r="A309" s="15" t="str">
        <f>IFERROR(__xludf.DUMMYFUNCTION("""COMPUTED_VALUE"""),"Larnaka")</f>
        <v>Larnaka</v>
      </c>
      <c r="B309" s="15" t="str">
        <f>IFERROR(__xludf.DUMMYFUNCTION("""COMPUTED_VALUE"""),"Larnakade")</f>
        <v>Larnakade</v>
      </c>
      <c r="C309" s="15" t="str">
        <f>IFERROR(__xludf.DUMMYFUNCTION("""COMPUTED_VALUE"""),"Larnakade")</f>
        <v>Larnakade</v>
      </c>
    </row>
    <row r="310">
      <c r="A310" s="15" t="str">
        <f>IFERROR(__xludf.DUMMYFUNCTION("""COMPUTED_VALUE"""),"Las Vegas")</f>
        <v>Las Vegas</v>
      </c>
      <c r="B310" s="15" t="str">
        <f>IFERROR(__xludf.DUMMYFUNCTION("""COMPUTED_VALUE"""),"Las Vegan")</f>
        <v>Las Vegan</v>
      </c>
      <c r="C310" s="15" t="str">
        <f>IFERROR(__xludf.DUMMYFUNCTION("""COMPUTED_VALUE"""),"Las Vegan")</f>
        <v>Las Vegan</v>
      </c>
    </row>
    <row r="311">
      <c r="A311" s="15" t="str">
        <f>IFERROR(__xludf.DUMMYFUNCTION("""COMPUTED_VALUE"""),"Laval")</f>
        <v>Laval</v>
      </c>
      <c r="B311" s="15" t="str">
        <f>IFERROR(__xludf.DUMMYFUNCTION("""COMPUTED_VALUE"""),"Lavalois, Lavaloise")</f>
        <v>Lavalois, Lavaloise</v>
      </c>
      <c r="C311" s="15" t="str">
        <f>IFERROR(__xludf.DUMMYFUNCTION("""COMPUTED_VALUE"""),"Lavalois, Lavaloise")</f>
        <v>Lavalois, Lavaloise</v>
      </c>
    </row>
    <row r="312">
      <c r="A312" s="15" t="str">
        <f>IFERROR(__xludf.DUMMYFUNCTION("""COMPUTED_VALUE"""),"Leeds")</f>
        <v>Leeds</v>
      </c>
      <c r="B312" s="15" t="str">
        <f>IFERROR(__xludf.DUMMYFUNCTION("""COMPUTED_VALUE"""),"Leodensian")</f>
        <v>Leodensian</v>
      </c>
      <c r="C312" s="15" t="str">
        <f>IFERROR(__xludf.DUMMYFUNCTION("""COMPUTED_VALUE"""),"Leodensian, Loiner")</f>
        <v>Leodensian, Loiner</v>
      </c>
    </row>
    <row r="313">
      <c r="A313" s="15" t="str">
        <f>IFERROR(__xludf.DUMMYFUNCTION("""COMPUTED_VALUE"""),"Leicester")</f>
        <v>Leicester</v>
      </c>
      <c r="B313" s="15" t="str">
        <f>IFERROR(__xludf.DUMMYFUNCTION("""COMPUTED_VALUE"""),"Leicestrian")</f>
        <v>Leicestrian</v>
      </c>
      <c r="C313" s="15" t="str">
        <f>IFERROR(__xludf.DUMMYFUNCTION("""COMPUTED_VALUE"""),"Chizzit")</f>
        <v>Chizzit</v>
      </c>
    </row>
    <row r="314">
      <c r="A314" s="15" t="str">
        <f>IFERROR(__xludf.DUMMYFUNCTION("""COMPUTED_VALUE"""),"Leipzig")</f>
        <v>Leipzig</v>
      </c>
      <c r="B314" s="15" t="str">
        <f>IFERROR(__xludf.DUMMYFUNCTION("""COMPUTED_VALUE"""),"Leipziger")</f>
        <v>Leipziger</v>
      </c>
      <c r="C314" s="15" t="str">
        <f>IFERROR(__xludf.DUMMYFUNCTION("""COMPUTED_VALUE"""),"Leipziger")</f>
        <v>Leipziger</v>
      </c>
    </row>
    <row r="315">
      <c r="A315" s="15" t="str">
        <f>IFERROR(__xludf.DUMMYFUNCTION("""COMPUTED_VALUE"""),"Legazpi")</f>
        <v>Legazpi</v>
      </c>
      <c r="B315" s="15" t="str">
        <f>IFERROR(__xludf.DUMMYFUNCTION("""COMPUTED_VALUE"""),"Legazpeño")</f>
        <v>Legazpeño</v>
      </c>
      <c r="C315" s="15" t="str">
        <f>IFERROR(__xludf.DUMMYFUNCTION("""COMPUTED_VALUE"""),"Legazpeño")</f>
        <v>Legazpeño</v>
      </c>
    </row>
    <row r="316">
      <c r="A316" s="15" t="str">
        <f>IFERROR(__xludf.DUMMYFUNCTION("""COMPUTED_VALUE"""),"León")</f>
        <v>León</v>
      </c>
      <c r="B316" s="15" t="str">
        <f>IFERROR(__xludf.DUMMYFUNCTION("""COMPUTED_VALUE"""),"Leonese")</f>
        <v>Leonese</v>
      </c>
      <c r="C316" s="15" t="str">
        <f>IFERROR(__xludf.DUMMYFUNCTION("""COMPUTED_VALUE"""),"Leonese")</f>
        <v>Leonese</v>
      </c>
    </row>
    <row r="317">
      <c r="A317" s="15" t="str">
        <f>IFERROR(__xludf.DUMMYFUNCTION("""COMPUTED_VALUE"""),"Lexington")</f>
        <v>Lexington</v>
      </c>
      <c r="B317" s="15" t="str">
        <f>IFERROR(__xludf.DUMMYFUNCTION("""COMPUTED_VALUE"""),"Lexingtonian")</f>
        <v>Lexingtonian</v>
      </c>
      <c r="C317" s="15" t="str">
        <f>IFERROR(__xludf.DUMMYFUNCTION("""COMPUTED_VALUE"""),"Lexingtonian")</f>
        <v>Lexingtonian</v>
      </c>
    </row>
    <row r="318">
      <c r="A318" s="15" t="str">
        <f>IFERROR(__xludf.DUMMYFUNCTION("""COMPUTED_VALUE"""),"Liberal, KS")</f>
        <v>Liberal, KS</v>
      </c>
      <c r="B318" s="15" t="str">
        <f>IFERROR(__xludf.DUMMYFUNCTION("""COMPUTED_VALUE"""),"Liberalite")</f>
        <v>Liberalite</v>
      </c>
      <c r="C318" s="15" t="str">
        <f>IFERROR(__xludf.DUMMYFUNCTION("""COMPUTED_VALUE"""),"Liberarian, Libertarian, Liberalien")</f>
        <v>Liberarian, Libertarian, Liberalien</v>
      </c>
    </row>
    <row r="319">
      <c r="A319" s="15" t="str">
        <f>IFERROR(__xludf.DUMMYFUNCTION("""COMPUTED_VALUE"""),"Ligao")</f>
        <v>Ligao</v>
      </c>
      <c r="B319" s="15" t="str">
        <f>IFERROR(__xludf.DUMMYFUNCTION("""COMPUTED_VALUE"""),"Ligaoeño")</f>
        <v>Ligaoeño</v>
      </c>
      <c r="C319" s="15" t="str">
        <f>IFERROR(__xludf.DUMMYFUNCTION("""COMPUTED_VALUE"""),"Ligaoeño")</f>
        <v>Ligaoeño</v>
      </c>
    </row>
    <row r="320">
      <c r="A320" s="15" t="str">
        <f>IFERROR(__xludf.DUMMYFUNCTION("""COMPUTED_VALUE"""),"Lima")</f>
        <v>Lima</v>
      </c>
      <c r="B320" s="15" t="str">
        <f>IFERROR(__xludf.DUMMYFUNCTION("""COMPUTED_VALUE"""),"Limeño")</f>
        <v>Limeño</v>
      </c>
      <c r="C320" s="15" t="str">
        <f>IFERROR(__xludf.DUMMYFUNCTION("""COMPUTED_VALUE"""),"Limeño")</f>
        <v>Limeño</v>
      </c>
    </row>
    <row r="321">
      <c r="A321" s="15" t="str">
        <f>IFERROR(__xludf.DUMMYFUNCTION("""COMPUTED_VALUE"""),"Limassol")</f>
        <v>Limassol</v>
      </c>
      <c r="B321" s="15" t="str">
        <f>IFERROR(__xludf.DUMMYFUNCTION("""COMPUTED_VALUE"""),"Lemesouti")</f>
        <v>Lemesouti</v>
      </c>
      <c r="C321" s="15" t="str">
        <f>IFERROR(__xludf.DUMMYFUNCTION("""COMPUTED_VALUE"""),"Lemesouti")</f>
        <v>Lemesouti</v>
      </c>
    </row>
    <row r="322">
      <c r="A322" s="15" t="str">
        <f>IFERROR(__xludf.DUMMYFUNCTION("""COMPUTED_VALUE"""),"Limerick")</f>
        <v>Limerick</v>
      </c>
      <c r="B322" s="15" t="str">
        <f>IFERROR(__xludf.DUMMYFUNCTION("""COMPUTED_VALUE"""),"Limerick")</f>
        <v>Limerick</v>
      </c>
      <c r="C322" s="15" t="str">
        <f>IFERROR(__xludf.DUMMYFUNCTION("""COMPUTED_VALUE"""),"Limerickman, Shannonsider")</f>
        <v>Limerickman, Shannonsider</v>
      </c>
    </row>
    <row r="323">
      <c r="A323" s="15" t="str">
        <f>IFERROR(__xludf.DUMMYFUNCTION("""COMPUTED_VALUE"""),"Linz")</f>
        <v>Linz</v>
      </c>
      <c r="B323" s="15" t="str">
        <f>IFERROR(__xludf.DUMMYFUNCTION("""COMPUTED_VALUE"""),"Linzer")</f>
        <v>Linzer</v>
      </c>
      <c r="C323" s="15" t="str">
        <f>IFERROR(__xludf.DUMMYFUNCTION("""COMPUTED_VALUE"""),"Linzer")</f>
        <v>Linzer</v>
      </c>
    </row>
    <row r="324">
      <c r="A324" s="15" t="str">
        <f>IFERROR(__xludf.DUMMYFUNCTION("""COMPUTED_VALUE"""),"Lisbon")</f>
        <v>Lisbon</v>
      </c>
      <c r="B324" s="15" t="str">
        <f>IFERROR(__xludf.DUMMYFUNCTION("""COMPUTED_VALUE"""),"Lisboan, Lisboeta")</f>
        <v>Lisboan, Lisboeta</v>
      </c>
      <c r="C324" s="15" t="str">
        <f>IFERROR(__xludf.DUMMYFUNCTION("""COMPUTED_VALUE"""),"Lisboan, Lisboeta, Lisboner, Alfacinha")</f>
        <v>Lisboan, Lisboeta, Lisboner, Alfacinha</v>
      </c>
    </row>
    <row r="325">
      <c r="A325" s="15" t="str">
        <f>IFERROR(__xludf.DUMMYFUNCTION("""COMPUTED_VALUE"""),"Liverpool")</f>
        <v>Liverpool</v>
      </c>
      <c r="B325" s="15" t="str">
        <f>IFERROR(__xludf.DUMMYFUNCTION("""COMPUTED_VALUE"""),"Liverpudlian, Scouse")</f>
        <v>Liverpudlian, Scouse</v>
      </c>
      <c r="C325" s="15" t="str">
        <f>IFERROR(__xludf.DUMMYFUNCTION("""COMPUTED_VALUE"""),"Liverpudlian, Scouser")</f>
        <v>Liverpudlian, Scouser</v>
      </c>
    </row>
    <row r="326">
      <c r="A326" s="15" t="str">
        <f>IFERROR(__xludf.DUMMYFUNCTION("""COMPUTED_VALUE"""),"Livorno")</f>
        <v>Livorno</v>
      </c>
      <c r="B326" s="15" t="str">
        <f>IFERROR(__xludf.DUMMYFUNCTION("""COMPUTED_VALUE"""),"Leghornese, Livornese")</f>
        <v>Leghornese, Livornese</v>
      </c>
      <c r="C326" s="15" t="str">
        <f>IFERROR(__xludf.DUMMYFUNCTION("""COMPUTED_VALUE"""),"Leghornese, Livornese")</f>
        <v>Leghornese, Livornese</v>
      </c>
    </row>
    <row r="327">
      <c r="A327" s="15" t="str">
        <f>IFERROR(__xludf.DUMMYFUNCTION("""COMPUTED_VALUE"""),"Locarno")</f>
        <v>Locarno</v>
      </c>
      <c r="B327" s="15" t="str">
        <f>IFERROR(__xludf.DUMMYFUNCTION("""COMPUTED_VALUE"""),"Locarnese")</f>
        <v>Locarnese</v>
      </c>
      <c r="C327" s="15"/>
    </row>
    <row r="328">
      <c r="A328" s="15" t="str">
        <f>IFERROR(__xludf.DUMMYFUNCTION("""COMPUTED_VALUE"""),"London")</f>
        <v>London</v>
      </c>
      <c r="B328" s="15" t="str">
        <f>IFERROR(__xludf.DUMMYFUNCTION("""COMPUTED_VALUE"""),"Londoner")</f>
        <v>Londoner</v>
      </c>
      <c r="C328" s="15" t="str">
        <f>IFERROR(__xludf.DUMMYFUNCTION("""COMPUTED_VALUE"""),"Londoner")</f>
        <v>Londoner</v>
      </c>
    </row>
    <row r="329">
      <c r="A329" s="15" t="str">
        <f>IFERROR(__xludf.DUMMYFUNCTION("""COMPUTED_VALUE"""),"Londrina")</f>
        <v>Londrina</v>
      </c>
      <c r="B329" s="15" t="str">
        <f>IFERROR(__xludf.DUMMYFUNCTION("""COMPUTED_VALUE"""),"Londrinense")</f>
        <v>Londrinense</v>
      </c>
      <c r="C329" s="15" t="str">
        <f>IFERROR(__xludf.DUMMYFUNCTION("""COMPUTED_VALUE"""),"Londrinense")</f>
        <v>Londrinense</v>
      </c>
    </row>
    <row r="330">
      <c r="A330" s="15" t="str">
        <f>IFERROR(__xludf.DUMMYFUNCTION("""COMPUTED_VALUE"""),"Los Angeles")</f>
        <v>Los Angeles</v>
      </c>
      <c r="B330" s="15" t="str">
        <f>IFERROR(__xludf.DUMMYFUNCTION("""COMPUTED_VALUE"""),"Los Angeleno, Angeleno, Angeleño")</f>
        <v>Los Angeleno, Angeleno, Angeleño</v>
      </c>
      <c r="C330" s="15" t="str">
        <f>IFERROR(__xludf.DUMMYFUNCTION("""COMPUTED_VALUE"""),"Los Angeleno, Angeleno, Ángeleño")</f>
        <v>Los Angeleno, Angeleno, Ángeleño</v>
      </c>
    </row>
    <row r="331">
      <c r="A331" s="15" t="str">
        <f>IFERROR(__xludf.DUMMYFUNCTION("""COMPUTED_VALUE"""),"Louisville")</f>
        <v>Louisville</v>
      </c>
      <c r="B331" s="15" t="str">
        <f>IFERROR(__xludf.DUMMYFUNCTION("""COMPUTED_VALUE"""),"Louisvillian")</f>
        <v>Louisvillian</v>
      </c>
      <c r="C331" s="15" t="str">
        <f>IFERROR(__xludf.DUMMYFUNCTION("""COMPUTED_VALUE"""),"Louisvillian")</f>
        <v>Louisvillian</v>
      </c>
    </row>
    <row r="332">
      <c r="A332" s="15" t="str">
        <f>IFERROR(__xludf.DUMMYFUNCTION("""COMPUTED_VALUE"""),"Luanda")</f>
        <v>Luanda</v>
      </c>
      <c r="B332" s="15" t="str">
        <f>IFERROR(__xludf.DUMMYFUNCTION("""COMPUTED_VALUE"""),"Luandan")</f>
        <v>Luandan</v>
      </c>
      <c r="C332" s="15" t="str">
        <f>IFERROR(__xludf.DUMMYFUNCTION("""COMPUTED_VALUE"""),"Luandan")</f>
        <v>Luandan</v>
      </c>
    </row>
    <row r="333">
      <c r="A333" s="15" t="str">
        <f>IFERROR(__xludf.DUMMYFUNCTION("""COMPUTED_VALUE"""),"Lucca")</f>
        <v>Lucca</v>
      </c>
      <c r="B333" s="15" t="str">
        <f>IFERROR(__xludf.DUMMYFUNCTION("""COMPUTED_VALUE"""),"Lucchese")</f>
        <v>Lucchese</v>
      </c>
      <c r="C333" s="15" t="str">
        <f>IFERROR(__xludf.DUMMYFUNCTION("""COMPUTED_VALUE"""),"Lucchesi")</f>
        <v>Lucchesi</v>
      </c>
    </row>
    <row r="334">
      <c r="A334" s="15" t="str">
        <f>IFERROR(__xludf.DUMMYFUNCTION("""COMPUTED_VALUE"""),"Lugano")</f>
        <v>Lugano</v>
      </c>
      <c r="B334" s="15" t="str">
        <f>IFERROR(__xludf.DUMMYFUNCTION("""COMPUTED_VALUE"""),"Luganese")</f>
        <v>Luganese</v>
      </c>
      <c r="C334" s="15"/>
    </row>
    <row r="335">
      <c r="A335" s="15" t="str">
        <f>IFERROR(__xludf.DUMMYFUNCTION("""COMPUTED_VALUE"""),"Luton")</f>
        <v>Luton</v>
      </c>
      <c r="B335" s="15" t="str">
        <f>IFERROR(__xludf.DUMMYFUNCTION("""COMPUTED_VALUE"""),"Lutonian")</f>
        <v>Lutonian</v>
      </c>
      <c r="C335" s="15" t="str">
        <f>IFERROR(__xludf.DUMMYFUNCTION("""COMPUTED_VALUE"""),"Lutonian")</f>
        <v>Lutonian</v>
      </c>
    </row>
    <row r="336">
      <c r="A336" s="15" t="str">
        <f>IFERROR(__xludf.DUMMYFUNCTION("""COMPUTED_VALUE"""),"Lviv")</f>
        <v>Lviv</v>
      </c>
      <c r="B336" s="15" t="str">
        <f>IFERROR(__xludf.DUMMYFUNCTION("""COMPUTED_VALUE"""),"Lvivite, Lvivian, Leopolitan")</f>
        <v>Lvivite, Lvivian, Leopolitan</v>
      </c>
      <c r="C336" s="15" t="str">
        <f>IFERROR(__xludf.DUMMYFUNCTION("""COMPUTED_VALUE"""),"Lvivite, Lvivian, Leopolitan, Lemberger, *Ukrainian* Lvivianyn (m), 
Lvivianka (f)")</f>
        <v>Lvivite, Lvivian, Leopolitan, Lemberger, *Ukrainian* Lvivianyn (m), 
Lvivianka (f)</v>
      </c>
    </row>
    <row r="337">
      <c r="A337" s="15" t="str">
        <f>IFERROR(__xludf.DUMMYFUNCTION("""COMPUTED_VALUE"""),"Lyon (Lyons)")</f>
        <v>Lyon (Lyons)</v>
      </c>
      <c r="B337" s="15" t="str">
        <f>IFERROR(__xludf.DUMMYFUNCTION("""COMPUTED_VALUE"""),"Lyonese, Lyonnais")</f>
        <v>Lyonese, Lyonnais</v>
      </c>
      <c r="C337" s="15" t="str">
        <f>IFERROR(__xludf.DUMMYFUNCTION("""COMPUTED_VALUE"""),"Lyonese, Lyonnais")</f>
        <v>Lyonese, Lyonnais</v>
      </c>
    </row>
    <row r="338">
      <c r="A338" s="15" t="str">
        <f>IFERROR(__xludf.DUMMYFUNCTION("""COMPUTED_VALUE"""),"Macau")</f>
        <v>Macau</v>
      </c>
      <c r="B338" s="15" t="str">
        <f>IFERROR(__xludf.DUMMYFUNCTION("""COMPUTED_VALUE"""),"Macanese")</f>
        <v>Macanese</v>
      </c>
      <c r="C338" s="15" t="str">
        <f>IFERROR(__xludf.DUMMYFUNCTION("""COMPUTED_VALUE"""),"Macanese")</f>
        <v>Macanese</v>
      </c>
    </row>
    <row r="339">
      <c r="A339" s="15" t="str">
        <f>IFERROR(__xludf.DUMMYFUNCTION("""COMPUTED_VALUE"""),"Mackay")</f>
        <v>Mackay</v>
      </c>
      <c r="B339" s="15" t="str">
        <f>IFERROR(__xludf.DUMMYFUNCTION("""COMPUTED_VALUE"""),"Mackayite")</f>
        <v>Mackayite</v>
      </c>
      <c r="C339" s="15" t="str">
        <f>IFERROR(__xludf.DUMMYFUNCTION("""COMPUTED_VALUE"""),"Mackayite")</f>
        <v>Mackayite</v>
      </c>
    </row>
    <row r="340">
      <c r="A340" s="15" t="str">
        <f>IFERROR(__xludf.DUMMYFUNCTION("""COMPUTED_VALUE"""),"Madrid")</f>
        <v>Madrid</v>
      </c>
      <c r="B340" s="15" t="str">
        <f>IFERROR(__xludf.DUMMYFUNCTION("""COMPUTED_VALUE"""),"Madrilenian, Madrileño")</f>
        <v>Madrilenian, Madrileño</v>
      </c>
      <c r="C340" s="15" t="str">
        <f>IFERROR(__xludf.DUMMYFUNCTION("""COMPUTED_VALUE"""),"Madrilenian, Madrileño")</f>
        <v>Madrilenian, Madrileño</v>
      </c>
    </row>
    <row r="341">
      <c r="A341" s="15" t="str">
        <f>IFERROR(__xludf.DUMMYFUNCTION("""COMPUTED_VALUE"""),"Malacca")</f>
        <v>Malacca</v>
      </c>
      <c r="B341" s="15" t="str">
        <f>IFERROR(__xludf.DUMMYFUNCTION("""COMPUTED_VALUE"""),"Malaccan")</f>
        <v>Malaccan</v>
      </c>
      <c r="C341" s="15" t="str">
        <f>IFERROR(__xludf.DUMMYFUNCTION("""COMPUTED_VALUE"""),"Malaccan")</f>
        <v>Malaccan</v>
      </c>
    </row>
    <row r="342">
      <c r="A342" s="15" t="str">
        <f>IFERROR(__xludf.DUMMYFUNCTION("""COMPUTED_VALUE"""),"Málaga")</f>
        <v>Málaga</v>
      </c>
      <c r="B342" s="15" t="str">
        <f>IFERROR(__xludf.DUMMYFUNCTION("""COMPUTED_VALUE"""),"Malagenean, Malagueño, Malacitano")</f>
        <v>Malagenean, Malagueño, Malacitano</v>
      </c>
      <c r="C342" s="15" t="str">
        <f>IFERROR(__xludf.DUMMYFUNCTION("""COMPUTED_VALUE"""),"Malagenean, Malagueño, Malacitano")</f>
        <v>Malagenean, Malagueño, Malacitano</v>
      </c>
    </row>
    <row r="343">
      <c r="A343" s="15" t="str">
        <f>IFERROR(__xludf.DUMMYFUNCTION("""COMPUTED_VALUE"""),"Malatya")</f>
        <v>Malatya</v>
      </c>
      <c r="B343" s="15" t="str">
        <f>IFERROR(__xludf.DUMMYFUNCTION("""COMPUTED_VALUE"""),"Malatyan")</f>
        <v>Malatyan</v>
      </c>
      <c r="C343" s="15" t="str">
        <f>IFERROR(__xludf.DUMMYFUNCTION("""COMPUTED_VALUE"""),"Malatyan")</f>
        <v>Malatyan</v>
      </c>
    </row>
    <row r="344">
      <c r="A344" s="15" t="str">
        <f>IFERROR(__xludf.DUMMYFUNCTION("""COMPUTED_VALUE"""),"Manaus")</f>
        <v>Manaus</v>
      </c>
      <c r="B344" s="15" t="str">
        <f>IFERROR(__xludf.DUMMYFUNCTION("""COMPUTED_VALUE"""),"Manauara, Manauense")</f>
        <v>Manauara, Manauense</v>
      </c>
      <c r="C344" s="15" t="str">
        <f>IFERROR(__xludf.DUMMYFUNCTION("""COMPUTED_VALUE"""),"Manauara, Manauense")</f>
        <v>Manauara, Manauense</v>
      </c>
    </row>
    <row r="345">
      <c r="A345" s="15" t="str">
        <f>IFERROR(__xludf.DUMMYFUNCTION("""COMPUTED_VALUE"""),"Manchester")</f>
        <v>Manchester</v>
      </c>
      <c r="B345" s="15" t="str">
        <f>IFERROR(__xludf.DUMMYFUNCTION("""COMPUTED_VALUE"""),"Mancunian")</f>
        <v>Mancunian</v>
      </c>
      <c r="C345" s="15" t="str">
        <f>IFERROR(__xludf.DUMMYFUNCTION("""COMPUTED_VALUE"""),"Mancunian, Manc")</f>
        <v>Mancunian, Manc</v>
      </c>
    </row>
    <row r="346">
      <c r="A346" s="15" t="str">
        <f>IFERROR(__xludf.DUMMYFUNCTION("""COMPUTED_VALUE"""),"Manila")</f>
        <v>Manila</v>
      </c>
      <c r="B346" s="15" t="str">
        <f>IFERROR(__xludf.DUMMYFUNCTION("""COMPUTED_VALUE"""),"Manileño, Manilan")</f>
        <v>Manileño, Manilan</v>
      </c>
      <c r="C346" s="15" t="str">
        <f>IFERROR(__xludf.DUMMYFUNCTION("""COMPUTED_VALUE"""),"Manileño")</f>
        <v>Manileño</v>
      </c>
    </row>
    <row r="347">
      <c r="A347" s="15" t="str">
        <f>IFERROR(__xludf.DUMMYFUNCTION("""COMPUTED_VALUE"""),"Manisa")</f>
        <v>Manisa</v>
      </c>
      <c r="B347" s="15" t="str">
        <f>IFERROR(__xludf.DUMMYFUNCTION("""COMPUTED_VALUE"""),"Manisanian")</f>
        <v>Manisanian</v>
      </c>
      <c r="C347" s="15" t="str">
        <f>IFERROR(__xludf.DUMMYFUNCTION("""COMPUTED_VALUE"""),"Manisanian")</f>
        <v>Manisanian</v>
      </c>
    </row>
    <row r="348">
      <c r="A348" s="15" t="str">
        <f>IFERROR(__xludf.DUMMYFUNCTION("""COMPUTED_VALUE"""),"Mantua")</f>
        <v>Mantua</v>
      </c>
      <c r="B348" s="15" t="str">
        <f>IFERROR(__xludf.DUMMYFUNCTION("""COMPUTED_VALUE"""),"Mantuan")</f>
        <v>Mantuan</v>
      </c>
      <c r="C348" s="15" t="str">
        <f>IFERROR(__xludf.DUMMYFUNCTION("""COMPUTED_VALUE"""),"Mantuan")</f>
        <v>Mantuan</v>
      </c>
    </row>
    <row r="349">
      <c r="A349" s="15" t="str">
        <f>IFERROR(__xludf.DUMMYFUNCTION("""COMPUTED_VALUE"""),"Maputo")</f>
        <v>Maputo</v>
      </c>
      <c r="B349" s="15" t="str">
        <f>IFERROR(__xludf.DUMMYFUNCTION("""COMPUTED_VALUE"""),"Maputan")</f>
        <v>Maputan</v>
      </c>
      <c r="C349" s="15" t="str">
        <f>IFERROR(__xludf.DUMMYFUNCTION("""COMPUTED_VALUE"""),"Maputan")</f>
        <v>Maputan</v>
      </c>
    </row>
    <row r="350">
      <c r="A350" s="15" t="str">
        <f>IFERROR(__xludf.DUMMYFUNCTION("""COMPUTED_VALUE"""),"Marathon")</f>
        <v>Marathon</v>
      </c>
      <c r="B350" s="15" t="str">
        <f>IFERROR(__xludf.DUMMYFUNCTION("""COMPUTED_VALUE"""),"Marathonian")</f>
        <v>Marathonian</v>
      </c>
      <c r="C350" s="15" t="str">
        <f>IFERROR(__xludf.DUMMYFUNCTION("""COMPUTED_VALUE"""),"Marathonian")</f>
        <v>Marathonian</v>
      </c>
    </row>
    <row r="351">
      <c r="A351" s="15" t="str">
        <f>IFERROR(__xludf.DUMMYFUNCTION("""COMPUTED_VALUE"""),"Mardin")</f>
        <v>Mardin</v>
      </c>
      <c r="B351" s="15" t="str">
        <f>IFERROR(__xludf.DUMMYFUNCTION("""COMPUTED_VALUE"""),"Mardinian")</f>
        <v>Mardinian</v>
      </c>
      <c r="C351" s="15" t="str">
        <f>IFERROR(__xludf.DUMMYFUNCTION("""COMPUTED_VALUE"""),"Mardinian")</f>
        <v>Mardinian</v>
      </c>
    </row>
    <row r="352">
      <c r="A352" s="15" t="str">
        <f>IFERROR(__xludf.DUMMYFUNCTION("""COMPUTED_VALUE"""),"Marmaris")</f>
        <v>Marmaris</v>
      </c>
      <c r="B352" s="15" t="str">
        <f>IFERROR(__xludf.DUMMYFUNCTION("""COMPUTED_VALUE"""),"Marmarisian")</f>
        <v>Marmarisian</v>
      </c>
      <c r="C352" s="15" t="str">
        <f>IFERROR(__xludf.DUMMYFUNCTION("""COMPUTED_VALUE"""),"Marmarisian")</f>
        <v>Marmarisian</v>
      </c>
    </row>
    <row r="353">
      <c r="A353" s="15" t="str">
        <f>IFERROR(__xludf.DUMMYFUNCTION("""COMPUTED_VALUE"""),"Marseille")</f>
        <v>Marseille</v>
      </c>
      <c r="B353" s="15" t="str">
        <f>IFERROR(__xludf.DUMMYFUNCTION("""COMPUTED_VALUE"""),"Marseillais")</f>
        <v>Marseillais</v>
      </c>
      <c r="C353" s="15" t="str">
        <f>IFERROR(__xludf.DUMMYFUNCTION("""COMPUTED_VALUE"""),"Marseillais")</f>
        <v>Marseillais</v>
      </c>
    </row>
    <row r="354">
      <c r="A354" s="15" t="str">
        <f>IFERROR(__xludf.DUMMYFUNCTION("""COMPUTED_VALUE"""),"Marshall")</f>
        <v>Marshall</v>
      </c>
      <c r="B354" s="15" t="str">
        <f>IFERROR(__xludf.DUMMYFUNCTION("""COMPUTED_VALUE"""),"Marshall,[6][7] Marshallite[j][8]")</f>
        <v>Marshall,[6][7] Marshallite[j][8]</v>
      </c>
      <c r="C354" s="15" t="str">
        <f>IFERROR(__xludf.DUMMYFUNCTION("""COMPUTED_VALUE"""),"Marshallite[9][10]")</f>
        <v>Marshallite[9][10]</v>
      </c>
    </row>
    <row r="355">
      <c r="A355" s="15" t="str">
        <f>IFERROR(__xludf.DUMMYFUNCTION("""COMPUTED_VALUE"""),"Masbate")</f>
        <v>Masbate</v>
      </c>
      <c r="B355" s="15" t="str">
        <f>IFERROR(__xludf.DUMMYFUNCTION("""COMPUTED_VALUE"""),"Masbateño")</f>
        <v>Masbateño</v>
      </c>
      <c r="C355" s="15" t="str">
        <f>IFERROR(__xludf.DUMMYFUNCTION("""COMPUTED_VALUE"""),"Masbateño")</f>
        <v>Masbateño</v>
      </c>
    </row>
    <row r="356">
      <c r="A356" s="15" t="str">
        <f>IFERROR(__xludf.DUMMYFUNCTION("""COMPUTED_VALUE"""),"Mersin")</f>
        <v>Mersin</v>
      </c>
      <c r="B356" s="15" t="str">
        <f>IFERROR(__xludf.DUMMYFUNCTION("""COMPUTED_VALUE"""),"Mersinite")</f>
        <v>Mersinite</v>
      </c>
      <c r="C356" s="15" t="str">
        <f>IFERROR(__xludf.DUMMYFUNCTION("""COMPUTED_VALUE"""),"Mersinite")</f>
        <v>Mersinite</v>
      </c>
    </row>
    <row r="357">
      <c r="A357" s="15" t="str">
        <f>IFERROR(__xludf.DUMMYFUNCTION("""COMPUTED_VALUE"""),"Mecca")</f>
        <v>Mecca</v>
      </c>
      <c r="B357" s="15" t="str">
        <f>IFERROR(__xludf.DUMMYFUNCTION("""COMPUTED_VALUE"""),"Meccan")</f>
        <v>Meccan</v>
      </c>
      <c r="C357" s="15" t="str">
        <f>IFERROR(__xludf.DUMMYFUNCTION("""COMPUTED_VALUE"""),"Meccan")</f>
        <v>Meccan</v>
      </c>
    </row>
    <row r="358">
      <c r="A358" s="15" t="str">
        <f>IFERROR(__xludf.DUMMYFUNCTION("""COMPUTED_VALUE"""),"Medellín")</f>
        <v>Medellín</v>
      </c>
      <c r="B358" s="15" t="str">
        <f>IFERROR(__xludf.DUMMYFUNCTION("""COMPUTED_VALUE"""),"Paisa")</f>
        <v>Paisa</v>
      </c>
      <c r="C358" s="15" t="str">
        <f>IFERROR(__xludf.DUMMYFUNCTION("""COMPUTED_VALUE"""),"Paisa")</f>
        <v>Paisa</v>
      </c>
    </row>
    <row r="359">
      <c r="A359" s="15" t="str">
        <f>IFERROR(__xludf.DUMMYFUNCTION("""COMPUTED_VALUE"""),"Medina")</f>
        <v>Medina</v>
      </c>
      <c r="B359" s="15" t="str">
        <f>IFERROR(__xludf.DUMMYFUNCTION("""COMPUTED_VALUE"""),"Medinan")</f>
        <v>Medinan</v>
      </c>
      <c r="C359" s="15" t="str">
        <f>IFERROR(__xludf.DUMMYFUNCTION("""COMPUTED_VALUE"""),"Medinan")</f>
        <v>Medinan</v>
      </c>
    </row>
    <row r="360">
      <c r="A360" s="15" t="str">
        <f>IFERROR(__xludf.DUMMYFUNCTION("""COMPUTED_VALUE"""),"Megara")</f>
        <v>Megara</v>
      </c>
      <c r="B360" s="15" t="str">
        <f>IFERROR(__xludf.DUMMYFUNCTION("""COMPUTED_VALUE"""),"Megarian")</f>
        <v>Megarian</v>
      </c>
      <c r="C360" s="15" t="str">
        <f>IFERROR(__xludf.DUMMYFUNCTION("""COMPUTED_VALUE"""),"Megarian")</f>
        <v>Megarian</v>
      </c>
    </row>
    <row r="361">
      <c r="A361" s="15" t="str">
        <f>IFERROR(__xludf.DUMMYFUNCTION("""COMPUTED_VALUE"""),"Melbourne")</f>
        <v>Melbourne</v>
      </c>
      <c r="B361" s="15" t="str">
        <f>IFERROR(__xludf.DUMMYFUNCTION("""COMPUTED_VALUE"""),"Melburnian")</f>
        <v>Melburnian</v>
      </c>
      <c r="C361" s="15" t="str">
        <f>IFERROR(__xludf.DUMMYFUNCTION("""COMPUTED_VALUE"""),"Melburnian, Melbournite")</f>
        <v>Melburnian, Melbournite</v>
      </c>
    </row>
    <row r="362">
      <c r="A362" s="15" t="str">
        <f>IFERROR(__xludf.DUMMYFUNCTION("""COMPUTED_VALUE"""),"Memphis")</f>
        <v>Memphis</v>
      </c>
      <c r="B362" s="15" t="str">
        <f>IFERROR(__xludf.DUMMYFUNCTION("""COMPUTED_VALUE"""),"Memphian")</f>
        <v>Memphian</v>
      </c>
      <c r="C362" s="15" t="str">
        <f>IFERROR(__xludf.DUMMYFUNCTION("""COMPUTED_VALUE"""),"Memphian")</f>
        <v>Memphian</v>
      </c>
    </row>
    <row r="363">
      <c r="A363" s="15" t="str">
        <f>IFERROR(__xludf.DUMMYFUNCTION("""COMPUTED_VALUE"""),"Mendrisio")</f>
        <v>Mendrisio</v>
      </c>
      <c r="B363" s="15" t="str">
        <f>IFERROR(__xludf.DUMMYFUNCTION("""COMPUTED_VALUE"""),"Mendrisiense, Mendrisiotto")</f>
        <v>Mendrisiense, Mendrisiotto</v>
      </c>
      <c r="C363" s="15"/>
    </row>
    <row r="364">
      <c r="A364" s="15" t="str">
        <f>IFERROR(__xludf.DUMMYFUNCTION("""COMPUTED_VALUE"""),"Mersin")</f>
        <v>Mersin</v>
      </c>
      <c r="B364" s="15" t="str">
        <f>IFERROR(__xludf.DUMMYFUNCTION("""COMPUTED_VALUE"""),"Mersinite")</f>
        <v>Mersinite</v>
      </c>
      <c r="C364" s="15" t="str">
        <f>IFERROR(__xludf.DUMMYFUNCTION("""COMPUTED_VALUE"""),"Mersinite")</f>
        <v>Mersinite</v>
      </c>
    </row>
    <row r="365">
      <c r="A365" s="15" t="str">
        <f>IFERROR(__xludf.DUMMYFUNCTION("""COMPUTED_VALUE"""),"Messina")</f>
        <v>Messina</v>
      </c>
      <c r="B365" s="15" t="str">
        <f>IFERROR(__xludf.DUMMYFUNCTION("""COMPUTED_VALUE"""),"Messinese")</f>
        <v>Messinese</v>
      </c>
      <c r="C365" s="15" t="str">
        <f>IFERROR(__xludf.DUMMYFUNCTION("""COMPUTED_VALUE"""),"Messinese")</f>
        <v>Messinese</v>
      </c>
    </row>
    <row r="366">
      <c r="A366" s="15" t="str">
        <f>IFERROR(__xludf.DUMMYFUNCTION("""COMPUTED_VALUE"""),"Mexico City")</f>
        <v>Mexico City</v>
      </c>
      <c r="B366" s="15" t="str">
        <f>IFERROR(__xludf.DUMMYFUNCTION("""COMPUTED_VALUE"""),"Capitalino")</f>
        <v>Capitalino</v>
      </c>
      <c r="C366" s="15" t="str">
        <f>IFERROR(__xludf.DUMMYFUNCTION("""COMPUTED_VALUE"""),"Capitalino, Chilango, Defeño")</f>
        <v>Capitalino, Chilango, Defeño</v>
      </c>
    </row>
    <row r="367">
      <c r="A367" s="15" t="str">
        <f>IFERROR(__xludf.DUMMYFUNCTION("""COMPUTED_VALUE"""),"Miami")</f>
        <v>Miami</v>
      </c>
      <c r="B367" s="15" t="str">
        <f>IFERROR(__xludf.DUMMYFUNCTION("""COMPUTED_VALUE"""),"Miamian")</f>
        <v>Miamian</v>
      </c>
      <c r="C367" s="15" t="str">
        <f>IFERROR(__xludf.DUMMYFUNCTION("""COMPUTED_VALUE"""),"Miamian")</f>
        <v>Miamian</v>
      </c>
    </row>
    <row r="368">
      <c r="A368" s="15" t="str">
        <f>IFERROR(__xludf.DUMMYFUNCTION("""COMPUTED_VALUE"""),"Middlesbrough")</f>
        <v>Middlesbrough</v>
      </c>
      <c r="B368" s="15"/>
      <c r="C368" s="15" t="str">
        <f>IFERROR(__xludf.DUMMYFUNCTION("""COMPUTED_VALUE"""),"Smoggie")</f>
        <v>Smoggie</v>
      </c>
    </row>
    <row r="369">
      <c r="A369" s="15" t="str">
        <f>IFERROR(__xludf.DUMMYFUNCTION("""COMPUTED_VALUE"""),"Milan, Italy")</f>
        <v>Milan, Italy</v>
      </c>
      <c r="B369" s="15" t="str">
        <f>IFERROR(__xludf.DUMMYFUNCTION("""COMPUTED_VALUE"""),"Milanese")</f>
        <v>Milanese</v>
      </c>
      <c r="C369" s="15" t="str">
        <f>IFERROR(__xludf.DUMMYFUNCTION("""COMPUTED_VALUE"""),"Milanese")</f>
        <v>Milanese</v>
      </c>
    </row>
    <row r="370">
      <c r="A370" s="15" t="str">
        <f>IFERROR(__xludf.DUMMYFUNCTION("""COMPUTED_VALUE"""),"Milan, New York")</f>
        <v>Milan, New York</v>
      </c>
      <c r="B370" s="15"/>
      <c r="C370" s="15" t="str">
        <f>IFERROR(__xludf.DUMMYFUNCTION("""COMPUTED_VALUE"""),"Milanites, Milaner")</f>
        <v>Milanites, Milaner</v>
      </c>
    </row>
    <row r="371">
      <c r="A371" s="15" t="str">
        <f>IFERROR(__xludf.DUMMYFUNCTION("""COMPUTED_VALUE"""),"Milwaukee")</f>
        <v>Milwaukee</v>
      </c>
      <c r="B371" s="15" t="str">
        <f>IFERROR(__xludf.DUMMYFUNCTION("""COMPUTED_VALUE"""),"Milwaukeean")</f>
        <v>Milwaukeean</v>
      </c>
      <c r="C371" s="15" t="str">
        <f>IFERROR(__xludf.DUMMYFUNCTION("""COMPUTED_VALUE"""),"Milwaukeean")</f>
        <v>Milwaukeean</v>
      </c>
    </row>
    <row r="372">
      <c r="A372" s="15" t="str">
        <f>IFERROR(__xludf.DUMMYFUNCTION("""COMPUTED_VALUE"""),"Minsk")</f>
        <v>Minsk</v>
      </c>
      <c r="B372" s="15" t="str">
        <f>IFERROR(__xludf.DUMMYFUNCTION("""COMPUTED_VALUE"""),"Minskite")</f>
        <v>Minskite</v>
      </c>
      <c r="C372" s="15" t="str">
        <f>IFERROR(__xludf.DUMMYFUNCTION("""COMPUTED_VALUE"""),"Minskite")</f>
        <v>Minskite</v>
      </c>
    </row>
    <row r="373">
      <c r="A373" s="15" t="str">
        <f>IFERROR(__xludf.DUMMYFUNCTION("""COMPUTED_VALUE"""),"Misrata")</f>
        <v>Misrata</v>
      </c>
      <c r="B373" s="15" t="str">
        <f>IFERROR(__xludf.DUMMYFUNCTION("""COMPUTED_VALUE"""),"Misratan")</f>
        <v>Misratan</v>
      </c>
      <c r="C373" s="15" t="str">
        <f>IFERROR(__xludf.DUMMYFUNCTION("""COMPUTED_VALUE"""),"Misratan")</f>
        <v>Misratan</v>
      </c>
    </row>
    <row r="374">
      <c r="A374" s="15" t="str">
        <f>IFERROR(__xludf.DUMMYFUNCTION("""COMPUTED_VALUE"""),"Minneapolis")</f>
        <v>Minneapolis</v>
      </c>
      <c r="B374" s="15" t="str">
        <f>IFERROR(__xludf.DUMMYFUNCTION("""COMPUTED_VALUE"""),"Minneapolitan")</f>
        <v>Minneapolitan</v>
      </c>
      <c r="C374" s="15" t="str">
        <f>IFERROR(__xludf.DUMMYFUNCTION("""COMPUTED_VALUE"""),"Minneapolitan")</f>
        <v>Minneapolitan</v>
      </c>
    </row>
    <row r="375">
      <c r="A375" s="15" t="str">
        <f>IFERROR(__xludf.DUMMYFUNCTION("""COMPUTED_VALUE"""),"Minot")</f>
        <v>Minot</v>
      </c>
      <c r="B375" s="15" t="str">
        <f>IFERROR(__xludf.DUMMYFUNCTION("""COMPUTED_VALUE"""),"Minotian")</f>
        <v>Minotian</v>
      </c>
      <c r="C375" s="15" t="str">
        <f>IFERROR(__xludf.DUMMYFUNCTION("""COMPUTED_VALUE"""),"Minoter")</f>
        <v>Minoter</v>
      </c>
    </row>
    <row r="376">
      <c r="A376" s="15" t="str">
        <f>IFERROR(__xludf.DUMMYFUNCTION("""COMPUTED_VALUE"""),"Mississauga")</f>
        <v>Mississauga</v>
      </c>
      <c r="B376" s="15" t="str">
        <f>IFERROR(__xludf.DUMMYFUNCTION("""COMPUTED_VALUE"""),"Mississaugan")</f>
        <v>Mississaugan</v>
      </c>
      <c r="C376" s="15"/>
    </row>
    <row r="377">
      <c r="A377" s="15" t="str">
        <f>IFERROR(__xludf.DUMMYFUNCTION("""COMPUTED_VALUE"""),"Modena")</f>
        <v>Modena</v>
      </c>
      <c r="B377" s="15" t="str">
        <f>IFERROR(__xludf.DUMMYFUNCTION("""COMPUTED_VALUE"""),"Modenese")</f>
        <v>Modenese</v>
      </c>
      <c r="C377" s="15" t="str">
        <f>IFERROR(__xludf.DUMMYFUNCTION("""COMPUTED_VALUE"""),"Modenese")</f>
        <v>Modenese</v>
      </c>
    </row>
    <row r="378">
      <c r="A378" s="15" t="str">
        <f>IFERROR(__xludf.DUMMYFUNCTION("""COMPUTED_VALUE"""),"Mogi Guaçu")</f>
        <v>Mogi Guaçu</v>
      </c>
      <c r="B378" s="15" t="str">
        <f>IFERROR(__xludf.DUMMYFUNCTION("""COMPUTED_VALUE"""),"Guaçuano")</f>
        <v>Guaçuano</v>
      </c>
      <c r="C378" s="15" t="str">
        <f>IFERROR(__xludf.DUMMYFUNCTION("""COMPUTED_VALUE"""),"Guaçuano")</f>
        <v>Guaçuano</v>
      </c>
    </row>
    <row r="379">
      <c r="A379" s="15" t="str">
        <f>IFERROR(__xludf.DUMMYFUNCTION("""COMPUTED_VALUE"""),"Mogi Mirim")</f>
        <v>Mogi Mirim</v>
      </c>
      <c r="B379" s="15" t="str">
        <f>IFERROR(__xludf.DUMMYFUNCTION("""COMPUTED_VALUE"""),"Mogimiriano")</f>
        <v>Mogimiriano</v>
      </c>
      <c r="C379" s="15" t="str">
        <f>IFERROR(__xludf.DUMMYFUNCTION("""COMPUTED_VALUE"""),"Mogimiriano")</f>
        <v>Mogimiriano</v>
      </c>
    </row>
    <row r="380">
      <c r="A380" s="15" t="str">
        <f>IFERROR(__xludf.DUMMYFUNCTION("""COMPUTED_VALUE"""),"Monaco")</f>
        <v>Monaco</v>
      </c>
      <c r="B380" s="15" t="str">
        <f>IFERROR(__xludf.DUMMYFUNCTION("""COMPUTED_VALUE"""),"Monegasque")</f>
        <v>Monegasque</v>
      </c>
      <c r="C380" s="15" t="str">
        <f>IFERROR(__xludf.DUMMYFUNCTION("""COMPUTED_VALUE"""),"Monegasque, Monacoan")</f>
        <v>Monegasque, Monacoan</v>
      </c>
    </row>
    <row r="381">
      <c r="A381" s="15" t="str">
        <f>IFERROR(__xludf.DUMMYFUNCTION("""COMPUTED_VALUE"""),"Monrovia")</f>
        <v>Monrovia</v>
      </c>
      <c r="B381" s="15" t="str">
        <f>IFERROR(__xludf.DUMMYFUNCTION("""COMPUTED_VALUE"""),"Monrovian")</f>
        <v>Monrovian</v>
      </c>
      <c r="C381" s="15" t="str">
        <f>IFERROR(__xludf.DUMMYFUNCTION("""COMPUTED_VALUE"""),"Monrovian")</f>
        <v>Monrovian</v>
      </c>
    </row>
    <row r="382">
      <c r="A382" s="15" t="str">
        <f>IFERROR(__xludf.DUMMYFUNCTION("""COMPUTED_VALUE"""),"Monterrey")</f>
        <v>Monterrey</v>
      </c>
      <c r="B382" s="15" t="str">
        <f>IFERROR(__xludf.DUMMYFUNCTION("""COMPUTED_VALUE"""),"Regiomontano")</f>
        <v>Regiomontano</v>
      </c>
      <c r="C382" s="15" t="str">
        <f>IFERROR(__xludf.DUMMYFUNCTION("""COMPUTED_VALUE"""),"Regiomontano")</f>
        <v>Regiomontano</v>
      </c>
    </row>
    <row r="383">
      <c r="A383" s="15" t="str">
        <f>IFERROR(__xludf.DUMMYFUNCTION("""COMPUTED_VALUE"""),"Montevideo")</f>
        <v>Montevideo</v>
      </c>
      <c r="B383" s="15" t="str">
        <f>IFERROR(__xludf.DUMMYFUNCTION("""COMPUTED_VALUE"""),"Montevidean")</f>
        <v>Montevidean</v>
      </c>
      <c r="C383" s="15" t="str">
        <f>IFERROR(__xludf.DUMMYFUNCTION("""COMPUTED_VALUE"""),"Montevideano (m), Montevideana (f)")</f>
        <v>Montevideano (m), Montevideana (f)</v>
      </c>
    </row>
    <row r="384">
      <c r="A384" s="15" t="str">
        <f>IFERROR(__xludf.DUMMYFUNCTION("""COMPUTED_VALUE"""),"Montreal")</f>
        <v>Montreal</v>
      </c>
      <c r="B384" s="15" t="str">
        <f>IFERROR(__xludf.DUMMYFUNCTION("""COMPUTED_VALUE"""),"Montrealer")</f>
        <v>Montrealer</v>
      </c>
      <c r="C384" s="15" t="str">
        <f>IFERROR(__xludf.DUMMYFUNCTION("""COMPUTED_VALUE"""),"Montrealer, Montréalais")</f>
        <v>Montrealer, Montréalais</v>
      </c>
    </row>
    <row r="385">
      <c r="A385" s="15" t="str">
        <f>IFERROR(__xludf.DUMMYFUNCTION("""COMPUTED_VALUE"""),"Moose Jaw")</f>
        <v>Moose Jaw</v>
      </c>
      <c r="B385" s="15" t="str">
        <f>IFERROR(__xludf.DUMMYFUNCTION("""COMPUTED_VALUE"""),"Moose Jaw")</f>
        <v>Moose Jaw</v>
      </c>
      <c r="C385" s="15" t="str">
        <f>IFERROR(__xludf.DUMMYFUNCTION("""COMPUTED_VALUE"""),"Moose Javians")</f>
        <v>Moose Javians</v>
      </c>
    </row>
    <row r="386">
      <c r="A386" s="15" t="str">
        <f>IFERROR(__xludf.DUMMYFUNCTION("""COMPUTED_VALUE"""),"Morphou")</f>
        <v>Morphou</v>
      </c>
      <c r="B386" s="15" t="str">
        <f>IFERROR(__xludf.DUMMYFUNCTION("""COMPUTED_VALUE"""),"Morfitis")</f>
        <v>Morfitis</v>
      </c>
      <c r="C386" s="15" t="str">
        <f>IFERROR(__xludf.DUMMYFUNCTION("""COMPUTED_VALUE"""),"Morfitis")</f>
        <v>Morfitis</v>
      </c>
    </row>
    <row r="387">
      <c r="A387" s="15" t="str">
        <f>IFERROR(__xludf.DUMMYFUNCTION("""COMPUTED_VALUE"""),"Moscow, Idaho")</f>
        <v>Moscow, Idaho</v>
      </c>
      <c r="B387" s="15" t="str">
        <f>IFERROR(__xludf.DUMMYFUNCTION("""COMPUTED_VALUE"""),"Moscowite")</f>
        <v>Moscowite</v>
      </c>
      <c r="C387" s="15" t="str">
        <f>IFERROR(__xludf.DUMMYFUNCTION("""COMPUTED_VALUE"""),"Moscowite")</f>
        <v>Moscowite</v>
      </c>
    </row>
    <row r="388">
      <c r="A388" s="15" t="str">
        <f>IFERROR(__xludf.DUMMYFUNCTION("""COMPUTED_VALUE"""),"Moscow, Russia")</f>
        <v>Moscow, Russia</v>
      </c>
      <c r="B388" s="15" t="str">
        <f>IFERROR(__xludf.DUMMYFUNCTION("""COMPUTED_VALUE"""),"Muscovite")</f>
        <v>Muscovite</v>
      </c>
      <c r="C388" s="15" t="str">
        <f>IFERROR(__xludf.DUMMYFUNCTION("""COMPUTED_VALUE"""),"Muscovite")</f>
        <v>Muscovite</v>
      </c>
    </row>
    <row r="389">
      <c r="A389" s="15" t="str">
        <f>IFERROR(__xludf.DUMMYFUNCTION("""COMPUTED_VALUE"""),"Muğla")</f>
        <v>Muğla</v>
      </c>
      <c r="B389" s="15" t="str">
        <f>IFERROR(__xludf.DUMMYFUNCTION("""COMPUTED_VALUE"""),"Mughlanian")</f>
        <v>Mughlanian</v>
      </c>
      <c r="C389" s="15" t="str">
        <f>IFERROR(__xludf.DUMMYFUNCTION("""COMPUTED_VALUE"""),"Mughlanian")</f>
        <v>Mughlanian</v>
      </c>
    </row>
    <row r="390">
      <c r="A390" s="15" t="str">
        <f>IFERROR(__xludf.DUMMYFUNCTION("""COMPUTED_VALUE"""),"Mumbai")</f>
        <v>Mumbai</v>
      </c>
      <c r="B390" s="15" t="str">
        <f>IFERROR(__xludf.DUMMYFUNCTION("""COMPUTED_VALUE"""),"Mumbaikar")</f>
        <v>Mumbaikar</v>
      </c>
      <c r="C390" s="15" t="str">
        <f>IFERROR(__xludf.DUMMYFUNCTION("""COMPUTED_VALUE"""),"Mumbaikar")</f>
        <v>Mumbaikar</v>
      </c>
    </row>
    <row r="391">
      <c r="A391" s="15" t="str">
        <f>IFERROR(__xludf.DUMMYFUNCTION("""COMPUTED_VALUE"""),"Muncie")</f>
        <v>Muncie</v>
      </c>
      <c r="B391" s="15" t="str">
        <f>IFERROR(__xludf.DUMMYFUNCTION("""COMPUTED_VALUE"""),"Munsonian")</f>
        <v>Munsonian</v>
      </c>
      <c r="C391" s="15" t="str">
        <f>IFERROR(__xludf.DUMMYFUNCTION("""COMPUTED_VALUE"""),"Munsonian")</f>
        <v>Munsonian</v>
      </c>
    </row>
    <row r="392">
      <c r="A392" s="15" t="str">
        <f>IFERROR(__xludf.DUMMYFUNCTION("""COMPUTED_VALUE"""),"Munich")</f>
        <v>Munich</v>
      </c>
      <c r="B392" s="15" t="str">
        <f>IFERROR(__xludf.DUMMYFUNCTION("""COMPUTED_VALUE"""),"Münchner, Münchener")</f>
        <v>Münchner, Münchener</v>
      </c>
      <c r="C392" s="15" t="str">
        <f>IFERROR(__xludf.DUMMYFUNCTION("""COMPUTED_VALUE"""),"Münchner, Münchener")</f>
        <v>Münchner, Münchener</v>
      </c>
    </row>
    <row r="393">
      <c r="A393" s="15" t="str">
        <f>IFERROR(__xludf.DUMMYFUNCTION("""COMPUTED_VALUE"""),"Mymensingh")</f>
        <v>Mymensingh</v>
      </c>
      <c r="B393" s="15" t="str">
        <f>IFERROR(__xludf.DUMMYFUNCTION("""COMPUTED_VALUE"""),"Mymensinghi")</f>
        <v>Mymensinghi</v>
      </c>
      <c r="C393" s="15" t="str">
        <f>IFERROR(__xludf.DUMMYFUNCTION("""COMPUTED_VALUE"""),"Mymensinghi, Mymensinghiya, Mymensinghiyo")</f>
        <v>Mymensinghi, Mymensinghiya, Mymensinghiyo</v>
      </c>
    </row>
    <row r="394">
      <c r="A394" s="15" t="str">
        <f>IFERROR(__xludf.DUMMYFUNCTION("""COMPUTED_VALUE"""),"Mysore")</f>
        <v>Mysore</v>
      </c>
      <c r="B394" s="15" t="str">
        <f>IFERROR(__xludf.DUMMYFUNCTION("""COMPUTED_VALUE"""),"Mysorean")</f>
        <v>Mysorean</v>
      </c>
      <c r="C394" s="15" t="str">
        <f>IFERROR(__xludf.DUMMYFUNCTION("""COMPUTED_VALUE"""),"Mysorean, Mysurinavaru, Mysuriga")</f>
        <v>Mysorean, Mysurinavaru, Mysuriga</v>
      </c>
    </row>
    <row r="395">
      <c r="A395" s="15" t="str">
        <f>IFERROR(__xludf.DUMMYFUNCTION("""COMPUTED_VALUE"""),"Naga")</f>
        <v>Naga</v>
      </c>
      <c r="B395" s="15" t="str">
        <f>IFERROR(__xludf.DUMMYFUNCTION("""COMPUTED_VALUE"""),"Nagueño")</f>
        <v>Nagueño</v>
      </c>
      <c r="C395" s="15" t="str">
        <f>IFERROR(__xludf.DUMMYFUNCTION("""COMPUTED_VALUE"""),"Nagueño")</f>
        <v>Nagueño</v>
      </c>
    </row>
    <row r="396">
      <c r="A396" s="15" t="str">
        <f>IFERROR(__xludf.DUMMYFUNCTION("""COMPUTED_VALUE"""),"Nagoya")</f>
        <v>Nagoya</v>
      </c>
      <c r="B396" s="15" t="str">
        <f>IFERROR(__xludf.DUMMYFUNCTION("""COMPUTED_VALUE"""),"Nagoyan")</f>
        <v>Nagoyan</v>
      </c>
      <c r="C396" s="15" t="str">
        <f>IFERROR(__xludf.DUMMYFUNCTION("""COMPUTED_VALUE"""),"Nagoyan")</f>
        <v>Nagoyan</v>
      </c>
    </row>
    <row r="397">
      <c r="A397" s="15" t="str">
        <f>IFERROR(__xludf.DUMMYFUNCTION("""COMPUTED_VALUE"""),"Nairobi")</f>
        <v>Nairobi</v>
      </c>
      <c r="B397" s="15" t="str">
        <f>IFERROR(__xludf.DUMMYFUNCTION("""COMPUTED_VALUE"""),"Nairobian")</f>
        <v>Nairobian</v>
      </c>
      <c r="C397" s="15" t="str">
        <f>IFERROR(__xludf.DUMMYFUNCTION("""COMPUTED_VALUE"""),"Nairobian")</f>
        <v>Nairobian</v>
      </c>
    </row>
    <row r="398">
      <c r="A398" s="15" t="str">
        <f>IFERROR(__xludf.DUMMYFUNCTION("""COMPUTED_VALUE"""),"Nanaimo")</f>
        <v>Nanaimo</v>
      </c>
      <c r="B398" s="15" t="str">
        <f>IFERROR(__xludf.DUMMYFUNCTION("""COMPUTED_VALUE"""),"Nanaimoite")</f>
        <v>Nanaimoite</v>
      </c>
      <c r="C398" s="15" t="str">
        <f>IFERROR(__xludf.DUMMYFUNCTION("""COMPUTED_VALUE"""),"Nanaimoite")</f>
        <v>Nanaimoite</v>
      </c>
    </row>
    <row r="399">
      <c r="A399" s="15" t="str">
        <f>IFERROR(__xludf.DUMMYFUNCTION("""COMPUTED_VALUE"""),"Nanjing (Nanking)")</f>
        <v>Nanjing (Nanking)</v>
      </c>
      <c r="B399" s="15" t="str">
        <f>IFERROR(__xludf.DUMMYFUNCTION("""COMPUTED_VALUE"""),"Nankinese")</f>
        <v>Nankinese</v>
      </c>
      <c r="C399" s="15" t="str">
        <f>IFERROR(__xludf.DUMMYFUNCTION("""COMPUTED_VALUE"""),"Nankinese")</f>
        <v>Nankinese</v>
      </c>
    </row>
    <row r="400">
      <c r="A400" s="15" t="str">
        <f>IFERROR(__xludf.DUMMYFUNCTION("""COMPUTED_VALUE"""),"Napier")</f>
        <v>Napier</v>
      </c>
      <c r="B400" s="15" t="str">
        <f>IFERROR(__xludf.DUMMYFUNCTION("""COMPUTED_VALUE"""),"Napieran")</f>
        <v>Napieran</v>
      </c>
      <c r="C400" s="15" t="str">
        <f>IFERROR(__xludf.DUMMYFUNCTION("""COMPUTED_VALUE"""),"Napieran, Naperian")</f>
        <v>Napieran, Naperian</v>
      </c>
    </row>
    <row r="401">
      <c r="A401" s="15" t="str">
        <f>IFERROR(__xludf.DUMMYFUNCTION("""COMPUTED_VALUE"""),"Naples")</f>
        <v>Naples</v>
      </c>
      <c r="B401" s="15" t="str">
        <f>IFERROR(__xludf.DUMMYFUNCTION("""COMPUTED_VALUE"""),"Neapolitan")</f>
        <v>Neapolitan</v>
      </c>
      <c r="C401" s="15" t="str">
        <f>IFERROR(__xludf.DUMMYFUNCTION("""COMPUTED_VALUE"""),"Neapolitan")</f>
        <v>Neapolitan</v>
      </c>
    </row>
    <row r="402">
      <c r="A402" s="15" t="str">
        <f>IFERROR(__xludf.DUMMYFUNCTION("""COMPUTED_VALUE"""),"Nashville")</f>
        <v>Nashville</v>
      </c>
      <c r="B402" s="15" t="str">
        <f>IFERROR(__xludf.DUMMYFUNCTION("""COMPUTED_VALUE"""),"Nashvillian")</f>
        <v>Nashvillian</v>
      </c>
      <c r="C402" s="15" t="str">
        <f>IFERROR(__xludf.DUMMYFUNCTION("""COMPUTED_VALUE"""),"Nashvillian")</f>
        <v>Nashvillian</v>
      </c>
    </row>
    <row r="403">
      <c r="A403" s="15" t="str">
        <f>IFERROR(__xludf.DUMMYFUNCTION("""COMPUTED_VALUE"""),"Nassau")</f>
        <v>Nassau</v>
      </c>
      <c r="B403" s="15" t="str">
        <f>IFERROR(__xludf.DUMMYFUNCTION("""COMPUTED_VALUE"""),"Nassuvian")</f>
        <v>Nassuvian</v>
      </c>
      <c r="C403" s="15" t="str">
        <f>IFERROR(__xludf.DUMMYFUNCTION("""COMPUTED_VALUE"""),"Nassuvian")</f>
        <v>Nassuvian</v>
      </c>
    </row>
    <row r="404">
      <c r="A404" s="15" t="str">
        <f>IFERROR(__xludf.DUMMYFUNCTION("""COMPUTED_VALUE"""),"Navarre")</f>
        <v>Navarre</v>
      </c>
      <c r="B404" s="15" t="str">
        <f>IFERROR(__xludf.DUMMYFUNCTION("""COMPUTED_VALUE"""),"Navarrian")</f>
        <v>Navarrian</v>
      </c>
      <c r="C404" s="15" t="str">
        <f>IFERROR(__xludf.DUMMYFUNCTION("""COMPUTED_VALUE"""),"Navarrian")</f>
        <v>Navarrian</v>
      </c>
    </row>
    <row r="405">
      <c r="A405" s="15" t="str">
        <f>IFERROR(__xludf.DUMMYFUNCTION("""COMPUTED_VALUE"""),"Nazareth")</f>
        <v>Nazareth</v>
      </c>
      <c r="B405" s="15" t="str">
        <f>IFERROR(__xludf.DUMMYFUNCTION("""COMPUTED_VALUE"""),"Nazarene")</f>
        <v>Nazarene</v>
      </c>
      <c r="C405" s="15" t="str">
        <f>IFERROR(__xludf.DUMMYFUNCTION("""COMPUTED_VALUE"""),"Nazarene")</f>
        <v>Nazarene</v>
      </c>
    </row>
    <row r="406">
      <c r="A406" s="15" t="str">
        <f>IFERROR(__xludf.DUMMYFUNCTION("""COMPUTED_VALUE"""),"Nelson")</f>
        <v>Nelson</v>
      </c>
      <c r="B406" s="15" t="str">
        <f>IFERROR(__xludf.DUMMYFUNCTION("""COMPUTED_VALUE"""),"Nelson")</f>
        <v>Nelson</v>
      </c>
      <c r="C406" s="15" t="str">
        <f>IFERROR(__xludf.DUMMYFUNCTION("""COMPUTED_VALUE"""),"Nelsonian")</f>
        <v>Nelsonian</v>
      </c>
    </row>
    <row r="407">
      <c r="A407" s="15" t="str">
        <f>IFERROR(__xludf.DUMMYFUNCTION("""COMPUTED_VALUE"""),"Netanya")</f>
        <v>Netanya</v>
      </c>
      <c r="B407" s="15" t="str">
        <f>IFERROR(__xludf.DUMMYFUNCTION("""COMPUTED_VALUE"""),"Netanyan, Netanian")</f>
        <v>Netanyan, Netanian</v>
      </c>
      <c r="C407" s="15" t="str">
        <f>IFERROR(__xludf.DUMMYFUNCTION("""COMPUTED_VALUE"""),"Netanyan, Netanian")</f>
        <v>Netanyan, Netanian</v>
      </c>
    </row>
    <row r="408">
      <c r="A408" s="15" t="str">
        <f>IFERROR(__xludf.DUMMYFUNCTION("""COMPUTED_VALUE"""),"Newport, Wales")</f>
        <v>Newport, Wales</v>
      </c>
      <c r="B408" s="15" t="str">
        <f>IFERROR(__xludf.DUMMYFUNCTION("""COMPUTED_VALUE"""),"Newportonian")</f>
        <v>Newportonian</v>
      </c>
      <c r="C408" s="15" t="str">
        <f>IFERROR(__xludf.DUMMYFUNCTION("""COMPUTED_VALUE"""),"Newportonian, Newporter")</f>
        <v>Newportonian, Newporter</v>
      </c>
    </row>
    <row r="409">
      <c r="A409" s="15" t="str">
        <f>IFERROR(__xludf.DUMMYFUNCTION("""COMPUTED_VALUE"""),"New Orleans")</f>
        <v>New Orleans</v>
      </c>
      <c r="B409" s="15" t="str">
        <f>IFERROR(__xludf.DUMMYFUNCTION("""COMPUTED_VALUE"""),"New Orleanian")</f>
        <v>New Orleanian</v>
      </c>
      <c r="C409" s="15" t="str">
        <f>IFERROR(__xludf.DUMMYFUNCTION("""COMPUTED_VALUE"""),"New Orleanian, New Orleaner, Yat")</f>
        <v>New Orleanian, New Orleaner, Yat</v>
      </c>
    </row>
    <row r="410">
      <c r="A410" s="15" t="str">
        <f>IFERROR(__xludf.DUMMYFUNCTION("""COMPUTED_VALUE"""),"New York City")</f>
        <v>New York City</v>
      </c>
      <c r="B410" s="15" t="str">
        <f>IFERROR(__xludf.DUMMYFUNCTION("""COMPUTED_VALUE"""),"New Yorker")</f>
        <v>New Yorker</v>
      </c>
      <c r="C410" s="15" t="str">
        <f>IFERROR(__xludf.DUMMYFUNCTION("""COMPUTED_VALUE"""),"New Yorker, Knickerbocker")</f>
        <v>New Yorker, Knickerbocker</v>
      </c>
    </row>
    <row r="411">
      <c r="A411" s="15" t="str">
        <f>IFERROR(__xludf.DUMMYFUNCTION("""COMPUTED_VALUE"""),"New York City•The Bronx")</f>
        <v>New York City•The Bronx</v>
      </c>
      <c r="B411" s="15" t="str">
        <f>IFERROR(__xludf.DUMMYFUNCTION("""COMPUTED_VALUE"""),"Bronxite")</f>
        <v>Bronxite</v>
      </c>
      <c r="C411" s="15" t="str">
        <f>IFERROR(__xludf.DUMMYFUNCTION("""COMPUTED_VALUE"""),"Bronxite, Bronxer")</f>
        <v>Bronxite, Bronxer</v>
      </c>
    </row>
    <row r="412">
      <c r="A412" s="15" t="str">
        <f>IFERROR(__xludf.DUMMYFUNCTION("""COMPUTED_VALUE"""),"New York City•Brooklyn")</f>
        <v>New York City•Brooklyn</v>
      </c>
      <c r="B412" s="15" t="str">
        <f>IFERROR(__xludf.DUMMYFUNCTION("""COMPUTED_VALUE"""),"Brooklynite")</f>
        <v>Brooklynite</v>
      </c>
      <c r="C412" s="15" t="str">
        <f>IFERROR(__xludf.DUMMYFUNCTION("""COMPUTED_VALUE"""),"Brooklynite, Trolley Dodger (archaic)")</f>
        <v>Brooklynite, Trolley Dodger (archaic)</v>
      </c>
    </row>
    <row r="413">
      <c r="A413" s="15" t="str">
        <f>IFERROR(__xludf.DUMMYFUNCTION("""COMPUTED_VALUE"""),"New York City•Manhattan")</f>
        <v>New York City•Manhattan</v>
      </c>
      <c r="B413" s="15" t="str">
        <f>IFERROR(__xludf.DUMMYFUNCTION("""COMPUTED_VALUE"""),"Manhattanite")</f>
        <v>Manhattanite</v>
      </c>
      <c r="C413" s="15" t="str">
        <f>IFERROR(__xludf.DUMMYFUNCTION("""COMPUTED_VALUE"""),"Manhattanite")</f>
        <v>Manhattanite</v>
      </c>
    </row>
    <row r="414">
      <c r="A414" s="15" t="str">
        <f>IFERROR(__xludf.DUMMYFUNCTION("""COMPUTED_VALUE"""),"New York City•Queens")</f>
        <v>New York City•Queens</v>
      </c>
      <c r="B414" s="15" t="str">
        <f>IFERROR(__xludf.DUMMYFUNCTION("""COMPUTED_VALUE"""),"Queensite")</f>
        <v>Queensite</v>
      </c>
      <c r="C414" s="15" t="str">
        <f>IFERROR(__xludf.DUMMYFUNCTION("""COMPUTED_VALUE"""),"Queensite")</f>
        <v>Queensite</v>
      </c>
    </row>
    <row r="415">
      <c r="A415" s="15" t="str">
        <f>IFERROR(__xludf.DUMMYFUNCTION("""COMPUTED_VALUE"""),"New York City•Staten Island[k]")</f>
        <v>New York City•Staten Island[k]</v>
      </c>
      <c r="B415" s="15" t="str">
        <f>IFERROR(__xludf.DUMMYFUNCTION("""COMPUTED_VALUE"""),"Staten Islander")</f>
        <v>Staten Islander</v>
      </c>
      <c r="C415" s="15" t="str">
        <f>IFERROR(__xludf.DUMMYFUNCTION("""COMPUTED_VALUE"""),"Staten Islander")</f>
        <v>Staten Islander</v>
      </c>
    </row>
    <row r="416">
      <c r="A416" s="15" t="str">
        <f>IFERROR(__xludf.DUMMYFUNCTION("""COMPUTED_VALUE"""),"Newcastle")</f>
        <v>Newcastle</v>
      </c>
      <c r="B416" s="15" t="str">
        <f>IFERROR(__xludf.DUMMYFUNCTION("""COMPUTED_VALUE"""),"Novocastrian")</f>
        <v>Novocastrian</v>
      </c>
      <c r="C416" s="15" t="str">
        <f>IFERROR(__xludf.DUMMYFUNCTION("""COMPUTED_VALUE"""),"Novocastrian")</f>
        <v>Novocastrian</v>
      </c>
    </row>
    <row r="417">
      <c r="A417" s="15" t="str">
        <f>IFERROR(__xludf.DUMMYFUNCTION("""COMPUTED_VALUE"""),"Newcastle upon Tyne")</f>
        <v>Newcastle upon Tyne</v>
      </c>
      <c r="B417" s="15" t="str">
        <f>IFERROR(__xludf.DUMMYFUNCTION("""COMPUTED_VALUE"""),"Novocastrian, Geordie")</f>
        <v>Novocastrian, Geordie</v>
      </c>
      <c r="C417" s="15" t="str">
        <f>IFERROR(__xludf.DUMMYFUNCTION("""COMPUTED_VALUE"""),"Novocastrian, Geordie")</f>
        <v>Novocastrian, Geordie</v>
      </c>
    </row>
    <row r="418">
      <c r="A418" s="15" t="str">
        <f>IFERROR(__xludf.DUMMYFUNCTION("""COMPUTED_VALUE"""),"Nice")</f>
        <v>Nice</v>
      </c>
      <c r="B418" s="15" t="str">
        <f>IFERROR(__xludf.DUMMYFUNCTION("""COMPUTED_VALUE"""),"Niçois")</f>
        <v>Niçois</v>
      </c>
      <c r="C418" s="15" t="str">
        <f>IFERROR(__xludf.DUMMYFUNCTION("""COMPUTED_VALUE"""),"Niçois")</f>
        <v>Niçois</v>
      </c>
    </row>
    <row r="419">
      <c r="A419" s="15" t="str">
        <f>IFERROR(__xludf.DUMMYFUNCTION("""COMPUTED_VALUE"""),"Nicosia")</f>
        <v>Nicosia</v>
      </c>
      <c r="B419" s="15" t="str">
        <f>IFERROR(__xludf.DUMMYFUNCTION("""COMPUTED_VALUE"""),"Nicosian")</f>
        <v>Nicosian</v>
      </c>
      <c r="C419" s="15" t="str">
        <f>IFERROR(__xludf.DUMMYFUNCTION("""COMPUTED_VALUE"""),"Nicosian")</f>
        <v>Nicosian</v>
      </c>
    </row>
    <row r="420">
      <c r="A420" s="15" t="str">
        <f>IFERROR(__xludf.DUMMYFUNCTION("""COMPUTED_VALUE"""),"Norfolk")</f>
        <v>Norfolk</v>
      </c>
      <c r="B420" s="15" t="str">
        <f>IFERROR(__xludf.DUMMYFUNCTION("""COMPUTED_VALUE"""),"Norfolker, Norfolkian")</f>
        <v>Norfolker, Norfolkian</v>
      </c>
      <c r="C420" s="15" t="str">
        <f>IFERROR(__xludf.DUMMYFUNCTION("""COMPUTED_VALUE"""),"Norfolker, Norfolkian")</f>
        <v>Norfolker, Norfolkian</v>
      </c>
    </row>
    <row r="421">
      <c r="A421" s="15" t="str">
        <f>IFERROR(__xludf.DUMMYFUNCTION("""COMPUTED_VALUE"""),"Northampton")</f>
        <v>Northampton</v>
      </c>
      <c r="B421" s="15" t="str">
        <f>IFERROR(__xludf.DUMMYFUNCTION("""COMPUTED_VALUE"""),"Northamptonian")</f>
        <v>Northamptonian</v>
      </c>
      <c r="C421" s="15" t="str">
        <f>IFERROR(__xludf.DUMMYFUNCTION("""COMPUTED_VALUE"""),"Northamptonian")</f>
        <v>Northamptonian</v>
      </c>
    </row>
    <row r="422">
      <c r="A422" s="15" t="str">
        <f>IFERROR(__xludf.DUMMYFUNCTION("""COMPUTED_VALUE"""),"Novara")</f>
        <v>Novara</v>
      </c>
      <c r="B422" s="15" t="str">
        <f>IFERROR(__xludf.DUMMYFUNCTION("""COMPUTED_VALUE"""),"Novarese")</f>
        <v>Novarese</v>
      </c>
      <c r="C422" s="15" t="str">
        <f>IFERROR(__xludf.DUMMYFUNCTION("""COMPUTED_VALUE"""),"Novarese")</f>
        <v>Novarese</v>
      </c>
    </row>
    <row r="423">
      <c r="A423" s="15" t="str">
        <f>IFERROR(__xludf.DUMMYFUNCTION("""COMPUTED_VALUE"""),"Nuremberg")</f>
        <v>Nuremberg</v>
      </c>
      <c r="B423" s="15" t="str">
        <f>IFERROR(__xludf.DUMMYFUNCTION("""COMPUTED_VALUE"""),"Nuremberger, Nürnberger")</f>
        <v>Nuremberger, Nürnberger</v>
      </c>
      <c r="C423" s="15" t="str">
        <f>IFERROR(__xludf.DUMMYFUNCTION("""COMPUTED_VALUE"""),"Nuremberger, Nürnberger")</f>
        <v>Nuremberger, Nürnberger</v>
      </c>
    </row>
    <row r="424">
      <c r="A424" s="15" t="str">
        <f>IFERROR(__xludf.DUMMYFUNCTION("""COMPUTED_VALUE"""),"Oakbank")</f>
        <v>Oakbank</v>
      </c>
      <c r="B424" s="15" t="str">
        <f>IFERROR(__xludf.DUMMYFUNCTION("""COMPUTED_VALUE"""),"Oakbankian")</f>
        <v>Oakbankian</v>
      </c>
      <c r="C424" s="15" t="str">
        <f>IFERROR(__xludf.DUMMYFUNCTION("""COMPUTED_VALUE"""),"Oakbankian")</f>
        <v>Oakbankian</v>
      </c>
    </row>
    <row r="425">
      <c r="A425" s="15" t="str">
        <f>IFERROR(__xludf.DUMMYFUNCTION("""COMPUTED_VALUE"""),"Oakland")</f>
        <v>Oakland</v>
      </c>
      <c r="B425" s="15" t="str">
        <f>IFERROR(__xludf.DUMMYFUNCTION("""COMPUTED_VALUE"""),"Oaklander")</f>
        <v>Oaklander</v>
      </c>
      <c r="C425" s="15" t="str">
        <f>IFERROR(__xludf.DUMMYFUNCTION("""COMPUTED_VALUE"""),"Oaklander")</f>
        <v>Oaklander</v>
      </c>
    </row>
    <row r="426">
      <c r="A426" s="15" t="str">
        <f>IFERROR(__xludf.DUMMYFUNCTION("""COMPUTED_VALUE"""),"Oamaru")</f>
        <v>Oamaru</v>
      </c>
      <c r="B426" s="15" t="str">
        <f>IFERROR(__xludf.DUMMYFUNCTION("""COMPUTED_VALUE"""),"Oamaru, Oamaruvian")</f>
        <v>Oamaru, Oamaruvian</v>
      </c>
      <c r="C426" s="15" t="str">
        <f>IFERROR(__xludf.DUMMYFUNCTION("""COMPUTED_VALUE"""),"Oamaruvian")</f>
        <v>Oamaruvian</v>
      </c>
    </row>
    <row r="427">
      <c r="A427" s="15" t="str">
        <f>IFERROR(__xludf.DUMMYFUNCTION("""COMPUTED_VALUE"""),"Oaxaca")</f>
        <v>Oaxaca</v>
      </c>
      <c r="B427" s="15" t="str">
        <f>IFERROR(__xludf.DUMMYFUNCTION("""COMPUTED_VALUE"""),"Oaxacan")</f>
        <v>Oaxacan</v>
      </c>
      <c r="C427" s="15" t="str">
        <f>IFERROR(__xludf.DUMMYFUNCTION("""COMPUTED_VALUE"""),"Oaxaqueño")</f>
        <v>Oaxaqueño</v>
      </c>
    </row>
    <row r="428">
      <c r="A428" s="15" t="str">
        <f>IFERROR(__xludf.DUMMYFUNCTION("""COMPUTED_VALUE"""),"Odesa")</f>
        <v>Odesa</v>
      </c>
      <c r="B428" s="15" t="str">
        <f>IFERROR(__xludf.DUMMYFUNCTION("""COMPUTED_VALUE"""),"Odesan, Odesite, Odessan, Odessite")</f>
        <v>Odesan, Odesite, Odessan, Odessite</v>
      </c>
      <c r="C428" s="15" t="str">
        <f>IFERROR(__xludf.DUMMYFUNCTION("""COMPUTED_VALUE"""),"Odesan, Odesite, Odessan, Odessite, Odesyt (m), Odesytka (f)")</f>
        <v>Odesan, Odesite, Odessan, Odessite, Odesyt (m), Odesytka (f)</v>
      </c>
    </row>
    <row r="429">
      <c r="A429" s="15" t="str">
        <f>IFERROR(__xludf.DUMMYFUNCTION("""COMPUTED_VALUE"""),"Oklahoma City")</f>
        <v>Oklahoma City</v>
      </c>
      <c r="B429" s="15" t="str">
        <f>IFERROR(__xludf.DUMMYFUNCTION("""COMPUTED_VALUE"""),"Oklahoma Cityan, Oklahoma Citian")</f>
        <v>Oklahoma Cityan, Oklahoma Citian</v>
      </c>
      <c r="C429" s="15" t="str">
        <f>IFERROR(__xludf.DUMMYFUNCTION("""COMPUTED_VALUE"""),"Oklahoma Cityan, Oklahoma Citian")</f>
        <v>Oklahoma Cityan, Oklahoma Citian</v>
      </c>
    </row>
    <row r="430">
      <c r="A430" s="15" t="str">
        <f>IFERROR(__xludf.DUMMYFUNCTION("""COMPUTED_VALUE"""),"Omaha")</f>
        <v>Omaha</v>
      </c>
      <c r="B430" s="15" t="str">
        <f>IFERROR(__xludf.DUMMYFUNCTION("""COMPUTED_VALUE"""),"Omahan")</f>
        <v>Omahan</v>
      </c>
      <c r="C430" s="15" t="str">
        <f>IFERROR(__xludf.DUMMYFUNCTION("""COMPUTED_VALUE"""),"Omahan")</f>
        <v>Omahan</v>
      </c>
    </row>
    <row r="431">
      <c r="A431" s="15" t="str">
        <f>IFERROR(__xludf.DUMMYFUNCTION("""COMPUTED_VALUE"""),"Omak")</f>
        <v>Omak</v>
      </c>
      <c r="B431" s="15" t="str">
        <f>IFERROR(__xludf.DUMMYFUNCTION("""COMPUTED_VALUE"""),"Omakian")</f>
        <v>Omakian</v>
      </c>
      <c r="C431" s="15" t="str">
        <f>IFERROR(__xludf.DUMMYFUNCTION("""COMPUTED_VALUE"""),"Omakian[11]")</f>
        <v>Omakian[11]</v>
      </c>
    </row>
    <row r="432">
      <c r="A432" s="15" t="str">
        <f>IFERROR(__xludf.DUMMYFUNCTION("""COMPUTED_VALUE"""),"Ordu")</f>
        <v>Ordu</v>
      </c>
      <c r="B432" s="15" t="str">
        <f>IFERROR(__xludf.DUMMYFUNCTION("""COMPUTED_VALUE"""),"Ordunite")</f>
        <v>Ordunite</v>
      </c>
      <c r="C432" s="15" t="str">
        <f>IFERROR(__xludf.DUMMYFUNCTION("""COMPUTED_VALUE"""),"Ordunite")</f>
        <v>Ordunite</v>
      </c>
    </row>
    <row r="433">
      <c r="A433" s="15" t="str">
        <f>IFERROR(__xludf.DUMMYFUNCTION("""COMPUTED_VALUE"""),"Orléans")</f>
        <v>Orléans</v>
      </c>
      <c r="B433" s="15" t="str">
        <f>IFERROR(__xludf.DUMMYFUNCTION("""COMPUTED_VALUE"""),"Orléanais")</f>
        <v>Orléanais</v>
      </c>
      <c r="C433" s="15" t="str">
        <f>IFERROR(__xludf.DUMMYFUNCTION("""COMPUTED_VALUE"""),"Orléanais")</f>
        <v>Orléanais</v>
      </c>
    </row>
    <row r="434">
      <c r="A434" s="15" t="str">
        <f>IFERROR(__xludf.DUMMYFUNCTION("""COMPUTED_VALUE"""),"Osaka")</f>
        <v>Osaka</v>
      </c>
      <c r="B434" s="15" t="str">
        <f>IFERROR(__xludf.DUMMYFUNCTION("""COMPUTED_VALUE"""),"Osakan")</f>
        <v>Osakan</v>
      </c>
      <c r="C434" s="15" t="str">
        <f>IFERROR(__xludf.DUMMYFUNCTION("""COMPUTED_VALUE"""),"Naniwakko, Osakan")</f>
        <v>Naniwakko, Osakan</v>
      </c>
    </row>
    <row r="435">
      <c r="A435" s="15" t="str">
        <f>IFERROR(__xludf.DUMMYFUNCTION("""COMPUTED_VALUE"""),"Oshawa")</f>
        <v>Oshawa</v>
      </c>
      <c r="B435" s="15" t="str">
        <f>IFERROR(__xludf.DUMMYFUNCTION("""COMPUTED_VALUE"""),"Oshawian")</f>
        <v>Oshawian</v>
      </c>
      <c r="C435" s="15" t="str">
        <f>IFERROR(__xludf.DUMMYFUNCTION("""COMPUTED_VALUE"""),"Oshawian")</f>
        <v>Oshawian</v>
      </c>
    </row>
    <row r="436">
      <c r="A436" s="15" t="str">
        <f>IFERROR(__xludf.DUMMYFUNCTION("""COMPUTED_VALUE"""),"Oslo")</f>
        <v>Oslo</v>
      </c>
      <c r="B436" s="15" t="str">
        <f>IFERROR(__xludf.DUMMYFUNCTION("""COMPUTED_VALUE"""),"Oslovian")</f>
        <v>Oslovian</v>
      </c>
      <c r="C436" s="15" t="str">
        <f>IFERROR(__xludf.DUMMYFUNCTION("""COMPUTED_VALUE"""),"Oslovian, Osloer")</f>
        <v>Oslovian, Osloer</v>
      </c>
    </row>
    <row r="437">
      <c r="A437" s="15" t="str">
        <f>IFERROR(__xludf.DUMMYFUNCTION("""COMPUTED_VALUE"""),"Oswestry")</f>
        <v>Oswestry</v>
      </c>
      <c r="B437" s="15" t="str">
        <f>IFERROR(__xludf.DUMMYFUNCTION("""COMPUTED_VALUE"""),"Oswestrian")</f>
        <v>Oswestrian</v>
      </c>
      <c r="C437" s="15" t="str">
        <f>IFERROR(__xludf.DUMMYFUNCTION("""COMPUTED_VALUE"""),"Oswestrian")</f>
        <v>Oswestrian</v>
      </c>
    </row>
    <row r="438">
      <c r="A438" s="15" t="str">
        <f>IFERROR(__xludf.DUMMYFUNCTION("""COMPUTED_VALUE"""),"Ottawa")</f>
        <v>Ottawa</v>
      </c>
      <c r="B438" s="15" t="str">
        <f>IFERROR(__xludf.DUMMYFUNCTION("""COMPUTED_VALUE"""),"Ottawan")</f>
        <v>Ottawan</v>
      </c>
      <c r="C438" s="15" t="str">
        <f>IFERROR(__xludf.DUMMYFUNCTION("""COMPUTED_VALUE"""),"Ottawan")</f>
        <v>Ottawan</v>
      </c>
    </row>
    <row r="439">
      <c r="A439" s="15" t="str">
        <f>IFERROR(__xludf.DUMMYFUNCTION("""COMPUTED_VALUE"""),"Oxford")</f>
        <v>Oxford</v>
      </c>
      <c r="B439" s="15" t="str">
        <f>IFERROR(__xludf.DUMMYFUNCTION("""COMPUTED_VALUE"""),"Oxonian[l]")</f>
        <v>Oxonian[l]</v>
      </c>
      <c r="C439" s="15" t="str">
        <f>IFERROR(__xludf.DUMMYFUNCTION("""COMPUTED_VALUE"""),"Oxonian[l]")</f>
        <v>Oxonian[l]</v>
      </c>
    </row>
    <row r="440">
      <c r="A440" s="15" t="str">
        <f>IFERROR(__xludf.DUMMYFUNCTION("""COMPUTED_VALUE"""),"Paddock Lake")</f>
        <v>Paddock Lake</v>
      </c>
      <c r="B440" s="15" t="str">
        <f>IFERROR(__xludf.DUMMYFUNCTION("""COMPUTED_VALUE"""),"Paddock Laker")</f>
        <v>Paddock Laker</v>
      </c>
      <c r="C440" s="15" t="str">
        <f>IFERROR(__xludf.DUMMYFUNCTION("""COMPUTED_VALUE"""),"Paddock Laker")</f>
        <v>Paddock Laker</v>
      </c>
    </row>
    <row r="441">
      <c r="A441" s="15" t="str">
        <f>IFERROR(__xludf.DUMMYFUNCTION("""COMPUTED_VALUE"""),"Padua")</f>
        <v>Padua</v>
      </c>
      <c r="B441" s="15" t="str">
        <f>IFERROR(__xludf.DUMMYFUNCTION("""COMPUTED_VALUE"""),"Paduan")</f>
        <v>Paduan</v>
      </c>
      <c r="C441" s="15" t="str">
        <f>IFERROR(__xludf.DUMMYFUNCTION("""COMPUTED_VALUE"""),"Paduan")</f>
        <v>Paduan</v>
      </c>
    </row>
    <row r="442">
      <c r="A442" s="15" t="str">
        <f>IFERROR(__xludf.DUMMYFUNCTION("""COMPUTED_VALUE"""),"Paducah")</f>
        <v>Paducah</v>
      </c>
      <c r="B442" s="15" t="str">
        <f>IFERROR(__xludf.DUMMYFUNCTION("""COMPUTED_VALUE"""),"Paducahan")</f>
        <v>Paducahan</v>
      </c>
      <c r="C442" s="15" t="str">
        <f>IFERROR(__xludf.DUMMYFUNCTION("""COMPUTED_VALUE"""),"Paducahan")</f>
        <v>Paducahan</v>
      </c>
    </row>
    <row r="443">
      <c r="A443" s="15" t="str">
        <f>IFERROR(__xludf.DUMMYFUNCTION("""COMPUTED_VALUE"""),"Paita")</f>
        <v>Paita</v>
      </c>
      <c r="B443" s="15" t="str">
        <f>IFERROR(__xludf.DUMMYFUNCTION("""COMPUTED_VALUE"""),"Paiteño (m), Paiteña (f)")</f>
        <v>Paiteño (m), Paiteña (f)</v>
      </c>
      <c r="C443" s="15" t="str">
        <f>IFERROR(__xludf.DUMMYFUNCTION("""COMPUTED_VALUE"""),"Paiteño (m), Paiteña (f)")</f>
        <v>Paiteño (m), Paiteña (f)</v>
      </c>
    </row>
    <row r="444">
      <c r="A444" s="15" t="str">
        <f>IFERROR(__xludf.DUMMYFUNCTION("""COMPUTED_VALUE"""),"Panaji")</f>
        <v>Panaji</v>
      </c>
      <c r="B444" s="15" t="str">
        <f>IFERROR(__xludf.DUMMYFUNCTION("""COMPUTED_VALUE"""),"Panjimite")</f>
        <v>Panjimite</v>
      </c>
      <c r="C444" s="15" t="str">
        <f>IFERROR(__xludf.DUMMYFUNCTION("""COMPUTED_VALUE"""),"Ponnjekar, Panjimite")</f>
        <v>Ponnjekar, Panjimite</v>
      </c>
    </row>
    <row r="445">
      <c r="A445" s="15" t="str">
        <f>IFERROR(__xludf.DUMMYFUNCTION("""COMPUTED_VALUE"""),"Paphos")</f>
        <v>Paphos</v>
      </c>
      <c r="B445" s="15" t="str">
        <f>IFERROR(__xludf.DUMMYFUNCTION("""COMPUTED_VALUE"""),"Paphian")</f>
        <v>Paphian</v>
      </c>
      <c r="C445" s="15" t="str">
        <f>IFERROR(__xludf.DUMMYFUNCTION("""COMPUTED_VALUE"""),"Paphian")</f>
        <v>Paphian</v>
      </c>
    </row>
    <row r="446">
      <c r="A446" s="15" t="str">
        <f>IFERROR(__xludf.DUMMYFUNCTION("""COMPUTED_VALUE"""),"Palermo")</f>
        <v>Palermo</v>
      </c>
      <c r="B446" s="15" t="str">
        <f>IFERROR(__xludf.DUMMYFUNCTION("""COMPUTED_VALUE"""),"Palermitan")</f>
        <v>Palermitan</v>
      </c>
      <c r="C446" s="15" t="str">
        <f>IFERROR(__xludf.DUMMYFUNCTION("""COMPUTED_VALUE"""),"Palermitan")</f>
        <v>Palermitan</v>
      </c>
    </row>
    <row r="447">
      <c r="A447" s="15" t="str">
        <f>IFERROR(__xludf.DUMMYFUNCTION("""COMPUTED_VALUE"""),"Palmerston North")</f>
        <v>Palmerston North</v>
      </c>
      <c r="B447" s="15" t="str">
        <f>IFERROR(__xludf.DUMMYFUNCTION("""COMPUTED_VALUE"""),"Palmerstonian")</f>
        <v>Palmerstonian</v>
      </c>
      <c r="C447" s="15" t="str">
        <f>IFERROR(__xludf.DUMMYFUNCTION("""COMPUTED_VALUE"""),"Palmerstonian")</f>
        <v>Palmerstonian</v>
      </c>
    </row>
    <row r="448">
      <c r="A448" s="15" t="str">
        <f>IFERROR(__xludf.DUMMYFUNCTION("""COMPUTED_VALUE"""),"Palmyra")</f>
        <v>Palmyra</v>
      </c>
      <c r="B448" s="15" t="str">
        <f>IFERROR(__xludf.DUMMYFUNCTION("""COMPUTED_VALUE"""),"Palmyrene")</f>
        <v>Palmyrene</v>
      </c>
      <c r="C448" s="15" t="str">
        <f>IFERROR(__xludf.DUMMYFUNCTION("""COMPUTED_VALUE"""),"Palmyrene")</f>
        <v>Palmyrene</v>
      </c>
    </row>
    <row r="449">
      <c r="A449" s="15" t="str">
        <f>IFERROR(__xludf.DUMMYFUNCTION("""COMPUTED_VALUE"""),"Paris")</f>
        <v>Paris</v>
      </c>
      <c r="B449" s="15" t="str">
        <f>IFERROR(__xludf.DUMMYFUNCTION("""COMPUTED_VALUE"""),"Parisian")</f>
        <v>Parisian</v>
      </c>
      <c r="C449" s="15" t="str">
        <f>IFERROR(__xludf.DUMMYFUNCTION("""COMPUTED_VALUE"""),"Parisian")</f>
        <v>Parisian</v>
      </c>
    </row>
    <row r="450">
      <c r="A450" s="15" t="str">
        <f>IFERROR(__xludf.DUMMYFUNCTION("""COMPUTED_VALUE"""),"Parma")</f>
        <v>Parma</v>
      </c>
      <c r="B450" s="15" t="str">
        <f>IFERROR(__xludf.DUMMYFUNCTION("""COMPUTED_VALUE"""),"Parmesan")</f>
        <v>Parmesan</v>
      </c>
      <c r="C450" s="15" t="str">
        <f>IFERROR(__xludf.DUMMYFUNCTION("""COMPUTED_VALUE"""),"Parmesan")</f>
        <v>Parmesan</v>
      </c>
    </row>
    <row r="451">
      <c r="A451" s="15" t="str">
        <f>IFERROR(__xludf.DUMMYFUNCTION("""COMPUTED_VALUE"""),"Penang")</f>
        <v>Penang</v>
      </c>
      <c r="B451" s="15" t="str">
        <f>IFERROR(__xludf.DUMMYFUNCTION("""COMPUTED_VALUE"""),"Penangite")</f>
        <v>Penangite</v>
      </c>
      <c r="C451" s="15" t="str">
        <f>IFERROR(__xludf.DUMMYFUNCTION("""COMPUTED_VALUE"""),"Penangite")</f>
        <v>Penangite</v>
      </c>
    </row>
    <row r="452">
      <c r="A452" s="15" t="str">
        <f>IFERROR(__xludf.DUMMYFUNCTION("""COMPUTED_VALUE"""),"Pescara")</f>
        <v>Pescara</v>
      </c>
      <c r="B452" s="15" t="str">
        <f>IFERROR(__xludf.DUMMYFUNCTION("""COMPUTED_VALUE"""),"Pescarese")</f>
        <v>Pescarese</v>
      </c>
      <c r="C452" s="15" t="str">
        <f>IFERROR(__xludf.DUMMYFUNCTION("""COMPUTED_VALUE"""),"Pescarese")</f>
        <v>Pescarese</v>
      </c>
    </row>
    <row r="453">
      <c r="A453" s="15" t="str">
        <f>IFERROR(__xludf.DUMMYFUNCTION("""COMPUTED_VALUE"""),"Perth")</f>
        <v>Perth</v>
      </c>
      <c r="B453" s="15" t="str">
        <f>IFERROR(__xludf.DUMMYFUNCTION("""COMPUTED_VALUE"""),"Perthite, Perthian, Perthling, Perthonality, Pertho, Perthie")</f>
        <v>Perthite, Perthian, Perthling, Perthonality, Pertho, Perthie</v>
      </c>
      <c r="C453" s="15" t="str">
        <f>IFERROR(__xludf.DUMMYFUNCTION("""COMPUTED_VALUE"""),"Perthite, Perthian, Perthling, Perthonality, Perthette")</f>
        <v>Perthite, Perthian, Perthling, Perthonality, Perthette</v>
      </c>
    </row>
    <row r="454">
      <c r="A454" s="15" t="str">
        <f>IFERROR(__xludf.DUMMYFUNCTION("""COMPUTED_VALUE"""),"Perugia")</f>
        <v>Perugia</v>
      </c>
      <c r="B454" s="15" t="str">
        <f>IFERROR(__xludf.DUMMYFUNCTION("""COMPUTED_VALUE"""),"Perugian")</f>
        <v>Perugian</v>
      </c>
      <c r="C454" s="15" t="str">
        <f>IFERROR(__xludf.DUMMYFUNCTION("""COMPUTED_VALUE"""),"Perugian")</f>
        <v>Perugian</v>
      </c>
    </row>
    <row r="455">
      <c r="A455" s="15" t="str">
        <f>IFERROR(__xludf.DUMMYFUNCTION("""COMPUTED_VALUE"""),"Peterborough")</f>
        <v>Peterborough</v>
      </c>
      <c r="B455" s="15" t="str">
        <f>IFERROR(__xludf.DUMMYFUNCTION("""COMPUTED_VALUE"""),"Peterbourian")</f>
        <v>Peterbourian</v>
      </c>
      <c r="C455" s="15" t="str">
        <f>IFERROR(__xludf.DUMMYFUNCTION("""COMPUTED_VALUE"""),"Peterbourian")</f>
        <v>Peterbourian</v>
      </c>
    </row>
    <row r="456">
      <c r="A456" s="15" t="str">
        <f>IFERROR(__xludf.DUMMYFUNCTION("""COMPUTED_VALUE"""),"Philadelphia")</f>
        <v>Philadelphia</v>
      </c>
      <c r="B456" s="15" t="str">
        <f>IFERROR(__xludf.DUMMYFUNCTION("""COMPUTED_VALUE"""),"Philadelphian")</f>
        <v>Philadelphian</v>
      </c>
      <c r="C456" s="15" t="str">
        <f>IFERROR(__xludf.DUMMYFUNCTION("""COMPUTED_VALUE"""),"Philadelphian")</f>
        <v>Philadelphian</v>
      </c>
    </row>
    <row r="457">
      <c r="A457" s="15" t="str">
        <f>IFERROR(__xludf.DUMMYFUNCTION("""COMPUTED_VALUE"""),"Phnom Penh")</f>
        <v>Phnom Penh</v>
      </c>
      <c r="B457" s="15" t="str">
        <f>IFERROR(__xludf.DUMMYFUNCTION("""COMPUTED_VALUE"""),"Phnom Penh")</f>
        <v>Phnom Penh</v>
      </c>
      <c r="C457" s="15" t="str">
        <f>IFERROR(__xludf.DUMMYFUNCTION("""COMPUTED_VALUE"""),"Phnom Penher")</f>
        <v>Phnom Penher</v>
      </c>
    </row>
    <row r="458">
      <c r="A458" s="15" t="str">
        <f>IFERROR(__xludf.DUMMYFUNCTION("""COMPUTED_VALUE"""),"Phoenix")</f>
        <v>Phoenix</v>
      </c>
      <c r="B458" s="15" t="str">
        <f>IFERROR(__xludf.DUMMYFUNCTION("""COMPUTED_VALUE"""),"Phoenician, Phoenixer")</f>
        <v>Phoenician, Phoenixer</v>
      </c>
      <c r="C458" s="15" t="str">
        <f>IFERROR(__xludf.DUMMYFUNCTION("""COMPUTED_VALUE"""),"Phoenician, Phoenixer")</f>
        <v>Phoenician, Phoenixer</v>
      </c>
    </row>
    <row r="459">
      <c r="A459" s="15" t="str">
        <f>IFERROR(__xludf.DUMMYFUNCTION("""COMPUTED_VALUE"""),"Pissouri")</f>
        <v>Pissouri</v>
      </c>
      <c r="B459" s="15" t="str">
        <f>IFERROR(__xludf.DUMMYFUNCTION("""COMPUTED_VALUE"""),"Pissouriti")</f>
        <v>Pissouriti</v>
      </c>
      <c r="C459" s="15" t="str">
        <f>IFERROR(__xludf.DUMMYFUNCTION("""COMPUTED_VALUE"""),"Pissouriti")</f>
        <v>Pissouriti</v>
      </c>
    </row>
    <row r="460">
      <c r="A460" s="15" t="str">
        <f>IFERROR(__xludf.DUMMYFUNCTION("""COMPUTED_VALUE"""),"Pisa")</f>
        <v>Pisa</v>
      </c>
      <c r="B460" s="15" t="str">
        <f>IFERROR(__xludf.DUMMYFUNCTION("""COMPUTED_VALUE"""),"Pisan")</f>
        <v>Pisan</v>
      </c>
      <c r="C460" s="15" t="str">
        <f>IFERROR(__xludf.DUMMYFUNCTION("""COMPUTED_VALUE"""),"Pisan")</f>
        <v>Pisan</v>
      </c>
    </row>
    <row r="461">
      <c r="A461" s="15" t="str">
        <f>IFERROR(__xludf.DUMMYFUNCTION("""COMPUTED_VALUE"""),"Pittsburgh")</f>
        <v>Pittsburgh</v>
      </c>
      <c r="B461" s="15" t="str">
        <f>IFERROR(__xludf.DUMMYFUNCTION("""COMPUTED_VALUE"""),"Pittsburgher")</f>
        <v>Pittsburgher</v>
      </c>
      <c r="C461" s="15" t="str">
        <f>IFERROR(__xludf.DUMMYFUNCTION("""COMPUTED_VALUE"""),"Pittsburgher, Yinzer")</f>
        <v>Pittsburgher, Yinzer</v>
      </c>
    </row>
    <row r="462">
      <c r="A462" s="15" t="str">
        <f>IFERROR(__xludf.DUMMYFUNCTION("""COMPUTED_VALUE"""),"Plymouth")</f>
        <v>Plymouth</v>
      </c>
      <c r="B462" s="15" t="str">
        <f>IFERROR(__xludf.DUMMYFUNCTION("""COMPUTED_VALUE"""),"Plymothian")</f>
        <v>Plymothian</v>
      </c>
      <c r="C462" s="15" t="str">
        <f>IFERROR(__xludf.DUMMYFUNCTION("""COMPUTED_VALUE"""),"Plymothian, Janner")</f>
        <v>Plymothian, Janner</v>
      </c>
    </row>
    <row r="463">
      <c r="A463" s="15" t="str">
        <f>IFERROR(__xludf.DUMMYFUNCTION("""COMPUTED_VALUE"""),"Pohang")</f>
        <v>Pohang</v>
      </c>
      <c r="B463" s="15" t="str">
        <f>IFERROR(__xludf.DUMMYFUNCTION("""COMPUTED_VALUE"""),"Pohang")</f>
        <v>Pohang</v>
      </c>
      <c r="C463" s="15" t="str">
        <f>IFERROR(__xludf.DUMMYFUNCTION("""COMPUTED_VALUE"""),"Pohangite")</f>
        <v>Pohangite</v>
      </c>
    </row>
    <row r="464">
      <c r="A464" s="15" t="str">
        <f>IFERROR(__xludf.DUMMYFUNCTION("""COMPUTED_VALUE"""),"Polmont")</f>
        <v>Polmont</v>
      </c>
      <c r="B464" s="15" t="str">
        <f>IFERROR(__xludf.DUMMYFUNCTION("""COMPUTED_VALUE"""),"Polmontarian")</f>
        <v>Polmontarian</v>
      </c>
      <c r="C464" s="15" t="str">
        <f>IFERROR(__xludf.DUMMYFUNCTION("""COMPUTED_VALUE"""),"Polmontarian")</f>
        <v>Polmontarian</v>
      </c>
    </row>
    <row r="465">
      <c r="A465" s="15" t="str">
        <f>IFERROR(__xludf.DUMMYFUNCTION("""COMPUTED_VALUE"""),"Pompeii")</f>
        <v>Pompeii</v>
      </c>
      <c r="B465" s="15" t="str">
        <f>IFERROR(__xludf.DUMMYFUNCTION("""COMPUTED_VALUE"""),"Pompeian, Pompeiian")</f>
        <v>Pompeian, Pompeiian</v>
      </c>
      <c r="C465" s="15" t="str">
        <f>IFERROR(__xludf.DUMMYFUNCTION("""COMPUTED_VALUE"""),"Pompeian, Pompeiian")</f>
        <v>Pompeian, Pompeiian</v>
      </c>
    </row>
    <row r="466">
      <c r="A466" s="15" t="str">
        <f>IFERROR(__xludf.DUMMYFUNCTION("""COMPUTED_VALUE"""),"Ponferrada")</f>
        <v>Ponferrada</v>
      </c>
      <c r="B466" s="15" t="str">
        <f>IFERROR(__xludf.DUMMYFUNCTION("""COMPUTED_VALUE"""),"Ponferradian")</f>
        <v>Ponferradian</v>
      </c>
      <c r="C466" s="15" t="str">
        <f>IFERROR(__xludf.DUMMYFUNCTION("""COMPUTED_VALUE"""),"Ponferradian")</f>
        <v>Ponferradian</v>
      </c>
    </row>
    <row r="467">
      <c r="A467" s="15" t="str">
        <f>IFERROR(__xludf.DUMMYFUNCTION("""COMPUTED_VALUE"""),"Pont-à-Mousson")</f>
        <v>Pont-à-Mousson</v>
      </c>
      <c r="B467" s="15" t="str">
        <f>IFERROR(__xludf.DUMMYFUNCTION("""COMPUTED_VALUE"""),"Mussipontain")</f>
        <v>Mussipontain</v>
      </c>
      <c r="C467" s="15" t="str">
        <f>IFERROR(__xludf.DUMMYFUNCTION("""COMPUTED_VALUE"""),"Mussipontain")</f>
        <v>Mussipontain</v>
      </c>
    </row>
    <row r="468">
      <c r="A468" s="15" t="str">
        <f>IFERROR(__xludf.DUMMYFUNCTION("""COMPUTED_VALUE"""),"Port-au-Prince")</f>
        <v>Port-au-Prince</v>
      </c>
      <c r="B468" s="15" t="str">
        <f>IFERROR(__xludf.DUMMYFUNCTION("""COMPUTED_VALUE"""),"Port-au-Princien")</f>
        <v>Port-au-Princien</v>
      </c>
      <c r="C468" s="15" t="str">
        <f>IFERROR(__xludf.DUMMYFUNCTION("""COMPUTED_VALUE"""),"Port-au-Princien")</f>
        <v>Port-au-Princien</v>
      </c>
    </row>
    <row r="469">
      <c r="A469" s="15" t="str">
        <f>IFERROR(__xludf.DUMMYFUNCTION("""COMPUTED_VALUE"""),"Port Harcourt")</f>
        <v>Port Harcourt</v>
      </c>
      <c r="B469" s="15" t="str">
        <f>IFERROR(__xludf.DUMMYFUNCTION("""COMPUTED_VALUE"""),"Harcourtian, Port Harcourtian")</f>
        <v>Harcourtian, Port Harcourtian</v>
      </c>
      <c r="C469" s="15" t="str">
        <f>IFERROR(__xludf.DUMMYFUNCTION("""COMPUTED_VALUE"""),"Harcourtian, Port Harcourtian")</f>
        <v>Harcourtian, Port Harcourtian</v>
      </c>
    </row>
    <row r="470">
      <c r="A470" s="15" t="str">
        <f>IFERROR(__xludf.DUMMYFUNCTION("""COMPUTED_VALUE"""),"Port Moresby")</f>
        <v>Port Moresby</v>
      </c>
      <c r="B470" s="15" t="str">
        <f>IFERROR(__xludf.DUMMYFUNCTION("""COMPUTED_VALUE"""),"Port Moresbian")</f>
        <v>Port Moresbian</v>
      </c>
      <c r="C470" s="15" t="str">
        <f>IFERROR(__xludf.DUMMYFUNCTION("""COMPUTED_VALUE"""),"Port Moresbian")</f>
        <v>Port Moresbian</v>
      </c>
    </row>
    <row r="471">
      <c r="A471" s="15" t="str">
        <f>IFERROR(__xludf.DUMMYFUNCTION("""COMPUTED_VALUE"""),"Porto")</f>
        <v>Porto</v>
      </c>
      <c r="B471" s="15" t="str">
        <f>IFERROR(__xludf.DUMMYFUNCTION("""COMPUTED_VALUE"""),"Portuense")</f>
        <v>Portuense</v>
      </c>
      <c r="C471" s="15" t="str">
        <f>IFERROR(__xludf.DUMMYFUNCTION("""COMPUTED_VALUE"""),"Portuense, Tripeiro")</f>
        <v>Portuense, Tripeiro</v>
      </c>
    </row>
    <row r="472">
      <c r="A472" s="15" t="str">
        <f>IFERROR(__xludf.DUMMYFUNCTION("""COMPUTED_VALUE"""),"Podgorica")</f>
        <v>Podgorica</v>
      </c>
      <c r="B472" s="15" t="str">
        <f>IFERROR(__xludf.DUMMYFUNCTION("""COMPUTED_VALUE"""),"Podgorician")</f>
        <v>Podgorician</v>
      </c>
      <c r="C472" s="15" t="str">
        <f>IFERROR(__xludf.DUMMYFUNCTION("""COMPUTED_VALUE"""),"Podgorician")</f>
        <v>Podgorician</v>
      </c>
    </row>
    <row r="473">
      <c r="A473" s="15" t="str">
        <f>IFERROR(__xludf.DUMMYFUNCTION("""COMPUTED_VALUE"""),"Porto Alegre")</f>
        <v>Porto Alegre</v>
      </c>
      <c r="B473" s="15" t="str">
        <f>IFERROR(__xludf.DUMMYFUNCTION("""COMPUTED_VALUE"""),"Porto-alegrense")</f>
        <v>Porto-alegrense</v>
      </c>
      <c r="C473" s="15" t="str">
        <f>IFERROR(__xludf.DUMMYFUNCTION("""COMPUTED_VALUE"""),"Porto-alegrense")</f>
        <v>Porto-alegrense</v>
      </c>
    </row>
    <row r="474">
      <c r="A474" s="15" t="str">
        <f>IFERROR(__xludf.DUMMYFUNCTION("""COMPUTED_VALUE"""),"Porto Cheli")</f>
        <v>Porto Cheli</v>
      </c>
      <c r="B474" s="15" t="str">
        <f>IFERROR(__xludf.DUMMYFUNCTION("""COMPUTED_VALUE"""),"Porto-Cheliki")</f>
        <v>Porto-Cheliki</v>
      </c>
      <c r="C474" s="15" t="str">
        <f>IFERROR(__xludf.DUMMYFUNCTION("""COMPUTED_VALUE"""),"Porto-Cheliki")</f>
        <v>Porto-Cheliki</v>
      </c>
    </row>
    <row r="475">
      <c r="A475" s="15" t="str">
        <f>IFERROR(__xludf.DUMMYFUNCTION("""COMPUTED_VALUE"""),"Portland")</f>
        <v>Portland</v>
      </c>
      <c r="B475" s="15" t="str">
        <f>IFERROR(__xludf.DUMMYFUNCTION("""COMPUTED_VALUE"""),"Portlander")</f>
        <v>Portlander</v>
      </c>
      <c r="C475" s="15" t="str">
        <f>IFERROR(__xludf.DUMMYFUNCTION("""COMPUTED_VALUE"""),"Portlander")</f>
        <v>Portlander</v>
      </c>
    </row>
    <row r="476">
      <c r="A476" s="15" t="str">
        <f>IFERROR(__xludf.DUMMYFUNCTION("""COMPUTED_VALUE"""),"Portsmouth")</f>
        <v>Portsmouth</v>
      </c>
      <c r="B476" s="15" t="str">
        <f>IFERROR(__xludf.DUMMYFUNCTION("""COMPUTED_VALUE"""),"Portsmouthian")</f>
        <v>Portsmouthian</v>
      </c>
      <c r="C476" s="15" t="str">
        <f>IFERROR(__xludf.DUMMYFUNCTION("""COMPUTED_VALUE"""),"Portsmouthian")</f>
        <v>Portsmouthian</v>
      </c>
    </row>
    <row r="477">
      <c r="A477" s="15" t="str">
        <f>IFERROR(__xludf.DUMMYFUNCTION("""COMPUTED_VALUE"""),"Prague")</f>
        <v>Prague</v>
      </c>
      <c r="B477" s="15" t="str">
        <f>IFERROR(__xludf.DUMMYFUNCTION("""COMPUTED_VALUE"""),"Praguer")</f>
        <v>Praguer</v>
      </c>
      <c r="C477" s="15" t="str">
        <f>IFERROR(__xludf.DUMMYFUNCTION("""COMPUTED_VALUE"""),"Praguer")</f>
        <v>Praguer</v>
      </c>
    </row>
    <row r="478">
      <c r="A478" s="15" t="str">
        <f>IFERROR(__xludf.DUMMYFUNCTION("""COMPUTED_VALUE"""),"Preston")</f>
        <v>Preston</v>
      </c>
      <c r="B478" s="15" t="str">
        <f>IFERROR(__xludf.DUMMYFUNCTION("""COMPUTED_VALUE"""),"Prestonian")</f>
        <v>Prestonian</v>
      </c>
      <c r="C478" s="15" t="str">
        <f>IFERROR(__xludf.DUMMYFUNCTION("""COMPUTED_VALUE"""),"Prestonian")</f>
        <v>Prestonian</v>
      </c>
    </row>
    <row r="479">
      <c r="A479" s="15" t="str">
        <f>IFERROR(__xludf.DUMMYFUNCTION("""COMPUTED_VALUE"""),"Pripyat")</f>
        <v>Pripyat</v>
      </c>
      <c r="B479" s="15" t="str">
        <f>IFERROR(__xludf.DUMMYFUNCTION("""COMPUTED_VALUE"""),"Pripyatin")</f>
        <v>Pripyatin</v>
      </c>
      <c r="C479" s="15" t="str">
        <f>IFERROR(__xludf.DUMMYFUNCTION("""COMPUTED_VALUE"""),"Pripyatin")</f>
        <v>Pripyatin</v>
      </c>
    </row>
    <row r="480">
      <c r="A480" s="15" t="str">
        <f>IFERROR(__xludf.DUMMYFUNCTION("""COMPUTED_VALUE"""),"Pristina")</f>
        <v>Pristina</v>
      </c>
      <c r="B480" s="15"/>
      <c r="C480" s="15" t="str">
        <f>IFERROR(__xludf.DUMMYFUNCTION("""COMPUTED_VALUE"""),"Prishtinali, Prishtina, Prištinci, Prištevci")</f>
        <v>Prishtinali, Prishtina, Prištinci, Prištevci</v>
      </c>
    </row>
    <row r="481">
      <c r="A481" s="15" t="str">
        <f>IFERROR(__xludf.DUMMYFUNCTION("""COMPUTED_VALUE"""),"Providence")</f>
        <v>Providence</v>
      </c>
      <c r="B481" s="15" t="str">
        <f>IFERROR(__xludf.DUMMYFUNCTION("""COMPUTED_VALUE"""),"Providentian")</f>
        <v>Providentian</v>
      </c>
      <c r="C481" s="15" t="str">
        <f>IFERROR(__xludf.DUMMYFUNCTION("""COMPUTED_VALUE"""),"Providentian")</f>
        <v>Providentian</v>
      </c>
    </row>
    <row r="482">
      <c r="A482" s="15" t="str">
        <f>IFERROR(__xludf.DUMMYFUNCTION("""COMPUTED_VALUE"""),"Provo")</f>
        <v>Provo</v>
      </c>
      <c r="B482" s="15" t="str">
        <f>IFERROR(__xludf.DUMMYFUNCTION("""COMPUTED_VALUE"""),"Provoan")</f>
        <v>Provoan</v>
      </c>
      <c r="C482" s="15" t="str">
        <f>IFERROR(__xludf.DUMMYFUNCTION("""COMPUTED_VALUE"""),"Provoan")</f>
        <v>Provoan</v>
      </c>
    </row>
    <row r="483">
      <c r="A483" s="15" t="str">
        <f>IFERROR(__xludf.DUMMYFUNCTION("""COMPUTED_VALUE"""),"Puebla")</f>
        <v>Puebla</v>
      </c>
      <c r="B483" s="15" t="str">
        <f>IFERROR(__xludf.DUMMYFUNCTION("""COMPUTED_VALUE"""),"Poblano")</f>
        <v>Poblano</v>
      </c>
      <c r="C483" s="15" t="str">
        <f>IFERROR(__xludf.DUMMYFUNCTION("""COMPUTED_VALUE"""),"Poblano")</f>
        <v>Poblano</v>
      </c>
    </row>
    <row r="484">
      <c r="A484" s="15" t="str">
        <f>IFERROR(__xludf.DUMMYFUNCTION("""COMPUTED_VALUE"""),"Punta Arenas")</f>
        <v>Punta Arenas</v>
      </c>
      <c r="B484" s="15" t="str">
        <f>IFERROR(__xludf.DUMMYFUNCTION("""COMPUTED_VALUE"""),"Puntarenian")</f>
        <v>Puntarenian</v>
      </c>
      <c r="C484" s="15" t="str">
        <f>IFERROR(__xludf.DUMMYFUNCTION("""COMPUTED_VALUE"""),"Puntarenian")</f>
        <v>Puntarenian</v>
      </c>
    </row>
    <row r="485">
      <c r="A485" s="15" t="str">
        <f>IFERROR(__xludf.DUMMYFUNCTION("""COMPUTED_VALUE"""),"Pylos")</f>
        <v>Pylos</v>
      </c>
      <c r="B485" s="15" t="str">
        <f>IFERROR(__xludf.DUMMYFUNCTION("""COMPUTED_VALUE"""),"Pylian")</f>
        <v>Pylian</v>
      </c>
      <c r="C485" s="15" t="str">
        <f>IFERROR(__xludf.DUMMYFUNCTION("""COMPUTED_VALUE"""),"Pylian")</f>
        <v>Pylian</v>
      </c>
    </row>
    <row r="486">
      <c r="A486" s="15" t="str">
        <f>IFERROR(__xludf.DUMMYFUNCTION("""COMPUTED_VALUE"""),"Quebec City")</f>
        <v>Quebec City</v>
      </c>
      <c r="B486" s="15" t="str">
        <f>IFERROR(__xludf.DUMMYFUNCTION("""COMPUTED_VALUE"""),"Québécois[m]")</f>
        <v>Québécois[m]</v>
      </c>
      <c r="C486" s="15" t="str">
        <f>IFERROR(__xludf.DUMMYFUNCTION("""COMPUTED_VALUE"""),"Québécois[m]")</f>
        <v>Québécois[m]</v>
      </c>
    </row>
    <row r="487">
      <c r="A487" s="15" t="str">
        <f>IFERROR(__xludf.DUMMYFUNCTION("""COMPUTED_VALUE"""),"Quito")</f>
        <v>Quito</v>
      </c>
      <c r="B487" s="15" t="str">
        <f>IFERROR(__xludf.DUMMYFUNCTION("""COMPUTED_VALUE"""),"Quitonian")</f>
        <v>Quitonian</v>
      </c>
      <c r="C487" s="15" t="str">
        <f>IFERROR(__xludf.DUMMYFUNCTION("""COMPUTED_VALUE"""),"Quiteño (m), Quiteña (f)")</f>
        <v>Quiteño (m), Quiteña (f)</v>
      </c>
    </row>
    <row r="488">
      <c r="A488" s="15" t="str">
        <f>IFERROR(__xludf.DUMMYFUNCTION("""COMPUTED_VALUE"""),"Rajshahi")</f>
        <v>Rajshahi</v>
      </c>
      <c r="B488" s="15" t="str">
        <f>IFERROR(__xludf.DUMMYFUNCTION("""COMPUTED_VALUE"""),"Rajshahiyo")</f>
        <v>Rajshahiyo</v>
      </c>
      <c r="C488" s="15" t="str">
        <f>IFERROR(__xludf.DUMMYFUNCTION("""COMPUTED_VALUE"""),"Rajshahiya, Rajshahiyo")</f>
        <v>Rajshahiya, Rajshahiyo</v>
      </c>
    </row>
    <row r="489">
      <c r="A489" s="15" t="str">
        <f>IFERROR(__xludf.DUMMYFUNCTION("""COMPUTED_VALUE"""),"Radnor")</f>
        <v>Radnor</v>
      </c>
      <c r="B489" s="15" t="str">
        <f>IFERROR(__xludf.DUMMYFUNCTION("""COMPUTED_VALUE"""),"Radnorian")</f>
        <v>Radnorian</v>
      </c>
      <c r="C489" s="15" t="str">
        <f>IFERROR(__xludf.DUMMYFUNCTION("""COMPUTED_VALUE"""),"Radnorian")</f>
        <v>Radnorian</v>
      </c>
    </row>
    <row r="490">
      <c r="A490" s="15" t="str">
        <f>IFERROR(__xludf.DUMMYFUNCTION("""COMPUTED_VALUE"""),"Raleigh")</f>
        <v>Raleigh</v>
      </c>
      <c r="B490" s="15" t="str">
        <f>IFERROR(__xludf.DUMMYFUNCTION("""COMPUTED_VALUE"""),"Raleighite")</f>
        <v>Raleighite</v>
      </c>
      <c r="C490" s="15" t="str">
        <f>IFERROR(__xludf.DUMMYFUNCTION("""COMPUTED_VALUE"""),"Raleighite")</f>
        <v>Raleighite</v>
      </c>
    </row>
    <row r="491">
      <c r="A491" s="15" t="str">
        <f>IFERROR(__xludf.DUMMYFUNCTION("""COMPUTED_VALUE"""),"Randall")</f>
        <v>Randall</v>
      </c>
      <c r="B491" s="15" t="str">
        <f>IFERROR(__xludf.DUMMYFUNCTION("""COMPUTED_VALUE"""),"Randallite")</f>
        <v>Randallite</v>
      </c>
      <c r="C491" s="15" t="str">
        <f>IFERROR(__xludf.DUMMYFUNCTION("""COMPUTED_VALUE"""),"Randallite")</f>
        <v>Randallite</v>
      </c>
    </row>
    <row r="492">
      <c r="A492" s="15" t="str">
        <f>IFERROR(__xludf.DUMMYFUNCTION("""COMPUTED_VALUE"""),"Rangpur City")</f>
        <v>Rangpur City</v>
      </c>
      <c r="B492" s="15" t="str">
        <f>IFERROR(__xludf.DUMMYFUNCTION("""COMPUTED_VALUE"""),"Rangpuri")</f>
        <v>Rangpuri</v>
      </c>
      <c r="C492" s="15" t="str">
        <f>IFERROR(__xludf.DUMMYFUNCTION("""COMPUTED_VALUE"""),"Rongpuri, Rangpuri")</f>
        <v>Rongpuri, Rangpuri</v>
      </c>
    </row>
    <row r="493">
      <c r="A493" s="15" t="str">
        <f>IFERROR(__xludf.DUMMYFUNCTION("""COMPUTED_VALUE"""),"Reading")</f>
        <v>Reading</v>
      </c>
      <c r="B493" s="15" t="str">
        <f>IFERROR(__xludf.DUMMYFUNCTION("""COMPUTED_VALUE"""),"Readingite")</f>
        <v>Readingite</v>
      </c>
      <c r="C493" s="15" t="str">
        <f>IFERROR(__xludf.DUMMYFUNCTION("""COMPUTED_VALUE"""),"Readingite")</f>
        <v>Readingite</v>
      </c>
    </row>
    <row r="494">
      <c r="A494" s="15" t="str">
        <f>IFERROR(__xludf.DUMMYFUNCTION("""COMPUTED_VALUE"""),"Red Deer")</f>
        <v>Red Deer</v>
      </c>
      <c r="B494" s="15" t="str">
        <f>IFERROR(__xludf.DUMMYFUNCTION("""COMPUTED_VALUE"""),"Red Deerian")</f>
        <v>Red Deerian</v>
      </c>
      <c r="C494" s="15" t="str">
        <f>IFERROR(__xludf.DUMMYFUNCTION("""COMPUTED_VALUE"""),"Red Deerian")</f>
        <v>Red Deerian</v>
      </c>
    </row>
    <row r="495">
      <c r="A495" s="15" t="str">
        <f>IFERROR(__xludf.DUMMYFUNCTION("""COMPUTED_VALUE"""),"Regina")</f>
        <v>Regina</v>
      </c>
      <c r="B495" s="15" t="str">
        <f>IFERROR(__xludf.DUMMYFUNCTION("""COMPUTED_VALUE"""),"Regina, Reginan")</f>
        <v>Regina, Reginan</v>
      </c>
      <c r="C495" s="15" t="str">
        <f>IFERROR(__xludf.DUMMYFUNCTION("""COMPUTED_VALUE"""),"Reginan")</f>
        <v>Reginan</v>
      </c>
    </row>
    <row r="496">
      <c r="A496" s="15" t="str">
        <f>IFERROR(__xludf.DUMMYFUNCTION("""COMPUTED_VALUE"""),"Reno")</f>
        <v>Reno</v>
      </c>
      <c r="B496" s="15" t="str">
        <f>IFERROR(__xludf.DUMMYFUNCTION("""COMPUTED_VALUE"""),"Renoite")</f>
        <v>Renoite</v>
      </c>
      <c r="C496" s="15" t="str">
        <f>IFERROR(__xludf.DUMMYFUNCTION("""COMPUTED_VALUE"""),"Renoite, Riennese, Renal")</f>
        <v>Renoite, Riennese, Renal</v>
      </c>
    </row>
    <row r="497">
      <c r="A497" s="15" t="str">
        <f>IFERROR(__xludf.DUMMYFUNCTION("""COMPUTED_VALUE"""),"Rethymno")</f>
        <v>Rethymno</v>
      </c>
      <c r="B497" s="15" t="str">
        <f>IFERROR(__xludf.DUMMYFUNCTION("""COMPUTED_VALUE"""),"Rethymnian")</f>
        <v>Rethymnian</v>
      </c>
      <c r="C497" s="15" t="str">
        <f>IFERROR(__xludf.DUMMYFUNCTION("""COMPUTED_VALUE"""),"Rethymnian")</f>
        <v>Rethymnian</v>
      </c>
    </row>
    <row r="498">
      <c r="A498" s="15" t="str">
        <f>IFERROR(__xludf.DUMMYFUNCTION("""COMPUTED_VALUE"""),"Reims (Rheims)")</f>
        <v>Reims (Rheims)</v>
      </c>
      <c r="B498" s="15" t="str">
        <f>IFERROR(__xludf.DUMMYFUNCTION("""COMPUTED_VALUE"""),"Rémois, Cornichon")</f>
        <v>Rémois, Cornichon</v>
      </c>
      <c r="C498" s="15" t="str">
        <f>IFERROR(__xludf.DUMMYFUNCTION("""COMPUTED_VALUE"""),"Rémois")</f>
        <v>Rémois</v>
      </c>
    </row>
    <row r="499">
      <c r="A499" s="15" t="str">
        <f>IFERROR(__xludf.DUMMYFUNCTION("""COMPUTED_VALUE"""),"Reykjavík")</f>
        <v>Reykjavík</v>
      </c>
      <c r="B499" s="15" t="str">
        <f>IFERROR(__xludf.DUMMYFUNCTION("""COMPUTED_VALUE"""),"Reykjavikian")</f>
        <v>Reykjavikian</v>
      </c>
      <c r="C499" s="15" t="str">
        <f>IFERROR(__xludf.DUMMYFUNCTION("""COMPUTED_VALUE"""),"Reykjavikian")</f>
        <v>Reykjavikian</v>
      </c>
    </row>
    <row r="500">
      <c r="A500" s="15" t="str">
        <f>IFERROR(__xludf.DUMMYFUNCTION("""COMPUTED_VALUE"""),"Ribeirão Preto")</f>
        <v>Ribeirão Preto</v>
      </c>
      <c r="B500" s="15" t="str">
        <f>IFERROR(__xludf.DUMMYFUNCTION("""COMPUTED_VALUE"""),"Ribeirão Pretano")</f>
        <v>Ribeirão Pretano</v>
      </c>
      <c r="C500" s="15" t="str">
        <f>IFERROR(__xludf.DUMMYFUNCTION("""COMPUTED_VALUE"""),"Ribeirão Pretano")</f>
        <v>Ribeirão Pretano</v>
      </c>
    </row>
    <row r="501">
      <c r="A501" s="15" t="str">
        <f>IFERROR(__xludf.DUMMYFUNCTION("""COMPUTED_VALUE"""),"Richmond")</f>
        <v>Richmond</v>
      </c>
      <c r="B501" s="15" t="str">
        <f>IFERROR(__xludf.DUMMYFUNCTION("""COMPUTED_VALUE"""),"Richmonder")</f>
        <v>Richmonder</v>
      </c>
      <c r="C501" s="15" t="str">
        <f>IFERROR(__xludf.DUMMYFUNCTION("""COMPUTED_VALUE"""),"Richmonder")</f>
        <v>Richmonder</v>
      </c>
    </row>
    <row r="502">
      <c r="A502" s="15" t="str">
        <f>IFERROR(__xludf.DUMMYFUNCTION("""COMPUTED_VALUE"""),"Riga")</f>
        <v>Riga</v>
      </c>
      <c r="B502" s="15" t="str">
        <f>IFERROR(__xludf.DUMMYFUNCTION("""COMPUTED_VALUE"""),"Rigan")</f>
        <v>Rigan</v>
      </c>
      <c r="C502" s="15" t="str">
        <f>IFERROR(__xludf.DUMMYFUNCTION("""COMPUTED_VALUE"""),"Rigan")</f>
        <v>Rigan</v>
      </c>
    </row>
    <row r="503">
      <c r="A503" s="15" t="str">
        <f>IFERROR(__xludf.DUMMYFUNCTION("""COMPUTED_VALUE"""),"Rio de Janeiro")</f>
        <v>Rio de Janeiro</v>
      </c>
      <c r="B503" s="15" t="str">
        <f>IFERROR(__xludf.DUMMYFUNCTION("""COMPUTED_VALUE"""),"Carioca")</f>
        <v>Carioca</v>
      </c>
      <c r="C503" s="15" t="str">
        <f>IFERROR(__xludf.DUMMYFUNCTION("""COMPUTED_VALUE"""),"Carioca")</f>
        <v>Carioca</v>
      </c>
    </row>
    <row r="504">
      <c r="A504" s="15" t="str">
        <f>IFERROR(__xludf.DUMMYFUNCTION("""COMPUTED_VALUE"""),"Rhodes")</f>
        <v>Rhodes</v>
      </c>
      <c r="B504" s="15" t="str">
        <f>IFERROR(__xludf.DUMMYFUNCTION("""COMPUTED_VALUE"""),"Rhodian")</f>
        <v>Rhodian</v>
      </c>
      <c r="C504" s="15" t="str">
        <f>IFERROR(__xludf.DUMMYFUNCTION("""COMPUTED_VALUE"""),"Rhodian")</f>
        <v>Rhodian</v>
      </c>
    </row>
    <row r="505">
      <c r="A505" s="15" t="str">
        <f>IFERROR(__xludf.DUMMYFUNCTION("""COMPUTED_VALUE"""),"Roanoke")</f>
        <v>Roanoke</v>
      </c>
      <c r="B505" s="15" t="str">
        <f>IFERROR(__xludf.DUMMYFUNCTION("""COMPUTED_VALUE"""),"Roanoker")</f>
        <v>Roanoker</v>
      </c>
      <c r="C505" s="15" t="str">
        <f>IFERROR(__xludf.DUMMYFUNCTION("""COMPUTED_VALUE"""),"Roanoker")</f>
        <v>Roanoker</v>
      </c>
    </row>
    <row r="506">
      <c r="A506" s="15" t="str">
        <f>IFERROR(__xludf.DUMMYFUNCTION("""COMPUTED_VALUE"""),"Rochester")</f>
        <v>Rochester</v>
      </c>
      <c r="B506" s="15" t="str">
        <f>IFERROR(__xludf.DUMMYFUNCTION("""COMPUTED_VALUE"""),"Rochesterian")</f>
        <v>Rochesterian</v>
      </c>
      <c r="C506" s="15" t="str">
        <f>IFERROR(__xludf.DUMMYFUNCTION("""COMPUTED_VALUE"""),"Rochesterian")</f>
        <v>Rochesterian</v>
      </c>
    </row>
    <row r="507">
      <c r="A507" s="15" t="str">
        <f>IFERROR(__xludf.DUMMYFUNCTION("""COMPUTED_VALUE"""),"Rockhampton")</f>
        <v>Rockhampton</v>
      </c>
      <c r="B507" s="15" t="str">
        <f>IFERROR(__xludf.DUMMYFUNCTION("""COMPUTED_VALUE"""),"Rockhampton")</f>
        <v>Rockhampton</v>
      </c>
      <c r="C507" s="15" t="str">
        <f>IFERROR(__xludf.DUMMYFUNCTION("""COMPUTED_VALUE"""),"Rockhamptonite")</f>
        <v>Rockhamptonite</v>
      </c>
    </row>
    <row r="508">
      <c r="A508" s="15" t="str">
        <f>IFERROR(__xludf.DUMMYFUNCTION("""COMPUTED_VALUE"""),"Rome")</f>
        <v>Rome</v>
      </c>
      <c r="B508" s="15" t="str">
        <f>IFERROR(__xludf.DUMMYFUNCTION("""COMPUTED_VALUE"""),"Roman")</f>
        <v>Roman</v>
      </c>
      <c r="C508" s="15" t="str">
        <f>IFERROR(__xludf.DUMMYFUNCTION("""COMPUTED_VALUE"""),"Roman")</f>
        <v>Roman</v>
      </c>
    </row>
    <row r="509">
      <c r="A509" s="15" t="str">
        <f>IFERROR(__xludf.DUMMYFUNCTION("""COMPUTED_VALUE"""),"Rotorua")</f>
        <v>Rotorua</v>
      </c>
      <c r="B509" s="15" t="str">
        <f>IFERROR(__xludf.DUMMYFUNCTION("""COMPUTED_VALUE"""),"Rotoruan")</f>
        <v>Rotoruan</v>
      </c>
      <c r="C509" s="15" t="str">
        <f>IFERROR(__xludf.DUMMYFUNCTION("""COMPUTED_VALUE"""),"Rotoruan")</f>
        <v>Rotoruan</v>
      </c>
    </row>
    <row r="510">
      <c r="A510" s="15" t="str">
        <f>IFERROR(__xludf.DUMMYFUNCTION("""COMPUTED_VALUE"""),"Rotterdam")</f>
        <v>Rotterdam</v>
      </c>
      <c r="B510" s="15" t="str">
        <f>IFERROR(__xludf.DUMMYFUNCTION("""COMPUTED_VALUE"""),"Rotter")</f>
        <v>Rotter</v>
      </c>
      <c r="C510" s="15" t="str">
        <f>IFERROR(__xludf.DUMMYFUNCTION("""COMPUTED_VALUE"""),"Rotterdammer")</f>
        <v>Rotterdammer</v>
      </c>
    </row>
    <row r="511">
      <c r="A511" s="15" t="str">
        <f>IFERROR(__xludf.DUMMYFUNCTION("""COMPUTED_VALUE"""),"Rouen")</f>
        <v>Rouen</v>
      </c>
      <c r="B511" s="15" t="str">
        <f>IFERROR(__xludf.DUMMYFUNCTION("""COMPUTED_VALUE"""),"Rouennais")</f>
        <v>Rouennais</v>
      </c>
      <c r="C511" s="15" t="str">
        <f>IFERROR(__xludf.DUMMYFUNCTION("""COMPUTED_VALUE"""),"Rouennais")</f>
        <v>Rouennais</v>
      </c>
    </row>
    <row r="512">
      <c r="A512" s="15" t="str">
        <f>IFERROR(__xludf.DUMMYFUNCTION("""COMPUTED_VALUE"""),"Rye")</f>
        <v>Rye</v>
      </c>
      <c r="B512" s="15" t="str">
        <f>IFERROR(__xludf.DUMMYFUNCTION("""COMPUTED_VALUE"""),"Ryer")</f>
        <v>Ryer</v>
      </c>
      <c r="C512" s="15" t="str">
        <f>IFERROR(__xludf.DUMMYFUNCTION("""COMPUTED_VALUE"""),"Ryer, Mudhead")</f>
        <v>Ryer, Mudhead</v>
      </c>
    </row>
    <row r="513">
      <c r="A513" s="15" t="str">
        <f>IFERROR(__xludf.DUMMYFUNCTION("""COMPUTED_VALUE"""),"Sacramento")</f>
        <v>Sacramento</v>
      </c>
      <c r="B513" s="15" t="str">
        <f>IFERROR(__xludf.DUMMYFUNCTION("""COMPUTED_VALUE"""),"Sacramentan")</f>
        <v>Sacramentan</v>
      </c>
      <c r="C513" s="15" t="str">
        <f>IFERROR(__xludf.DUMMYFUNCTION("""COMPUTED_VALUE"""),"Sacramentan")</f>
        <v>Sacramentan</v>
      </c>
    </row>
    <row r="514">
      <c r="A514" s="15" t="str">
        <f>IFERROR(__xludf.DUMMYFUNCTION("""COMPUTED_VALUE"""),"Saint Helier")</f>
        <v>Saint Helier</v>
      </c>
      <c r="B514" s="15" t="str">
        <f>IFERROR(__xludf.DUMMYFUNCTION("""COMPUTED_VALUE"""),"Saint-Helian")</f>
        <v>Saint-Helian</v>
      </c>
      <c r="C514" s="15" t="str">
        <f>IFERROR(__xludf.DUMMYFUNCTION("""COMPUTED_VALUE"""),"Saint-Helian")</f>
        <v>Saint-Helian</v>
      </c>
    </row>
    <row r="515">
      <c r="A515" s="15" t="str">
        <f>IFERROR(__xludf.DUMMYFUNCTION("""COMPUTED_VALUE"""),"Saint-Étienne")</f>
        <v>Saint-Étienne</v>
      </c>
      <c r="B515" s="15" t="str">
        <f>IFERROR(__xludf.DUMMYFUNCTION("""COMPUTED_VALUE"""),"Stéphanois")</f>
        <v>Stéphanois</v>
      </c>
      <c r="C515" s="15" t="str">
        <f>IFERROR(__xludf.DUMMYFUNCTION("""COMPUTED_VALUE"""),"Stéphanois")</f>
        <v>Stéphanois</v>
      </c>
    </row>
    <row r="516">
      <c r="A516" s="15" t="str">
        <f>IFERROR(__xludf.DUMMYFUNCTION("""COMPUTED_VALUE"""),"Saint-Jude, Quebec")</f>
        <v>Saint-Jude, Quebec</v>
      </c>
      <c r="B516" s="15" t="str">
        <f>IFERROR(__xludf.DUMMYFUNCTION("""COMPUTED_VALUE"""),"Rocquevillois")</f>
        <v>Rocquevillois</v>
      </c>
      <c r="C516" s="15" t="str">
        <f>IFERROR(__xludf.DUMMYFUNCTION("""COMPUTED_VALUE"""),"Rocquevillois")</f>
        <v>Rocquevillois</v>
      </c>
    </row>
    <row r="517">
      <c r="A517" s="15" t="str">
        <f>IFERROR(__xludf.DUMMYFUNCTION("""COMPUTED_VALUE"""),"Saint Paul")</f>
        <v>Saint Paul</v>
      </c>
      <c r="B517" s="15" t="str">
        <f>IFERROR(__xludf.DUMMYFUNCTION("""COMPUTED_VALUE"""),"Saint Paulite, St. Paulite")</f>
        <v>Saint Paulite, St. Paulite</v>
      </c>
      <c r="C517" s="15" t="str">
        <f>IFERROR(__xludf.DUMMYFUNCTION("""COMPUTED_VALUE"""),"Saint Paulite, St. Paulite")</f>
        <v>Saint Paulite, St. Paulite</v>
      </c>
    </row>
    <row r="518">
      <c r="A518" s="15" t="str">
        <f>IFERROR(__xludf.DUMMYFUNCTION("""COMPUTED_VALUE"""),"Saint Petersburg, Florida")</f>
        <v>Saint Petersburg, Florida</v>
      </c>
      <c r="B518" s="15" t="str">
        <f>IFERROR(__xludf.DUMMYFUNCTION("""COMPUTED_VALUE"""),"Saint Petersburgite")</f>
        <v>Saint Petersburgite</v>
      </c>
      <c r="C518" s="15" t="str">
        <f>IFERROR(__xludf.DUMMYFUNCTION("""COMPUTED_VALUE"""),"Saint Petersburgite")</f>
        <v>Saint Petersburgite</v>
      </c>
    </row>
    <row r="519">
      <c r="A519" s="15" t="str">
        <f>IFERROR(__xludf.DUMMYFUNCTION("""COMPUTED_VALUE"""),"Saint Petersburg, Russia")</f>
        <v>Saint Petersburg, Russia</v>
      </c>
      <c r="B519" s="15" t="str">
        <f>IFERROR(__xludf.DUMMYFUNCTION("""COMPUTED_VALUE"""),"Saint Petersburgian")</f>
        <v>Saint Petersburgian</v>
      </c>
      <c r="C519" s="15" t="str">
        <f>IFERROR(__xludf.DUMMYFUNCTION("""COMPUTED_VALUE"""),"Saint Petersburgian, Saint Petersburger, Petersburger")</f>
        <v>Saint Petersburgian, Saint Petersburger, Petersburger</v>
      </c>
    </row>
    <row r="520">
      <c r="A520" s="15" t="str">
        <f>IFERROR(__xludf.DUMMYFUNCTION("""COMPUTED_VALUE"""),"Salem")</f>
        <v>Salem</v>
      </c>
      <c r="B520" s="15" t="str">
        <f>IFERROR(__xludf.DUMMYFUNCTION("""COMPUTED_VALUE"""),"Salemite")</f>
        <v>Salemite</v>
      </c>
      <c r="C520" s="15" t="str">
        <f>IFERROR(__xludf.DUMMYFUNCTION("""COMPUTED_VALUE"""),"Salemite")</f>
        <v>Salemite</v>
      </c>
    </row>
    <row r="521">
      <c r="A521" s="15" t="str">
        <f>IFERROR(__xludf.DUMMYFUNCTION("""COMPUTED_VALUE"""),"Salerno")</f>
        <v>Salerno</v>
      </c>
      <c r="B521" s="15" t="str">
        <f>IFERROR(__xludf.DUMMYFUNCTION("""COMPUTED_VALUE"""),"Salernitan")</f>
        <v>Salernitan</v>
      </c>
      <c r="C521" s="15" t="str">
        <f>IFERROR(__xludf.DUMMYFUNCTION("""COMPUTED_VALUE"""),"Salernitan")</f>
        <v>Salernitan</v>
      </c>
    </row>
    <row r="522">
      <c r="A522" s="15" t="str">
        <f>IFERROR(__xludf.DUMMYFUNCTION("""COMPUTED_VALUE"""),"Salford")</f>
        <v>Salford</v>
      </c>
      <c r="B522" s="15" t="str">
        <f>IFERROR(__xludf.DUMMYFUNCTION("""COMPUTED_VALUE"""),"Salfordian")</f>
        <v>Salfordian</v>
      </c>
      <c r="C522" s="15" t="str">
        <f>IFERROR(__xludf.DUMMYFUNCTION("""COMPUTED_VALUE"""),"Salfordian")</f>
        <v>Salfordian</v>
      </c>
    </row>
    <row r="523">
      <c r="A523" s="15" t="str">
        <f>IFERROR(__xludf.DUMMYFUNCTION("""COMPUTED_VALUE"""),"Salt Lake City")</f>
        <v>Salt Lake City</v>
      </c>
      <c r="B523" s="15" t="str">
        <f>IFERROR(__xludf.DUMMYFUNCTION("""COMPUTED_VALUE"""),"Salt Lake")</f>
        <v>Salt Lake</v>
      </c>
      <c r="C523" s="15" t="str">
        <f>IFERROR(__xludf.DUMMYFUNCTION("""COMPUTED_VALUE"""),"Salt Laker")</f>
        <v>Salt Laker</v>
      </c>
    </row>
    <row r="524">
      <c r="A524" s="15" t="str">
        <f>IFERROR(__xludf.DUMMYFUNCTION("""COMPUTED_VALUE"""),"Salvador")</f>
        <v>Salvador</v>
      </c>
      <c r="B524" s="15" t="str">
        <f>IFERROR(__xludf.DUMMYFUNCTION("""COMPUTED_VALUE"""),"Soteropolitano")</f>
        <v>Soteropolitano</v>
      </c>
      <c r="C524" s="15" t="str">
        <f>IFERROR(__xludf.DUMMYFUNCTION("""COMPUTED_VALUE"""),"Soteropolitano")</f>
        <v>Soteropolitano</v>
      </c>
    </row>
    <row r="525">
      <c r="A525" s="15" t="str">
        <f>IFERROR(__xludf.DUMMYFUNCTION("""COMPUTED_VALUE"""),"Salzburg")</f>
        <v>Salzburg</v>
      </c>
      <c r="B525" s="15" t="str">
        <f>IFERROR(__xludf.DUMMYFUNCTION("""COMPUTED_VALUE"""),"Salzburger")</f>
        <v>Salzburger</v>
      </c>
      <c r="C525" s="15" t="str">
        <f>IFERROR(__xludf.DUMMYFUNCTION("""COMPUTED_VALUE"""),"Salzburger")</f>
        <v>Salzburger</v>
      </c>
    </row>
    <row r="526">
      <c r="A526" s="15" t="str">
        <f>IFERROR(__xludf.DUMMYFUNCTION("""COMPUTED_VALUE"""),"Sambalpur")</f>
        <v>Sambalpur</v>
      </c>
      <c r="B526" s="15" t="str">
        <f>IFERROR(__xludf.DUMMYFUNCTION("""COMPUTED_VALUE"""),"Sambalpuria")</f>
        <v>Sambalpuria</v>
      </c>
      <c r="C526" s="15" t="str">
        <f>IFERROR(__xludf.DUMMYFUNCTION("""COMPUTED_VALUE"""),"Sambalpuria")</f>
        <v>Sambalpuria</v>
      </c>
    </row>
    <row r="527">
      <c r="A527" s="15" t="str">
        <f>IFERROR(__xludf.DUMMYFUNCTION("""COMPUTED_VALUE"""),"Samsun")</f>
        <v>Samsun</v>
      </c>
      <c r="B527" s="15" t="str">
        <f>IFERROR(__xludf.DUMMYFUNCTION("""COMPUTED_VALUE"""),"Samsunite")</f>
        <v>Samsunite</v>
      </c>
      <c r="C527" s="15" t="str">
        <f>IFERROR(__xludf.DUMMYFUNCTION("""COMPUTED_VALUE"""),"Samsunite")</f>
        <v>Samsunite</v>
      </c>
    </row>
    <row r="528">
      <c r="A528" s="15" t="str">
        <f>IFERROR(__xludf.DUMMYFUNCTION("""COMPUTED_VALUE"""),"San Antonio")</f>
        <v>San Antonio</v>
      </c>
      <c r="B528" s="15" t="str">
        <f>IFERROR(__xludf.DUMMYFUNCTION("""COMPUTED_VALUE"""),"San Antonian")</f>
        <v>San Antonian</v>
      </c>
      <c r="C528" s="15" t="str">
        <f>IFERROR(__xludf.DUMMYFUNCTION("""COMPUTED_VALUE"""),"San Antonian")</f>
        <v>San Antonian</v>
      </c>
    </row>
    <row r="529">
      <c r="A529" s="15" t="str">
        <f>IFERROR(__xludf.DUMMYFUNCTION("""COMPUTED_VALUE"""),"San Diego")</f>
        <v>San Diego</v>
      </c>
      <c r="B529" s="15" t="str">
        <f>IFERROR(__xludf.DUMMYFUNCTION("""COMPUTED_VALUE"""),"San Diegan")</f>
        <v>San Diegan</v>
      </c>
      <c r="C529" s="15" t="str">
        <f>IFERROR(__xludf.DUMMYFUNCTION("""COMPUTED_VALUE"""),"San Diegan")</f>
        <v>San Diegan</v>
      </c>
    </row>
    <row r="530">
      <c r="A530" s="15" t="str">
        <f>IFERROR(__xludf.DUMMYFUNCTION("""COMPUTED_VALUE"""),"San Francisco")</f>
        <v>San Francisco</v>
      </c>
      <c r="B530" s="15" t="str">
        <f>IFERROR(__xludf.DUMMYFUNCTION("""COMPUTED_VALUE"""),"San Franciscan")</f>
        <v>San Franciscan</v>
      </c>
      <c r="C530" s="15" t="str">
        <f>IFERROR(__xludf.DUMMYFUNCTION("""COMPUTED_VALUE"""),"San Franciscan")</f>
        <v>San Franciscan</v>
      </c>
    </row>
    <row r="531">
      <c r="A531" s="15" t="str">
        <f>IFERROR(__xludf.DUMMYFUNCTION("""COMPUTED_VALUE"""),"San Jose")</f>
        <v>San Jose</v>
      </c>
      <c r="B531" s="15" t="str">
        <f>IFERROR(__xludf.DUMMYFUNCTION("""COMPUTED_VALUE"""),"San Josean")</f>
        <v>San Josean</v>
      </c>
      <c r="C531" s="15" t="str">
        <f>IFERROR(__xludf.DUMMYFUNCTION("""COMPUTED_VALUE"""),"San Josean")</f>
        <v>San Josean</v>
      </c>
    </row>
    <row r="532">
      <c r="A532" s="15" t="str">
        <f>IFERROR(__xludf.DUMMYFUNCTION("""COMPUTED_VALUE"""),"San José")</f>
        <v>San José</v>
      </c>
      <c r="B532" s="15" t="str">
        <f>IFERROR(__xludf.DUMMYFUNCTION("""COMPUTED_VALUE"""),"Josefino/a, San Josefinan")</f>
        <v>Josefino/a, San Josefinan</v>
      </c>
      <c r="C532" s="15" t="str">
        <f>IFERROR(__xludf.DUMMYFUNCTION("""COMPUTED_VALUE"""),"Josefino/a")</f>
        <v>Josefino/a</v>
      </c>
    </row>
    <row r="533">
      <c r="A533" s="15" t="str">
        <f>IFERROR(__xludf.DUMMYFUNCTION("""COMPUTED_VALUE"""),"Şanlıurfa")</f>
        <v>Şanlıurfa</v>
      </c>
      <c r="B533" s="15" t="str">
        <f>IFERROR(__xludf.DUMMYFUNCTION("""COMPUTED_VALUE"""),"Urfanian")</f>
        <v>Urfanian</v>
      </c>
      <c r="C533" s="15" t="str">
        <f>IFERROR(__xludf.DUMMYFUNCTION("""COMPUTED_VALUE"""),"Urfanian")</f>
        <v>Urfanian</v>
      </c>
    </row>
    <row r="534">
      <c r="A534" s="15" t="str">
        <f>IFERROR(__xludf.DUMMYFUNCTION("""COMPUTED_VALUE"""),"Santa Barbara")</f>
        <v>Santa Barbara</v>
      </c>
      <c r="B534" s="15" t="str">
        <f>IFERROR(__xludf.DUMMYFUNCTION("""COMPUTED_VALUE"""),"Santa Barbarian")</f>
        <v>Santa Barbarian</v>
      </c>
      <c r="C534" s="15" t="str">
        <f>IFERROR(__xludf.DUMMYFUNCTION("""COMPUTED_VALUE"""),"Santa Barbaran")</f>
        <v>Santa Barbaran</v>
      </c>
    </row>
    <row r="535">
      <c r="A535" s="15" t="str">
        <f>IFERROR(__xludf.DUMMYFUNCTION("""COMPUTED_VALUE"""),"Santa Clarita")</f>
        <v>Santa Clarita</v>
      </c>
      <c r="B535" s="15" t="str">
        <f>IFERROR(__xludf.DUMMYFUNCTION("""COMPUTED_VALUE"""),"Santa Claritan")</f>
        <v>Santa Claritan</v>
      </c>
      <c r="C535" s="15" t="str">
        <f>IFERROR(__xludf.DUMMYFUNCTION("""COMPUTED_VALUE"""),"Santa Claritan")</f>
        <v>Santa Claritan</v>
      </c>
    </row>
    <row r="536">
      <c r="A536" s="15" t="str">
        <f>IFERROR(__xludf.DUMMYFUNCTION("""COMPUTED_VALUE"""),"Santa Cruz de la Sierra")</f>
        <v>Santa Cruz de la Sierra</v>
      </c>
      <c r="B536" s="15" t="str">
        <f>IFERROR(__xludf.DUMMYFUNCTION("""COMPUTED_VALUE"""),"Cruceño")</f>
        <v>Cruceño</v>
      </c>
      <c r="C536" s="15" t="str">
        <f>IFERROR(__xludf.DUMMYFUNCTION("""COMPUTED_VALUE"""),"Cruceño")</f>
        <v>Cruceño</v>
      </c>
    </row>
    <row r="537">
      <c r="A537" s="15" t="str">
        <f>IFERROR(__xludf.DUMMYFUNCTION("""COMPUTED_VALUE"""),"Santa Monica")</f>
        <v>Santa Monica</v>
      </c>
      <c r="B537" s="15" t="str">
        <f>IFERROR(__xludf.DUMMYFUNCTION("""COMPUTED_VALUE"""),"Santa Monican")</f>
        <v>Santa Monican</v>
      </c>
      <c r="C537" s="15" t="str">
        <f>IFERROR(__xludf.DUMMYFUNCTION("""COMPUTED_VALUE"""),"Santa Monican")</f>
        <v>Santa Monican</v>
      </c>
    </row>
    <row r="538">
      <c r="A538" s="15" t="str">
        <f>IFERROR(__xludf.DUMMYFUNCTION("""COMPUTED_VALUE"""),"Santiago")</f>
        <v>Santiago</v>
      </c>
      <c r="B538" s="15" t="str">
        <f>IFERROR(__xludf.DUMMYFUNCTION("""COMPUTED_VALUE"""),"Santiaguinos (m), Santiaguinas (f)")</f>
        <v>Santiaguinos (m), Santiaguinas (f)</v>
      </c>
      <c r="C538" s="15" t="str">
        <f>IFERROR(__xludf.DUMMYFUNCTION("""COMPUTED_VALUE"""),"Santiaguinos (m), Santiaguinas (f)")</f>
        <v>Santiaguinos (m), Santiaguinas (f)</v>
      </c>
    </row>
    <row r="539">
      <c r="A539" s="15" t="str">
        <f>IFERROR(__xludf.DUMMYFUNCTION("""COMPUTED_VALUE"""),"São Carlos")</f>
        <v>São Carlos</v>
      </c>
      <c r="B539" s="15" t="str">
        <f>IFERROR(__xludf.DUMMYFUNCTION("""COMPUTED_VALUE"""),"Sãocarlense, Carlopolitano")</f>
        <v>Sãocarlense, Carlopolitano</v>
      </c>
      <c r="C539" s="15" t="str">
        <f>IFERROR(__xludf.DUMMYFUNCTION("""COMPUTED_VALUE"""),"Sãocarlense, Carlopolitano")</f>
        <v>Sãocarlense, Carlopolitano</v>
      </c>
    </row>
    <row r="540">
      <c r="A540" s="15" t="str">
        <f>IFERROR(__xludf.DUMMYFUNCTION("""COMPUTED_VALUE"""),"São Luís")</f>
        <v>São Luís</v>
      </c>
      <c r="B540" s="15" t="str">
        <f>IFERROR(__xludf.DUMMYFUNCTION("""COMPUTED_VALUE"""),"Ludovicense")</f>
        <v>Ludovicense</v>
      </c>
      <c r="C540" s="15" t="str">
        <f>IFERROR(__xludf.DUMMYFUNCTION("""COMPUTED_VALUE"""),"Ludovicense")</f>
        <v>Ludovicense</v>
      </c>
    </row>
    <row r="541">
      <c r="A541" s="15" t="str">
        <f>IFERROR(__xludf.DUMMYFUNCTION("""COMPUTED_VALUE"""),"São Paulo")</f>
        <v>São Paulo</v>
      </c>
      <c r="B541" s="15" t="str">
        <f>IFERROR(__xludf.DUMMYFUNCTION("""COMPUTED_VALUE"""),"Paulistano")</f>
        <v>Paulistano</v>
      </c>
      <c r="C541" s="15" t="str">
        <f>IFERROR(__xludf.DUMMYFUNCTION("""COMPUTED_VALUE"""),"Paulistano")</f>
        <v>Paulistano</v>
      </c>
    </row>
    <row r="542">
      <c r="A542" s="15" t="str">
        <f>IFERROR(__xludf.DUMMYFUNCTION("""COMPUTED_VALUE"""),"Sapporo")</f>
        <v>Sapporo</v>
      </c>
      <c r="B542" s="15"/>
      <c r="C542" s="15" t="str">
        <f>IFERROR(__xludf.DUMMYFUNCTION("""COMPUTED_VALUE"""),"Sapporokko")</f>
        <v>Sapporokko</v>
      </c>
    </row>
    <row r="543">
      <c r="A543" s="15" t="str">
        <f>IFERROR(__xludf.DUMMYFUNCTION("""COMPUTED_VALUE"""),"Sarajevo")</f>
        <v>Sarajevo</v>
      </c>
      <c r="B543" s="15" t="str">
        <f>IFERROR(__xludf.DUMMYFUNCTION("""COMPUTED_VALUE"""),"Sarajevan")</f>
        <v>Sarajevan</v>
      </c>
      <c r="C543" s="15" t="str">
        <f>IFERROR(__xludf.DUMMYFUNCTION("""COMPUTED_VALUE"""),"Sarajevan")</f>
        <v>Sarajevan</v>
      </c>
    </row>
    <row r="544">
      <c r="A544" s="15" t="str">
        <f>IFERROR(__xludf.DUMMYFUNCTION("""COMPUTED_VALUE"""),"Saskatoon")</f>
        <v>Saskatoon</v>
      </c>
      <c r="B544" s="15" t="str">
        <f>IFERROR(__xludf.DUMMYFUNCTION("""COMPUTED_VALUE"""),"Saskatoon, Saskatonian")</f>
        <v>Saskatoon, Saskatonian</v>
      </c>
      <c r="C544" s="15" t="str">
        <f>IFERROR(__xludf.DUMMYFUNCTION("""COMPUTED_VALUE"""),"Saskatonian, Saskabusher")</f>
        <v>Saskatonian, Saskabusher</v>
      </c>
    </row>
    <row r="545">
      <c r="A545" s="15" t="str">
        <f>IFERROR(__xludf.DUMMYFUNCTION("""COMPUTED_VALUE"""),"Sault Ste. Marie")</f>
        <v>Sault Ste. Marie</v>
      </c>
      <c r="B545" s="15" t="str">
        <f>IFERROR(__xludf.DUMMYFUNCTION("""COMPUTED_VALUE"""),"Sooite, Saultite")</f>
        <v>Sooite, Saultite</v>
      </c>
      <c r="C545" s="15" t="str">
        <f>IFERROR(__xludf.DUMMYFUNCTION("""COMPUTED_VALUE"""),"Soos")</f>
        <v>Soos</v>
      </c>
    </row>
    <row r="546">
      <c r="A546" s="15" t="str">
        <f>IFERROR(__xludf.DUMMYFUNCTION("""COMPUTED_VALUE"""),"Savannah")</f>
        <v>Savannah</v>
      </c>
      <c r="B546" s="15" t="str">
        <f>IFERROR(__xludf.DUMMYFUNCTION("""COMPUTED_VALUE"""),"Savannian")</f>
        <v>Savannian</v>
      </c>
      <c r="C546" s="15" t="str">
        <f>IFERROR(__xludf.DUMMYFUNCTION("""COMPUTED_VALUE"""),"Savannian")</f>
        <v>Savannian</v>
      </c>
    </row>
    <row r="547">
      <c r="A547" s="15" t="str">
        <f>IFERROR(__xludf.DUMMYFUNCTION("""COMPUTED_VALUE"""),"Seattle")</f>
        <v>Seattle</v>
      </c>
      <c r="B547" s="15" t="str">
        <f>IFERROR(__xludf.DUMMYFUNCTION("""COMPUTED_VALUE"""),"Seattleite")</f>
        <v>Seattleite</v>
      </c>
      <c r="C547" s="15" t="str">
        <f>IFERROR(__xludf.DUMMYFUNCTION("""COMPUTED_VALUE"""),"Seattleite")</f>
        <v>Seattleite</v>
      </c>
    </row>
    <row r="548">
      <c r="A548" s="15" t="str">
        <f>IFERROR(__xludf.DUMMYFUNCTION("""COMPUTED_VALUE"""),"Sendai")</f>
        <v>Sendai</v>
      </c>
      <c r="B548" s="15"/>
      <c r="C548" s="15" t="str">
        <f>IFERROR(__xludf.DUMMYFUNCTION("""COMPUTED_VALUE"""),"Sendaikko")</f>
        <v>Sendaikko</v>
      </c>
    </row>
    <row r="549">
      <c r="A549" s="15" t="str">
        <f>IFERROR(__xludf.DUMMYFUNCTION("""COMPUTED_VALUE"""),"Seoul")</f>
        <v>Seoul</v>
      </c>
      <c r="B549" s="15" t="str">
        <f>IFERROR(__xludf.DUMMYFUNCTION("""COMPUTED_VALUE"""),"Seoulite")</f>
        <v>Seoulite</v>
      </c>
      <c r="C549" s="15" t="str">
        <f>IFERROR(__xludf.DUMMYFUNCTION("""COMPUTED_VALUE"""),"Seoulite")</f>
        <v>Seoulite</v>
      </c>
    </row>
    <row r="550">
      <c r="A550" s="15" t="str">
        <f>IFERROR(__xludf.DUMMYFUNCTION("""COMPUTED_VALUE"""),"Serra Negra")</f>
        <v>Serra Negra</v>
      </c>
      <c r="B550" s="15" t="str">
        <f>IFERROR(__xludf.DUMMYFUNCTION("""COMPUTED_VALUE"""),"Serrano")</f>
        <v>Serrano</v>
      </c>
      <c r="C550" s="15" t="str">
        <f>IFERROR(__xludf.DUMMYFUNCTION("""COMPUTED_VALUE"""),"Serrano")</f>
        <v>Serrano</v>
      </c>
    </row>
    <row r="551">
      <c r="A551" s="15" t="str">
        <f>IFERROR(__xludf.DUMMYFUNCTION("""COMPUTED_VALUE"""),"Serres")</f>
        <v>Serres</v>
      </c>
      <c r="B551" s="15" t="str">
        <f>IFERROR(__xludf.DUMMYFUNCTION("""COMPUTED_VALUE"""),"Serrean")</f>
        <v>Serrean</v>
      </c>
      <c r="C551" s="15" t="str">
        <f>IFERROR(__xludf.DUMMYFUNCTION("""COMPUTED_VALUE"""),"Serrean")</f>
        <v>Serrean</v>
      </c>
    </row>
    <row r="552">
      <c r="A552" s="15" t="str">
        <f>IFERROR(__xludf.DUMMYFUNCTION("""COMPUTED_VALUE"""),"Seville")</f>
        <v>Seville</v>
      </c>
      <c r="B552" s="15" t="str">
        <f>IFERROR(__xludf.DUMMYFUNCTION("""COMPUTED_VALUE"""),"Sevillian, Sevillano, Hispalense")</f>
        <v>Sevillian, Sevillano, Hispalense</v>
      </c>
      <c r="C552" s="15" t="str">
        <f>IFERROR(__xludf.DUMMYFUNCTION("""COMPUTED_VALUE"""),"Sevillian, Sevillano, Hispalense")</f>
        <v>Sevillian, Sevillano, Hispalense</v>
      </c>
    </row>
    <row r="553">
      <c r="A553" s="15" t="str">
        <f>IFERROR(__xludf.DUMMYFUNCTION("""COMPUTED_VALUE"""),"Shanghai")</f>
        <v>Shanghai</v>
      </c>
      <c r="B553" s="15" t="str">
        <f>IFERROR(__xludf.DUMMYFUNCTION("""COMPUTED_VALUE"""),"Shanghainese")</f>
        <v>Shanghainese</v>
      </c>
      <c r="C553" s="15" t="str">
        <f>IFERROR(__xludf.DUMMYFUNCTION("""COMPUTED_VALUE"""),"Shanghainese, Shanghailander")</f>
        <v>Shanghainese, Shanghailander</v>
      </c>
    </row>
    <row r="554">
      <c r="A554" s="15" t="str">
        <f>IFERROR(__xludf.DUMMYFUNCTION("""COMPUTED_VALUE"""),"Sheffield")</f>
        <v>Sheffield</v>
      </c>
      <c r="B554" s="15"/>
      <c r="C554" s="15" t="str">
        <f>IFERROR(__xludf.DUMMYFUNCTION("""COMPUTED_VALUE"""),"Sheffielder")</f>
        <v>Sheffielder</v>
      </c>
    </row>
    <row r="555">
      <c r="A555" s="15" t="str">
        <f>IFERROR(__xludf.DUMMYFUNCTION("""COMPUTED_VALUE"""),"Shillong")</f>
        <v>Shillong</v>
      </c>
      <c r="B555" s="15"/>
      <c r="C555" s="15" t="str">
        <f>IFERROR(__xludf.DUMMYFUNCTION("""COMPUTED_VALUE"""),"nong Shillong")</f>
        <v>nong Shillong</v>
      </c>
    </row>
    <row r="556">
      <c r="A556" s="15" t="str">
        <f>IFERROR(__xludf.DUMMYFUNCTION("""COMPUTED_VALUE"""),"Shkoder")</f>
        <v>Shkoder</v>
      </c>
      <c r="B556" s="15" t="str">
        <f>IFERROR(__xludf.DUMMYFUNCTION("""COMPUTED_VALUE"""),"Shkodran")</f>
        <v>Shkodran</v>
      </c>
      <c r="C556" s="15" t="str">
        <f>IFERROR(__xludf.DUMMYFUNCTION("""COMPUTED_VALUE"""),"Shkodran")</f>
        <v>Shkodran</v>
      </c>
    </row>
    <row r="557">
      <c r="A557" s="15" t="str">
        <f>IFERROR(__xludf.DUMMYFUNCTION("""COMPUTED_VALUE"""),"Shrewsbury")</f>
        <v>Shrewsbury</v>
      </c>
      <c r="B557" s="15" t="str">
        <f>IFERROR(__xludf.DUMMYFUNCTION("""COMPUTED_VALUE"""),"Salopian")</f>
        <v>Salopian</v>
      </c>
      <c r="C557" s="15" t="str">
        <f>IFERROR(__xludf.DUMMYFUNCTION("""COMPUTED_VALUE"""),"Salopian")</f>
        <v>Salopian</v>
      </c>
    </row>
    <row r="558">
      <c r="A558" s="15" t="str">
        <f>IFERROR(__xludf.DUMMYFUNCTION("""COMPUTED_VALUE"""),"Side")</f>
        <v>Side</v>
      </c>
      <c r="B558" s="15" t="str">
        <f>IFERROR(__xludf.DUMMYFUNCTION("""COMPUTED_VALUE"""),"Sidetan")</f>
        <v>Sidetan</v>
      </c>
      <c r="C558" s="15" t="str">
        <f>IFERROR(__xludf.DUMMYFUNCTION("""COMPUTED_VALUE"""),"Sidetan")</f>
        <v>Sidetan</v>
      </c>
    </row>
    <row r="559">
      <c r="A559" s="15" t="str">
        <f>IFERROR(__xludf.DUMMYFUNCTION("""COMPUTED_VALUE"""),"Siena (Sienna)")</f>
        <v>Siena (Sienna)</v>
      </c>
      <c r="B559" s="15" t="str">
        <f>IFERROR(__xludf.DUMMYFUNCTION("""COMPUTED_VALUE"""),"Sienese, Siennese")</f>
        <v>Sienese, Siennese</v>
      </c>
      <c r="C559" s="15" t="str">
        <f>IFERROR(__xludf.DUMMYFUNCTION("""COMPUTED_VALUE"""),"Sienese, Siennese")</f>
        <v>Sienese, Siennese</v>
      </c>
    </row>
    <row r="560">
      <c r="A560" s="15" t="str">
        <f>IFERROR(__xludf.DUMMYFUNCTION("""COMPUTED_VALUE"""),"Silver Lake")</f>
        <v>Silver Lake</v>
      </c>
      <c r="B560" s="15" t="str">
        <f>IFERROR(__xludf.DUMMYFUNCTION("""COMPUTED_VALUE"""),"Silver Laker")</f>
        <v>Silver Laker</v>
      </c>
      <c r="C560" s="15" t="str">
        <f>IFERROR(__xludf.DUMMYFUNCTION("""COMPUTED_VALUE"""),"Silver Laker")</f>
        <v>Silver Laker</v>
      </c>
    </row>
    <row r="561">
      <c r="A561" s="15" t="str">
        <f>IFERROR(__xludf.DUMMYFUNCTION("""COMPUTED_VALUE"""),"Singapore")</f>
        <v>Singapore</v>
      </c>
      <c r="B561" s="15" t="str">
        <f>IFERROR(__xludf.DUMMYFUNCTION("""COMPUTED_VALUE"""),"Singaporean")</f>
        <v>Singaporean</v>
      </c>
      <c r="C561" s="15" t="str">
        <f>IFERROR(__xludf.DUMMYFUNCTION("""COMPUTED_VALUE"""),"Singaporean")</f>
        <v>Singaporean</v>
      </c>
    </row>
    <row r="562">
      <c r="A562" s="15" t="str">
        <f>IFERROR(__xludf.DUMMYFUNCTION("""COMPUTED_VALUE"""),"Skopje")</f>
        <v>Skopje</v>
      </c>
      <c r="B562" s="15" t="str">
        <f>IFERROR(__xludf.DUMMYFUNCTION("""COMPUTED_VALUE"""),"Skopjan")</f>
        <v>Skopjan</v>
      </c>
      <c r="C562" s="15" t="str">
        <f>IFERROR(__xludf.DUMMYFUNCTION("""COMPUTED_VALUE"""),"Skopjan")</f>
        <v>Skopjan</v>
      </c>
    </row>
    <row r="563">
      <c r="A563" s="15" t="str">
        <f>IFERROR(__xludf.DUMMYFUNCTION("""COMPUTED_VALUE"""),"Slough")</f>
        <v>Slough</v>
      </c>
      <c r="B563" s="15" t="str">
        <f>IFERROR(__xludf.DUMMYFUNCTION("""COMPUTED_VALUE"""),"Sluff")</f>
        <v>Sluff</v>
      </c>
      <c r="C563" s="15" t="str">
        <f>IFERROR(__xludf.DUMMYFUNCTION("""COMPUTED_VALUE"""),"Sluff")</f>
        <v>Sluff</v>
      </c>
    </row>
    <row r="564">
      <c r="A564" s="15" t="str">
        <f>IFERROR(__xludf.DUMMYFUNCTION("""COMPUTED_VALUE"""),"Sofia")</f>
        <v>Sofia</v>
      </c>
      <c r="B564" s="15" t="str">
        <f>IFERROR(__xludf.DUMMYFUNCTION("""COMPUTED_VALUE"""),"Sofian")</f>
        <v>Sofian</v>
      </c>
      <c r="C564" s="15" t="str">
        <f>IFERROR(__xludf.DUMMYFUNCTION("""COMPUTED_VALUE"""),"Sofian")</f>
        <v>Sofian</v>
      </c>
    </row>
    <row r="565">
      <c r="A565" s="15" t="str">
        <f>IFERROR(__xludf.DUMMYFUNCTION("""COMPUTED_VALUE"""),"Solihull")</f>
        <v>Solihull</v>
      </c>
      <c r="B565" s="15" t="str">
        <f>IFERROR(__xludf.DUMMYFUNCTION("""COMPUTED_VALUE"""),"Silhillian")</f>
        <v>Silhillian</v>
      </c>
      <c r="C565" s="15" t="str">
        <f>IFERROR(__xludf.DUMMYFUNCTION("""COMPUTED_VALUE"""),"Silhillian")</f>
        <v>Silhillian</v>
      </c>
    </row>
    <row r="566">
      <c r="A566" s="15" t="str">
        <f>IFERROR(__xludf.DUMMYFUNCTION("""COMPUTED_VALUE"""),"Somers")</f>
        <v>Somers</v>
      </c>
      <c r="B566" s="15" t="str">
        <f>IFERROR(__xludf.DUMMYFUNCTION("""COMPUTED_VALUE"""),"Somersite")</f>
        <v>Somersite</v>
      </c>
      <c r="C566" s="15" t="str">
        <f>IFERROR(__xludf.DUMMYFUNCTION("""COMPUTED_VALUE"""),"Somersite")</f>
        <v>Somersite</v>
      </c>
    </row>
    <row r="567">
      <c r="A567" s="15" t="str">
        <f>IFERROR(__xludf.DUMMYFUNCTION("""COMPUTED_VALUE"""),"Sorrento")</f>
        <v>Sorrento</v>
      </c>
      <c r="B567" s="15" t="str">
        <f>IFERROR(__xludf.DUMMYFUNCTION("""COMPUTED_VALUE"""),"Sorrentine")</f>
        <v>Sorrentine</v>
      </c>
      <c r="C567" s="15" t="str">
        <f>IFERROR(__xludf.DUMMYFUNCTION("""COMPUTED_VALUE"""),"Sorrentine")</f>
        <v>Sorrentine</v>
      </c>
    </row>
    <row r="568">
      <c r="A568" s="15" t="str">
        <f>IFERROR(__xludf.DUMMYFUNCTION("""COMPUTED_VALUE"""),"Sorsogon")</f>
        <v>Sorsogon</v>
      </c>
      <c r="B568" s="15" t="str">
        <f>IFERROR(__xludf.DUMMYFUNCTION("""COMPUTED_VALUE"""),"Sorsoganon")</f>
        <v>Sorsoganon</v>
      </c>
      <c r="C568" s="15" t="str">
        <f>IFERROR(__xludf.DUMMYFUNCTION("""COMPUTED_VALUE"""),"Sorsoganon")</f>
        <v>Sorsoganon</v>
      </c>
    </row>
    <row r="569">
      <c r="A569" s="15" t="str">
        <f>IFERROR(__xludf.DUMMYFUNCTION("""COMPUTED_VALUE"""),"Southampton")</f>
        <v>Southampton</v>
      </c>
      <c r="B569" s="15" t="str">
        <f>IFERROR(__xludf.DUMMYFUNCTION("""COMPUTED_VALUE"""),"Sotonian")</f>
        <v>Sotonian</v>
      </c>
      <c r="C569" s="15" t="str">
        <f>IFERROR(__xludf.DUMMYFUNCTION("""COMPUTED_VALUE"""),"Sotonian")</f>
        <v>Sotonian</v>
      </c>
    </row>
    <row r="570">
      <c r="A570" s="15" t="str">
        <f>IFERROR(__xludf.DUMMYFUNCTION("""COMPUTED_VALUE"""),"Soweto")</f>
        <v>Soweto</v>
      </c>
      <c r="B570" s="15" t="str">
        <f>IFERROR(__xludf.DUMMYFUNCTION("""COMPUTED_VALUE"""),"Sowetan")</f>
        <v>Sowetan</v>
      </c>
      <c r="C570" s="15" t="str">
        <f>IFERROR(__xludf.DUMMYFUNCTION("""COMPUTED_VALUE"""),"Sowetan")</f>
        <v>Sowetan</v>
      </c>
    </row>
    <row r="571">
      <c r="A571" s="15" t="str">
        <f>IFERROR(__xludf.DUMMYFUNCTION("""COMPUTED_VALUE"""),"Sparta")</f>
        <v>Sparta</v>
      </c>
      <c r="B571" s="15" t="str">
        <f>IFERROR(__xludf.DUMMYFUNCTION("""COMPUTED_VALUE"""),"Spartan")</f>
        <v>Spartan</v>
      </c>
      <c r="C571" s="15" t="str">
        <f>IFERROR(__xludf.DUMMYFUNCTION("""COMPUTED_VALUE"""),"Spartan")</f>
        <v>Spartan</v>
      </c>
    </row>
    <row r="572">
      <c r="A572" s="15" t="str">
        <f>IFERROR(__xludf.DUMMYFUNCTION("""COMPUTED_VALUE"""),"Spokane")</f>
        <v>Spokane</v>
      </c>
      <c r="B572" s="15"/>
      <c r="C572" s="15" t="str">
        <f>IFERROR(__xludf.DUMMYFUNCTION("""COMPUTED_VALUE"""),"Spokanite")</f>
        <v>Spokanite</v>
      </c>
    </row>
    <row r="573">
      <c r="A573" s="15" t="str">
        <f>IFERROR(__xludf.DUMMYFUNCTION("""COMPUTED_VALUE"""),"Spoleto")</f>
        <v>Spoleto</v>
      </c>
      <c r="B573" s="15" t="str">
        <f>IFERROR(__xludf.DUMMYFUNCTION("""COMPUTED_VALUE"""),"Spoletian")</f>
        <v>Spoletian</v>
      </c>
      <c r="C573" s="15" t="str">
        <f>IFERROR(__xludf.DUMMYFUNCTION("""COMPUTED_VALUE"""),"Spoletian")</f>
        <v>Spoletian</v>
      </c>
    </row>
    <row r="574">
      <c r="A574" s="15" t="str">
        <f>IFERROR(__xludf.DUMMYFUNCTION("""COMPUTED_VALUE"""),"Springfield, Missouri")</f>
        <v>Springfield, Missouri</v>
      </c>
      <c r="B574" s="15" t="str">
        <f>IFERROR(__xludf.DUMMYFUNCTION("""COMPUTED_VALUE"""),"Springfieldian")</f>
        <v>Springfieldian</v>
      </c>
      <c r="C574" s="15" t="str">
        <f>IFERROR(__xludf.DUMMYFUNCTION("""COMPUTED_VALUE"""),"Springfieldian")</f>
        <v>Springfieldian</v>
      </c>
    </row>
    <row r="575">
      <c r="A575" s="15" t="str">
        <f>IFERROR(__xludf.DUMMYFUNCTION("""COMPUTED_VALUE"""),"St. Louis")</f>
        <v>St. Louis</v>
      </c>
      <c r="B575" s="15" t="str">
        <f>IFERROR(__xludf.DUMMYFUNCTION("""COMPUTED_VALUE"""),"St. Louisan, Saint Louisan")</f>
        <v>St. Louisan, Saint Louisan</v>
      </c>
      <c r="C575" s="15" t="str">
        <f>IFERROR(__xludf.DUMMYFUNCTION("""COMPUTED_VALUE"""),"St. Louisan, Saint Louisan")</f>
        <v>St. Louisan, Saint Louisan</v>
      </c>
    </row>
    <row r="576">
      <c r="A576" s="15" t="str">
        <f>IFERROR(__xludf.DUMMYFUNCTION("""COMPUTED_VALUE"""),"Stockholm")</f>
        <v>Stockholm</v>
      </c>
      <c r="B576" s="15" t="str">
        <f>IFERROR(__xludf.DUMMYFUNCTION("""COMPUTED_VALUE"""),"Stockholmer")</f>
        <v>Stockholmer</v>
      </c>
      <c r="C576" s="15" t="str">
        <f>IFERROR(__xludf.DUMMYFUNCTION("""COMPUTED_VALUE"""),"Stockholmer")</f>
        <v>Stockholmer</v>
      </c>
    </row>
    <row r="577">
      <c r="A577" s="15" t="str">
        <f>IFERROR(__xludf.DUMMYFUNCTION("""COMPUTED_VALUE"""),"Strasbourg")</f>
        <v>Strasbourg</v>
      </c>
      <c r="B577" s="15" t="str">
        <f>IFERROR(__xludf.DUMMYFUNCTION("""COMPUTED_VALUE"""),"Strasbourgeois")</f>
        <v>Strasbourgeois</v>
      </c>
      <c r="C577" s="15" t="str">
        <f>IFERROR(__xludf.DUMMYFUNCTION("""COMPUTED_VALUE"""),"Strasbourgeois")</f>
        <v>Strasbourgeois</v>
      </c>
    </row>
    <row r="578">
      <c r="A578" s="15" t="str">
        <f>IFERROR(__xludf.DUMMYFUNCTION("""COMPUTED_VALUE"""),"Stuttgart")</f>
        <v>Stuttgart</v>
      </c>
      <c r="B578" s="15" t="str">
        <f>IFERROR(__xludf.DUMMYFUNCTION("""COMPUTED_VALUE"""),"Stuttgarter")</f>
        <v>Stuttgarter</v>
      </c>
      <c r="C578" s="15" t="str">
        <f>IFERROR(__xludf.DUMMYFUNCTION("""COMPUTED_VALUE"""),"Stuttgarter")</f>
        <v>Stuttgarter</v>
      </c>
    </row>
    <row r="579">
      <c r="A579" s="15" t="str">
        <f>IFERROR(__xludf.DUMMYFUNCTION("""COMPUTED_VALUE"""),"Sunderland")</f>
        <v>Sunderland</v>
      </c>
      <c r="B579" s="15"/>
      <c r="C579" s="15" t="str">
        <f>IFERROR(__xludf.DUMMYFUNCTION("""COMPUTED_VALUE"""),"Mackem")</f>
        <v>Mackem</v>
      </c>
    </row>
    <row r="580">
      <c r="A580" s="15" t="str">
        <f>IFERROR(__xludf.DUMMYFUNCTION("""COMPUTED_VALUE"""),"Sunshine Coast")</f>
        <v>Sunshine Coast</v>
      </c>
      <c r="B580" s="15" t="str">
        <f>IFERROR(__xludf.DUMMYFUNCTION("""COMPUTED_VALUE"""),"Sunshine Coast")</f>
        <v>Sunshine Coast</v>
      </c>
      <c r="C580" s="15" t="str">
        <f>IFERROR(__xludf.DUMMYFUNCTION("""COMPUTED_VALUE"""),"Sunshine Coaster")</f>
        <v>Sunshine Coaster</v>
      </c>
    </row>
    <row r="581">
      <c r="A581" s="15" t="str">
        <f>IFERROR(__xludf.DUMMYFUNCTION("""COMPUTED_VALUE"""),"Swansea")</f>
        <v>Swansea</v>
      </c>
      <c r="B581" s="15" t="str">
        <f>IFERROR(__xludf.DUMMYFUNCTION("""COMPUTED_VALUE"""),"Jack")</f>
        <v>Jack</v>
      </c>
      <c r="C581" s="15" t="str">
        <f>IFERROR(__xludf.DUMMYFUNCTION("""COMPUTED_VALUE"""),"Jack")</f>
        <v>Jack</v>
      </c>
    </row>
    <row r="582">
      <c r="A582" s="15" t="str">
        <f>IFERROR(__xludf.DUMMYFUNCTION("""COMPUTED_VALUE"""),"Swindon")</f>
        <v>Swindon</v>
      </c>
      <c r="B582" s="15" t="str">
        <f>IFERROR(__xludf.DUMMYFUNCTION("""COMPUTED_VALUE"""),"Swindonian")</f>
        <v>Swindonian</v>
      </c>
      <c r="C582" s="15" t="str">
        <f>IFERROR(__xludf.DUMMYFUNCTION("""COMPUTED_VALUE"""),"Swindonian")</f>
        <v>Swindonian</v>
      </c>
    </row>
    <row r="583">
      <c r="A583" s="15" t="str">
        <f>IFERROR(__xludf.DUMMYFUNCTION("""COMPUTED_VALUE"""),"Sydney")</f>
        <v>Sydney</v>
      </c>
      <c r="B583" s="15"/>
      <c r="C583" s="15" t="str">
        <f>IFERROR(__xludf.DUMMYFUNCTION("""COMPUTED_VALUE"""),"Sydneysider")</f>
        <v>Sydneysider</v>
      </c>
    </row>
    <row r="584">
      <c r="A584" s="15" t="str">
        <f>IFERROR(__xludf.DUMMYFUNCTION("""COMPUTED_VALUE"""),"Sylhet")</f>
        <v>Sylhet</v>
      </c>
      <c r="B584" s="15" t="str">
        <f>IFERROR(__xludf.DUMMYFUNCTION("""COMPUTED_VALUE"""),"Sylheti")</f>
        <v>Sylheti</v>
      </c>
      <c r="C584" s="15" t="str">
        <f>IFERROR(__xludf.DUMMYFUNCTION("""COMPUTED_VALUE"""),"Sylheti, Siloti, Sileti")</f>
        <v>Sylheti, Siloti, Sileti</v>
      </c>
    </row>
    <row r="585">
      <c r="A585" s="15" t="str">
        <f>IFERROR(__xludf.DUMMYFUNCTION("""COMPUTED_VALUE"""),"Syracuse, Italy")</f>
        <v>Syracuse, Italy</v>
      </c>
      <c r="B585" s="15" t="str">
        <f>IFERROR(__xludf.DUMMYFUNCTION("""COMPUTED_VALUE"""),"Syracusan")</f>
        <v>Syracusan</v>
      </c>
      <c r="C585" s="15" t="str">
        <f>IFERROR(__xludf.DUMMYFUNCTION("""COMPUTED_VALUE"""),"Syracusan")</f>
        <v>Syracusan</v>
      </c>
    </row>
    <row r="586">
      <c r="A586" s="15" t="str">
        <f>IFERROR(__xludf.DUMMYFUNCTION("""COMPUTED_VALUE"""),"Syracuse, New York")</f>
        <v>Syracuse, New York</v>
      </c>
      <c r="B586" s="15" t="str">
        <f>IFERROR(__xludf.DUMMYFUNCTION("""COMPUTED_VALUE"""),"Syracusian")</f>
        <v>Syracusian</v>
      </c>
      <c r="C586" s="15" t="str">
        <f>IFERROR(__xludf.DUMMYFUNCTION("""COMPUTED_VALUE"""),"Syracusian")</f>
        <v>Syracusian</v>
      </c>
    </row>
    <row r="587">
      <c r="A587" s="15" t="str">
        <f>IFERROR(__xludf.DUMMYFUNCTION("""COMPUTED_VALUE"""),"Tabaco")</f>
        <v>Tabaco</v>
      </c>
      <c r="B587" s="15" t="str">
        <f>IFERROR(__xludf.DUMMYFUNCTION("""COMPUTED_VALUE"""),"Tabaqueño")</f>
        <v>Tabaqueño</v>
      </c>
      <c r="C587" s="15" t="str">
        <f>IFERROR(__xludf.DUMMYFUNCTION("""COMPUTED_VALUE"""),"Tabaqueño")</f>
        <v>Tabaqueño</v>
      </c>
    </row>
    <row r="588">
      <c r="A588" s="15" t="str">
        <f>IFERROR(__xludf.DUMMYFUNCTION("""COMPUTED_VALUE"""),"Tacna")</f>
        <v>Tacna</v>
      </c>
      <c r="B588" s="15" t="str">
        <f>IFERROR(__xludf.DUMMYFUNCTION("""COMPUTED_VALUE"""),"Tacneño (m), Tacneña (f)")</f>
        <v>Tacneño (m), Tacneña (f)</v>
      </c>
      <c r="C588" s="15" t="str">
        <f>IFERROR(__xludf.DUMMYFUNCTION("""COMPUTED_VALUE"""),"Tacneño (m), Tacneña (f)")</f>
        <v>Tacneño (m), Tacneña (f)</v>
      </c>
    </row>
    <row r="589">
      <c r="A589" s="15" t="str">
        <f>IFERROR(__xludf.DUMMYFUNCTION("""COMPUTED_VALUE"""),"Tacoma")</f>
        <v>Tacoma</v>
      </c>
      <c r="B589" s="15" t="str">
        <f>IFERROR(__xludf.DUMMYFUNCTION("""COMPUTED_VALUE"""),"Tacoman")</f>
        <v>Tacoman</v>
      </c>
      <c r="C589" s="15" t="str">
        <f>IFERROR(__xludf.DUMMYFUNCTION("""COMPUTED_VALUE"""),"Tacoman")</f>
        <v>Tacoman</v>
      </c>
    </row>
    <row r="590">
      <c r="A590" s="15" t="str">
        <f>IFERROR(__xludf.DUMMYFUNCTION("""COMPUTED_VALUE"""),"Tallahassee")</f>
        <v>Tallahassee</v>
      </c>
      <c r="B590" s="15" t="str">
        <f>IFERROR(__xludf.DUMMYFUNCTION("""COMPUTED_VALUE"""),"Tallahasseean")</f>
        <v>Tallahasseean</v>
      </c>
      <c r="C590" s="15" t="str">
        <f>IFERROR(__xludf.DUMMYFUNCTION("""COMPUTED_VALUE"""),"Tallahasseean")</f>
        <v>Tallahasseean</v>
      </c>
    </row>
    <row r="591">
      <c r="A591" s="15" t="str">
        <f>IFERROR(__xludf.DUMMYFUNCTION("""COMPUTED_VALUE"""),"Tallinn")</f>
        <v>Tallinn</v>
      </c>
      <c r="B591" s="15" t="str">
        <f>IFERROR(__xludf.DUMMYFUNCTION("""COMPUTED_VALUE"""),"Tallinner")</f>
        <v>Tallinner</v>
      </c>
      <c r="C591" s="15" t="str">
        <f>IFERROR(__xludf.DUMMYFUNCTION("""COMPUTED_VALUE"""),"Tallinner")</f>
        <v>Tallinner</v>
      </c>
    </row>
    <row r="592">
      <c r="A592" s="15" t="str">
        <f>IFERROR(__xludf.DUMMYFUNCTION("""COMPUTED_VALUE"""),"Tampa")</f>
        <v>Tampa</v>
      </c>
      <c r="B592" s="15" t="str">
        <f>IFERROR(__xludf.DUMMYFUNCTION("""COMPUTED_VALUE"""),"Tampan, Tampanian, Tampeño")</f>
        <v>Tampan, Tampanian, Tampeño</v>
      </c>
      <c r="C592" s="15" t="str">
        <f>IFERROR(__xludf.DUMMYFUNCTION("""COMPUTED_VALUE"""),"Tampan, Tampanian, Tampeño (m), Tampeña (f)[12]")</f>
        <v>Tampan, Tampanian, Tampeño (m), Tampeña (f)[12]</v>
      </c>
    </row>
    <row r="593">
      <c r="A593" s="15" t="str">
        <f>IFERROR(__xludf.DUMMYFUNCTION("""COMPUTED_VALUE"""),"Tartu")</f>
        <v>Tartu</v>
      </c>
      <c r="B593" s="15" t="str">
        <f>IFERROR(__xludf.DUMMYFUNCTION("""COMPUTED_VALUE"""),"Tartuan")</f>
        <v>Tartuan</v>
      </c>
      <c r="C593" s="15" t="str">
        <f>IFERROR(__xludf.DUMMYFUNCTION("""COMPUTED_VALUE"""),"Tartuan")</f>
        <v>Tartuan</v>
      </c>
    </row>
    <row r="594">
      <c r="A594" s="15" t="str">
        <f>IFERROR(__xludf.DUMMYFUNCTION("""COMPUTED_VALUE"""),"Taranto")</f>
        <v>Taranto</v>
      </c>
      <c r="B594" s="15" t="str">
        <f>IFERROR(__xludf.DUMMYFUNCTION("""COMPUTED_VALUE"""),"Tarantine, Tarentine")</f>
        <v>Tarantine, Tarentine</v>
      </c>
      <c r="C594" s="15" t="str">
        <f>IFERROR(__xludf.DUMMYFUNCTION("""COMPUTED_VALUE"""),"Tarantine, Tarentine")</f>
        <v>Tarantine, Tarentine</v>
      </c>
    </row>
    <row r="595">
      <c r="A595" s="15" t="str">
        <f>IFERROR(__xludf.DUMMYFUNCTION("""COMPUTED_VALUE"""),"Tasmania")</f>
        <v>Tasmania</v>
      </c>
      <c r="B595" s="15" t="str">
        <f>IFERROR(__xludf.DUMMYFUNCTION("""COMPUTED_VALUE"""),"Tasman, Tasmanian")</f>
        <v>Tasman, Tasmanian</v>
      </c>
      <c r="C595" s="15" t="str">
        <f>IFERROR(__xludf.DUMMYFUNCTION("""COMPUTED_VALUE"""),"Tasmanian, Taswegian (jocular)")</f>
        <v>Tasmanian, Taswegian (jocular)</v>
      </c>
    </row>
    <row r="596">
      <c r="A596" s="15" t="str">
        <f>IFERROR(__xludf.DUMMYFUNCTION("""COMPUTED_VALUE"""),"Taunton")</f>
        <v>Taunton</v>
      </c>
      <c r="B596" s="15" t="str">
        <f>IFERROR(__xludf.DUMMYFUNCTION("""COMPUTED_VALUE"""),"Tauntonian")</f>
        <v>Tauntonian</v>
      </c>
      <c r="C596" s="15" t="str">
        <f>IFERROR(__xludf.DUMMYFUNCTION("""COMPUTED_VALUE"""),"Tauntonian")</f>
        <v>Tauntonian</v>
      </c>
    </row>
    <row r="597">
      <c r="A597" s="15" t="str">
        <f>IFERROR(__xludf.DUMMYFUNCTION("""COMPUTED_VALUE"""),"Tauranga")</f>
        <v>Tauranga</v>
      </c>
      <c r="B597" s="15" t="str">
        <f>IFERROR(__xludf.DUMMYFUNCTION("""COMPUTED_VALUE"""),"Taurangan")</f>
        <v>Taurangan</v>
      </c>
      <c r="C597" s="15" t="str">
        <f>IFERROR(__xludf.DUMMYFUNCTION("""COMPUTED_VALUE"""),"Taurangian, Taurangan")</f>
        <v>Taurangian, Taurangan</v>
      </c>
    </row>
    <row r="598">
      <c r="A598" s="15" t="str">
        <f>IFERROR(__xludf.DUMMYFUNCTION("""COMPUTED_VALUE"""),"Tbilisi")</f>
        <v>Tbilisi</v>
      </c>
      <c r="B598" s="15" t="str">
        <f>IFERROR(__xludf.DUMMYFUNCTION("""COMPUTED_VALUE"""),"Tbilisian")</f>
        <v>Tbilisian</v>
      </c>
      <c r="C598" s="15" t="str">
        <f>IFERROR(__xludf.DUMMYFUNCTION("""COMPUTED_VALUE"""),"Tbilisian, Tbiliselebi")</f>
        <v>Tbilisian, Tbiliselebi</v>
      </c>
    </row>
    <row r="599">
      <c r="A599" s="15" t="str">
        <f>IFERROR(__xludf.DUMMYFUNCTION("""COMPUTED_VALUE"""),"Tehran")</f>
        <v>Tehran</v>
      </c>
      <c r="B599" s="15" t="str">
        <f>IFERROR(__xludf.DUMMYFUNCTION("""COMPUTED_VALUE"""),"Tehrani, Tehranis[13][*circular reference*]")</f>
        <v>Tehrani, Tehranis[13][*circular reference*]</v>
      </c>
      <c r="C599" s="15" t="str">
        <f>IFERROR(__xludf.DUMMYFUNCTION("""COMPUTED_VALUE"""),"Tehrani")</f>
        <v>Tehrani</v>
      </c>
    </row>
    <row r="600">
      <c r="A600" s="15" t="str">
        <f>IFERROR(__xludf.DUMMYFUNCTION("""COMPUTED_VALUE"""),"Tekirdağ")</f>
        <v>Tekirdağ</v>
      </c>
      <c r="B600" s="15" t="str">
        <f>IFERROR(__xludf.DUMMYFUNCTION("""COMPUTED_VALUE"""),"Tekirdanian")</f>
        <v>Tekirdanian</v>
      </c>
      <c r="C600" s="15" t="str">
        <f>IFERROR(__xludf.DUMMYFUNCTION("""COMPUTED_VALUE"""),"Tekirdaninan")</f>
        <v>Tekirdaninan</v>
      </c>
    </row>
    <row r="601">
      <c r="A601" s="15" t="str">
        <f>IFERROR(__xludf.DUMMYFUNCTION("""COMPUTED_VALUE"""),"Tel Aviv")</f>
        <v>Tel Aviv</v>
      </c>
      <c r="B601" s="15" t="str">
        <f>IFERROR(__xludf.DUMMYFUNCTION("""COMPUTED_VALUE"""),"Tel Avivian")</f>
        <v>Tel Avivian</v>
      </c>
      <c r="C601" s="15" t="str">
        <f>IFERROR(__xludf.DUMMYFUNCTION("""COMPUTED_VALUE"""),"Tel Avivi, Tel Avivian")</f>
        <v>Tel Avivi, Tel Avivian</v>
      </c>
    </row>
    <row r="602">
      <c r="A602" s="15" t="str">
        <f>IFERROR(__xludf.DUMMYFUNCTION("""COMPUTED_VALUE"""),"Thebes")</f>
        <v>Thebes</v>
      </c>
      <c r="B602" s="15" t="str">
        <f>IFERROR(__xludf.DUMMYFUNCTION("""COMPUTED_VALUE"""),"Theban")</f>
        <v>Theban</v>
      </c>
      <c r="C602" s="15" t="str">
        <f>IFERROR(__xludf.DUMMYFUNCTION("""COMPUTED_VALUE"""),"Theban")</f>
        <v>Theban</v>
      </c>
    </row>
    <row r="603">
      <c r="A603" s="15" t="str">
        <f>IFERROR(__xludf.DUMMYFUNCTION("""COMPUTED_VALUE"""),"Thessaloniki")</f>
        <v>Thessaloniki</v>
      </c>
      <c r="B603" s="15" t="str">
        <f>IFERROR(__xludf.DUMMYFUNCTION("""COMPUTED_VALUE"""),"Thessalonian")</f>
        <v>Thessalonian</v>
      </c>
      <c r="C603" s="15" t="str">
        <f>IFERROR(__xludf.DUMMYFUNCTION("""COMPUTED_VALUE"""),"Thessalonian")</f>
        <v>Thessalonian</v>
      </c>
    </row>
    <row r="604">
      <c r="A604" s="15" t="str">
        <f>IFERROR(__xludf.DUMMYFUNCTION("""COMPUTED_VALUE"""),"Thunder Bay")</f>
        <v>Thunder Bay</v>
      </c>
      <c r="B604" s="15"/>
      <c r="C604" s="15" t="str">
        <f>IFERROR(__xludf.DUMMYFUNCTION("""COMPUTED_VALUE"""),"Thunderbite")</f>
        <v>Thunderbite</v>
      </c>
    </row>
    <row r="605">
      <c r="A605" s="15" t="str">
        <f>IFERROR(__xludf.DUMMYFUNCTION("""COMPUTED_VALUE"""),"Timaru")</f>
        <v>Timaru</v>
      </c>
      <c r="B605" s="15" t="str">
        <f>IFERROR(__xludf.DUMMYFUNCTION("""COMPUTED_VALUE"""),"Timaru, Timaruvian")</f>
        <v>Timaru, Timaruvian</v>
      </c>
      <c r="C605" s="15" t="str">
        <f>IFERROR(__xludf.DUMMYFUNCTION("""COMPUTED_VALUE"""),"Timaruvians")</f>
        <v>Timaruvians</v>
      </c>
    </row>
    <row r="606">
      <c r="A606" s="15" t="str">
        <f>IFERROR(__xludf.DUMMYFUNCTION("""COMPUTED_VALUE"""),"Tirana")</f>
        <v>Tirana</v>
      </c>
      <c r="B606" s="15" t="str">
        <f>IFERROR(__xludf.DUMMYFUNCTION("""COMPUTED_VALUE"""),"Tiranas")</f>
        <v>Tiranas</v>
      </c>
      <c r="C606" s="15" t="str">
        <f>IFERROR(__xludf.DUMMYFUNCTION("""COMPUTED_VALUE"""),"Tirons")</f>
        <v>Tirons</v>
      </c>
    </row>
    <row r="607">
      <c r="A607" s="15" t="str">
        <f>IFERROR(__xludf.DUMMYFUNCTION("""COMPUTED_VALUE"""),"Tokyo")</f>
        <v>Tokyo</v>
      </c>
      <c r="B607" s="15"/>
      <c r="C607" s="15" t="str">
        <f>IFERROR(__xludf.DUMMYFUNCTION("""COMPUTED_VALUE"""),"Edokko, Tokyoite")</f>
        <v>Edokko, Tokyoite</v>
      </c>
    </row>
    <row r="608">
      <c r="A608" s="15" t="str">
        <f>IFERROR(__xludf.DUMMYFUNCTION("""COMPUTED_VALUE"""),"Toowoomba")</f>
        <v>Toowoomba</v>
      </c>
      <c r="B608" s="15" t="str">
        <f>IFERROR(__xludf.DUMMYFUNCTION("""COMPUTED_VALUE"""),"Toowoomban")</f>
        <v>Toowoomban</v>
      </c>
      <c r="C608" s="15" t="str">
        <f>IFERROR(__xludf.DUMMYFUNCTION("""COMPUTED_VALUE"""),"Toowoomban")</f>
        <v>Toowoomban</v>
      </c>
    </row>
    <row r="609">
      <c r="A609" s="15" t="str">
        <f>IFERROR(__xludf.DUMMYFUNCTION("""COMPUTED_VALUE"""),"Toronto")</f>
        <v>Toronto</v>
      </c>
      <c r="B609" s="15" t="str">
        <f>IFERROR(__xludf.DUMMYFUNCTION("""COMPUTED_VALUE"""),"Torontonian")</f>
        <v>Torontonian</v>
      </c>
      <c r="C609" s="15" t="str">
        <f>IFERROR(__xludf.DUMMYFUNCTION("""COMPUTED_VALUE"""),"Torontonian[14]")</f>
        <v>Torontonian[14]</v>
      </c>
    </row>
    <row r="610">
      <c r="A610" s="15" t="str">
        <f>IFERROR(__xludf.DUMMYFUNCTION("""COMPUTED_VALUE"""),"Toulouse")</f>
        <v>Toulouse</v>
      </c>
      <c r="B610" s="15" t="str">
        <f>IFERROR(__xludf.DUMMYFUNCTION("""COMPUTED_VALUE"""),"Toulousian")</f>
        <v>Toulousian</v>
      </c>
      <c r="C610" s="15" t="str">
        <f>IFERROR(__xludf.DUMMYFUNCTION("""COMPUTED_VALUE"""),"Toulousian")</f>
        <v>Toulousian</v>
      </c>
    </row>
    <row r="611">
      <c r="A611" s="15" t="str">
        <f>IFERROR(__xludf.DUMMYFUNCTION("""COMPUTED_VALUE"""),"Tournai")</f>
        <v>Tournai</v>
      </c>
      <c r="B611" s="15" t="str">
        <f>IFERROR(__xludf.DUMMYFUNCTION("""COMPUTED_VALUE"""),"Tournaisian")</f>
        <v>Tournaisian</v>
      </c>
      <c r="C611" s="15" t="str">
        <f>IFERROR(__xludf.DUMMYFUNCTION("""COMPUTED_VALUE"""),"Tournaisian")</f>
        <v>Tournaisian</v>
      </c>
    </row>
    <row r="612">
      <c r="A612" s="15" t="str">
        <f>IFERROR(__xludf.DUMMYFUNCTION("""COMPUTED_VALUE"""),"Townsville")</f>
        <v>Townsville</v>
      </c>
      <c r="B612" s="15" t="str">
        <f>IFERROR(__xludf.DUMMYFUNCTION("""COMPUTED_VALUE"""),"Townsvillian")</f>
        <v>Townsvillian</v>
      </c>
      <c r="C612" s="15" t="str">
        <f>IFERROR(__xludf.DUMMYFUNCTION("""COMPUTED_VALUE"""),"Townsvillian")</f>
        <v>Townsvillian</v>
      </c>
    </row>
    <row r="613">
      <c r="A613" s="15" t="str">
        <f>IFERROR(__xludf.DUMMYFUNCTION("""COMPUTED_VALUE"""),"Trabzon")</f>
        <v>Trabzon</v>
      </c>
      <c r="B613" s="15" t="str">
        <f>IFERROR(__xludf.DUMMYFUNCTION("""COMPUTED_VALUE"""),"Trabzonian, Trebizonian, Trapezian, Trapezuntine")</f>
        <v>Trabzonian, Trebizonian, Trapezian, Trapezuntine</v>
      </c>
      <c r="C613" s="15" t="str">
        <f>IFERROR(__xludf.DUMMYFUNCTION("""COMPUTED_VALUE"""),"Trabzonian, Trebizonian, Trapezian, Trapezuntine")</f>
        <v>Trabzonian, Trebizonian, Trapezian, Trapezuntine</v>
      </c>
    </row>
    <row r="614">
      <c r="A614" s="15" t="str">
        <f>IFERROR(__xludf.DUMMYFUNCTION("""COMPUTED_VALUE"""),"Traverse City")</f>
        <v>Traverse City</v>
      </c>
      <c r="B614" s="15" t="str">
        <f>IFERROR(__xludf.DUMMYFUNCTION("""COMPUTED_VALUE"""),"Traverse Citian")</f>
        <v>Traverse Citian</v>
      </c>
      <c r="C614" s="15" t="str">
        <f>IFERROR(__xludf.DUMMYFUNCTION("""COMPUTED_VALUE"""),"Traverse Citian")</f>
        <v>Traverse Citian</v>
      </c>
    </row>
    <row r="615">
      <c r="A615" s="15" t="str">
        <f>IFERROR(__xludf.DUMMYFUNCTION("""COMPUTED_VALUE"""),"Trevor")</f>
        <v>Trevor</v>
      </c>
      <c r="B615" s="15" t="str">
        <f>IFERROR(__xludf.DUMMYFUNCTION("""COMPUTED_VALUE"""),"Trevorite")</f>
        <v>Trevorite</v>
      </c>
      <c r="C615" s="15" t="str">
        <f>IFERROR(__xludf.DUMMYFUNCTION("""COMPUTED_VALUE"""),"Trevorite")</f>
        <v>Trevorite</v>
      </c>
    </row>
    <row r="616">
      <c r="A616" s="15" t="str">
        <f>IFERROR(__xludf.DUMMYFUNCTION("""COMPUTED_VALUE"""),"Trent")</f>
        <v>Trent</v>
      </c>
      <c r="B616" s="15" t="str">
        <f>IFERROR(__xludf.DUMMYFUNCTION("""COMPUTED_VALUE"""),"Tridentine")</f>
        <v>Tridentine</v>
      </c>
      <c r="C616" s="15" t="str">
        <f>IFERROR(__xludf.DUMMYFUNCTION("""COMPUTED_VALUE"""),"Tridentine")</f>
        <v>Tridentine</v>
      </c>
    </row>
    <row r="617">
      <c r="A617" s="15" t="str">
        <f>IFERROR(__xludf.DUMMYFUNCTION("""COMPUTED_VALUE"""),"Trieste")</f>
        <v>Trieste</v>
      </c>
      <c r="B617" s="15" t="str">
        <f>IFERROR(__xludf.DUMMYFUNCTION("""COMPUTED_VALUE"""),"Triestine")</f>
        <v>Triestine</v>
      </c>
      <c r="C617" s="15" t="str">
        <f>IFERROR(__xludf.DUMMYFUNCTION("""COMPUTED_VALUE"""),"Triestine")</f>
        <v>Triestine</v>
      </c>
    </row>
    <row r="618">
      <c r="A618" s="15" t="str">
        <f>IFERROR(__xludf.DUMMYFUNCTION("""COMPUTED_VALUE"""),"Tripoli")</f>
        <v>Tripoli</v>
      </c>
      <c r="B618" s="15" t="str">
        <f>IFERROR(__xludf.DUMMYFUNCTION("""COMPUTED_VALUE"""),"Tripolitan")</f>
        <v>Tripolitan</v>
      </c>
      <c r="C618" s="15" t="str">
        <f>IFERROR(__xludf.DUMMYFUNCTION("""COMPUTED_VALUE"""),"Tripolitan")</f>
        <v>Tripolitan</v>
      </c>
    </row>
    <row r="619">
      <c r="A619" s="15" t="str">
        <f>IFERROR(__xludf.DUMMYFUNCTION("""COMPUTED_VALUE"""),"Tripoli, Greece")</f>
        <v>Tripoli, Greece</v>
      </c>
      <c r="B619" s="15" t="str">
        <f>IFERROR(__xludf.DUMMYFUNCTION("""COMPUTED_VALUE"""),"Tripolitano")</f>
        <v>Tripolitano</v>
      </c>
      <c r="C619" s="15" t="str">
        <f>IFERROR(__xludf.DUMMYFUNCTION("""COMPUTED_VALUE"""),"Tripolitano")</f>
        <v>Tripolitano</v>
      </c>
    </row>
    <row r="620">
      <c r="A620" s="15" t="str">
        <f>IFERROR(__xludf.DUMMYFUNCTION("""COMPUTED_VALUE"""),"Trois-Rivières, Guadeloupe")</f>
        <v>Trois-Rivières, Guadeloupe</v>
      </c>
      <c r="B620" s="15" t="str">
        <f>IFERROR(__xludf.DUMMYFUNCTION("""COMPUTED_VALUE"""),"Trois-rivieran")</f>
        <v>Trois-rivieran</v>
      </c>
      <c r="C620" s="15" t="str">
        <f>IFERROR(__xludf.DUMMYFUNCTION("""COMPUTED_VALUE"""),"Trois-rivieran")</f>
        <v>Trois-rivieran</v>
      </c>
    </row>
    <row r="621">
      <c r="A621" s="15" t="str">
        <f>IFERROR(__xludf.DUMMYFUNCTION("""COMPUTED_VALUE"""),"Trois-Rivières, Quebec")</f>
        <v>Trois-Rivières, Quebec</v>
      </c>
      <c r="B621" s="15" t="str">
        <f>IFERROR(__xludf.DUMMYFUNCTION("""COMPUTED_VALUE"""),"Trifluvien, Trifluvienne, Trifluvian")</f>
        <v>Trifluvien, Trifluvienne, Trifluvian</v>
      </c>
      <c r="C621" s="15" t="str">
        <f>IFERROR(__xludf.DUMMYFUNCTION("""COMPUTED_VALUE"""),"Trifluvien, Trifluvienne, Trifluvian")</f>
        <v>Trifluvien, Trifluvienne, Trifluvian</v>
      </c>
    </row>
    <row r="622">
      <c r="A622" s="15" t="str">
        <f>IFERROR(__xludf.DUMMYFUNCTION("""COMPUTED_VALUE"""),"Tucson")</f>
        <v>Tucson</v>
      </c>
      <c r="B622" s="15" t="str">
        <f>IFERROR(__xludf.DUMMYFUNCTION("""COMPUTED_VALUE"""),"Tucsonian")</f>
        <v>Tucsonian</v>
      </c>
      <c r="C622" s="15" t="str">
        <f>IFERROR(__xludf.DUMMYFUNCTION("""COMPUTED_VALUE"""),"Tucsonian, Tucsonan")</f>
        <v>Tucsonian, Tucsonan</v>
      </c>
    </row>
    <row r="623">
      <c r="A623" s="15" t="str">
        <f>IFERROR(__xludf.DUMMYFUNCTION("""COMPUTED_VALUE"""),"Tulsa")</f>
        <v>Tulsa</v>
      </c>
      <c r="B623" s="15" t="str">
        <f>IFERROR(__xludf.DUMMYFUNCTION("""COMPUTED_VALUE"""),"Tulsan")</f>
        <v>Tulsan</v>
      </c>
      <c r="C623" s="15" t="str">
        <f>IFERROR(__xludf.DUMMYFUNCTION("""COMPUTED_VALUE"""),"Tulsan")</f>
        <v>Tulsan</v>
      </c>
    </row>
    <row r="624">
      <c r="A624" s="15" t="str">
        <f>IFERROR(__xludf.DUMMYFUNCTION("""COMPUTED_VALUE"""),"Tunis")</f>
        <v>Tunis</v>
      </c>
      <c r="B624" s="15" t="str">
        <f>IFERROR(__xludf.DUMMYFUNCTION("""COMPUTED_VALUE"""),"Tunisois")</f>
        <v>Tunisois</v>
      </c>
      <c r="C624" s="15" t="str">
        <f>IFERROR(__xludf.DUMMYFUNCTION("""COMPUTED_VALUE"""),"Tunisois")</f>
        <v>Tunisois</v>
      </c>
    </row>
    <row r="625">
      <c r="A625" s="15" t="str">
        <f>IFERROR(__xludf.DUMMYFUNCTION("""COMPUTED_VALUE"""),"Turin")</f>
        <v>Turin</v>
      </c>
      <c r="B625" s="15" t="str">
        <f>IFERROR(__xludf.DUMMYFUNCTION("""COMPUTED_VALUE"""),"Turinese")</f>
        <v>Turinese</v>
      </c>
      <c r="C625" s="15" t="str">
        <f>IFERROR(__xludf.DUMMYFUNCTION("""COMPUTED_VALUE"""),"Turinese")</f>
        <v>Turinese</v>
      </c>
    </row>
    <row r="626">
      <c r="A626" s="15" t="str">
        <f>IFERROR(__xludf.DUMMYFUNCTION("""COMPUTED_VALUE"""),"Twin Lakes")</f>
        <v>Twin Lakes</v>
      </c>
      <c r="B626" s="15" t="str">
        <f>IFERROR(__xludf.DUMMYFUNCTION("""COMPUTED_VALUE"""),"Twin Laker")</f>
        <v>Twin Laker</v>
      </c>
      <c r="C626" s="15" t="str">
        <f>IFERROR(__xludf.DUMMYFUNCTION("""COMPUTED_VALUE"""),"Twin Laker")</f>
        <v>Twin Laker</v>
      </c>
    </row>
    <row r="627">
      <c r="A627" s="15" t="str">
        <f>IFERROR(__xludf.DUMMYFUNCTION("""COMPUTED_VALUE"""),"Tyre")</f>
        <v>Tyre</v>
      </c>
      <c r="B627" s="15" t="str">
        <f>IFERROR(__xludf.DUMMYFUNCTION("""COMPUTED_VALUE"""),"Tyrian")</f>
        <v>Tyrian</v>
      </c>
      <c r="C627" s="15" t="str">
        <f>IFERROR(__xludf.DUMMYFUNCTION("""COMPUTED_VALUE"""),"Tyrian")</f>
        <v>Tyrian</v>
      </c>
    </row>
    <row r="628">
      <c r="A628" s="15" t="str">
        <f>IFERROR(__xludf.DUMMYFUNCTION("""COMPUTED_VALUE"""),"Uberlândia")</f>
        <v>Uberlândia</v>
      </c>
      <c r="B628" s="15" t="str">
        <f>IFERROR(__xludf.DUMMYFUNCTION("""COMPUTED_VALUE"""),"Uberlandense")</f>
        <v>Uberlandense</v>
      </c>
      <c r="C628" s="15" t="str">
        <f>IFERROR(__xludf.DUMMYFUNCTION("""COMPUTED_VALUE"""),"Uberlandense")</f>
        <v>Uberlandense</v>
      </c>
    </row>
    <row r="629">
      <c r="A629" s="15" t="str">
        <f>IFERROR(__xludf.DUMMYFUNCTION("""COMPUTED_VALUE"""),"Ulsan")</f>
        <v>Ulsan</v>
      </c>
      <c r="B629" s="15" t="str">
        <f>IFERROR(__xludf.DUMMYFUNCTION("""COMPUTED_VALUE"""),"Ulsan, Ulsanian")</f>
        <v>Ulsan, Ulsanian</v>
      </c>
      <c r="C629" s="15" t="str">
        <f>IFERROR(__xludf.DUMMYFUNCTION("""COMPUTED_VALUE"""),"Ulsanian")</f>
        <v>Ulsanian</v>
      </c>
    </row>
    <row r="630">
      <c r="A630" s="15" t="str">
        <f>IFERROR(__xludf.DUMMYFUNCTION("""COMPUTED_VALUE"""),"Valencia")</f>
        <v>Valencia</v>
      </c>
      <c r="B630" s="15" t="str">
        <f>IFERROR(__xludf.DUMMYFUNCTION("""COMPUTED_VALUE"""),"Valencian")</f>
        <v>Valencian</v>
      </c>
      <c r="C630" s="15" t="str">
        <f>IFERROR(__xludf.DUMMYFUNCTION("""COMPUTED_VALUE"""),"Valencian")</f>
        <v>Valencian</v>
      </c>
    </row>
    <row r="631">
      <c r="A631" s="15" t="str">
        <f>IFERROR(__xludf.DUMMYFUNCTION("""COMPUTED_VALUE"""),"Valladolid")</f>
        <v>Valladolid</v>
      </c>
      <c r="B631" s="15" t="str">
        <f>IFERROR(__xludf.DUMMYFUNCTION("""COMPUTED_VALUE"""),"Vallisoletano, Pucelano, Pinciano")</f>
        <v>Vallisoletano, Pucelano, Pinciano</v>
      </c>
      <c r="C631" s="15" t="str">
        <f>IFERROR(__xludf.DUMMYFUNCTION("""COMPUTED_VALUE"""),"Vallisoletano, Pucelano, Pinciano")</f>
        <v>Vallisoletano, Pucelano, Pinciano</v>
      </c>
    </row>
    <row r="632">
      <c r="A632" s="15" t="str">
        <f>IFERROR(__xludf.DUMMYFUNCTION("""COMPUTED_VALUE"""),"Valparaíso")</f>
        <v>Valparaíso</v>
      </c>
      <c r="B632" s="15" t="str">
        <f>IFERROR(__xludf.DUMMYFUNCTION("""COMPUTED_VALUE"""),"Porteño (m), Porteña (f)")</f>
        <v>Porteño (m), Porteña (f)</v>
      </c>
      <c r="C632" s="15" t="str">
        <f>IFERROR(__xludf.DUMMYFUNCTION("""COMPUTED_VALUE"""),"Porteño (m), Porteña (f)")</f>
        <v>Porteño (m), Porteña (f)</v>
      </c>
    </row>
    <row r="633">
      <c r="A633" s="15" t="str">
        <f>IFERROR(__xludf.DUMMYFUNCTION("""COMPUTED_VALUE"""),"Van")</f>
        <v>Van</v>
      </c>
      <c r="B633" s="15" t="str">
        <f>IFERROR(__xludf.DUMMYFUNCTION("""COMPUTED_VALUE"""),"Vanian")</f>
        <v>Vanian</v>
      </c>
      <c r="C633" s="15" t="str">
        <f>IFERROR(__xludf.DUMMYFUNCTION("""COMPUTED_VALUE"""),"Vanian")</f>
        <v>Vanian</v>
      </c>
    </row>
    <row r="634">
      <c r="A634" s="15" t="str">
        <f>IFERROR(__xludf.DUMMYFUNCTION("""COMPUTED_VALUE"""),"Vancouver, British Columbia")</f>
        <v>Vancouver, British Columbia</v>
      </c>
      <c r="B634" s="15" t="str">
        <f>IFERROR(__xludf.DUMMYFUNCTION("""COMPUTED_VALUE"""),"Vancouverite")</f>
        <v>Vancouverite</v>
      </c>
      <c r="C634" s="15" t="str">
        <f>IFERROR(__xludf.DUMMYFUNCTION("""COMPUTED_VALUE"""),"Vancouverite")</f>
        <v>Vancouverite</v>
      </c>
    </row>
    <row r="635">
      <c r="A635" s="15" t="str">
        <f>IFERROR(__xludf.DUMMYFUNCTION("""COMPUTED_VALUE"""),"Vancouver, Washington")</f>
        <v>Vancouver, Washington</v>
      </c>
      <c r="B635" s="15" t="str">
        <f>IFERROR(__xludf.DUMMYFUNCTION("""COMPUTED_VALUE"""),"Vancouverite")</f>
        <v>Vancouverite</v>
      </c>
      <c r="C635" s="15" t="str">
        <f>IFERROR(__xludf.DUMMYFUNCTION("""COMPUTED_VALUE"""),"Vancouverite")</f>
        <v>Vancouverite</v>
      </c>
    </row>
    <row r="636">
      <c r="A636" s="15" t="str">
        <f>IFERROR(__xludf.DUMMYFUNCTION("""COMPUTED_VALUE"""),"Venice")</f>
        <v>Venice</v>
      </c>
      <c r="B636" s="15" t="str">
        <f>IFERROR(__xludf.DUMMYFUNCTION("""COMPUTED_VALUE"""),"Venetian")</f>
        <v>Venetian</v>
      </c>
      <c r="C636" s="15" t="str">
        <f>IFERROR(__xludf.DUMMYFUNCTION("""COMPUTED_VALUE"""),"Venetian")</f>
        <v>Venetian</v>
      </c>
    </row>
    <row r="637">
      <c r="A637" s="15" t="str">
        <f>IFERROR(__xludf.DUMMYFUNCTION("""COMPUTED_VALUE"""),"Veracruz")</f>
        <v>Veracruz</v>
      </c>
      <c r="B637" s="15" t="str">
        <f>IFERROR(__xludf.DUMMYFUNCTION("""COMPUTED_VALUE"""),"Veracruzano")</f>
        <v>Veracruzano</v>
      </c>
      <c r="C637" s="15" t="str">
        <f>IFERROR(__xludf.DUMMYFUNCTION("""COMPUTED_VALUE"""),"Veracruzano, Jarocho")</f>
        <v>Veracruzano, Jarocho</v>
      </c>
    </row>
    <row r="638">
      <c r="A638" s="15" t="str">
        <f>IFERROR(__xludf.DUMMYFUNCTION("""COMPUTED_VALUE"""),"Verona")</f>
        <v>Verona</v>
      </c>
      <c r="B638" s="15" t="str">
        <f>IFERROR(__xludf.DUMMYFUNCTION("""COMPUTED_VALUE"""),"Veronese")</f>
        <v>Veronese</v>
      </c>
      <c r="C638" s="15" t="str">
        <f>IFERROR(__xludf.DUMMYFUNCTION("""COMPUTED_VALUE"""),"Veronese")</f>
        <v>Veronese</v>
      </c>
    </row>
    <row r="639">
      <c r="A639" s="15" t="str">
        <f>IFERROR(__xludf.DUMMYFUNCTION("""COMPUTED_VALUE"""),"Vicenza")</f>
        <v>Vicenza</v>
      </c>
      <c r="B639" s="15" t="str">
        <f>IFERROR(__xludf.DUMMYFUNCTION("""COMPUTED_VALUE"""),"Vicentine")</f>
        <v>Vicentine</v>
      </c>
      <c r="C639" s="15" t="str">
        <f>IFERROR(__xludf.DUMMYFUNCTION("""COMPUTED_VALUE"""),"Vicentine")</f>
        <v>Vicentine</v>
      </c>
    </row>
    <row r="640">
      <c r="A640" s="15" t="str">
        <f>IFERROR(__xludf.DUMMYFUNCTION("""COMPUTED_VALUE"""),"Vichy")</f>
        <v>Vichy</v>
      </c>
      <c r="B640" s="15" t="str">
        <f>IFERROR(__xludf.DUMMYFUNCTION("""COMPUTED_VALUE"""),"Vichyssois")</f>
        <v>Vichyssois</v>
      </c>
      <c r="C640" s="15" t="str">
        <f>IFERROR(__xludf.DUMMYFUNCTION("""COMPUTED_VALUE"""),"Vichyssois")</f>
        <v>Vichyssois</v>
      </c>
    </row>
    <row r="641">
      <c r="A641" s="15" t="str">
        <f>IFERROR(__xludf.DUMMYFUNCTION("""COMPUTED_VALUE"""),"Victoria")</f>
        <v>Victoria</v>
      </c>
      <c r="B641" s="15" t="str">
        <f>IFERROR(__xludf.DUMMYFUNCTION("""COMPUTED_VALUE"""),"Victorian")</f>
        <v>Victorian</v>
      </c>
      <c r="C641" s="15" t="str">
        <f>IFERROR(__xludf.DUMMYFUNCTION("""COMPUTED_VALUE"""),"Victorian")</f>
        <v>Victorian</v>
      </c>
    </row>
    <row r="642">
      <c r="A642" s="15" t="str">
        <f>IFERROR(__xludf.DUMMYFUNCTION("""COMPUTED_VALUE"""),"Vienna")</f>
        <v>Vienna</v>
      </c>
      <c r="B642" s="15" t="str">
        <f>IFERROR(__xludf.DUMMYFUNCTION("""COMPUTED_VALUE"""),"Viennese, Wiener")</f>
        <v>Viennese, Wiener</v>
      </c>
      <c r="C642" s="15" t="str">
        <f>IFERROR(__xludf.DUMMYFUNCTION("""COMPUTED_VALUE"""),"Viennese, Wiener")</f>
        <v>Viennese, Wiener</v>
      </c>
    </row>
    <row r="643">
      <c r="A643" s="15" t="str">
        <f>IFERROR(__xludf.DUMMYFUNCTION("""COMPUTED_VALUE"""),"Villanova")</f>
        <v>Villanova</v>
      </c>
      <c r="B643" s="15" t="str">
        <f>IFERROR(__xludf.DUMMYFUNCTION("""COMPUTED_VALUE"""),"Villanovan")</f>
        <v>Villanovan</v>
      </c>
      <c r="C643" s="15" t="str">
        <f>IFERROR(__xludf.DUMMYFUNCTION("""COMPUTED_VALUE"""),"Villanovan")</f>
        <v>Villanovan</v>
      </c>
    </row>
    <row r="644">
      <c r="A644" s="15" t="str">
        <f>IFERROR(__xludf.DUMMYFUNCTION("""COMPUTED_VALUE"""),"Ville Platte")</f>
        <v>Ville Platte</v>
      </c>
      <c r="B644" s="15" t="str">
        <f>IFERROR(__xludf.DUMMYFUNCTION("""COMPUTED_VALUE"""),"Ville Platian")</f>
        <v>Ville Platian</v>
      </c>
      <c r="C644" s="15" t="str">
        <f>IFERROR(__xludf.DUMMYFUNCTION("""COMPUTED_VALUE"""),"Ville Platian")</f>
        <v>Ville Platian</v>
      </c>
    </row>
    <row r="645">
      <c r="A645" s="15" t="str">
        <f>IFERROR(__xludf.DUMMYFUNCTION("""COMPUTED_VALUE"""),"Vilnius")</f>
        <v>Vilnius</v>
      </c>
      <c r="B645" s="15" t="str">
        <f>IFERROR(__xludf.DUMMYFUNCTION("""COMPUTED_VALUE"""),"Vilnian")</f>
        <v>Vilnian</v>
      </c>
      <c r="C645" s="15" t="str">
        <f>IFERROR(__xludf.DUMMYFUNCTION("""COMPUTED_VALUE"""),"Vilnian")</f>
        <v>Vilnian</v>
      </c>
    </row>
    <row r="646">
      <c r="A646" s="15" t="str">
        <f>IFERROR(__xludf.DUMMYFUNCTION("""COMPUTED_VALUE"""),"Vizag")</f>
        <v>Vizag</v>
      </c>
      <c r="B646" s="15" t="str">
        <f>IFERROR(__xludf.DUMMYFUNCTION("""COMPUTED_VALUE"""),"Vizagite")</f>
        <v>Vizagite</v>
      </c>
      <c r="C646" s="15" t="str">
        <f>IFERROR(__xludf.DUMMYFUNCTION("""COMPUTED_VALUE"""),"Vizagite")</f>
        <v>Vizagite</v>
      </c>
    </row>
    <row r="647">
      <c r="A647" s="15" t="str">
        <f>IFERROR(__xludf.DUMMYFUNCTION("""COMPUTED_VALUE"""),"Waco")</f>
        <v>Waco</v>
      </c>
      <c r="B647" s="15" t="str">
        <f>IFERROR(__xludf.DUMMYFUNCTION("""COMPUTED_VALUE"""),"Wacoite")</f>
        <v>Wacoite</v>
      </c>
      <c r="C647" s="15" t="str">
        <f>IFERROR(__xludf.DUMMYFUNCTION("""COMPUTED_VALUE"""),"Wacoite")</f>
        <v>Wacoite</v>
      </c>
    </row>
    <row r="648">
      <c r="A648" s="15" t="str">
        <f>IFERROR(__xludf.DUMMYFUNCTION("""COMPUTED_VALUE"""),"Warangal")</f>
        <v>Warangal</v>
      </c>
      <c r="B648" s="15" t="str">
        <f>IFERROR(__xludf.DUMMYFUNCTION("""COMPUTED_VALUE"""),"Warangalite")</f>
        <v>Warangalite</v>
      </c>
      <c r="C648" s="15" t="str">
        <f>IFERROR(__xludf.DUMMYFUNCTION("""COMPUTED_VALUE"""),"Warangalite")</f>
        <v>Warangalite</v>
      </c>
    </row>
    <row r="649">
      <c r="A649" s="15" t="str">
        <f>IFERROR(__xludf.DUMMYFUNCTION("""COMPUTED_VALUE"""),"Warsaw")</f>
        <v>Warsaw</v>
      </c>
      <c r="B649" s="15" t="str">
        <f>IFERROR(__xludf.DUMMYFUNCTION("""COMPUTED_VALUE"""),"Varsovian")</f>
        <v>Varsovian</v>
      </c>
      <c r="C649" s="15" t="str">
        <f>IFERROR(__xludf.DUMMYFUNCTION("""COMPUTED_VALUE"""),"Varsovian")</f>
        <v>Varsovian</v>
      </c>
    </row>
    <row r="650">
      <c r="A650" s="15" t="str">
        <f>IFERROR(__xludf.DUMMYFUNCTION("""COMPUTED_VALUE"""),"Washington, D.C.")</f>
        <v>Washington, D.C.</v>
      </c>
      <c r="B650" s="15" t="str">
        <f>IFERROR(__xludf.DUMMYFUNCTION("""COMPUTED_VALUE"""),"Washingtonian[n]")</f>
        <v>Washingtonian[n]</v>
      </c>
      <c r="C650" s="15" t="str">
        <f>IFERROR(__xludf.DUMMYFUNCTION("""COMPUTED_VALUE"""),"Washingtonian[n]")</f>
        <v>Washingtonian[n]</v>
      </c>
    </row>
    <row r="651">
      <c r="A651" s="15" t="str">
        <f>IFERROR(__xludf.DUMMYFUNCTION("""COMPUTED_VALUE"""),"Waterbury, Connecticut")</f>
        <v>Waterbury, Connecticut</v>
      </c>
      <c r="B651" s="15" t="str">
        <f>IFERROR(__xludf.DUMMYFUNCTION("""COMPUTED_VALUE"""),"Waterburian")</f>
        <v>Waterburian</v>
      </c>
      <c r="C651" s="15" t="str">
        <f>IFERROR(__xludf.DUMMYFUNCTION("""COMPUTED_VALUE"""),"Waterburian")</f>
        <v>Waterburian</v>
      </c>
    </row>
    <row r="652">
      <c r="A652" s="15" t="str">
        <f>IFERROR(__xludf.DUMMYFUNCTION("""COMPUTED_VALUE"""),"Waterford")</f>
        <v>Waterford</v>
      </c>
      <c r="B652" s="15" t="str">
        <f>IFERROR(__xludf.DUMMYFUNCTION("""COMPUTED_VALUE"""),"Waterfordian")</f>
        <v>Waterfordian</v>
      </c>
      <c r="C652" s="15" t="str">
        <f>IFERROR(__xludf.DUMMYFUNCTION("""COMPUTED_VALUE"""),"Waterfordian, Déise, Suirsider")</f>
        <v>Waterfordian, Déise, Suirsider</v>
      </c>
    </row>
    <row r="653">
      <c r="A653" s="15" t="str">
        <f>IFERROR(__xludf.DUMMYFUNCTION("""COMPUTED_VALUE"""),"Waterloo")</f>
        <v>Waterloo</v>
      </c>
      <c r="B653" s="15" t="str">
        <f>IFERROR(__xludf.DUMMYFUNCTION("""COMPUTED_VALUE"""),"Waterluvian")</f>
        <v>Waterluvian</v>
      </c>
      <c r="C653" s="15" t="str">
        <f>IFERROR(__xludf.DUMMYFUNCTION("""COMPUTED_VALUE"""),"Waterluvian")</f>
        <v>Waterluvian</v>
      </c>
    </row>
    <row r="654">
      <c r="A654" s="15" t="str">
        <f>IFERROR(__xludf.DUMMYFUNCTION("""COMPUTED_VALUE"""),"Wellington")</f>
        <v>Wellington</v>
      </c>
      <c r="B654" s="15" t="str">
        <f>IFERROR(__xludf.DUMMYFUNCTION("""COMPUTED_VALUE"""),"Wellington, Wellingtonian")</f>
        <v>Wellington, Wellingtonian</v>
      </c>
      <c r="C654" s="15" t="str">
        <f>IFERROR(__xludf.DUMMYFUNCTION("""COMPUTED_VALUE"""),"Wellingtonian")</f>
        <v>Wellingtonian</v>
      </c>
    </row>
    <row r="655">
      <c r="A655" s="15" t="str">
        <f>IFERROR(__xludf.DUMMYFUNCTION("""COMPUTED_VALUE"""),"Wheatland")</f>
        <v>Wheatland</v>
      </c>
      <c r="B655" s="15" t="str">
        <f>IFERROR(__xludf.DUMMYFUNCTION("""COMPUTED_VALUE"""),"Wheatlander")</f>
        <v>Wheatlander</v>
      </c>
      <c r="C655" s="15" t="str">
        <f>IFERROR(__xludf.DUMMYFUNCTION("""COMPUTED_VALUE"""),"Wheatlander")</f>
        <v>Wheatlander</v>
      </c>
    </row>
    <row r="656">
      <c r="A656" s="15" t="str">
        <f>IFERROR(__xludf.DUMMYFUNCTION("""COMPUTED_VALUE"""),"Whitehorse")</f>
        <v>Whitehorse</v>
      </c>
      <c r="B656" s="15" t="str">
        <f>IFERROR(__xludf.DUMMYFUNCTION("""COMPUTED_VALUE"""),"Whitehorser, Whitehorsian")</f>
        <v>Whitehorser, Whitehorsian</v>
      </c>
      <c r="C656" s="15" t="str">
        <f>IFERROR(__xludf.DUMMYFUNCTION("""COMPUTED_VALUE"""),"Whitehorser, Whitehorsian")</f>
        <v>Whitehorser, Whitehorsian</v>
      </c>
    </row>
    <row r="657">
      <c r="A657" s="15" t="str">
        <f>IFERROR(__xludf.DUMMYFUNCTION("""COMPUTED_VALUE"""),"Wichita")</f>
        <v>Wichita</v>
      </c>
      <c r="B657" s="15" t="str">
        <f>IFERROR(__xludf.DUMMYFUNCTION("""COMPUTED_VALUE"""),"Wichitan")</f>
        <v>Wichitan</v>
      </c>
      <c r="C657" s="15" t="str">
        <f>IFERROR(__xludf.DUMMYFUNCTION("""COMPUTED_VALUE"""),"Wichitan")</f>
        <v>Wichitan</v>
      </c>
    </row>
    <row r="658">
      <c r="A658" s="15" t="str">
        <f>IFERROR(__xludf.DUMMYFUNCTION("""COMPUTED_VALUE"""),"Wilmot")</f>
        <v>Wilmot</v>
      </c>
      <c r="B658" s="15" t="str">
        <f>IFERROR(__xludf.DUMMYFUNCTION("""COMPUTED_VALUE"""),"Wilmotter")</f>
        <v>Wilmotter</v>
      </c>
      <c r="C658" s="15" t="str">
        <f>IFERROR(__xludf.DUMMYFUNCTION("""COMPUTED_VALUE"""),"Wilmotter")</f>
        <v>Wilmotter</v>
      </c>
    </row>
    <row r="659">
      <c r="A659" s="15" t="str">
        <f>IFERROR(__xludf.DUMMYFUNCTION("""COMPUTED_VALUE"""),"Winchester")</f>
        <v>Winchester</v>
      </c>
      <c r="B659" s="15"/>
      <c r="C659" s="15" t="str">
        <f>IFERROR(__xludf.DUMMYFUNCTION("""COMPUTED_VALUE"""),"Wintonian")</f>
        <v>Wintonian</v>
      </c>
    </row>
    <row r="660">
      <c r="A660" s="15" t="str">
        <f>IFERROR(__xludf.DUMMYFUNCTION("""COMPUTED_VALUE"""),"Winnipeg")</f>
        <v>Winnipeg</v>
      </c>
      <c r="B660" s="15"/>
      <c r="C660" s="15" t="str">
        <f>IFERROR(__xludf.DUMMYFUNCTION("""COMPUTED_VALUE"""),"Winnipegger, Winnipeger")</f>
        <v>Winnipegger, Winnipeger</v>
      </c>
    </row>
    <row r="661">
      <c r="A661" s="15" t="str">
        <f>IFERROR(__xludf.DUMMYFUNCTION("""COMPUTED_VALUE"""),"Wolverhampton")</f>
        <v>Wolverhampton</v>
      </c>
      <c r="B661" s="15"/>
      <c r="C661" s="15" t="str">
        <f>IFERROR(__xludf.DUMMYFUNCTION("""COMPUTED_VALUE"""),"Wulfrunian")</f>
        <v>Wulfrunian</v>
      </c>
    </row>
    <row r="662">
      <c r="A662" s="15" t="str">
        <f>IFERROR(__xludf.DUMMYFUNCTION("""COMPUTED_VALUE"""),"Wythenshawe")</f>
        <v>Wythenshawe</v>
      </c>
      <c r="B662" s="15" t="str">
        <f>IFERROR(__xludf.DUMMYFUNCTION("""COMPUTED_VALUE"""),"Wythenshavian")</f>
        <v>Wythenshavian</v>
      </c>
      <c r="C662" s="15" t="str">
        <f>IFERROR(__xludf.DUMMYFUNCTION("""COMPUTED_VALUE"""),"Wythenshavian")</f>
        <v>Wythenshavian</v>
      </c>
    </row>
    <row r="663">
      <c r="A663" s="15" t="str">
        <f>IFERROR(__xludf.DUMMYFUNCTION("""COMPUTED_VALUE"""),"Xalapa")</f>
        <v>Xalapa</v>
      </c>
      <c r="B663" s="15" t="str">
        <f>IFERROR(__xludf.DUMMYFUNCTION("""COMPUTED_VALUE"""),"Xalapeño")</f>
        <v>Xalapeño</v>
      </c>
      <c r="C663" s="15" t="str">
        <f>IFERROR(__xludf.DUMMYFUNCTION("""COMPUTED_VALUE"""),"Xalapeño")</f>
        <v>Xalapeño</v>
      </c>
    </row>
    <row r="664">
      <c r="A664" s="15" t="str">
        <f>IFERROR(__xludf.DUMMYFUNCTION("""COMPUTED_VALUE"""),"Xanthi")</f>
        <v>Xanthi</v>
      </c>
      <c r="B664" s="15" t="str">
        <f>IFERROR(__xludf.DUMMYFUNCTION("""COMPUTED_VALUE"""),"Xanthian")</f>
        <v>Xanthian</v>
      </c>
      <c r="C664" s="15" t="str">
        <f>IFERROR(__xludf.DUMMYFUNCTION("""COMPUTED_VALUE"""),"Xanthian")</f>
        <v>Xanthian</v>
      </c>
    </row>
    <row r="665">
      <c r="A665" s="15" t="str">
        <f>IFERROR(__xludf.DUMMYFUNCTION("""COMPUTED_VALUE"""),"Yellowknife")</f>
        <v>Yellowknife</v>
      </c>
      <c r="B665" s="15" t="str">
        <f>IFERROR(__xludf.DUMMYFUNCTION("""COMPUTED_VALUE"""),"Yellowknifer")</f>
        <v>Yellowknifer</v>
      </c>
      <c r="C665" s="15" t="str">
        <f>IFERROR(__xludf.DUMMYFUNCTION("""COMPUTED_VALUE"""),"Yellowknifer")</f>
        <v>Yellowknifer</v>
      </c>
    </row>
    <row r="666">
      <c r="A666" s="15" t="str">
        <f>IFERROR(__xludf.DUMMYFUNCTION("""COMPUTED_VALUE"""),"Yeosu")</f>
        <v>Yeosu</v>
      </c>
      <c r="B666" s="15" t="str">
        <f>IFERROR(__xludf.DUMMYFUNCTION("""COMPUTED_VALUE"""),"Yeosu, Yeosuite")</f>
        <v>Yeosu, Yeosuite</v>
      </c>
      <c r="C666" s="15" t="str">
        <f>IFERROR(__xludf.DUMMYFUNCTION("""COMPUTED_VALUE"""),"Yeosuite")</f>
        <v>Yeosuite</v>
      </c>
    </row>
    <row r="667">
      <c r="A667" s="15" t="str">
        <f>IFERROR(__xludf.DUMMYFUNCTION("""COMPUTED_VALUE"""),"Yerevan")</f>
        <v>Yerevan</v>
      </c>
      <c r="B667" s="15" t="str">
        <f>IFERROR(__xludf.DUMMYFUNCTION("""COMPUTED_VALUE"""),"Yerevantsi")</f>
        <v>Yerevantsi</v>
      </c>
      <c r="C667" s="15" t="str">
        <f>IFERROR(__xludf.DUMMYFUNCTION("""COMPUTED_VALUE"""),"Yerevantsi")</f>
        <v>Yerevantsi</v>
      </c>
    </row>
    <row r="668">
      <c r="A668" s="15" t="str">
        <f>IFERROR(__xludf.DUMMYFUNCTION("""COMPUTED_VALUE"""),"Yogyakarta")</f>
        <v>Yogyakarta</v>
      </c>
      <c r="B668" s="15" t="str">
        <f>IFERROR(__xludf.DUMMYFUNCTION("""COMPUTED_VALUE"""),"Yogyakartan, Jogjan")</f>
        <v>Yogyakartan, Jogjan</v>
      </c>
      <c r="C668" s="15" t="str">
        <f>IFERROR(__xludf.DUMMYFUNCTION("""COMPUTED_VALUE"""),"Yogyakartan, Jogjan")</f>
        <v>Yogyakartan, Jogjan</v>
      </c>
    </row>
    <row r="669">
      <c r="A669" s="15" t="str">
        <f>IFERROR(__xludf.DUMMYFUNCTION("""COMPUTED_VALUE"""),"Yokohama")</f>
        <v>Yokohama</v>
      </c>
      <c r="B669" s="15" t="str">
        <f>IFERROR(__xludf.DUMMYFUNCTION("""COMPUTED_VALUE"""),"Yokohaman")</f>
        <v>Yokohaman</v>
      </c>
      <c r="C669" s="15" t="str">
        <f>IFERROR(__xludf.DUMMYFUNCTION("""COMPUTED_VALUE"""),"Hamakko[15]")</f>
        <v>Hamakko[15]</v>
      </c>
    </row>
    <row r="670">
      <c r="A670" s="15" t="str">
        <f>IFERROR(__xludf.DUMMYFUNCTION("""COMPUTED_VALUE"""),"Zacatecas")</f>
        <v>Zacatecas</v>
      </c>
      <c r="B670" s="15" t="str">
        <f>IFERROR(__xludf.DUMMYFUNCTION("""COMPUTED_VALUE"""),"Zacatecan")</f>
        <v>Zacatecan</v>
      </c>
      <c r="C670" s="15" t="str">
        <f>IFERROR(__xludf.DUMMYFUNCTION("""COMPUTED_VALUE"""),"Zacatecano")</f>
        <v>Zacatecano</v>
      </c>
    </row>
    <row r="671">
      <c r="A671" s="15" t="str">
        <f>IFERROR(__xludf.DUMMYFUNCTION("""COMPUTED_VALUE"""),"Zagreb")</f>
        <v>Zagreb</v>
      </c>
      <c r="B671" s="15" t="str">
        <f>IFERROR(__xludf.DUMMYFUNCTION("""COMPUTED_VALUE"""),"Zagrebian")</f>
        <v>Zagrebian</v>
      </c>
      <c r="C671" s="15" t="str">
        <f>IFERROR(__xludf.DUMMYFUNCTION("""COMPUTED_VALUE"""),"Zagreber, Zagrebian")</f>
        <v>Zagreber, Zagrebian</v>
      </c>
    </row>
    <row r="672">
      <c r="A672" s="15" t="str">
        <f>IFERROR(__xludf.DUMMYFUNCTION("""COMPUTED_VALUE"""),"Zamboanga")</f>
        <v>Zamboanga</v>
      </c>
      <c r="B672" s="15" t="str">
        <f>IFERROR(__xludf.DUMMYFUNCTION("""COMPUTED_VALUE"""),"Zamboangueño")</f>
        <v>Zamboangueño</v>
      </c>
      <c r="C672" s="15" t="str">
        <f>IFERROR(__xludf.DUMMYFUNCTION("""COMPUTED_VALUE"""),"Zamboangueño")</f>
        <v>Zamboangueño</v>
      </c>
    </row>
    <row r="673">
      <c r="A673" s="15" t="str">
        <f>IFERROR(__xludf.DUMMYFUNCTION("""COMPUTED_VALUE"""),"Zaragoza")</f>
        <v>Zaragoza</v>
      </c>
      <c r="B673" s="15" t="str">
        <f>IFERROR(__xludf.DUMMYFUNCTION("""COMPUTED_VALUE"""),"Zaragozan, Saragossan")</f>
        <v>Zaragozan, Saragossan</v>
      </c>
      <c r="C673" s="15" t="str">
        <f>IFERROR(__xludf.DUMMYFUNCTION("""COMPUTED_VALUE"""),"Zaragoazan, Saragossan")</f>
        <v>Zaragoazan, Saragossan</v>
      </c>
    </row>
    <row r="674">
      <c r="A674" s="15" t="str">
        <f>IFERROR(__xludf.DUMMYFUNCTION("""COMPUTED_VALUE"""),"Zonguldak")</f>
        <v>Zonguldak</v>
      </c>
      <c r="B674" s="15" t="str">
        <f>IFERROR(__xludf.DUMMYFUNCTION("""COMPUTED_VALUE"""),"Zonguldaki")</f>
        <v>Zonguldaki</v>
      </c>
      <c r="C674" s="15" t="str">
        <f>IFERROR(__xludf.DUMMYFUNCTION("""COMPUTED_VALUE"""),"Zonguldakian")</f>
        <v>Zonguldakian</v>
      </c>
    </row>
    <row r="675">
      <c r="A675" s="15" t="str">
        <f>IFERROR(__xludf.DUMMYFUNCTION("""COMPUTED_VALUE"""),"Zintan")</f>
        <v>Zintan</v>
      </c>
      <c r="B675" s="15" t="str">
        <f>IFERROR(__xludf.DUMMYFUNCTION("""COMPUTED_VALUE"""),"Zintani")</f>
        <v>Zintani</v>
      </c>
      <c r="C675" s="15" t="str">
        <f>IFERROR(__xludf.DUMMYFUNCTION("""COMPUTED_VALUE"""),"Zintani")</f>
        <v>Zintani</v>
      </c>
    </row>
    <row r="676">
      <c r="A676" s="15" t="str">
        <f>IFERROR(__xludf.DUMMYFUNCTION("""COMPUTED_VALUE"""),"Zurich")</f>
        <v>Zurich</v>
      </c>
      <c r="B676" s="15" t="str">
        <f>IFERROR(__xludf.DUMMYFUNCTION("""COMPUTED_VALUE"""),"Zuricher, Zürcher")</f>
        <v>Zuricher, Zürcher</v>
      </c>
      <c r="C676" s="15" t="str">
        <f>IFERROR(__xludf.DUMMYFUNCTION("""COMPUTED_VALUE"""),"Zuricher, Zürcher")</f>
        <v>Zuricher, Zürcher</v>
      </c>
    </row>
    <row r="677">
      <c r="A677" s="15" t="str">
        <f>IFERROR(__xludf.DUMMYFUNCTION("""COMPUTED_VALUE"""),"Zwolle")</f>
        <v>Zwolle</v>
      </c>
      <c r="B677" s="15" t="str">
        <f>IFERROR(__xludf.DUMMYFUNCTION("""COMPUTED_VALUE"""),"Zwollenaar")</f>
        <v>Zwollenaar</v>
      </c>
      <c r="C677" s="15" t="str">
        <f>IFERROR(__xludf.DUMMYFUNCTION("""COMPUTED_VALUE"""),"Zwollenaar")</f>
        <v>Zwollenaar</v>
      </c>
    </row>
    <row r="678">
      <c r="A678" s="15" t="str">
        <f>IFERROR(__xludf.DUMMYFUNCTION("""COMPUTED_VALUE"""),"*Notes:*
   1. *^*""Attic"" is usually used only in reference to Ancient Athens
   2. *^*Used to identify francophones.
   3. *^*Used to identify Dutch speakers.
   4. *^*Used to identify those bi- or multilingual citizens merely 
   belonging to Brussel"&amp;"s.
   5. ^ *a**b*Not to be confused with the movements and concepts of English
   naturalistCharles Darwin.
   6. *^*Rare.
   7. *^*Rare.
   8. *^*Residents of both Kansas City, Missouri and Kansas City, Kansas 
   are referred to as Kansas Citians.
   9."&amp;" *^*Residents of Kansas City, Missouri are both Kansas Citians and 
   Missourians.
   10. *^*Marshallite as an adjectival form is rare and archaic
   11. *^*Formerly Richmond.
   12. ^ *a**b*Also used to identify graduates of the University of Oxford.
  "&amp;" 13. ^ *a**b*Often confused with residents of the Province of Québec. If 
   it is necessary to distinguish between residents of the city and the 
   province, French-speakers will use *québécois/e de Québec* for the city 
   and *québécois/e du Québec* f"&amp;"or the province.
   14. ^ *a**b*Not to be confused with the inhabitants of Washington state.")</f>
        <v>*Notes:*
   1. *^*"Attic" is usually used only in reference to Ancient Athens
   2. *^*Used to identify francophones.
   3. *^*Used to identify Dutch speakers.
   4. *^*Used to identify those bi- or multilingual citizens merely 
   belonging to Brussels.
   5. ^ *a**b*Not to be confused with the movements and concepts of English
   naturalistCharles Darwin.
   6. *^*Rare.
   7. *^*Rare.
   8. *^*Residents of both Kansas City, Missouri and Kansas City, Kansas 
   are referred to as Kansas Citians.
   9. *^*Residents of Kansas City, Missouri are both Kansas Citians and 
   Missourians.
   10. *^*Marshallite as an adjectival form is rare and archaic
   11. *^*Formerly Richmond.
   12. ^ *a**b*Also used to identify graduates of the University of Oxford.
   13. ^ *a**b*Often confused with residents of the Province of Québec. If 
   it is necessary to distinguish between residents of the city and the 
   province, French-speakers will use *québécois/e de Québec* for the city 
   and *québécois/e du Québec* for the province.
   14. ^ *a**b*Not to be confused with the inhabitants of Washington state.</v>
      </c>
      <c r="B678" s="15"/>
      <c r="C678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26.0"/>
    <col customWidth="1" min="3" max="3" width="32.5"/>
  </cols>
  <sheetData>
    <row r="1">
      <c r="A1" s="15" t="s">
        <v>905</v>
      </c>
      <c r="B1" s="15" t="s">
        <v>906</v>
      </c>
      <c r="C1" s="15" t="s">
        <v>907</v>
      </c>
    </row>
    <row r="2">
      <c r="A2" s="15" t="s">
        <v>908</v>
      </c>
      <c r="B2" s="15" t="s">
        <v>909</v>
      </c>
      <c r="C2" s="15" t="s">
        <v>910</v>
      </c>
    </row>
    <row r="3">
      <c r="A3" s="15" t="s">
        <v>911</v>
      </c>
      <c r="B3" s="15" t="s">
        <v>912</v>
      </c>
      <c r="C3" s="15" t="s">
        <v>913</v>
      </c>
    </row>
    <row r="4">
      <c r="A4" s="15" t="s">
        <v>914</v>
      </c>
      <c r="B4" s="15" t="s">
        <v>915</v>
      </c>
      <c r="C4" s="15" t="s">
        <v>916</v>
      </c>
    </row>
    <row r="5">
      <c r="A5" s="15" t="s">
        <v>917</v>
      </c>
      <c r="B5" s="15" t="s">
        <v>918</v>
      </c>
      <c r="C5" s="15" t="s">
        <v>919</v>
      </c>
    </row>
    <row r="6">
      <c r="A6" s="15" t="s">
        <v>920</v>
      </c>
      <c r="B6" s="15" t="s">
        <v>921</v>
      </c>
      <c r="C6" s="15" t="s">
        <v>922</v>
      </c>
    </row>
    <row r="7">
      <c r="A7" s="15" t="s">
        <v>923</v>
      </c>
      <c r="B7" s="15" t="s">
        <v>924</v>
      </c>
      <c r="C7" s="15" t="s">
        <v>925</v>
      </c>
    </row>
    <row r="8">
      <c r="A8" s="15" t="s">
        <v>926</v>
      </c>
      <c r="B8" s="15" t="s">
        <v>927</v>
      </c>
      <c r="C8" s="15" t="s">
        <v>928</v>
      </c>
    </row>
    <row r="9">
      <c r="A9" s="15" t="s">
        <v>929</v>
      </c>
      <c r="B9" s="15" t="s">
        <v>930</v>
      </c>
      <c r="C9" s="15" t="s">
        <v>931</v>
      </c>
    </row>
    <row r="10">
      <c r="A10" s="15" t="s">
        <v>932</v>
      </c>
      <c r="B10" s="15" t="s">
        <v>933</v>
      </c>
      <c r="C10" s="15" t="s">
        <v>934</v>
      </c>
    </row>
    <row r="11">
      <c r="A11" s="15" t="s">
        <v>935</v>
      </c>
      <c r="B11" s="15" t="s">
        <v>936</v>
      </c>
      <c r="C11" s="15" t="s">
        <v>937</v>
      </c>
    </row>
    <row r="12">
      <c r="A12" s="15" t="s">
        <v>938</v>
      </c>
      <c r="B12" s="15" t="s">
        <v>939</v>
      </c>
      <c r="C12" s="15" t="s">
        <v>940</v>
      </c>
    </row>
    <row r="13">
      <c r="A13" s="15" t="s">
        <v>941</v>
      </c>
      <c r="B13" s="15" t="s">
        <v>942</v>
      </c>
      <c r="C13" s="15" t="s">
        <v>943</v>
      </c>
    </row>
    <row r="14">
      <c r="A14" s="15" t="s">
        <v>944</v>
      </c>
      <c r="B14" s="15" t="s">
        <v>945</v>
      </c>
      <c r="C14" s="15" t="s">
        <v>946</v>
      </c>
      <c r="D14" s="15" t="s">
        <v>947</v>
      </c>
    </row>
    <row r="15">
      <c r="A15" s="15" t="s">
        <v>948</v>
      </c>
      <c r="B15" s="15" t="s">
        <v>949</v>
      </c>
      <c r="C15" s="15" t="s">
        <v>950</v>
      </c>
    </row>
    <row r="16">
      <c r="A16" s="15" t="s">
        <v>951</v>
      </c>
      <c r="B16" s="15" t="s">
        <v>952</v>
      </c>
      <c r="C16" s="15" t="s">
        <v>953</v>
      </c>
    </row>
    <row r="17">
      <c r="A17" s="15" t="s">
        <v>954</v>
      </c>
      <c r="B17" s="15" t="s">
        <v>955</v>
      </c>
      <c r="C17" s="15" t="s">
        <v>956</v>
      </c>
    </row>
    <row r="18">
      <c r="A18" s="15" t="s">
        <v>957</v>
      </c>
      <c r="B18" s="15" t="s">
        <v>958</v>
      </c>
      <c r="C18" s="15" t="s">
        <v>959</v>
      </c>
    </row>
    <row r="19">
      <c r="A19" s="15" t="s">
        <v>960</v>
      </c>
      <c r="B19" s="15" t="s">
        <v>961</v>
      </c>
      <c r="C19" s="15" t="s">
        <v>962</v>
      </c>
    </row>
    <row r="20">
      <c r="A20" s="15" t="s">
        <v>963</v>
      </c>
      <c r="B20" s="15" t="s">
        <v>964</v>
      </c>
      <c r="C20" s="15" t="s">
        <v>965</v>
      </c>
      <c r="D20" s="15" t="s">
        <v>966</v>
      </c>
    </row>
    <row r="21">
      <c r="A21" s="15" t="s">
        <v>967</v>
      </c>
      <c r="B21" s="15" t="s">
        <v>968</v>
      </c>
      <c r="C21" s="15" t="s">
        <v>969</v>
      </c>
    </row>
    <row r="22">
      <c r="A22" s="15" t="s">
        <v>970</v>
      </c>
      <c r="B22" s="15" t="s">
        <v>971</v>
      </c>
      <c r="C22" s="15" t="s">
        <v>972</v>
      </c>
    </row>
    <row r="23">
      <c r="A23" s="15" t="s">
        <v>973</v>
      </c>
      <c r="B23" s="15" t="s">
        <v>974</v>
      </c>
      <c r="C23" s="15" t="s">
        <v>975</v>
      </c>
    </row>
    <row r="24">
      <c r="A24" s="15" t="s">
        <v>976</v>
      </c>
      <c r="B24" s="15" t="s">
        <v>977</v>
      </c>
      <c r="C24" s="15" t="s">
        <v>977</v>
      </c>
    </row>
    <row r="25">
      <c r="A25" s="15" t="s">
        <v>978</v>
      </c>
      <c r="B25" s="15" t="s">
        <v>979</v>
      </c>
      <c r="C25" s="15" t="s">
        <v>980</v>
      </c>
    </row>
    <row r="26">
      <c r="A26" s="15" t="s">
        <v>981</v>
      </c>
      <c r="B26" s="15" t="s">
        <v>982</v>
      </c>
      <c r="C26" s="15" t="s">
        <v>982</v>
      </c>
    </row>
    <row r="27">
      <c r="A27" s="15" t="s">
        <v>983</v>
      </c>
      <c r="B27" s="15" t="s">
        <v>984</v>
      </c>
      <c r="C27" s="15" t="s">
        <v>985</v>
      </c>
    </row>
    <row r="28">
      <c r="A28" s="15" t="s">
        <v>986</v>
      </c>
      <c r="B28" s="15" t="s">
        <v>987</v>
      </c>
      <c r="C28" s="15" t="s">
        <v>988</v>
      </c>
    </row>
    <row r="29">
      <c r="A29" s="15" t="s">
        <v>989</v>
      </c>
      <c r="B29" s="15" t="s">
        <v>990</v>
      </c>
      <c r="C29" s="15" t="s">
        <v>991</v>
      </c>
    </row>
    <row r="30">
      <c r="A30" s="15" t="s">
        <v>992</v>
      </c>
      <c r="B30" s="15" t="s">
        <v>993</v>
      </c>
      <c r="C30" s="15" t="s">
        <v>994</v>
      </c>
    </row>
    <row r="31">
      <c r="A31" s="15" t="s">
        <v>995</v>
      </c>
      <c r="B31" s="15" t="s">
        <v>996</v>
      </c>
      <c r="C31" s="15" t="s">
        <v>997</v>
      </c>
    </row>
    <row r="32">
      <c r="A32" s="15" t="s">
        <v>998</v>
      </c>
      <c r="B32" s="15" t="s">
        <v>999</v>
      </c>
      <c r="C32" s="15" t="s">
        <v>1000</v>
      </c>
    </row>
    <row r="33">
      <c r="A33" s="15" t="s">
        <v>1001</v>
      </c>
      <c r="B33" s="15" t="s">
        <v>1002</v>
      </c>
      <c r="C33" s="15" t="s">
        <v>1003</v>
      </c>
    </row>
    <row r="34">
      <c r="A34" s="15" t="s">
        <v>1004</v>
      </c>
      <c r="B34" s="15" t="s">
        <v>1005</v>
      </c>
      <c r="C34" s="15" t="s">
        <v>1005</v>
      </c>
    </row>
    <row r="35">
      <c r="A35" s="15" t="s">
        <v>1006</v>
      </c>
      <c r="B35" s="15" t="s">
        <v>1007</v>
      </c>
      <c r="C35" s="15" t="s">
        <v>1008</v>
      </c>
    </row>
    <row r="36">
      <c r="A36" s="15" t="s">
        <v>1009</v>
      </c>
      <c r="B36" s="15" t="s">
        <v>1010</v>
      </c>
      <c r="C36" s="15" t="s">
        <v>1011</v>
      </c>
    </row>
    <row r="37">
      <c r="A37" s="15" t="s">
        <v>1012</v>
      </c>
      <c r="B37" s="15" t="s">
        <v>1013</v>
      </c>
      <c r="C37" s="15" t="s">
        <v>1014</v>
      </c>
    </row>
    <row r="38">
      <c r="A38" s="15" t="s">
        <v>1015</v>
      </c>
      <c r="B38" s="15" t="s">
        <v>1016</v>
      </c>
      <c r="C38" s="15" t="s">
        <v>1017</v>
      </c>
    </row>
    <row r="39">
      <c r="A39" s="15" t="s">
        <v>1018</v>
      </c>
      <c r="B39" s="15" t="s">
        <v>1019</v>
      </c>
      <c r="C39" s="15" t="s">
        <v>1020</v>
      </c>
    </row>
    <row r="40">
      <c r="A40" s="15" t="s">
        <v>1021</v>
      </c>
      <c r="B40" s="15" t="s">
        <v>1022</v>
      </c>
      <c r="C40" s="15" t="s">
        <v>1023</v>
      </c>
    </row>
    <row r="41">
      <c r="A41" s="15" t="s">
        <v>1024</v>
      </c>
      <c r="B41" s="15" t="s">
        <v>1025</v>
      </c>
      <c r="C41" s="15" t="s">
        <v>1026</v>
      </c>
    </row>
    <row r="42">
      <c r="A42" s="15" t="s">
        <v>1027</v>
      </c>
      <c r="B42" s="15" t="s">
        <v>1028</v>
      </c>
      <c r="C42" s="15" t="s">
        <v>1029</v>
      </c>
    </row>
    <row r="43">
      <c r="A43" s="15" t="s">
        <v>1030</v>
      </c>
      <c r="B43" s="15" t="s">
        <v>1031</v>
      </c>
      <c r="C43" s="15" t="s">
        <v>1032</v>
      </c>
    </row>
    <row r="44">
      <c r="A44" s="15" t="s">
        <v>1033</v>
      </c>
      <c r="B44" s="15" t="s">
        <v>1034</v>
      </c>
      <c r="C44" s="15" t="s">
        <v>1035</v>
      </c>
    </row>
    <row r="45">
      <c r="A45" s="15" t="s">
        <v>1036</v>
      </c>
      <c r="B45" s="15" t="s">
        <v>1037</v>
      </c>
      <c r="C45" s="15" t="s">
        <v>1037</v>
      </c>
    </row>
    <row r="46">
      <c r="A46" s="15" t="s">
        <v>1038</v>
      </c>
      <c r="B46" s="15" t="s">
        <v>1039</v>
      </c>
    </row>
    <row r="47">
      <c r="A47" s="15" t="s">
        <v>1040</v>
      </c>
      <c r="B47" s="15" t="s">
        <v>1040</v>
      </c>
      <c r="C47" s="15" t="s">
        <v>1041</v>
      </c>
    </row>
    <row r="48">
      <c r="A48" s="15" t="s">
        <v>1042</v>
      </c>
      <c r="B48" s="15" t="s">
        <v>1043</v>
      </c>
      <c r="C48" s="15" t="s">
        <v>1044</v>
      </c>
    </row>
    <row r="49">
      <c r="A49" s="15" t="s">
        <v>1045</v>
      </c>
      <c r="B49" s="15" t="s">
        <v>1046</v>
      </c>
      <c r="C49" s="15" t="s">
        <v>1047</v>
      </c>
    </row>
    <row r="50">
      <c r="A50" s="15" t="s">
        <v>1048</v>
      </c>
      <c r="B50" s="15" t="s">
        <v>1049</v>
      </c>
      <c r="C50" s="15" t="s">
        <v>1050</v>
      </c>
    </row>
    <row r="51">
      <c r="A51" s="15" t="s">
        <v>1051</v>
      </c>
      <c r="B51" s="15" t="s">
        <v>1052</v>
      </c>
      <c r="C51" s="15" t="s">
        <v>1053</v>
      </c>
    </row>
    <row r="52">
      <c r="A52" s="15" t="s">
        <v>1054</v>
      </c>
    </row>
    <row r="53">
      <c r="A53" s="15" t="s">
        <v>1055</v>
      </c>
      <c r="B53" s="15" t="s">
        <v>1056</v>
      </c>
      <c r="C53" s="15" t="s">
        <v>1057</v>
      </c>
    </row>
    <row r="54">
      <c r="A54" s="15" t="s">
        <v>1058</v>
      </c>
      <c r="B54" s="15" t="s">
        <v>1059</v>
      </c>
      <c r="C54" s="15" t="s">
        <v>1060</v>
      </c>
      <c r="D54" s="15" t="s">
        <v>1061</v>
      </c>
    </row>
    <row r="55">
      <c r="A55" s="15" t="s">
        <v>1062</v>
      </c>
      <c r="B55" s="15" t="s">
        <v>1063</v>
      </c>
      <c r="C55" s="15" t="s">
        <v>1064</v>
      </c>
    </row>
    <row r="56">
      <c r="A56" s="15" t="s">
        <v>1065</v>
      </c>
      <c r="B56" s="15" t="s">
        <v>1066</v>
      </c>
      <c r="C56" s="15" t="s">
        <v>1067</v>
      </c>
    </row>
    <row r="57">
      <c r="A57" s="15" t="s">
        <v>1068</v>
      </c>
      <c r="B57" s="15" t="s">
        <v>1069</v>
      </c>
      <c r="C57" s="15" t="s">
        <v>1070</v>
      </c>
    </row>
    <row r="58">
      <c r="A58" s="15" t="s">
        <v>1071</v>
      </c>
      <c r="B58" s="15" t="s">
        <v>1072</v>
      </c>
      <c r="C58" s="15" t="s">
        <v>1073</v>
      </c>
    </row>
    <row r="59">
      <c r="A59" s="15" t="s">
        <v>1074</v>
      </c>
      <c r="B59" s="15" t="s">
        <v>1075</v>
      </c>
      <c r="C59" s="15" t="s">
        <v>1076</v>
      </c>
    </row>
    <row r="60">
      <c r="A60" s="15" t="s">
        <v>1077</v>
      </c>
      <c r="B60" s="15" t="s">
        <v>1078</v>
      </c>
      <c r="C60" s="15" t="s">
        <v>1079</v>
      </c>
    </row>
    <row r="61">
      <c r="A61" s="15" t="s">
        <v>1080</v>
      </c>
      <c r="B61" s="15" t="s">
        <v>1081</v>
      </c>
      <c r="C61" s="15" t="s">
        <v>1082</v>
      </c>
    </row>
    <row r="62">
      <c r="A62" s="15" t="s">
        <v>1083</v>
      </c>
      <c r="B62" s="15" t="s">
        <v>1084</v>
      </c>
      <c r="C62" s="15" t="s">
        <v>1085</v>
      </c>
    </row>
    <row r="63">
      <c r="A63" s="15" t="s">
        <v>1086</v>
      </c>
      <c r="B63" s="15" t="s">
        <v>1087</v>
      </c>
      <c r="C63" s="15" t="s">
        <v>1088</v>
      </c>
      <c r="D63" s="15" t="s">
        <v>1089</v>
      </c>
    </row>
    <row r="64">
      <c r="A64" s="15" t="s">
        <v>1090</v>
      </c>
      <c r="B64" s="15" t="s">
        <v>1091</v>
      </c>
      <c r="C64" s="15" t="s">
        <v>1091</v>
      </c>
      <c r="D64" s="15" t="s">
        <v>1092</v>
      </c>
    </row>
    <row r="65">
      <c r="A65" s="15" t="s">
        <v>1093</v>
      </c>
      <c r="B65" s="15" t="s">
        <v>1094</v>
      </c>
      <c r="C65" s="15" t="s">
        <v>1095</v>
      </c>
    </row>
    <row r="66">
      <c r="A66" s="15" t="s">
        <v>1096</v>
      </c>
      <c r="B66" s="15" t="s">
        <v>1097</v>
      </c>
      <c r="C66" s="15" t="s">
        <v>1098</v>
      </c>
    </row>
    <row r="67">
      <c r="A67" s="15" t="s">
        <v>1099</v>
      </c>
      <c r="B67" s="15" t="s">
        <v>1100</v>
      </c>
      <c r="C67" s="15" t="s">
        <v>1101</v>
      </c>
    </row>
    <row r="68">
      <c r="A68" s="15" t="s">
        <v>1102</v>
      </c>
      <c r="B68" s="15" t="s">
        <v>1103</v>
      </c>
      <c r="C68" s="15" t="s">
        <v>1103</v>
      </c>
    </row>
    <row r="69">
      <c r="A69" s="15" t="s">
        <v>1104</v>
      </c>
      <c r="B69" s="15" t="s">
        <v>1105</v>
      </c>
      <c r="C69" s="15" t="s">
        <v>1106</v>
      </c>
    </row>
    <row r="70">
      <c r="A70" s="15" t="s">
        <v>1107</v>
      </c>
      <c r="B70" s="15" t="s">
        <v>1108</v>
      </c>
      <c r="C70" s="15" t="s">
        <v>1109</v>
      </c>
    </row>
    <row r="71">
      <c r="A71" s="15" t="s">
        <v>1110</v>
      </c>
      <c r="B71" s="15" t="s">
        <v>1111</v>
      </c>
      <c r="C71" s="15" t="s">
        <v>1112</v>
      </c>
    </row>
    <row r="72">
      <c r="A72" s="15" t="s">
        <v>1113</v>
      </c>
      <c r="B72" s="15" t="s">
        <v>1114</v>
      </c>
      <c r="C72" s="15" t="s">
        <v>1115</v>
      </c>
    </row>
    <row r="73">
      <c r="A73" s="15" t="s">
        <v>1116</v>
      </c>
      <c r="B73" s="15" t="s">
        <v>1117</v>
      </c>
      <c r="C73" s="15" t="s">
        <v>1118</v>
      </c>
      <c r="D73" s="15" t="s">
        <v>1119</v>
      </c>
    </row>
    <row r="74">
      <c r="A74" s="15" t="s">
        <v>1120</v>
      </c>
      <c r="B74" s="15" t="s">
        <v>1121</v>
      </c>
      <c r="C74" s="15" t="s">
        <v>1121</v>
      </c>
    </row>
    <row r="75">
      <c r="A75" s="15" t="s">
        <v>1122</v>
      </c>
      <c r="B75" s="15" t="s">
        <v>1123</v>
      </c>
      <c r="C75" s="15" t="s">
        <v>1124</v>
      </c>
    </row>
    <row r="76">
      <c r="A76" s="15" t="s">
        <v>1125</v>
      </c>
      <c r="B76" s="15" t="s">
        <v>1126</v>
      </c>
      <c r="C76" s="15" t="s">
        <v>1127</v>
      </c>
    </row>
    <row r="77">
      <c r="A77" s="15" t="s">
        <v>1128</v>
      </c>
      <c r="B77" s="15" t="s">
        <v>1129</v>
      </c>
      <c r="C77" s="15" t="s">
        <v>1130</v>
      </c>
    </row>
    <row r="78">
      <c r="A78" s="15" t="s">
        <v>1131</v>
      </c>
      <c r="B78" s="15" t="s">
        <v>1132</v>
      </c>
      <c r="C78" s="15" t="s">
        <v>1132</v>
      </c>
    </row>
    <row r="79">
      <c r="A79" s="15" t="s">
        <v>1133</v>
      </c>
      <c r="B79" s="15" t="s">
        <v>1134</v>
      </c>
      <c r="C79" s="15" t="s">
        <v>1135</v>
      </c>
    </row>
    <row r="80">
      <c r="A80" s="15" t="s">
        <v>1136</v>
      </c>
      <c r="B80" s="15" t="s">
        <v>1137</v>
      </c>
      <c r="C80" s="15" t="s">
        <v>1137</v>
      </c>
    </row>
    <row r="81">
      <c r="A81" s="15" t="s">
        <v>1138</v>
      </c>
      <c r="B81" s="15" t="s">
        <v>1139</v>
      </c>
      <c r="C81" s="15" t="s">
        <v>1140</v>
      </c>
    </row>
    <row r="82">
      <c r="A82" s="15" t="s">
        <v>1141</v>
      </c>
      <c r="B82" s="15" t="s">
        <v>1142</v>
      </c>
      <c r="C82" s="15" t="s">
        <v>1143</v>
      </c>
    </row>
    <row r="83">
      <c r="A83" s="15" t="s">
        <v>1144</v>
      </c>
      <c r="B83" s="15" t="s">
        <v>1145</v>
      </c>
      <c r="C83" s="15" t="s">
        <v>1146</v>
      </c>
    </row>
    <row r="84">
      <c r="A84" s="15" t="s">
        <v>1147</v>
      </c>
      <c r="B84" s="15" t="s">
        <v>1148</v>
      </c>
      <c r="C84" s="15" t="s">
        <v>1149</v>
      </c>
    </row>
    <row r="85">
      <c r="A85" s="15" t="s">
        <v>1150</v>
      </c>
      <c r="B85" s="15" t="s">
        <v>1150</v>
      </c>
      <c r="C85" s="15" t="s">
        <v>1151</v>
      </c>
      <c r="D85" s="15" t="s">
        <v>1152</v>
      </c>
    </row>
    <row r="86">
      <c r="A86" s="15" t="s">
        <v>1153</v>
      </c>
      <c r="B86" s="15" t="s">
        <v>1154</v>
      </c>
      <c r="C86" s="15" t="s">
        <v>1155</v>
      </c>
      <c r="D86" s="15" t="s">
        <v>1156</v>
      </c>
    </row>
    <row r="87">
      <c r="A87" s="15" t="s">
        <v>1157</v>
      </c>
      <c r="B87" s="15" t="s">
        <v>1158</v>
      </c>
      <c r="C87" s="15" t="s">
        <v>1159</v>
      </c>
    </row>
    <row r="88">
      <c r="A88" s="15" t="s">
        <v>1160</v>
      </c>
      <c r="B88" s="15" t="s">
        <v>1161</v>
      </c>
      <c r="C88" s="15" t="s">
        <v>1162</v>
      </c>
    </row>
    <row r="89">
      <c r="A89" s="15" t="s">
        <v>1163</v>
      </c>
      <c r="B89" s="15" t="s">
        <v>1164</v>
      </c>
      <c r="C89" s="15" t="s">
        <v>1165</v>
      </c>
    </row>
    <row r="90">
      <c r="A90" s="15" t="s">
        <v>1166</v>
      </c>
      <c r="B90" s="15" t="s">
        <v>1166</v>
      </c>
      <c r="C90" s="15" t="s">
        <v>1167</v>
      </c>
    </row>
    <row r="91">
      <c r="A91" s="15" t="s">
        <v>1168</v>
      </c>
      <c r="B91" s="15" t="s">
        <v>1169</v>
      </c>
      <c r="C91" s="15" t="s">
        <v>1170</v>
      </c>
    </row>
    <row r="92">
      <c r="A92" s="15" t="s">
        <v>1171</v>
      </c>
      <c r="B92" s="15" t="s">
        <v>1172</v>
      </c>
      <c r="C92" s="15" t="s">
        <v>1173</v>
      </c>
    </row>
    <row r="93">
      <c r="A93" s="15" t="s">
        <v>1174</v>
      </c>
      <c r="B93" s="15" t="s">
        <v>1175</v>
      </c>
      <c r="C93" s="15" t="s">
        <v>1176</v>
      </c>
    </row>
    <row r="94">
      <c r="A94" s="15" t="s">
        <v>1177</v>
      </c>
    </row>
    <row r="95">
      <c r="A95" s="15" t="s">
        <v>1178</v>
      </c>
      <c r="B95" s="15" t="s">
        <v>1179</v>
      </c>
      <c r="C95" s="15" t="s">
        <v>1179</v>
      </c>
    </row>
    <row r="96">
      <c r="A96" s="15" t="s">
        <v>1180</v>
      </c>
      <c r="B96" s="15" t="s">
        <v>1181</v>
      </c>
      <c r="C96" s="15" t="s">
        <v>1182</v>
      </c>
      <c r="D96" s="15" t="s">
        <v>1183</v>
      </c>
    </row>
    <row r="97">
      <c r="A97" s="15" t="s">
        <v>1184</v>
      </c>
      <c r="B97" s="15" t="s">
        <v>1185</v>
      </c>
      <c r="C97" s="15" t="s">
        <v>1186</v>
      </c>
      <c r="D97" s="15" t="s">
        <v>1187</v>
      </c>
    </row>
    <row r="98">
      <c r="A98" s="15" t="s">
        <v>1188</v>
      </c>
      <c r="B98" s="15" t="s">
        <v>1189</v>
      </c>
      <c r="C98" s="15" t="s">
        <v>1190</v>
      </c>
      <c r="D98" s="15" t="s">
        <v>1191</v>
      </c>
    </row>
    <row r="99">
      <c r="A99" s="15" t="s">
        <v>1192</v>
      </c>
      <c r="B99" s="15" t="s">
        <v>1193</v>
      </c>
      <c r="C99" s="15" t="s">
        <v>1194</v>
      </c>
    </row>
    <row r="100">
      <c r="A100" s="15" t="s">
        <v>1195</v>
      </c>
      <c r="B100" s="15" t="s">
        <v>1196</v>
      </c>
      <c r="C100" s="15" t="s">
        <v>1197</v>
      </c>
    </row>
    <row r="101">
      <c r="A101" s="15" t="s">
        <v>1198</v>
      </c>
      <c r="B101" s="15" t="s">
        <v>1199</v>
      </c>
      <c r="C101" s="15" t="s">
        <v>1200</v>
      </c>
    </row>
    <row r="102">
      <c r="A102" s="15" t="s">
        <v>1201</v>
      </c>
      <c r="B102" s="15" t="s">
        <v>1202</v>
      </c>
      <c r="C102" s="15" t="s">
        <v>1203</v>
      </c>
    </row>
    <row r="103">
      <c r="A103" s="15" t="s">
        <v>1204</v>
      </c>
      <c r="B103" s="15" t="s">
        <v>1205</v>
      </c>
      <c r="C103" s="15" t="s">
        <v>1206</v>
      </c>
    </row>
    <row r="104">
      <c r="A104" s="15" t="s">
        <v>1207</v>
      </c>
      <c r="B104" s="15" t="s">
        <v>1208</v>
      </c>
      <c r="C104" s="15" t="s">
        <v>1209</v>
      </c>
    </row>
    <row r="105">
      <c r="A105" s="15" t="s">
        <v>1210</v>
      </c>
      <c r="B105" s="15" t="s">
        <v>1211</v>
      </c>
      <c r="C105" s="15" t="s">
        <v>1211</v>
      </c>
    </row>
    <row r="106">
      <c r="A106" s="15" t="s">
        <v>1212</v>
      </c>
      <c r="B106" s="15" t="s">
        <v>1213</v>
      </c>
      <c r="C106" s="15" t="s">
        <v>1213</v>
      </c>
    </row>
    <row r="107">
      <c r="A107" s="15" t="s">
        <v>1214</v>
      </c>
      <c r="B107" s="15" t="s">
        <v>1215</v>
      </c>
      <c r="C107" s="15" t="s">
        <v>1216</v>
      </c>
    </row>
    <row r="108">
      <c r="A108" s="15" t="s">
        <v>1217</v>
      </c>
      <c r="B108" s="15" t="s">
        <v>1218</v>
      </c>
      <c r="C108" s="15" t="s">
        <v>1219</v>
      </c>
    </row>
    <row r="109">
      <c r="A109" s="15" t="s">
        <v>1220</v>
      </c>
      <c r="B109" s="15" t="s">
        <v>1221</v>
      </c>
      <c r="C109" s="15" t="s">
        <v>1222</v>
      </c>
    </row>
    <row r="110">
      <c r="A110" s="15" t="s">
        <v>1223</v>
      </c>
      <c r="B110" s="15" t="s">
        <v>1224</v>
      </c>
      <c r="C110" s="15" t="s">
        <v>1224</v>
      </c>
    </row>
    <row r="111">
      <c r="A111" s="15" t="s">
        <v>1225</v>
      </c>
      <c r="B111" s="15" t="s">
        <v>1226</v>
      </c>
      <c r="C111" s="15" t="s">
        <v>1227</v>
      </c>
    </row>
    <row r="112">
      <c r="A112" s="15" t="s">
        <v>1228</v>
      </c>
      <c r="B112" s="15" t="s">
        <v>1229</v>
      </c>
      <c r="C112" s="15" t="s">
        <v>1230</v>
      </c>
    </row>
    <row r="113">
      <c r="A113" s="15" t="s">
        <v>1231</v>
      </c>
      <c r="B113" s="15" t="s">
        <v>1232</v>
      </c>
      <c r="C113" s="15" t="s">
        <v>1233</v>
      </c>
    </row>
    <row r="114">
      <c r="A114" s="15" t="s">
        <v>1234</v>
      </c>
      <c r="B114" s="15" t="s">
        <v>1234</v>
      </c>
      <c r="C114" s="15" t="s">
        <v>1235</v>
      </c>
    </row>
    <row r="115">
      <c r="A115" s="15" t="s">
        <v>1236</v>
      </c>
      <c r="B115" s="15" t="s">
        <v>1237</v>
      </c>
      <c r="C115" s="15" t="s">
        <v>1238</v>
      </c>
    </row>
    <row r="116">
      <c r="A116" s="15" t="s">
        <v>1239</v>
      </c>
      <c r="B116" s="15" t="s">
        <v>1240</v>
      </c>
    </row>
    <row r="117">
      <c r="A117" s="15" t="s">
        <v>1241</v>
      </c>
      <c r="B117" s="15" t="s">
        <v>1242</v>
      </c>
      <c r="C117" s="15" t="s">
        <v>1243</v>
      </c>
    </row>
    <row r="118">
      <c r="A118" s="15" t="s">
        <v>1244</v>
      </c>
      <c r="B118" s="15" t="s">
        <v>1245</v>
      </c>
      <c r="C118" s="15" t="s">
        <v>1246</v>
      </c>
    </row>
    <row r="119">
      <c r="A119" s="15" t="s">
        <v>1247</v>
      </c>
      <c r="B119" s="15" t="s">
        <v>1248</v>
      </c>
      <c r="C119" s="15" t="s">
        <v>1249</v>
      </c>
    </row>
    <row r="120">
      <c r="A120" s="15" t="s">
        <v>1250</v>
      </c>
      <c r="B120" s="15" t="s">
        <v>1251</v>
      </c>
      <c r="C120" s="15" t="s">
        <v>1252</v>
      </c>
    </row>
    <row r="121">
      <c r="A121" s="15" t="s">
        <v>1253</v>
      </c>
      <c r="B121" s="15" t="s">
        <v>1254</v>
      </c>
      <c r="C121" s="15" t="s">
        <v>1255</v>
      </c>
    </row>
    <row r="122">
      <c r="A122" s="15" t="s">
        <v>1256</v>
      </c>
      <c r="B122" s="15" t="s">
        <v>1257</v>
      </c>
      <c r="C122" s="15" t="s">
        <v>1257</v>
      </c>
    </row>
    <row r="123">
      <c r="A123" s="15" t="s">
        <v>1258</v>
      </c>
      <c r="B123" s="15" t="s">
        <v>1259</v>
      </c>
      <c r="C123" s="15" t="s">
        <v>1259</v>
      </c>
    </row>
    <row r="124">
      <c r="A124" s="15" t="s">
        <v>1260</v>
      </c>
      <c r="B124" s="15" t="s">
        <v>1261</v>
      </c>
      <c r="C124" s="15" t="s">
        <v>1262</v>
      </c>
    </row>
    <row r="125">
      <c r="A125" s="15" t="s">
        <v>1263</v>
      </c>
      <c r="B125" s="15" t="s">
        <v>1264</v>
      </c>
      <c r="C125" s="15" t="s">
        <v>1265</v>
      </c>
    </row>
    <row r="126">
      <c r="A126" s="15" t="s">
        <v>1266</v>
      </c>
      <c r="B126" s="15" t="s">
        <v>1266</v>
      </c>
      <c r="C126" s="15" t="s">
        <v>1267</v>
      </c>
    </row>
    <row r="127">
      <c r="A127" s="15" t="s">
        <v>1268</v>
      </c>
      <c r="B127" s="15" t="s">
        <v>1269</v>
      </c>
      <c r="C127" s="15" t="s">
        <v>1270</v>
      </c>
    </row>
    <row r="128">
      <c r="A128" s="15" t="s">
        <v>1271</v>
      </c>
      <c r="B128" s="15" t="s">
        <v>1271</v>
      </c>
      <c r="C128" s="15" t="s">
        <v>1272</v>
      </c>
    </row>
    <row r="129">
      <c r="A129" s="15" t="s">
        <v>1273</v>
      </c>
      <c r="B129" s="15" t="s">
        <v>1274</v>
      </c>
      <c r="C129" s="15" t="s">
        <v>1274</v>
      </c>
    </row>
    <row r="130">
      <c r="A130" s="15" t="s">
        <v>1275</v>
      </c>
      <c r="B130" s="15" t="s">
        <v>1276</v>
      </c>
      <c r="C130" s="15" t="s">
        <v>1277</v>
      </c>
    </row>
    <row r="131">
      <c r="A131" s="15" t="s">
        <v>1278</v>
      </c>
      <c r="B131" s="15" t="s">
        <v>1279</v>
      </c>
      <c r="C131" s="15" t="s">
        <v>1279</v>
      </c>
    </row>
    <row r="132">
      <c r="A132" s="15" t="s">
        <v>1280</v>
      </c>
      <c r="B132" s="15" t="s">
        <v>1281</v>
      </c>
      <c r="C132" s="15" t="s">
        <v>1282</v>
      </c>
    </row>
    <row r="133">
      <c r="A133" s="15" t="s">
        <v>1283</v>
      </c>
      <c r="B133" s="15" t="s">
        <v>1284</v>
      </c>
      <c r="C133" s="15" t="s">
        <v>1285</v>
      </c>
    </row>
    <row r="134">
      <c r="A134" s="15" t="s">
        <v>1286</v>
      </c>
      <c r="B134" s="15" t="s">
        <v>1287</v>
      </c>
      <c r="C134" s="15" t="s">
        <v>1288</v>
      </c>
    </row>
    <row r="135">
      <c r="A135" s="15" t="s">
        <v>1289</v>
      </c>
      <c r="B135" s="15" t="s">
        <v>1290</v>
      </c>
      <c r="C135" s="15" t="s">
        <v>1291</v>
      </c>
    </row>
    <row r="136">
      <c r="A136" s="15" t="s">
        <v>1292</v>
      </c>
      <c r="B136" s="15" t="s">
        <v>1293</v>
      </c>
      <c r="C136" s="15" t="s">
        <v>1293</v>
      </c>
    </row>
    <row r="137">
      <c r="A137" s="15" t="s">
        <v>1294</v>
      </c>
      <c r="B137" s="15" t="s">
        <v>1295</v>
      </c>
      <c r="C137" s="15" t="s">
        <v>1295</v>
      </c>
    </row>
    <row r="138">
      <c r="A138" s="15" t="s">
        <v>1296</v>
      </c>
      <c r="B138" s="15" t="s">
        <v>1297</v>
      </c>
      <c r="C138" s="15" t="s">
        <v>1298</v>
      </c>
    </row>
    <row r="139">
      <c r="A139" s="15" t="s">
        <v>1299</v>
      </c>
      <c r="B139" s="15" t="s">
        <v>1300</v>
      </c>
      <c r="C139" s="15" t="s">
        <v>1301</v>
      </c>
    </row>
    <row r="140">
      <c r="A140" s="15" t="s">
        <v>1302</v>
      </c>
      <c r="B140" s="15" t="s">
        <v>1303</v>
      </c>
      <c r="C140" s="15" t="s">
        <v>1304</v>
      </c>
    </row>
    <row r="141">
      <c r="A141" s="15" t="s">
        <v>1305</v>
      </c>
      <c r="B141" s="15" t="s">
        <v>1306</v>
      </c>
      <c r="C141" s="15" t="s">
        <v>1307</v>
      </c>
    </row>
    <row r="142">
      <c r="A142" s="15" t="s">
        <v>1308</v>
      </c>
      <c r="B142" s="15" t="s">
        <v>1309</v>
      </c>
      <c r="C142" s="15" t="s">
        <v>1310</v>
      </c>
    </row>
    <row r="143">
      <c r="A143" s="15" t="s">
        <v>1311</v>
      </c>
      <c r="B143" s="15" t="s">
        <v>1312</v>
      </c>
      <c r="C143" s="15" t="s">
        <v>1313</v>
      </c>
    </row>
    <row r="144">
      <c r="A144" s="15" t="s">
        <v>1314</v>
      </c>
      <c r="B144" s="15" t="s">
        <v>1315</v>
      </c>
      <c r="C144" s="15" t="s">
        <v>1316</v>
      </c>
    </row>
    <row r="145">
      <c r="A145" s="15" t="s">
        <v>1317</v>
      </c>
      <c r="B145" s="15" t="s">
        <v>1318</v>
      </c>
      <c r="C145" s="15" t="s">
        <v>1319</v>
      </c>
    </row>
    <row r="146">
      <c r="A146" s="15" t="s">
        <v>1320</v>
      </c>
      <c r="B146" s="15" t="s">
        <v>1321</v>
      </c>
      <c r="C146" s="15" t="s">
        <v>1322</v>
      </c>
    </row>
    <row r="147">
      <c r="A147" s="15" t="s">
        <v>1323</v>
      </c>
      <c r="B147" s="15" t="s">
        <v>1324</v>
      </c>
      <c r="C147" s="15" t="s">
        <v>1325</v>
      </c>
    </row>
    <row r="148">
      <c r="A148" s="15" t="s">
        <v>1326</v>
      </c>
      <c r="B148" s="15" t="s">
        <v>1327</v>
      </c>
      <c r="C148" s="15" t="s">
        <v>1328</v>
      </c>
    </row>
    <row r="149">
      <c r="A149" s="15" t="s">
        <v>1329</v>
      </c>
      <c r="B149" s="15" t="s">
        <v>1330</v>
      </c>
      <c r="C149" s="15" t="s">
        <v>1331</v>
      </c>
    </row>
    <row r="150">
      <c r="A150" s="15" t="s">
        <v>1332</v>
      </c>
      <c r="B150" s="15" t="s">
        <v>1333</v>
      </c>
      <c r="C150" s="15" t="s">
        <v>1334</v>
      </c>
    </row>
    <row r="151">
      <c r="A151" s="15" t="s">
        <v>1335</v>
      </c>
      <c r="B151" s="15" t="s">
        <v>1336</v>
      </c>
      <c r="C151" s="15" t="s">
        <v>1337</v>
      </c>
    </row>
    <row r="152">
      <c r="A152" s="15" t="s">
        <v>1338</v>
      </c>
      <c r="B152" s="15" t="s">
        <v>1339</v>
      </c>
      <c r="C152" s="15" t="s">
        <v>1340</v>
      </c>
    </row>
    <row r="153">
      <c r="A153" s="15" t="s">
        <v>1341</v>
      </c>
      <c r="B153" s="15" t="s">
        <v>1342</v>
      </c>
      <c r="C153" s="15" t="s">
        <v>1343</v>
      </c>
    </row>
    <row r="154">
      <c r="A154" s="15" t="s">
        <v>1344</v>
      </c>
      <c r="B154" s="15" t="s">
        <v>1345</v>
      </c>
      <c r="C154" s="15" t="s">
        <v>1345</v>
      </c>
    </row>
    <row r="155">
      <c r="A155" s="15" t="s">
        <v>1346</v>
      </c>
      <c r="B155" s="15" t="s">
        <v>1347</v>
      </c>
      <c r="C155" s="15" t="s">
        <v>1348</v>
      </c>
    </row>
    <row r="156">
      <c r="A156" s="15" t="s">
        <v>1349</v>
      </c>
      <c r="B156" s="15" t="s">
        <v>1350</v>
      </c>
      <c r="C156" s="15" t="s">
        <v>1351</v>
      </c>
    </row>
    <row r="157">
      <c r="A157" s="15" t="s">
        <v>1352</v>
      </c>
      <c r="B157" s="15" t="s">
        <v>1352</v>
      </c>
      <c r="C157" s="15" t="s">
        <v>1353</v>
      </c>
      <c r="D157" s="15" t="s">
        <v>1354</v>
      </c>
    </row>
    <row r="158">
      <c r="A158" s="15" t="s">
        <v>1355</v>
      </c>
      <c r="B158" s="15" t="s">
        <v>1356</v>
      </c>
      <c r="C158" s="15" t="s">
        <v>1357</v>
      </c>
    </row>
    <row r="159">
      <c r="A159" s="15" t="s">
        <v>1358</v>
      </c>
      <c r="B159" s="15" t="s">
        <v>1359</v>
      </c>
      <c r="C159" s="15" t="s">
        <v>1360</v>
      </c>
    </row>
    <row r="160">
      <c r="A160" s="15" t="s">
        <v>1361</v>
      </c>
      <c r="B160" s="15" t="s">
        <v>1362</v>
      </c>
      <c r="C160" s="15" t="s">
        <v>1363</v>
      </c>
    </row>
    <row r="161">
      <c r="A161" s="15" t="s">
        <v>1364</v>
      </c>
      <c r="B161" s="15" t="s">
        <v>1365</v>
      </c>
      <c r="C161" s="15" t="s">
        <v>1366</v>
      </c>
    </row>
    <row r="162">
      <c r="A162" s="15" t="s">
        <v>1367</v>
      </c>
      <c r="B162" s="15" t="s">
        <v>1368</v>
      </c>
      <c r="C162" s="15" t="s">
        <v>1369</v>
      </c>
    </row>
    <row r="163">
      <c r="A163" s="15" t="s">
        <v>1370</v>
      </c>
      <c r="B163" s="15" t="s">
        <v>1371</v>
      </c>
      <c r="C163" s="15" t="s">
        <v>1372</v>
      </c>
    </row>
    <row r="164">
      <c r="A164" s="15" t="s">
        <v>1373</v>
      </c>
      <c r="B164" s="15" t="s">
        <v>1374</v>
      </c>
      <c r="C164" s="15" t="s">
        <v>1375</v>
      </c>
    </row>
    <row r="165">
      <c r="A165" s="15" t="s">
        <v>1376</v>
      </c>
      <c r="B165" s="15" t="s">
        <v>1377</v>
      </c>
      <c r="C165" s="15" t="s">
        <v>1378</v>
      </c>
    </row>
    <row r="166">
      <c r="A166" s="15" t="s">
        <v>1379</v>
      </c>
      <c r="B166" s="15" t="s">
        <v>1380</v>
      </c>
      <c r="C166" s="15" t="s">
        <v>1381</v>
      </c>
    </row>
    <row r="167">
      <c r="A167" s="15" t="s">
        <v>1382</v>
      </c>
      <c r="B167" s="15" t="s">
        <v>1383</v>
      </c>
      <c r="C167" s="15" t="s">
        <v>1384</v>
      </c>
    </row>
    <row r="168">
      <c r="A168" s="15" t="s">
        <v>1385</v>
      </c>
      <c r="B168" s="15" t="s">
        <v>1386</v>
      </c>
      <c r="C168" s="15" t="s">
        <v>1387</v>
      </c>
    </row>
    <row r="169">
      <c r="A169" s="15" t="s">
        <v>1388</v>
      </c>
      <c r="B169" s="15" t="s">
        <v>1389</v>
      </c>
      <c r="C169" s="15" t="s">
        <v>1390</v>
      </c>
    </row>
    <row r="170">
      <c r="A170" s="15" t="s">
        <v>1391</v>
      </c>
      <c r="B170" s="15" t="s">
        <v>1392</v>
      </c>
      <c r="C170" s="15" t="s">
        <v>1393</v>
      </c>
    </row>
    <row r="171">
      <c r="A171" s="15" t="s">
        <v>1394</v>
      </c>
      <c r="B171" s="15" t="s">
        <v>1395</v>
      </c>
      <c r="C171" s="15" t="s">
        <v>1396</v>
      </c>
    </row>
    <row r="172">
      <c r="A172" s="15" t="s">
        <v>1397</v>
      </c>
      <c r="B172" s="15" t="s">
        <v>1398</v>
      </c>
      <c r="C172" s="15" t="s">
        <v>1399</v>
      </c>
    </row>
    <row r="173">
      <c r="A173" s="15" t="s">
        <v>1400</v>
      </c>
      <c r="B173" s="15" t="s">
        <v>1401</v>
      </c>
      <c r="C173" s="15" t="s">
        <v>1402</v>
      </c>
      <c r="D173" s="15" t="s">
        <v>1403</v>
      </c>
    </row>
    <row r="174">
      <c r="A174" s="15" t="s">
        <v>1404</v>
      </c>
      <c r="B174" s="15" t="s">
        <v>1404</v>
      </c>
      <c r="C174" s="15" t="s">
        <v>1405</v>
      </c>
    </row>
    <row r="175">
      <c r="A175" s="15" t="s">
        <v>1406</v>
      </c>
      <c r="B175" s="15" t="s">
        <v>1407</v>
      </c>
      <c r="C175" s="15" t="s">
        <v>1408</v>
      </c>
    </row>
    <row r="176">
      <c r="A176" s="15" t="s">
        <v>1409</v>
      </c>
      <c r="B176" s="15" t="s">
        <v>1410</v>
      </c>
      <c r="C176" s="15" t="s">
        <v>1410</v>
      </c>
    </row>
    <row r="177">
      <c r="A177" s="15" t="s">
        <v>1411</v>
      </c>
      <c r="B177" s="15" t="s">
        <v>1412</v>
      </c>
      <c r="C177" s="15" t="s">
        <v>1413</v>
      </c>
    </row>
    <row r="178">
      <c r="A178" s="15" t="s">
        <v>1414</v>
      </c>
      <c r="B178" s="15" t="s">
        <v>1415</v>
      </c>
      <c r="C178" s="15" t="s">
        <v>1416</v>
      </c>
    </row>
    <row r="179">
      <c r="A179" s="15" t="s">
        <v>1417</v>
      </c>
      <c r="B179" s="15" t="s">
        <v>1418</v>
      </c>
      <c r="C179" s="15" t="s">
        <v>1418</v>
      </c>
    </row>
    <row r="180">
      <c r="A180" s="15" t="s">
        <v>1419</v>
      </c>
      <c r="B180" s="15" t="s">
        <v>1420</v>
      </c>
      <c r="C180" s="15" t="s">
        <v>1420</v>
      </c>
    </row>
    <row r="181">
      <c r="A181" s="15" t="s">
        <v>1421</v>
      </c>
      <c r="B181" s="15" t="s">
        <v>1422</v>
      </c>
      <c r="C181" s="15" t="s">
        <v>1423</v>
      </c>
    </row>
    <row r="182">
      <c r="A182" s="15" t="s">
        <v>1424</v>
      </c>
      <c r="B182" s="15" t="s">
        <v>1425</v>
      </c>
      <c r="C182" s="15" t="s">
        <v>1426</v>
      </c>
    </row>
    <row r="183">
      <c r="A183" s="15" t="s">
        <v>1427</v>
      </c>
      <c r="B183" s="15" t="s">
        <v>1428</v>
      </c>
      <c r="C183" s="15" t="s">
        <v>1429</v>
      </c>
    </row>
    <row r="184">
      <c r="A184" s="15" t="s">
        <v>1430</v>
      </c>
      <c r="B184" s="15" t="s">
        <v>1431</v>
      </c>
      <c r="C184" s="15" t="s">
        <v>1432</v>
      </c>
    </row>
    <row r="185">
      <c r="A185" s="15" t="s">
        <v>1433</v>
      </c>
      <c r="B185" s="15" t="s">
        <v>1434</v>
      </c>
      <c r="C185" s="15" t="s">
        <v>1435</v>
      </c>
    </row>
    <row r="186">
      <c r="A186" s="15" t="s">
        <v>1436</v>
      </c>
      <c r="B186" s="15" t="s">
        <v>1437</v>
      </c>
      <c r="C186" s="15" t="s">
        <v>1438</v>
      </c>
    </row>
    <row r="187">
      <c r="A187" s="15" t="s">
        <v>1439</v>
      </c>
      <c r="B187" s="15" t="s">
        <v>1440</v>
      </c>
      <c r="C187" s="15" t="s">
        <v>1440</v>
      </c>
    </row>
    <row r="188">
      <c r="A188" s="15" t="s">
        <v>1441</v>
      </c>
      <c r="B188" s="15" t="s">
        <v>1442</v>
      </c>
      <c r="C188" s="15" t="s">
        <v>1443</v>
      </c>
    </row>
    <row r="189">
      <c r="A189" s="15" t="s">
        <v>1444</v>
      </c>
      <c r="B189" s="15" t="s">
        <v>1445</v>
      </c>
      <c r="C189" s="15" t="s">
        <v>1446</v>
      </c>
    </row>
    <row r="190">
      <c r="A190" s="15" t="s">
        <v>1447</v>
      </c>
      <c r="B190" s="15" t="s">
        <v>1448</v>
      </c>
      <c r="C190" s="15" t="s">
        <v>1448</v>
      </c>
    </row>
    <row r="191">
      <c r="A191" s="15" t="s">
        <v>1449</v>
      </c>
      <c r="B191" s="15" t="s">
        <v>1450</v>
      </c>
      <c r="C191" s="15" t="s">
        <v>1451</v>
      </c>
    </row>
    <row r="192">
      <c r="A192" s="15" t="s">
        <v>1452</v>
      </c>
      <c r="B192" s="15" t="s">
        <v>1453</v>
      </c>
      <c r="C192" s="15" t="s">
        <v>1454</v>
      </c>
    </row>
    <row r="193">
      <c r="A193" s="15" t="s">
        <v>1455</v>
      </c>
      <c r="B193" s="15" t="s">
        <v>1456</v>
      </c>
      <c r="C193" s="15" t="s">
        <v>1457</v>
      </c>
    </row>
    <row r="194">
      <c r="A194" s="15" t="s">
        <v>1458</v>
      </c>
      <c r="B194" s="15" t="s">
        <v>1459</v>
      </c>
      <c r="C194" s="15" t="s">
        <v>1459</v>
      </c>
    </row>
    <row r="195">
      <c r="A195" s="15" t="s">
        <v>1460</v>
      </c>
      <c r="B195" s="15" t="s">
        <v>1461</v>
      </c>
      <c r="C195" s="15" t="s">
        <v>1462</v>
      </c>
    </row>
    <row r="196">
      <c r="A196" s="15" t="s">
        <v>1463</v>
      </c>
      <c r="B196" s="15" t="s">
        <v>1464</v>
      </c>
      <c r="C196" s="15" t="s">
        <v>1464</v>
      </c>
    </row>
    <row r="197">
      <c r="A197" s="15" t="s">
        <v>1465</v>
      </c>
      <c r="B197" s="15" t="s">
        <v>1466</v>
      </c>
      <c r="C197" s="15" t="s">
        <v>1467</v>
      </c>
    </row>
    <row r="198">
      <c r="A198" s="15" t="s">
        <v>1468</v>
      </c>
      <c r="B198" s="15" t="s">
        <v>1468</v>
      </c>
      <c r="C198" s="15" t="s">
        <v>1469</v>
      </c>
    </row>
    <row r="199">
      <c r="A199" s="15" t="s">
        <v>1470</v>
      </c>
      <c r="B199" s="15" t="s">
        <v>1471</v>
      </c>
      <c r="C199" s="15" t="s">
        <v>1472</v>
      </c>
    </row>
    <row r="200">
      <c r="A200" s="15" t="s">
        <v>1473</v>
      </c>
      <c r="B200" s="15" t="s">
        <v>1474</v>
      </c>
      <c r="C200" s="15" t="s">
        <v>1475</v>
      </c>
    </row>
    <row r="201">
      <c r="A201" s="15" t="s">
        <v>1476</v>
      </c>
      <c r="B201" s="15" t="s">
        <v>1477</v>
      </c>
      <c r="C201" s="15" t="s">
        <v>1478</v>
      </c>
    </row>
    <row r="202">
      <c r="A202" s="15" t="s">
        <v>1479</v>
      </c>
      <c r="B202" s="15" t="s">
        <v>1480</v>
      </c>
      <c r="C202" s="15" t="s">
        <v>1481</v>
      </c>
    </row>
    <row r="203">
      <c r="A203" s="15" t="s">
        <v>1482</v>
      </c>
      <c r="B203" s="15" t="s">
        <v>1483</v>
      </c>
      <c r="C203" s="15" t="s">
        <v>1484</v>
      </c>
    </row>
    <row r="204">
      <c r="A204" s="15" t="s">
        <v>1485</v>
      </c>
      <c r="B204" s="15" t="s">
        <v>1486</v>
      </c>
      <c r="C204" s="15" t="s">
        <v>1487</v>
      </c>
    </row>
    <row r="205">
      <c r="A205" s="15" t="s">
        <v>1488</v>
      </c>
      <c r="B205" s="15" t="s">
        <v>1489</v>
      </c>
      <c r="C205" s="15" t="s">
        <v>1490</v>
      </c>
    </row>
    <row r="206">
      <c r="A206" s="15" t="s">
        <v>1491</v>
      </c>
      <c r="B206" s="15" t="s">
        <v>1492</v>
      </c>
      <c r="C206" s="15" t="s">
        <v>1493</v>
      </c>
    </row>
    <row r="207">
      <c r="A207" s="15" t="s">
        <v>1494</v>
      </c>
      <c r="B207" s="15" t="s">
        <v>1495</v>
      </c>
      <c r="C207" s="15" t="s">
        <v>1495</v>
      </c>
    </row>
    <row r="208">
      <c r="A208" s="15" t="s">
        <v>1496</v>
      </c>
      <c r="B208" s="15" t="s">
        <v>1497</v>
      </c>
      <c r="C208" s="15" t="s">
        <v>1498</v>
      </c>
    </row>
    <row r="209">
      <c r="A209" s="15" t="s">
        <v>1499</v>
      </c>
      <c r="B209" s="15" t="s">
        <v>1500</v>
      </c>
      <c r="C209" s="15" t="s">
        <v>1501</v>
      </c>
    </row>
    <row r="210">
      <c r="A210" s="15" t="s">
        <v>1502</v>
      </c>
      <c r="B210" s="15" t="s">
        <v>1503</v>
      </c>
      <c r="C210" s="15" t="s">
        <v>1504</v>
      </c>
    </row>
    <row r="211">
      <c r="A211" s="15" t="s">
        <v>1505</v>
      </c>
      <c r="B211" s="15" t="s">
        <v>1506</v>
      </c>
      <c r="C211" s="15" t="s">
        <v>1506</v>
      </c>
    </row>
    <row r="212">
      <c r="A212" s="15" t="s">
        <v>1507</v>
      </c>
      <c r="B212" s="15" t="s">
        <v>1508</v>
      </c>
      <c r="C212" s="15" t="s">
        <v>1509</v>
      </c>
    </row>
    <row r="213">
      <c r="A213" s="15" t="s">
        <v>1510</v>
      </c>
      <c r="B213" s="15" t="s">
        <v>1511</v>
      </c>
      <c r="C213" s="15" t="s">
        <v>1511</v>
      </c>
    </row>
    <row r="214">
      <c r="A214" s="15" t="s">
        <v>1512</v>
      </c>
      <c r="B214" s="15" t="s">
        <v>1513</v>
      </c>
      <c r="C214" s="15" t="s">
        <v>1514</v>
      </c>
    </row>
    <row r="215">
      <c r="A215" s="15" t="s">
        <v>1515</v>
      </c>
      <c r="B215" s="15" t="s">
        <v>1516</v>
      </c>
      <c r="C215" s="15" t="s">
        <v>1517</v>
      </c>
    </row>
    <row r="216">
      <c r="A216" s="15" t="s">
        <v>1518</v>
      </c>
      <c r="B216" s="15" t="s">
        <v>1519</v>
      </c>
      <c r="C216" s="15" t="s">
        <v>1519</v>
      </c>
    </row>
    <row r="217">
      <c r="A217" s="15" t="s">
        <v>1520</v>
      </c>
      <c r="B217" s="15" t="s">
        <v>1521</v>
      </c>
      <c r="C217" s="15" t="s">
        <v>1521</v>
      </c>
    </row>
    <row r="218">
      <c r="A218" s="15" t="s">
        <v>1522</v>
      </c>
      <c r="B218" s="15" t="s">
        <v>1523</v>
      </c>
      <c r="C218" s="15" t="s">
        <v>1524</v>
      </c>
    </row>
    <row r="219">
      <c r="A219" s="15" t="s">
        <v>1525</v>
      </c>
      <c r="B219" s="15" t="s">
        <v>1526</v>
      </c>
      <c r="C219" s="15" t="s">
        <v>1527</v>
      </c>
      <c r="D219" s="15" t="s">
        <v>1528</v>
      </c>
    </row>
    <row r="220">
      <c r="A220" s="15" t="s">
        <v>1529</v>
      </c>
      <c r="B220" s="15" t="s">
        <v>1530</v>
      </c>
      <c r="C220" s="15" t="s">
        <v>1531</v>
      </c>
    </row>
    <row r="221">
      <c r="A221" s="15" t="s">
        <v>1532</v>
      </c>
      <c r="B221" s="15" t="s">
        <v>1533</v>
      </c>
      <c r="C221" s="15" t="s">
        <v>1534</v>
      </c>
    </row>
    <row r="222">
      <c r="A222" s="15" t="s">
        <v>1535</v>
      </c>
      <c r="B222" s="15" t="s">
        <v>1536</v>
      </c>
      <c r="C222" s="15" t="s">
        <v>1537</v>
      </c>
    </row>
    <row r="223">
      <c r="A223" s="15" t="s">
        <v>1538</v>
      </c>
      <c r="B223" s="15" t="s">
        <v>1539</v>
      </c>
      <c r="C223" s="15" t="s">
        <v>1540</v>
      </c>
    </row>
    <row r="224">
      <c r="A224" s="15" t="s">
        <v>1541</v>
      </c>
      <c r="B224" s="15" t="s">
        <v>1542</v>
      </c>
      <c r="C224" s="15" t="s">
        <v>1543</v>
      </c>
    </row>
    <row r="225">
      <c r="A225" s="15" t="s">
        <v>1544</v>
      </c>
      <c r="B225" s="15" t="s">
        <v>1545</v>
      </c>
      <c r="C225" s="15" t="s">
        <v>1546</v>
      </c>
    </row>
    <row r="226">
      <c r="A226" s="15" t="s">
        <v>1547</v>
      </c>
      <c r="B226" s="15" t="s">
        <v>1548</v>
      </c>
      <c r="C226" s="15" t="s">
        <v>1549</v>
      </c>
    </row>
    <row r="227">
      <c r="A227" s="15" t="s">
        <v>1550</v>
      </c>
      <c r="B227" s="15" t="s">
        <v>1551</v>
      </c>
      <c r="C227" s="15" t="s">
        <v>1552</v>
      </c>
    </row>
    <row r="228">
      <c r="A228" s="15" t="s">
        <v>1553</v>
      </c>
      <c r="B228" s="15" t="s">
        <v>1154</v>
      </c>
      <c r="C228" s="15" t="s">
        <v>1155</v>
      </c>
      <c r="D228" s="15" t="s">
        <v>1156</v>
      </c>
    </row>
    <row r="229">
      <c r="A229" s="15" t="s">
        <v>1554</v>
      </c>
      <c r="B229" s="15" t="s">
        <v>1555</v>
      </c>
      <c r="C229" s="15" t="s">
        <v>1556</v>
      </c>
    </row>
    <row r="230">
      <c r="A230" s="15" t="s">
        <v>1557</v>
      </c>
      <c r="B230" s="15" t="s">
        <v>1558</v>
      </c>
      <c r="C230" s="15" t="s">
        <v>1559</v>
      </c>
    </row>
    <row r="231">
      <c r="A231" s="15" t="s">
        <v>1560</v>
      </c>
      <c r="B231" s="15" t="s">
        <v>1561</v>
      </c>
      <c r="C231" s="15" t="s">
        <v>1562</v>
      </c>
    </row>
    <row r="232">
      <c r="A232" s="15" t="s">
        <v>1563</v>
      </c>
      <c r="B232" s="15" t="s">
        <v>1564</v>
      </c>
      <c r="C232" s="15" t="s">
        <v>1565</v>
      </c>
    </row>
    <row r="233">
      <c r="A233" s="15" t="s">
        <v>1566</v>
      </c>
      <c r="B233" s="15" t="s">
        <v>1567</v>
      </c>
      <c r="C233" s="15" t="s">
        <v>1568</v>
      </c>
    </row>
    <row r="234">
      <c r="A234" s="15" t="s">
        <v>1569</v>
      </c>
      <c r="B234" s="15" t="s">
        <v>1570</v>
      </c>
      <c r="C234" s="15" t="s">
        <v>1570</v>
      </c>
    </row>
    <row r="235">
      <c r="A235" s="15" t="s">
        <v>1571</v>
      </c>
      <c r="B235" s="15" t="s">
        <v>1572</v>
      </c>
      <c r="C235" s="15" t="s">
        <v>1573</v>
      </c>
    </row>
    <row r="236">
      <c r="A236" s="15" t="s">
        <v>1574</v>
      </c>
      <c r="B236" s="15" t="s">
        <v>1575</v>
      </c>
      <c r="C236" s="15" t="s">
        <v>1575</v>
      </c>
    </row>
    <row r="237">
      <c r="A237" s="15" t="s">
        <v>1576</v>
      </c>
      <c r="B237" s="15" t="s">
        <v>1577</v>
      </c>
      <c r="C237" s="15" t="s">
        <v>1578</v>
      </c>
    </row>
    <row r="238">
      <c r="A238" s="15" t="s">
        <v>1579</v>
      </c>
      <c r="B238" s="15" t="s">
        <v>1580</v>
      </c>
      <c r="C238" s="15" t="s">
        <v>1581</v>
      </c>
    </row>
    <row r="239">
      <c r="A239" s="15" t="s">
        <v>1582</v>
      </c>
      <c r="B239" s="15" t="s">
        <v>1583</v>
      </c>
      <c r="C239" s="15" t="s">
        <v>1584</v>
      </c>
    </row>
    <row r="240">
      <c r="A240" s="15" t="s">
        <v>1585</v>
      </c>
      <c r="B240" s="15" t="s">
        <v>1586</v>
      </c>
      <c r="C240" s="15" t="s">
        <v>1587</v>
      </c>
    </row>
    <row r="241">
      <c r="A241" s="15" t="s">
        <v>1588</v>
      </c>
      <c r="B241" s="15" t="s">
        <v>1589</v>
      </c>
      <c r="C241" s="15" t="s">
        <v>1590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1591</v>
      </c>
      <c r="B1" s="15" t="s">
        <v>1592</v>
      </c>
      <c r="C1" s="15" t="s">
        <v>1593</v>
      </c>
    </row>
    <row r="2">
      <c r="A2" s="15" t="s">
        <v>1594</v>
      </c>
      <c r="B2" s="15" t="s">
        <v>1595</v>
      </c>
      <c r="C2" s="15" t="s">
        <v>1596</v>
      </c>
    </row>
    <row r="3">
      <c r="A3" s="15" t="s">
        <v>1597</v>
      </c>
      <c r="B3" s="15" t="s">
        <v>1598</v>
      </c>
      <c r="C3" s="15" t="s">
        <v>1599</v>
      </c>
    </row>
    <row r="4">
      <c r="A4" s="15" t="s">
        <v>1600</v>
      </c>
      <c r="B4" s="15" t="s">
        <v>1601</v>
      </c>
      <c r="C4" s="15" t="s">
        <v>1602</v>
      </c>
    </row>
    <row r="5">
      <c r="A5" s="15" t="s">
        <v>1603</v>
      </c>
      <c r="B5" s="15" t="s">
        <v>1604</v>
      </c>
      <c r="C5" s="15" t="s">
        <v>1605</v>
      </c>
    </row>
    <row r="6">
      <c r="A6" s="15" t="s">
        <v>1606</v>
      </c>
      <c r="B6" s="15" t="s">
        <v>1607</v>
      </c>
      <c r="C6" s="15" t="s">
        <v>1608</v>
      </c>
    </row>
    <row r="7">
      <c r="A7" s="15" t="s">
        <v>1609</v>
      </c>
      <c r="B7" s="15" t="s">
        <v>1610</v>
      </c>
      <c r="C7" s="15" t="s">
        <v>1611</v>
      </c>
    </row>
    <row r="8">
      <c r="A8" s="15" t="s">
        <v>1612</v>
      </c>
      <c r="B8" s="15" t="s">
        <v>1613</v>
      </c>
      <c r="C8" s="15" t="s">
        <v>1614</v>
      </c>
    </row>
    <row r="9">
      <c r="A9" s="15" t="s">
        <v>1615</v>
      </c>
      <c r="B9" s="15" t="s">
        <v>1616</v>
      </c>
      <c r="C9" s="15" t="s">
        <v>1617</v>
      </c>
    </row>
    <row r="10">
      <c r="A10" s="15" t="s">
        <v>1618</v>
      </c>
      <c r="B10" s="15" t="s">
        <v>1618</v>
      </c>
      <c r="C10" s="15" t="s">
        <v>1619</v>
      </c>
    </row>
    <row r="11">
      <c r="A11" s="15" t="s">
        <v>1620</v>
      </c>
      <c r="B11" s="15" t="s">
        <v>1621</v>
      </c>
      <c r="C11" s="15" t="s">
        <v>1622</v>
      </c>
    </row>
    <row r="12">
      <c r="A12" s="15" t="s">
        <v>1623</v>
      </c>
      <c r="B12" s="15" t="s">
        <v>1624</v>
      </c>
      <c r="C12" s="15" t="s">
        <v>1625</v>
      </c>
    </row>
    <row r="13">
      <c r="A13" s="15" t="s">
        <v>1626</v>
      </c>
      <c r="B13" s="15" t="s">
        <v>1627</v>
      </c>
      <c r="C13" s="15" t="s">
        <v>1628</v>
      </c>
    </row>
    <row r="14">
      <c r="A14" s="15" t="s">
        <v>1629</v>
      </c>
      <c r="B14" s="15" t="s">
        <v>1630</v>
      </c>
      <c r="C14" s="15" t="s">
        <v>1631</v>
      </c>
    </row>
    <row r="15">
      <c r="A15" s="15" t="s">
        <v>1632</v>
      </c>
      <c r="B15" s="15" t="s">
        <v>1633</v>
      </c>
      <c r="C15" s="15" t="s">
        <v>1634</v>
      </c>
    </row>
    <row r="16">
      <c r="A16" s="15" t="s">
        <v>1635</v>
      </c>
      <c r="B16" s="15" t="s">
        <v>1636</v>
      </c>
      <c r="C16" s="15" t="s">
        <v>1637</v>
      </c>
    </row>
    <row r="17">
      <c r="A17" s="15" t="s">
        <v>1638</v>
      </c>
      <c r="B17" s="15" t="s">
        <v>1639</v>
      </c>
      <c r="C17" s="15" t="s">
        <v>1640</v>
      </c>
    </row>
    <row r="18">
      <c r="A18" s="15" t="s">
        <v>1641</v>
      </c>
      <c r="B18" s="15" t="s">
        <v>1642</v>
      </c>
      <c r="C18" s="15" t="s">
        <v>1643</v>
      </c>
    </row>
    <row r="19">
      <c r="A19" s="15" t="s">
        <v>1644</v>
      </c>
      <c r="B19" s="15" t="s">
        <v>1645</v>
      </c>
      <c r="C19" s="15" t="s">
        <v>1646</v>
      </c>
    </row>
    <row r="20">
      <c r="A20" s="15" t="s">
        <v>1647</v>
      </c>
      <c r="B20" s="15" t="s">
        <v>1647</v>
      </c>
      <c r="C20" s="15" t="s">
        <v>1648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7.5"/>
  </cols>
  <sheetData>
    <row r="1">
      <c r="A1" s="16" t="s">
        <v>1649</v>
      </c>
      <c r="B1" s="15" t="s">
        <v>1650</v>
      </c>
    </row>
    <row r="2">
      <c r="A2" s="15" t="s">
        <v>1651</v>
      </c>
      <c r="B2" s="15" t="s">
        <v>1652</v>
      </c>
    </row>
    <row r="3">
      <c r="A3" s="15" t="s">
        <v>1653</v>
      </c>
      <c r="B3" s="15" t="s">
        <v>1654</v>
      </c>
    </row>
    <row r="4">
      <c r="A4" s="15" t="s">
        <v>1655</v>
      </c>
      <c r="B4" s="15" t="s">
        <v>1656</v>
      </c>
    </row>
    <row r="5">
      <c r="A5" s="15" t="s">
        <v>1657</v>
      </c>
      <c r="B5" s="15" t="s">
        <v>1658</v>
      </c>
    </row>
    <row r="6">
      <c r="A6" s="15" t="s">
        <v>1659</v>
      </c>
      <c r="B6" s="15" t="s">
        <v>1660</v>
      </c>
    </row>
    <row r="7">
      <c r="A7" s="15" t="s">
        <v>1661</v>
      </c>
      <c r="B7" s="15" t="s">
        <v>1662</v>
      </c>
    </row>
    <row r="8">
      <c r="A8" s="15" t="s">
        <v>1663</v>
      </c>
      <c r="B8" s="15" t="s">
        <v>1664</v>
      </c>
    </row>
    <row r="9">
      <c r="A9" s="15" t="s">
        <v>1665</v>
      </c>
      <c r="B9" s="15" t="s">
        <v>1666</v>
      </c>
    </row>
    <row r="10">
      <c r="A10" s="15" t="s">
        <v>1667</v>
      </c>
      <c r="B10" s="15" t="s">
        <v>1668</v>
      </c>
    </row>
    <row r="11">
      <c r="A11" s="15" t="s">
        <v>1669</v>
      </c>
      <c r="B11" s="15" t="s">
        <v>1670</v>
      </c>
    </row>
    <row r="12">
      <c r="A12" s="15" t="s">
        <v>1671</v>
      </c>
      <c r="B12" s="15" t="s">
        <v>1672</v>
      </c>
    </row>
    <row r="13">
      <c r="A13" s="15" t="s">
        <v>1673</v>
      </c>
      <c r="B13" s="15" t="s">
        <v>1674</v>
      </c>
    </row>
    <row r="14">
      <c r="A14" s="15" t="s">
        <v>1675</v>
      </c>
      <c r="B14" s="15" t="s">
        <v>1676</v>
      </c>
    </row>
    <row r="15">
      <c r="A15" s="15" t="s">
        <v>1677</v>
      </c>
      <c r="B15" s="15" t="s">
        <v>1678</v>
      </c>
    </row>
    <row r="16">
      <c r="A16" s="15" t="s">
        <v>1679</v>
      </c>
      <c r="B16" s="15" t="s">
        <v>1680</v>
      </c>
    </row>
    <row r="17">
      <c r="A17" s="15" t="s">
        <v>1681</v>
      </c>
      <c r="B17" s="15" t="s">
        <v>1682</v>
      </c>
    </row>
    <row r="18">
      <c r="A18" s="15" t="s">
        <v>1683</v>
      </c>
      <c r="B18" s="15" t="s">
        <v>1684</v>
      </c>
    </row>
    <row r="19">
      <c r="A19" s="15" t="s">
        <v>1685</v>
      </c>
      <c r="B19" s="15" t="s">
        <v>1686</v>
      </c>
    </row>
    <row r="20">
      <c r="A20" s="15" t="s">
        <v>1687</v>
      </c>
      <c r="B20" s="15" t="s">
        <v>1688</v>
      </c>
    </row>
    <row r="21">
      <c r="A21" s="15" t="s">
        <v>1689</v>
      </c>
      <c r="B21" s="15" t="s">
        <v>1690</v>
      </c>
    </row>
    <row r="22">
      <c r="A22" s="15" t="s">
        <v>1691</v>
      </c>
      <c r="B22" s="15" t="s">
        <v>1692</v>
      </c>
    </row>
    <row r="23">
      <c r="A23" s="15" t="s">
        <v>1693</v>
      </c>
      <c r="B23" s="15" t="s">
        <v>1694</v>
      </c>
    </row>
    <row r="24">
      <c r="A24" s="15" t="s">
        <v>1695</v>
      </c>
      <c r="B24" s="15" t="s">
        <v>1696</v>
      </c>
    </row>
    <row r="25">
      <c r="A25" s="15" t="s">
        <v>1697</v>
      </c>
      <c r="B25" s="15" t="s">
        <v>1698</v>
      </c>
    </row>
    <row r="26">
      <c r="A26" s="15" t="s">
        <v>1699</v>
      </c>
      <c r="B26" s="15" t="s">
        <v>1700</v>
      </c>
    </row>
    <row r="27">
      <c r="A27" s="15" t="s">
        <v>1701</v>
      </c>
      <c r="B27" s="15" t="s">
        <v>1702</v>
      </c>
    </row>
    <row r="28">
      <c r="A28" s="15" t="s">
        <v>1703</v>
      </c>
      <c r="B28" s="15" t="s">
        <v>1704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2" width="36.38"/>
    <col customWidth="1" min="3" max="3" width="38.13"/>
  </cols>
  <sheetData>
    <row r="1">
      <c r="A1" s="17" t="str">
        <f>IFERROR(__xludf.DUMMYFUNCTION("IMPORTHTML(""https://en.wikipedia.org/wiki/List_of_adjectival_and_demonymic_forms_of_place_names"", ""table"", 4)"),"Province or Territory")</f>
        <v>Province or Territory</v>
      </c>
      <c r="B1" s="15" t="str">
        <f>IFERROR(__xludf.DUMMYFUNCTION("""COMPUTED_VALUE"""),"Adjective")</f>
        <v>Adjective</v>
      </c>
      <c r="C1" s="15" t="str">
        <f>IFERROR(__xludf.DUMMYFUNCTION("""COMPUTED_VALUE"""),"Demonym")</f>
        <v>Demonym</v>
      </c>
      <c r="D1" s="15"/>
    </row>
    <row r="2">
      <c r="A2" s="15"/>
      <c r="B2" s="15"/>
      <c r="C2" s="15"/>
      <c r="D2" s="15" t="str">
        <f>IFERROR(__xludf.DUMMYFUNCTION("""COMPUTED_VALUE"""),"Colloquial")</f>
        <v>Colloquial</v>
      </c>
    </row>
    <row r="3">
      <c r="A3" s="15" t="str">
        <f>IFERROR(__xludf.DUMMYFUNCTION("""COMPUTED_VALUE"""),"Alberta (Province)")</f>
        <v>Alberta (Province)</v>
      </c>
      <c r="B3" s="15" t="str">
        <f>IFERROR(__xludf.DUMMYFUNCTION("""COMPUTED_VALUE"""),"*Albertan*")</f>
        <v>*Albertan*</v>
      </c>
      <c r="C3" s="15" t="str">
        <f>IFERROR(__xludf.DUMMYFUNCTION("""COMPUTED_VALUE"""),"Albertans")</f>
        <v>Albertans</v>
      </c>
      <c r="D3" s="15" t="str">
        <f>IFERROR(__xludf.DUMMYFUNCTION("""COMPUTED_VALUE"""),"Bertans")</f>
        <v>Bertans</v>
      </c>
    </row>
    <row r="4">
      <c r="A4" s="15" t="str">
        <f>IFERROR(__xludf.DUMMYFUNCTION("""COMPUTED_VALUE"""),"British Columbia (Province)")</f>
        <v>British Columbia (Province)</v>
      </c>
      <c r="B4" s="15" t="str">
        <f>IFERROR(__xludf.DUMMYFUNCTION("""COMPUTED_VALUE"""),"British Columbian, BC[3]")</f>
        <v>British Columbian, BC[3]</v>
      </c>
      <c r="C4" s="15" t="str">
        <f>IFERROR(__xludf.DUMMYFUNCTION("""COMPUTED_VALUE"""),"British Columbians")</f>
        <v>British Columbians</v>
      </c>
      <c r="D4" s="15" t="str">
        <f>IFERROR(__xludf.DUMMYFUNCTION("""COMPUTED_VALUE"""),"B.C.ers")</f>
        <v>B.C.ers</v>
      </c>
    </row>
    <row r="5">
      <c r="A5" s="15" t="str">
        <f>IFERROR(__xludf.DUMMYFUNCTION("""COMPUTED_VALUE"""),"Manitoba (Province)")</f>
        <v>Manitoba (Province)</v>
      </c>
      <c r="B5" s="15" t="str">
        <f>IFERROR(__xludf.DUMMYFUNCTION("""COMPUTED_VALUE"""),"Manitoban")</f>
        <v>Manitoban</v>
      </c>
      <c r="C5" s="15" t="str">
        <f>IFERROR(__xludf.DUMMYFUNCTION("""COMPUTED_VALUE"""),"Manitobans
*French:* Manitobains *m.*, *Manitobaines**f.*")</f>
        <v>Manitobans
*French:* Manitobains *m.*, *Manitobaines**f.*</v>
      </c>
      <c r="D5" s="15" t="str">
        <f>IFERROR(__xludf.DUMMYFUNCTION("""COMPUTED_VALUE"""),"Tobans")</f>
        <v>Tobans</v>
      </c>
    </row>
    <row r="6">
      <c r="A6" s="15" t="str">
        <f>IFERROR(__xludf.DUMMYFUNCTION("""COMPUTED_VALUE"""),"New Brunswick (Province)")</f>
        <v>New Brunswick (Province)</v>
      </c>
      <c r="B6" s="15" t="str">
        <f>IFERROR(__xludf.DUMMYFUNCTION("""COMPUTED_VALUE"""),"New Brunswick")</f>
        <v>New Brunswick</v>
      </c>
      <c r="C6" s="15" t="str">
        <f>IFERROR(__xludf.DUMMYFUNCTION("""COMPUTED_VALUE"""),"New Brunswickers
*French:* Néo-Brunswickois *m.*, Néo-Brunswickoises *f.*")</f>
        <v>New Brunswickers
*French:* Néo-Brunswickois *m.*, Néo-Brunswickoises *f.*</v>
      </c>
      <c r="D6" s="15" t="str">
        <f>IFERROR(__xludf.DUMMYFUNCTION("""COMPUTED_VALUE"""),"Herring Chokers")</f>
        <v>Herring Chokers</v>
      </c>
    </row>
    <row r="7">
      <c r="A7" s="15" t="str">
        <f>IFERROR(__xludf.DUMMYFUNCTION("""COMPUTED_VALUE"""),"Newfoundland and Labrador (Province)")</f>
        <v>Newfoundland and Labrador (Province)</v>
      </c>
      <c r="B7" s="15" t="str">
        <f>IFERROR(__xludf.DUMMYFUNCTION("""COMPUTED_VALUE"""),"Newfoundland and Labrador")</f>
        <v>Newfoundland and Labrador</v>
      </c>
      <c r="C7" s="15" t="str">
        <f>IFERROR(__xludf.DUMMYFUNCTION("""COMPUTED_VALUE"""),"Newfoundlanders, Labradorians")</f>
        <v>Newfoundlanders, Labradorians</v>
      </c>
      <c r="D7" s="15" t="str">
        <f>IFERROR(__xludf.DUMMYFUNCTION("""COMPUTED_VALUE"""),"Newfies/Newfs[3]")</f>
        <v>Newfies/Newfs[3]</v>
      </c>
    </row>
    <row r="8">
      <c r="A8" s="15" t="str">
        <f>IFERROR(__xludf.DUMMYFUNCTION("""COMPUTED_VALUE"""),"Northwest Territories (Territory)")</f>
        <v>Northwest Territories (Territory)</v>
      </c>
      <c r="B8" s="15" t="str">
        <f>IFERROR(__xludf.DUMMYFUNCTION("""COMPUTED_VALUE"""),"Northwest Territorian, NWT (also N.W.T.)[3]")</f>
        <v>Northwest Territorian, NWT (also N.W.T.)[3]</v>
      </c>
      <c r="C8" s="15" t="str">
        <f>IFERROR(__xludf.DUMMYFUNCTION("""COMPUTED_VALUE"""),"Northwest Territorians")</f>
        <v>Northwest Territorians</v>
      </c>
      <c r="D8" s="15"/>
    </row>
    <row r="9">
      <c r="A9" s="15" t="str">
        <f>IFERROR(__xludf.DUMMYFUNCTION("""COMPUTED_VALUE"""),"Nova Scotia (Province)")</f>
        <v>Nova Scotia (Province)</v>
      </c>
      <c r="B9" s="15" t="str">
        <f>IFERROR(__xludf.DUMMYFUNCTION("""COMPUTED_VALUE"""),"Nova Scotian")</f>
        <v>Nova Scotian</v>
      </c>
      <c r="C9" s="15" t="str">
        <f>IFERROR(__xludf.DUMMYFUNCTION("""COMPUTED_VALUE"""),"Nova Scotians
*French:* Néo-Écossais *m.*, Néo-Écossaises *f.*")</f>
        <v>Nova Scotians
*French:* Néo-Écossais *m.*, Néo-Écossaises *f.*</v>
      </c>
      <c r="D9" s="15" t="str">
        <f>IFERROR(__xludf.DUMMYFUNCTION("""COMPUTED_VALUE"""),"Bluenoses, Bluenosers[3]")</f>
        <v>Bluenoses, Bluenosers[3]</v>
      </c>
    </row>
    <row r="10">
      <c r="A10" s="15" t="str">
        <f>IFERROR(__xludf.DUMMYFUNCTION("""COMPUTED_VALUE"""),"Nunavut (Territory)")</f>
        <v>Nunavut (Territory)</v>
      </c>
      <c r="B10" s="15" t="str">
        <f>IFERROR(__xludf.DUMMYFUNCTION("""COMPUTED_VALUE"""),"Nunavut")</f>
        <v>Nunavut</v>
      </c>
      <c r="C10" s="15" t="str">
        <f>IFERROR(__xludf.DUMMYFUNCTION("""COMPUTED_VALUE"""),"Nunavummiut (Nunavummiuq *sing.*)")</f>
        <v>Nunavummiut (Nunavummiuq *sing.*)</v>
      </c>
      <c r="D10" s="15"/>
    </row>
    <row r="11">
      <c r="A11" s="15" t="str">
        <f>IFERROR(__xludf.DUMMYFUNCTION("""COMPUTED_VALUE"""),"Ontario (Province)")</f>
        <v>Ontario (Province)</v>
      </c>
      <c r="B11" s="15" t="str">
        <f>IFERROR(__xludf.DUMMYFUNCTION("""COMPUTED_VALUE"""),"Ontario")</f>
        <v>Ontario</v>
      </c>
      <c r="C11" s="15" t="str">
        <f>IFERROR(__xludf.DUMMYFUNCTION("""COMPUTED_VALUE"""),"Ontarians
*French:* Ontariens *m.*, Ontariennes *f.*")</f>
        <v>Ontarians
*French:* Ontariens *m.*, Ontariennes *f.*</v>
      </c>
      <c r="D11" s="15"/>
    </row>
    <row r="12">
      <c r="A12" s="15" t="str">
        <f>IFERROR(__xludf.DUMMYFUNCTION("""COMPUTED_VALUE"""),"Prince Edward Island (Province)")</f>
        <v>Prince Edward Island (Province)</v>
      </c>
      <c r="B12" s="15" t="str">
        <f>IFERROR(__xludf.DUMMYFUNCTION("""COMPUTED_VALUE"""),"Prince Edward Island, PEI,[3] Island")</f>
        <v>Prince Edward Island, PEI,[3] Island</v>
      </c>
      <c r="C12" s="15" t="str">
        <f>IFERROR(__xludf.DUMMYFUNCTION("""COMPUTED_VALUE"""),"Prince Edward Islanders, Islanders
*French:* Prince-Édouardiens")</f>
        <v>Prince Edward Islanders, Islanders
*French:* Prince-Édouardiens</v>
      </c>
      <c r="D12" s="15"/>
    </row>
    <row r="13">
      <c r="A13" s="15" t="str">
        <f>IFERROR(__xludf.DUMMYFUNCTION("""COMPUTED_VALUE"""),"Quebec (Province)")</f>
        <v>Quebec (Province)</v>
      </c>
      <c r="B13" s="15" t="str">
        <f>IFERROR(__xludf.DUMMYFUNCTION("""COMPUTED_VALUE"""),"Quebec
*French*: québécois *m.*, québécoise *f.*")</f>
        <v>Quebec
*French*: québécois *m.*, québécoise *f.*</v>
      </c>
      <c r="C13" s="15" t="str">
        <f>IFERROR(__xludf.DUMMYFUNCTION("""COMPUTED_VALUE"""),"Quebecers, Quebeckers, Québécois, Québécoise[3]
*French:* Québécois *m.*, Québécoises *f.*")</f>
        <v>Quebecers, Quebeckers, Québécois, Québécoise[3]
*French:* Québécois *m.*, Québécoises *f.*</v>
      </c>
      <c r="D13" s="15" t="str">
        <f>IFERROR(__xludf.DUMMYFUNCTION("""COMPUTED_VALUE"""),"*French:*habitants, canadiens, canadien-francais")</f>
        <v>*French:*habitants, canadiens, canadien-francais</v>
      </c>
    </row>
    <row r="14">
      <c r="A14" s="15" t="str">
        <f>IFERROR(__xludf.DUMMYFUNCTION("""COMPUTED_VALUE"""),"Saskatchewan (Province)")</f>
        <v>Saskatchewan (Province)</v>
      </c>
      <c r="B14" s="15" t="str">
        <f>IFERROR(__xludf.DUMMYFUNCTION("""COMPUTED_VALUE"""),"*Saskatchewan*")</f>
        <v>*Saskatchewan*</v>
      </c>
      <c r="C14" s="15" t="str">
        <f>IFERROR(__xludf.DUMMYFUNCTION("""COMPUTED_VALUE"""),"Saskatchewanians")</f>
        <v>Saskatchewanians</v>
      </c>
      <c r="D14" s="15" t="str">
        <f>IFERROR(__xludf.DUMMYFUNCTION("""COMPUTED_VALUE"""),"Flat-landers")</f>
        <v>Flat-landers</v>
      </c>
    </row>
    <row r="15">
      <c r="A15" s="15" t="str">
        <f>IFERROR(__xludf.DUMMYFUNCTION("""COMPUTED_VALUE"""),"Yukon (Territory)")</f>
        <v>Yukon (Territory)</v>
      </c>
      <c r="B15" s="15" t="str">
        <f>IFERROR(__xludf.DUMMYFUNCTION("""COMPUTED_VALUE"""),"*Yukon*")</f>
        <v>*Yukon*</v>
      </c>
      <c r="C15" s="15" t="str">
        <f>IFERROR(__xludf.DUMMYFUNCTION("""COMPUTED_VALUE"""),"Yukoners")</f>
        <v>Yukoners</v>
      </c>
      <c r="D15" s="15" t="str">
        <f>IFERROR(__xludf.DUMMYFUNCTION("""COMPUTED_VALUE"""),"Sourdoughs")</f>
        <v>Sourdoughs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tr">
        <f>IFERROR(__xludf.DUMMYFUNCTION("IMPORTHTML(""https://en.wikipedia.org/wiki/List_of_adjectival_and_demonymic_forms_of_place_names"", ""table"", 5)"),"State/territory")</f>
        <v>State/territory</v>
      </c>
      <c r="B1" s="15" t="str">
        <f>IFERROR(__xludf.DUMMYFUNCTION("""COMPUTED_VALUE"""),"Adjective")</f>
        <v>Adjective</v>
      </c>
      <c r="C1" s="15" t="str">
        <f>IFERROR(__xludf.DUMMYFUNCTION("""COMPUTED_VALUE"""),"Demonym")</f>
        <v>Demonym</v>
      </c>
      <c r="D1" s="15"/>
    </row>
    <row r="2">
      <c r="A2" s="15"/>
      <c r="B2" s="15"/>
      <c r="C2" s="15"/>
      <c r="D2" s="15" t="str">
        <f>IFERROR(__xludf.DUMMYFUNCTION("""COMPUTED_VALUE"""),"*colloquial*")</f>
        <v>*colloquial*</v>
      </c>
    </row>
    <row r="3">
      <c r="A3" s="15" t="str">
        <f>IFERROR(__xludf.DUMMYFUNCTION("""COMPUTED_VALUE"""),"Baden-Württemberg (*federated state*) 
   - Baden
   - Württemberg
   - Hohenzollern")</f>
        <v>Baden-Württemberg (*federated state*) 
   - Baden
   - Württemberg
   - Hohenzollern</v>
      </c>
      <c r="B3" s="15" t="str">
        <f>IFERROR(__xludf.DUMMYFUNCTION("""COMPUTED_VALUE"""),"Badisch
Württembergisch
Hohenzollerisch")</f>
        <v>Badisch
Württembergisch
Hohenzollerisch</v>
      </c>
      <c r="C3" s="15" t="str">
        <f>IFERROR(__xludf.DUMMYFUNCTION("""COMPUTED_VALUE"""),"Badener
Württembergers")</f>
        <v>Badener
Württembergers</v>
      </c>
      <c r="D3" s="15" t="str">
        <f>IFERROR(__xludf.DUMMYFUNCTION("""COMPUTED_VALUE"""),"Badenser
Swabians (Schwaben)")</f>
        <v>Badenser
Swabians (Schwaben)</v>
      </c>
    </row>
    <row r="4">
      <c r="A4" s="15" t="str">
        <f>IFERROR(__xludf.DUMMYFUNCTION("""COMPUTED_VALUE"""),"Bavaria (*federated state*)")</f>
        <v>Bavaria (*federated state*)</v>
      </c>
      <c r="B4" s="15" t="str">
        <f>IFERROR(__xludf.DUMMYFUNCTION("""COMPUTED_VALUE"""),"Bavarian")</f>
        <v>Bavarian</v>
      </c>
      <c r="C4" s="15" t="str">
        <f>IFERROR(__xludf.DUMMYFUNCTION("""COMPUTED_VALUE"""),"Bavarians")</f>
        <v>Bavarians</v>
      </c>
      <c r="D4" s="15"/>
    </row>
    <row r="5">
      <c r="A5" s="15" t="str">
        <f>IFERROR(__xludf.DUMMYFUNCTION("""COMPUTED_VALUE"""),"Berlin (*federated state*)")</f>
        <v>Berlin (*federated state*)</v>
      </c>
      <c r="B5" s="15"/>
      <c r="C5" s="15" t="str">
        <f>IFERROR(__xludf.DUMMYFUNCTION("""COMPUTED_VALUE"""),"Berliners")</f>
        <v>Berliners</v>
      </c>
      <c r="D5" s="15"/>
    </row>
    <row r="6">
      <c r="A6" s="15" t="str">
        <f>IFERROR(__xludf.DUMMYFUNCTION("""COMPUTED_VALUE"""),"Brandenburg (*federated state*)")</f>
        <v>Brandenburg (*federated state*)</v>
      </c>
      <c r="B6" s="15" t="str">
        <f>IFERROR(__xludf.DUMMYFUNCTION("""COMPUTED_VALUE"""),"Brandenburgish")</f>
        <v>Brandenburgish</v>
      </c>
      <c r="C6" s="15" t="str">
        <f>IFERROR(__xludf.DUMMYFUNCTION("""COMPUTED_VALUE"""),"Brandenburgers")</f>
        <v>Brandenburgers</v>
      </c>
      <c r="D6" s="15"/>
    </row>
    <row r="7">
      <c r="A7" s="15" t="str">
        <f>IFERROR(__xludf.DUMMYFUNCTION("""COMPUTED_VALUE"""),"Franconia")</f>
        <v>Franconia</v>
      </c>
      <c r="B7" s="15" t="str">
        <f>IFERROR(__xludf.DUMMYFUNCTION("""COMPUTED_VALUE"""),"Franconian")</f>
        <v>Franconian</v>
      </c>
      <c r="C7" s="15" t="str">
        <f>IFERROR(__xludf.DUMMYFUNCTION("""COMPUTED_VALUE"""),"Franconians")</f>
        <v>Franconians</v>
      </c>
      <c r="D7" s="15"/>
    </row>
    <row r="8">
      <c r="A8" s="15" t="str">
        <f>IFERROR(__xludf.DUMMYFUNCTION("""COMPUTED_VALUE"""),"Free Hanseatic City of Bremen")</f>
        <v>Free Hanseatic City of Bremen</v>
      </c>
      <c r="B8" s="15"/>
      <c r="C8" s="15"/>
      <c r="D8" s="15"/>
    </row>
    <row r="9">
      <c r="A9" s="15" t="str">
        <f>IFERROR(__xludf.DUMMYFUNCTION("""COMPUTED_VALUE"""),"Free and Hanseatic City of Hamburg")</f>
        <v>Free and Hanseatic City of Hamburg</v>
      </c>
      <c r="B9" s="15" t="str">
        <f>IFERROR(__xludf.DUMMYFUNCTION("""COMPUTED_VALUE"""),"Hamburgish")</f>
        <v>Hamburgish</v>
      </c>
      <c r="C9" s="15" t="str">
        <f>IFERROR(__xludf.DUMMYFUNCTION("""COMPUTED_VALUE"""),"Hamburgians")</f>
        <v>Hamburgians</v>
      </c>
      <c r="D9" s="15" t="str">
        <f>IFERROR(__xludf.DUMMYFUNCTION("""COMPUTED_VALUE"""),"Hamburgers")</f>
        <v>Hamburgers</v>
      </c>
    </row>
    <row r="10">
      <c r="A10" s="15" t="str">
        <f>IFERROR(__xludf.DUMMYFUNCTION("""COMPUTED_VALUE"""),"Hannover (*ancient German state*)")</f>
        <v>Hannover (*ancient German state*)</v>
      </c>
      <c r="B10" s="15" t="str">
        <f>IFERROR(__xludf.DUMMYFUNCTION("""COMPUTED_VALUE"""),"Hanoverian")</f>
        <v>Hanoverian</v>
      </c>
      <c r="C10" s="15" t="str">
        <f>IFERROR(__xludf.DUMMYFUNCTION("""COMPUTED_VALUE"""),"Hanoverians")</f>
        <v>Hanoverians</v>
      </c>
      <c r="D10" s="15" t="str">
        <f>IFERROR(__xludf.DUMMYFUNCTION("""COMPUTED_VALUE"""),"Hannoveraners")</f>
        <v>Hannoveraners</v>
      </c>
    </row>
    <row r="11">
      <c r="A11" s="15" t="str">
        <f>IFERROR(__xludf.DUMMYFUNCTION("""COMPUTED_VALUE"""),"Hesse (*federated state*)")</f>
        <v>Hesse (*federated state*)</v>
      </c>
      <c r="B11" s="15" t="str">
        <f>IFERROR(__xludf.DUMMYFUNCTION("""COMPUTED_VALUE"""),"Hessian")</f>
        <v>Hessian</v>
      </c>
      <c r="C11" s="15" t="str">
        <f>IFERROR(__xludf.DUMMYFUNCTION("""COMPUTED_VALUE"""),"Hessians")</f>
        <v>Hessians</v>
      </c>
      <c r="D11" s="15"/>
    </row>
    <row r="12">
      <c r="A12" s="15" t="str">
        <f>IFERROR(__xludf.DUMMYFUNCTION("""COMPUTED_VALUE"""),"Lower Saxony (*federated state*)")</f>
        <v>Lower Saxony (*federated state*)</v>
      </c>
      <c r="B12" s="15" t="str">
        <f>IFERROR(__xludf.DUMMYFUNCTION("""COMPUTED_VALUE"""),"Lower Saxon")</f>
        <v>Lower Saxon</v>
      </c>
      <c r="C12" s="15" t="str">
        <f>IFERROR(__xludf.DUMMYFUNCTION("""COMPUTED_VALUE"""),"Lower Saxons")</f>
        <v>Lower Saxons</v>
      </c>
      <c r="D12" s="15"/>
    </row>
    <row r="13">
      <c r="A13" s="15" t="str">
        <f>IFERROR(__xludf.DUMMYFUNCTION("""COMPUTED_VALUE"""),"Mecklenburg-Western Pomerania (*federated state*) 
   - Mecklenburg
   - Western Pomerania")</f>
        <v>Mecklenburg-Western Pomerania (*federated state*) 
   - Mecklenburg
   - Western Pomerania</v>
      </c>
      <c r="B13" s="15" t="str">
        <f>IFERROR(__xludf.DUMMYFUNCTION("""COMPUTED_VALUE"""),"Mecklenburgish
Pomeranian")</f>
        <v>Mecklenburgish
Pomeranian</v>
      </c>
      <c r="C13" s="15" t="str">
        <f>IFERROR(__xludf.DUMMYFUNCTION("""COMPUTED_VALUE"""),"Mecklenburger
Pomeranian")</f>
        <v>Mecklenburger
Pomeranian</v>
      </c>
      <c r="D13" s="15"/>
    </row>
    <row r="14">
      <c r="A14" s="15" t="str">
        <f>IFERROR(__xludf.DUMMYFUNCTION("""COMPUTED_VALUE"""),"North Rhine-Westphalia (*federated state*)
   - North Rhine
   - Westphalia")</f>
        <v>North Rhine-Westphalia (*federated state*)
   - North Rhine
   - Westphalia</v>
      </c>
      <c r="B14" s="15" t="str">
        <f>IFERROR(__xludf.DUMMYFUNCTION("""COMPUTED_VALUE"""),"North Rhine - Westphalian
Rhenish
Westphalian")</f>
        <v>North Rhine - Westphalian
Rhenish
Westphalian</v>
      </c>
      <c r="C14" s="15" t="str">
        <f>IFERROR(__xludf.DUMMYFUNCTION("""COMPUTED_VALUE"""),"North Rhine - Westphalians
Rhinelanders
Westphalian")</f>
        <v>North Rhine - Westphalians
Rhinelanders
Westphalian</v>
      </c>
      <c r="D14" s="15"/>
    </row>
    <row r="15">
      <c r="A15" s="15" t="str">
        <f>IFERROR(__xludf.DUMMYFUNCTION("""COMPUTED_VALUE"""),"Pomerania (*ancient German territory*)")</f>
        <v>Pomerania (*ancient German territory*)</v>
      </c>
      <c r="B15" s="15" t="str">
        <f>IFERROR(__xludf.DUMMYFUNCTION("""COMPUTED_VALUE"""),"Pomeranian")</f>
        <v>Pomeranian</v>
      </c>
      <c r="C15" s="15" t="str">
        <f>IFERROR(__xludf.DUMMYFUNCTION("""COMPUTED_VALUE"""),"Pomeranians")</f>
        <v>Pomeranians</v>
      </c>
      <c r="D15" s="15"/>
    </row>
    <row r="16">
      <c r="A16" s="15" t="str">
        <f>IFERROR(__xludf.DUMMYFUNCTION("""COMPUTED_VALUE"""),"Prussia (*ancient German state*)")</f>
        <v>Prussia (*ancient German state*)</v>
      </c>
      <c r="B16" s="15" t="str">
        <f>IFERROR(__xludf.DUMMYFUNCTION("""COMPUTED_VALUE"""),"Prussian")</f>
        <v>Prussian</v>
      </c>
      <c r="C16" s="15" t="str">
        <f>IFERROR(__xludf.DUMMYFUNCTION("""COMPUTED_VALUE"""),"Prussians")</f>
        <v>Prussians</v>
      </c>
      <c r="D16" s="15"/>
    </row>
    <row r="17">
      <c r="A17" s="15" t="str">
        <f>IFERROR(__xludf.DUMMYFUNCTION("""COMPUTED_VALUE"""),"Rhineland (*area*)")</f>
        <v>Rhineland (*area*)</v>
      </c>
      <c r="B17" s="15" t="str">
        <f>IFERROR(__xludf.DUMMYFUNCTION("""COMPUTED_VALUE"""),"Rhenish")</f>
        <v>Rhenish</v>
      </c>
      <c r="C17" s="15" t="str">
        <f>IFERROR(__xludf.DUMMYFUNCTION("""COMPUTED_VALUE"""),"Rhinelanders")</f>
        <v>Rhinelanders</v>
      </c>
      <c r="D17" s="15"/>
    </row>
    <row r="18">
      <c r="A18" s="15" t="str">
        <f>IFERROR(__xludf.DUMMYFUNCTION("""COMPUTED_VALUE"""),"Rhineland-Palatinate (*federated state*)
   - Rhineland
   - Palatinate")</f>
        <v>Rhineland-Palatinate (*federated state*)
   - Rhineland
   - Palatinate</v>
      </c>
      <c r="B18" s="15" t="str">
        <f>IFERROR(__xludf.DUMMYFUNCTION("""COMPUTED_VALUE"""),"Rhenish
Palatine")</f>
        <v>Rhenish
Palatine</v>
      </c>
      <c r="C18" s="15" t="str">
        <f>IFERROR(__xludf.DUMMYFUNCTION("""COMPUTED_VALUE"""),"Rhinelanders
Palatines")</f>
        <v>Rhinelanders
Palatines</v>
      </c>
      <c r="D18" s="15" t="str">
        <f>IFERROR(__xludf.DUMMYFUNCTION("""COMPUTED_VALUE"""),"Pfälzer")</f>
        <v>Pfälzer</v>
      </c>
    </row>
    <row r="19">
      <c r="A19" s="15" t="str">
        <f>IFERROR(__xludf.DUMMYFUNCTION("""COMPUTED_VALUE"""),"Saarland (*federated state*)")</f>
        <v>Saarland (*federated state*)</v>
      </c>
      <c r="B19" s="15"/>
      <c r="C19" s="15" t="str">
        <f>IFERROR(__xludf.DUMMYFUNCTION("""COMPUTED_VALUE"""),"Saarlanders")</f>
        <v>Saarlanders</v>
      </c>
      <c r="D19" s="15"/>
    </row>
    <row r="20">
      <c r="A20" s="15" t="str">
        <f>IFERROR(__xludf.DUMMYFUNCTION("""COMPUTED_VALUE"""),"Saxony (*federated state*)")</f>
        <v>Saxony (*federated state*)</v>
      </c>
      <c r="B20" s="15" t="str">
        <f>IFERROR(__xludf.DUMMYFUNCTION("""COMPUTED_VALUE"""),"Saxon")</f>
        <v>Saxon</v>
      </c>
      <c r="C20" s="15" t="str">
        <f>IFERROR(__xludf.DUMMYFUNCTION("""COMPUTED_VALUE"""),"Saxons")</f>
        <v>Saxons</v>
      </c>
      <c r="D20" s="15"/>
    </row>
    <row r="21">
      <c r="A21" s="15" t="str">
        <f>IFERROR(__xludf.DUMMYFUNCTION("""COMPUTED_VALUE"""),"Saxony-Anhalt (*federated state*) 
   - Saxony
   - Anhalt")</f>
        <v>Saxony-Anhalt (*federated state*) 
   - Saxony
   - Anhalt</v>
      </c>
      <c r="B21" s="15" t="str">
        <f>IFERROR(__xludf.DUMMYFUNCTION("""COMPUTED_VALUE"""),"Saxon
Anhaltish")</f>
        <v>Saxon
Anhaltish</v>
      </c>
      <c r="C21" s="15" t="str">
        <f>IFERROR(__xludf.DUMMYFUNCTION("""COMPUTED_VALUE"""),"Saxons
Anhalters")</f>
        <v>Saxons
Anhalters</v>
      </c>
      <c r="D21" s="15"/>
    </row>
    <row r="22">
      <c r="A22" s="15" t="str">
        <f>IFERROR(__xludf.DUMMYFUNCTION("""COMPUTED_VALUE"""),"Silesia (*ancient German territory*)")</f>
        <v>Silesia (*ancient German territory*)</v>
      </c>
      <c r="B22" s="15" t="str">
        <f>IFERROR(__xludf.DUMMYFUNCTION("""COMPUTED_VALUE"""),"Silesian")</f>
        <v>Silesian</v>
      </c>
      <c r="C22" s="15" t="str">
        <f>IFERROR(__xludf.DUMMYFUNCTION("""COMPUTED_VALUE"""),"Silesians")</f>
        <v>Silesians</v>
      </c>
      <c r="D22" s="15"/>
    </row>
    <row r="23">
      <c r="A23" s="15" t="str">
        <f>IFERROR(__xludf.DUMMYFUNCTION("""COMPUTED_VALUE"""),"Schleswig-Holstein (*federated state*) 
   - Schleswig
   - Holstein")</f>
        <v>Schleswig-Holstein (*federated state*) 
   - Schleswig
   - Holstein</v>
      </c>
      <c r="B23" s="15" t="str">
        <f>IFERROR(__xludf.DUMMYFUNCTION("""COMPUTED_VALUE"""),"Schleswigish
Holsteinish")</f>
        <v>Schleswigish
Holsteinish</v>
      </c>
      <c r="C23" s="15" t="str">
        <f>IFERROR(__xludf.DUMMYFUNCTION("""COMPUTED_VALUE"""),"Schleswigers
Holsteiners")</f>
        <v>Schleswigers
Holsteiners</v>
      </c>
      <c r="D23" s="15"/>
    </row>
    <row r="24">
      <c r="A24" s="15" t="str">
        <f>IFERROR(__xludf.DUMMYFUNCTION("""COMPUTED_VALUE"""),"Swabia*(South German area and ancient territory)*")</f>
        <v>Swabia*(South German area and ancient territory)*</v>
      </c>
      <c r="B24" s="15" t="str">
        <f>IFERROR(__xludf.DUMMYFUNCTION("""COMPUTED_VALUE"""),"Swabian")</f>
        <v>Swabian</v>
      </c>
      <c r="C24" s="15" t="str">
        <f>IFERROR(__xludf.DUMMYFUNCTION("""COMPUTED_VALUE"""),"Swabians")</f>
        <v>Swabians</v>
      </c>
      <c r="D24" s="15"/>
    </row>
    <row r="25">
      <c r="A25" s="15" t="str">
        <f>IFERROR(__xludf.DUMMYFUNCTION("""COMPUTED_VALUE"""),"Thuringia (*federated state*)")</f>
        <v>Thuringia (*federated state*)</v>
      </c>
      <c r="B25" s="15" t="str">
        <f>IFERROR(__xludf.DUMMYFUNCTION("""COMPUTED_VALUE"""),"Thuringian")</f>
        <v>Thuringian</v>
      </c>
      <c r="C25" s="15" t="str">
        <f>IFERROR(__xludf.DUMMYFUNCTION("""COMPUTED_VALUE"""),"Thuringians")</f>
        <v>Thuringians</v>
      </c>
      <c r="D25" s="1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tr">
        <f>IFERROR(__xludf.DUMMYFUNCTION("IMPORTHTML(""https://en.wikipedia.org/wiki/List_of_adjectival_and_demonymic_forms_of_place_names"", ""table"", 6)"),"State or territory")</f>
        <v>State or territory</v>
      </c>
      <c r="B1" s="15" t="str">
        <f>IFERROR(__xludf.DUMMYFUNCTION("""COMPUTED_VALUE"""),"Adjective")</f>
        <v>Adjective</v>
      </c>
      <c r="C1" s="15" t="str">
        <f>IFERROR(__xludf.DUMMYFUNCTION("""COMPUTED_VALUE"""),"Demonym")</f>
        <v>Demonym</v>
      </c>
      <c r="D1" s="15"/>
    </row>
    <row r="2">
      <c r="A2" s="15"/>
      <c r="B2" s="15"/>
      <c r="C2" s="15"/>
      <c r="D2" s="15" t="str">
        <f>IFERROR(__xludf.DUMMYFUNCTION("""COMPUTED_VALUE"""),"*colloquial*")</f>
        <v>*colloquial*</v>
      </c>
    </row>
    <row r="3">
      <c r="A3" s="15" t="str">
        <f>IFERROR(__xludf.DUMMYFUNCTION("""COMPUTED_VALUE"""),"Andaman and Nicobar Islands")</f>
        <v>Andaman and Nicobar Islands</v>
      </c>
      <c r="B3" s="15" t="str">
        <f>IFERROR(__xludf.DUMMYFUNCTION("""COMPUTED_VALUE"""),"Andamanese[4]
Nicobarese[4]")</f>
        <v>Andamanese[4]
Nicobarese[4]</v>
      </c>
      <c r="C3" s="15" t="str">
        <f>IFERROR(__xludf.DUMMYFUNCTION("""COMPUTED_VALUE"""),"Andamanese
Nicobarese")</f>
        <v>Andamanese
Nicobarese</v>
      </c>
      <c r="D3" s="15"/>
    </row>
    <row r="4">
      <c r="A4" s="15" t="str">
        <f>IFERROR(__xludf.DUMMYFUNCTION("""COMPUTED_VALUE"""),"Andhra Pradesh")</f>
        <v>Andhra Pradesh</v>
      </c>
      <c r="B4" s="15" t="str">
        <f>IFERROR(__xludf.DUMMYFUNCTION("""COMPUTED_VALUE"""),"Andhrulu")</f>
        <v>Andhrulu</v>
      </c>
      <c r="C4" s="15" t="str">
        <f>IFERROR(__xludf.DUMMYFUNCTION("""COMPUTED_VALUE"""),"Andhrulu")</f>
        <v>Andhrulu</v>
      </c>
      <c r="D4" s="15" t="str">
        <f>IFERROR(__xludf.DUMMYFUNCTION("""COMPUTED_VALUE"""),"Teluguvaaru")</f>
        <v>Teluguvaaru</v>
      </c>
    </row>
    <row r="5">
      <c r="A5" s="15" t="str">
        <f>IFERROR(__xludf.DUMMYFUNCTION("""COMPUTED_VALUE"""),"Arunachal Pradesh")</f>
        <v>Arunachal Pradesh</v>
      </c>
      <c r="B5" s="15" t="str">
        <f>IFERROR(__xludf.DUMMYFUNCTION("""COMPUTED_VALUE"""),"Arunachali")</f>
        <v>Arunachali</v>
      </c>
      <c r="C5" s="15" t="str">
        <f>IFERROR(__xludf.DUMMYFUNCTION("""COMPUTED_VALUE"""),"Arunachalis")</f>
        <v>Arunachalis</v>
      </c>
      <c r="D5" s="15"/>
    </row>
    <row r="6">
      <c r="A6" s="15" t="str">
        <f>IFERROR(__xludf.DUMMYFUNCTION("""COMPUTED_VALUE"""),"Assam")</f>
        <v>Assam</v>
      </c>
      <c r="B6" s="15" t="str">
        <f>IFERROR(__xludf.DUMMYFUNCTION("""COMPUTED_VALUE"""),"Assamese[4]")</f>
        <v>Assamese[4]</v>
      </c>
      <c r="C6" s="15" t="str">
        <f>IFERROR(__xludf.DUMMYFUNCTION("""COMPUTED_VALUE"""),"Assamese")</f>
        <v>Assamese</v>
      </c>
      <c r="D6" s="15"/>
    </row>
    <row r="7">
      <c r="A7" s="15" t="str">
        <f>IFERROR(__xludf.DUMMYFUNCTION("""COMPUTED_VALUE"""),"Bihar")</f>
        <v>Bihar</v>
      </c>
      <c r="B7" s="15" t="str">
        <f>IFERROR(__xludf.DUMMYFUNCTION("""COMPUTED_VALUE"""),"Bihari[4]")</f>
        <v>Bihari[4]</v>
      </c>
      <c r="C7" s="15" t="str">
        <f>IFERROR(__xludf.DUMMYFUNCTION("""COMPUTED_VALUE"""),"Biharis")</f>
        <v>Biharis</v>
      </c>
      <c r="D7" s="15"/>
    </row>
    <row r="8">
      <c r="A8" s="15" t="str">
        <f>IFERROR(__xludf.DUMMYFUNCTION("""COMPUTED_VALUE"""),"Chandigarh")</f>
        <v>Chandigarh</v>
      </c>
      <c r="B8" s="15" t="str">
        <f>IFERROR(__xludf.DUMMYFUNCTION("""COMPUTED_VALUE"""),"Chandigarhi")</f>
        <v>Chandigarhi</v>
      </c>
      <c r="C8" s="15" t="str">
        <f>IFERROR(__xludf.DUMMYFUNCTION("""COMPUTED_VALUE"""),"Chandigarhis")</f>
        <v>Chandigarhis</v>
      </c>
      <c r="D8" s="15"/>
    </row>
    <row r="9">
      <c r="A9" s="15" t="str">
        <f>IFERROR(__xludf.DUMMYFUNCTION("""COMPUTED_VALUE"""),"Chhattisgarh")</f>
        <v>Chhattisgarh</v>
      </c>
      <c r="B9" s="15" t="str">
        <f>IFERROR(__xludf.DUMMYFUNCTION("""COMPUTED_VALUE"""),"Chhattisgarhi")</f>
        <v>Chhattisgarhi</v>
      </c>
      <c r="C9" s="15" t="str">
        <f>IFERROR(__xludf.DUMMYFUNCTION("""COMPUTED_VALUE"""),"Chhattisgarhis")</f>
        <v>Chhattisgarhis</v>
      </c>
      <c r="D9" s="15"/>
    </row>
    <row r="10">
      <c r="A10" s="15" t="str">
        <f>IFERROR(__xludf.DUMMYFUNCTION("""COMPUTED_VALUE"""),"Dadra and Nagar Haveli and Daman and Diu")</f>
        <v>Dadra and Nagar Haveli and Daman and Diu</v>
      </c>
      <c r="B10" s="15" t="str">
        <f>IFERROR(__xludf.DUMMYFUNCTION("""COMPUTED_VALUE"""),"Dadran
Nagar Havelian
Damanese
Diuese")</f>
        <v>Dadran
Nagar Havelian
Damanese
Diuese</v>
      </c>
      <c r="C10" s="15" t="str">
        <f>IFERROR(__xludf.DUMMYFUNCTION("""COMPUTED_VALUE"""),"Dadran
Nagar Havelian
Damanese
Diuese")</f>
        <v>Dadran
Nagar Havelian
Damanese
Diuese</v>
      </c>
      <c r="D10" s="15"/>
    </row>
    <row r="11">
      <c r="A11" s="15" t="str">
        <f>IFERROR(__xludf.DUMMYFUNCTION("""COMPUTED_VALUE"""),"Delhi")</f>
        <v>Delhi</v>
      </c>
      <c r="B11" s="15" t="str">
        <f>IFERROR(__xludf.DUMMYFUNCTION("""COMPUTED_VALUE"""),"Delhiite, Delhian")</f>
        <v>Delhiite, Delhian</v>
      </c>
      <c r="C11" s="15" t="str">
        <f>IFERROR(__xludf.DUMMYFUNCTION("""COMPUTED_VALUE"""),"Delhiites, Delhians")</f>
        <v>Delhiites, Delhians</v>
      </c>
      <c r="D11" s="15"/>
    </row>
    <row r="12">
      <c r="A12" s="15" t="str">
        <f>IFERROR(__xludf.DUMMYFUNCTION("""COMPUTED_VALUE"""),"Goa")</f>
        <v>Goa</v>
      </c>
      <c r="B12" s="15" t="str">
        <f>IFERROR(__xludf.DUMMYFUNCTION("""COMPUTED_VALUE"""),"Goan,[4]")</f>
        <v>Goan,[4]</v>
      </c>
      <c r="C12" s="15" t="str">
        <f>IFERROR(__xludf.DUMMYFUNCTION("""COMPUTED_VALUE"""),"Goans, Goenkars")</f>
        <v>Goans, Goenkars</v>
      </c>
      <c r="D12" s="15"/>
    </row>
    <row r="13">
      <c r="A13" s="15" t="str">
        <f>IFERROR(__xludf.DUMMYFUNCTION("""COMPUTED_VALUE"""),"Gujarat")</f>
        <v>Gujarat</v>
      </c>
      <c r="B13" s="15" t="str">
        <f>IFERROR(__xludf.DUMMYFUNCTION("""COMPUTED_VALUE"""),"Gujarati[4]")</f>
        <v>Gujarati[4]</v>
      </c>
      <c r="C13" s="15" t="str">
        <f>IFERROR(__xludf.DUMMYFUNCTION("""COMPUTED_VALUE"""),"Gujaratis")</f>
        <v>Gujaratis</v>
      </c>
      <c r="D13" s="15"/>
    </row>
    <row r="14">
      <c r="A14" s="15" t="str">
        <f>IFERROR(__xludf.DUMMYFUNCTION("""COMPUTED_VALUE"""),"Haryana")</f>
        <v>Haryana</v>
      </c>
      <c r="B14" s="15" t="str">
        <f>IFERROR(__xludf.DUMMYFUNCTION("""COMPUTED_VALUE"""),"Haryanvi")</f>
        <v>Haryanvi</v>
      </c>
      <c r="C14" s="15" t="str">
        <f>IFERROR(__xludf.DUMMYFUNCTION("""COMPUTED_VALUE"""),"Haryanvis")</f>
        <v>Haryanvis</v>
      </c>
      <c r="D14" s="15" t="str">
        <f>IFERROR(__xludf.DUMMYFUNCTION("""COMPUTED_VALUE"""),"–")</f>
        <v>–</v>
      </c>
    </row>
    <row r="15">
      <c r="A15" s="15" t="str">
        <f>IFERROR(__xludf.DUMMYFUNCTION("""COMPUTED_VALUE"""),"Himachal Pradesh")</f>
        <v>Himachal Pradesh</v>
      </c>
      <c r="B15" s="15" t="str">
        <f>IFERROR(__xludf.DUMMYFUNCTION("""COMPUTED_VALUE"""),"Himachali")</f>
        <v>Himachali</v>
      </c>
      <c r="C15" s="15" t="str">
        <f>IFERROR(__xludf.DUMMYFUNCTION("""COMPUTED_VALUE"""),"Himachalis")</f>
        <v>Himachalis</v>
      </c>
      <c r="D15" s="15"/>
    </row>
    <row r="16">
      <c r="A16" s="15" t="str">
        <f>IFERROR(__xludf.DUMMYFUNCTION("""COMPUTED_VALUE"""),"Jammu and Kashmir")</f>
        <v>Jammu and Kashmir</v>
      </c>
      <c r="B16" s="15" t="str">
        <f>IFERROR(__xludf.DUMMYFUNCTION("""COMPUTED_VALUE"""),"Jammu
Kashmiri[4]")</f>
        <v>Jammu
Kashmiri[4]</v>
      </c>
      <c r="C16" s="15" t="str">
        <f>IFERROR(__xludf.DUMMYFUNCTION("""COMPUTED_VALUE"""),"Jammuite
Kashimiris")</f>
        <v>Jammuite
Kashimiris</v>
      </c>
      <c r="D16" s="15" t="str">
        <f>IFERROR(__xludf.DUMMYFUNCTION("""COMPUTED_VALUE"""),"–")</f>
        <v>–</v>
      </c>
    </row>
    <row r="17">
      <c r="A17" s="15" t="str">
        <f>IFERROR(__xludf.DUMMYFUNCTION("""COMPUTED_VALUE"""),"Jharkhand")</f>
        <v>Jharkhand</v>
      </c>
      <c r="B17" s="15" t="str">
        <f>IFERROR(__xludf.DUMMYFUNCTION("""COMPUTED_VALUE"""),"Jharkhandi")</f>
        <v>Jharkhandi</v>
      </c>
      <c r="C17" s="15" t="str">
        <f>IFERROR(__xludf.DUMMYFUNCTION("""COMPUTED_VALUE"""),"Jharkhandis")</f>
        <v>Jharkhandis</v>
      </c>
      <c r="D17" s="15"/>
    </row>
    <row r="18">
      <c r="A18" s="15" t="str">
        <f>IFERROR(__xludf.DUMMYFUNCTION("""COMPUTED_VALUE"""),"Karnataka")</f>
        <v>Karnataka</v>
      </c>
      <c r="B18" s="15" t="str">
        <f>IFERROR(__xludf.DUMMYFUNCTION("""COMPUTED_VALUE"""),"Karnatakan, Canarese[4]")</f>
        <v>Karnatakan, Canarese[4]</v>
      </c>
      <c r="C18" s="15" t="str">
        <f>IFERROR(__xludf.DUMMYFUNCTION("""COMPUTED_VALUE"""),"Karnatakans, Canarese, Kannadiga")</f>
        <v>Karnatakans, Canarese, Kannadiga</v>
      </c>
      <c r="D18" s="15" t="str">
        <f>IFERROR(__xludf.DUMMYFUNCTION("""COMPUTED_VALUE"""),"Kannadiga")</f>
        <v>Kannadiga</v>
      </c>
    </row>
    <row r="19">
      <c r="A19" s="15" t="str">
        <f>IFERROR(__xludf.DUMMYFUNCTION("""COMPUTED_VALUE"""),"Kerala")</f>
        <v>Kerala</v>
      </c>
      <c r="B19" s="15" t="str">
        <f>IFERROR(__xludf.DUMMYFUNCTION("""COMPUTED_VALUE"""),"Keralite")</f>
        <v>Keralite</v>
      </c>
      <c r="C19" s="15" t="str">
        <f>IFERROR(__xludf.DUMMYFUNCTION("""COMPUTED_VALUE"""),"Keralites, Malayalis")</f>
        <v>Keralites, Malayalis</v>
      </c>
      <c r="D19" s="15" t="str">
        <f>IFERROR(__xludf.DUMMYFUNCTION("""COMPUTED_VALUE"""),"Mallus")</f>
        <v>Mallus</v>
      </c>
    </row>
    <row r="20">
      <c r="A20" s="15" t="str">
        <f>IFERROR(__xludf.DUMMYFUNCTION("""COMPUTED_VALUE"""),"Ladakh")</f>
        <v>Ladakh</v>
      </c>
      <c r="B20" s="15" t="str">
        <f>IFERROR(__xludf.DUMMYFUNCTION("""COMPUTED_VALUE"""),"Ladakhi")</f>
        <v>Ladakhi</v>
      </c>
      <c r="C20" s="15" t="str">
        <f>IFERROR(__xludf.DUMMYFUNCTION("""COMPUTED_VALUE"""),"Ladakhi")</f>
        <v>Ladakhi</v>
      </c>
      <c r="D20" s="15"/>
    </row>
    <row r="21">
      <c r="A21" s="15" t="str">
        <f>IFERROR(__xludf.DUMMYFUNCTION("""COMPUTED_VALUE"""),"Lakshadweep (Laccadives)")</f>
        <v>Lakshadweep (Laccadives)</v>
      </c>
      <c r="B21" s="15" t="str">
        <f>IFERROR(__xludf.DUMMYFUNCTION("""COMPUTED_VALUE"""),"Laccadivian")</f>
        <v>Laccadivian</v>
      </c>
      <c r="C21" s="15" t="str">
        <f>IFERROR(__xludf.DUMMYFUNCTION("""COMPUTED_VALUE"""),"Laccadivians")</f>
        <v>Laccadivians</v>
      </c>
      <c r="D21" s="15"/>
    </row>
    <row r="22">
      <c r="A22" s="15" t="str">
        <f>IFERROR(__xludf.DUMMYFUNCTION("""COMPUTED_VALUE"""),"Madhya Pradesh")</f>
        <v>Madhya Pradesh</v>
      </c>
      <c r="B22" s="15" t="str">
        <f>IFERROR(__xludf.DUMMYFUNCTION("""COMPUTED_VALUE"""),"Madhya Pradeshi")</f>
        <v>Madhya Pradeshi</v>
      </c>
      <c r="C22" s="15" t="str">
        <f>IFERROR(__xludf.DUMMYFUNCTION("""COMPUTED_VALUE"""),"Madhya Pradeshis")</f>
        <v>Madhya Pradeshis</v>
      </c>
      <c r="D22" s="15"/>
    </row>
    <row r="23">
      <c r="A23" s="15" t="str">
        <f>IFERROR(__xludf.DUMMYFUNCTION("""COMPUTED_VALUE"""),"Maharashtra")</f>
        <v>Maharashtra</v>
      </c>
      <c r="B23" s="15" t="str">
        <f>IFERROR(__xludf.DUMMYFUNCTION("""COMPUTED_VALUE"""),"Maharashtrian[4]")</f>
        <v>Maharashtrian[4]</v>
      </c>
      <c r="C23" s="15" t="str">
        <f>IFERROR(__xludf.DUMMYFUNCTION("""COMPUTED_VALUE"""),"Maharashtrians")</f>
        <v>Maharashtrians</v>
      </c>
      <c r="D23" s="15" t="str">
        <f>IFERROR(__xludf.DUMMYFUNCTION("""COMPUTED_VALUE"""),"Marathi")</f>
        <v>Marathi</v>
      </c>
    </row>
    <row r="24">
      <c r="A24" s="15" t="str">
        <f>IFERROR(__xludf.DUMMYFUNCTION("""COMPUTED_VALUE"""),"Manipur")</f>
        <v>Manipur</v>
      </c>
      <c r="B24" s="15" t="str">
        <f>IFERROR(__xludf.DUMMYFUNCTION("""COMPUTED_VALUE"""),"Manipuri[4]")</f>
        <v>Manipuri[4]</v>
      </c>
      <c r="C24" s="15" t="str">
        <f>IFERROR(__xludf.DUMMYFUNCTION("""COMPUTED_VALUE"""),"Manipuris")</f>
        <v>Manipuris</v>
      </c>
      <c r="D24" s="15" t="str">
        <f>IFERROR(__xludf.DUMMYFUNCTION("""COMPUTED_VALUE"""),"Meiteis")</f>
        <v>Meiteis</v>
      </c>
    </row>
    <row r="25">
      <c r="A25" s="15" t="str">
        <f>IFERROR(__xludf.DUMMYFUNCTION("""COMPUTED_VALUE"""),"Meghalaya")</f>
        <v>Meghalaya</v>
      </c>
      <c r="B25" s="15" t="str">
        <f>IFERROR(__xludf.DUMMYFUNCTION("""COMPUTED_VALUE"""),"Meghalayan")</f>
        <v>Meghalayan</v>
      </c>
      <c r="C25" s="15" t="str">
        <f>IFERROR(__xludf.DUMMYFUNCTION("""COMPUTED_VALUE"""),"Meghalayans")</f>
        <v>Meghalayans</v>
      </c>
      <c r="D25" s="15"/>
    </row>
    <row r="26">
      <c r="A26" s="15" t="str">
        <f>IFERROR(__xludf.DUMMYFUNCTION("""COMPUTED_VALUE"""),"Mizoram")</f>
        <v>Mizoram</v>
      </c>
      <c r="B26" s="15" t="str">
        <f>IFERROR(__xludf.DUMMYFUNCTION("""COMPUTED_VALUE"""),"Mizo[4]")</f>
        <v>Mizo[4]</v>
      </c>
      <c r="C26" s="15" t="str">
        <f>IFERROR(__xludf.DUMMYFUNCTION("""COMPUTED_VALUE"""),"Mizos")</f>
        <v>Mizos</v>
      </c>
      <c r="D26" s="15"/>
    </row>
    <row r="27">
      <c r="A27" s="15" t="str">
        <f>IFERROR(__xludf.DUMMYFUNCTION("""COMPUTED_VALUE"""),"Nagaland")</f>
        <v>Nagaland</v>
      </c>
      <c r="B27" s="15" t="str">
        <f>IFERROR(__xludf.DUMMYFUNCTION("""COMPUTED_VALUE"""),"Naga,[4] Nagalandese")</f>
        <v>Naga,[4] Nagalandese</v>
      </c>
      <c r="C27" s="15" t="str">
        <f>IFERROR(__xludf.DUMMYFUNCTION("""COMPUTED_VALUE"""),"Nagas, Nagalanders")</f>
        <v>Nagas, Nagalanders</v>
      </c>
      <c r="D27" s="15"/>
    </row>
    <row r="28">
      <c r="A28" s="15" t="str">
        <f>IFERROR(__xludf.DUMMYFUNCTION("""COMPUTED_VALUE"""),"Odisha")</f>
        <v>Odisha</v>
      </c>
      <c r="B28" s="15" t="str">
        <f>IFERROR(__xludf.DUMMYFUNCTION("""COMPUTED_VALUE"""),"Odia[4] (Odia) [of the people]
Odishan (Orissan) [of the state]
Odissi (Orissi)[4]")</f>
        <v>Odia[4] (Odia) [of the people]
Odishan (Orissan) [of the state]
Odissi (Orissi)[4]</v>
      </c>
      <c r="C28" s="15" t="str">
        <f>IFERROR(__xludf.DUMMYFUNCTION("""COMPUTED_VALUE"""),"Odias (Odias)
Odishans (Orissans)")</f>
        <v>Odias (Odias)
Odishans (Orissans)</v>
      </c>
      <c r="D28" s="15" t="str">
        <f>IFERROR(__xludf.DUMMYFUNCTION("""COMPUTED_VALUE"""),"–")</f>
        <v>–</v>
      </c>
    </row>
    <row r="29">
      <c r="A29" s="15" t="str">
        <f>IFERROR(__xludf.DUMMYFUNCTION("""COMPUTED_VALUE"""),"Puducherry (formerly Pondicherry)")</f>
        <v>Puducherry (formerly Pondicherry)</v>
      </c>
      <c r="B29" s="15" t="str">
        <f>IFERROR(__xludf.DUMMYFUNCTION("""COMPUTED_VALUE"""),"Pondicherrian")</f>
        <v>Pondicherrian</v>
      </c>
      <c r="C29" s="15" t="str">
        <f>IFERROR(__xludf.DUMMYFUNCTION("""COMPUTED_VALUE"""),"Pondicherrians")</f>
        <v>Pondicherrians</v>
      </c>
      <c r="D29" s="15" t="str">
        <f>IFERROR(__xludf.DUMMYFUNCTION("""COMPUTED_VALUE"""),"–")</f>
        <v>–</v>
      </c>
    </row>
    <row r="30">
      <c r="A30" s="15" t="str">
        <f>IFERROR(__xludf.DUMMYFUNCTION("""COMPUTED_VALUE"""),"Punjab")</f>
        <v>Punjab</v>
      </c>
      <c r="B30" s="15" t="str">
        <f>IFERROR(__xludf.DUMMYFUNCTION("""COMPUTED_VALUE"""),"Punjabi[4]")</f>
        <v>Punjabi[4]</v>
      </c>
      <c r="C30" s="15" t="str">
        <f>IFERROR(__xludf.DUMMYFUNCTION("""COMPUTED_VALUE"""),"Punjabis")</f>
        <v>Punjabis</v>
      </c>
      <c r="D30" s="15"/>
    </row>
    <row r="31">
      <c r="A31" s="15" t="str">
        <f>IFERROR(__xludf.DUMMYFUNCTION("""COMPUTED_VALUE"""),"Rajasthan")</f>
        <v>Rajasthan</v>
      </c>
      <c r="B31" s="15" t="str">
        <f>IFERROR(__xludf.DUMMYFUNCTION("""COMPUTED_VALUE"""),"Rajasthani[4]")</f>
        <v>Rajasthani[4]</v>
      </c>
      <c r="C31" s="15" t="str">
        <f>IFERROR(__xludf.DUMMYFUNCTION("""COMPUTED_VALUE"""),"Rajasthanis")</f>
        <v>Rajasthanis</v>
      </c>
      <c r="D31" s="15"/>
    </row>
    <row r="32">
      <c r="A32" s="15" t="str">
        <f>IFERROR(__xludf.DUMMYFUNCTION("""COMPUTED_VALUE"""),"Sikkim")</f>
        <v>Sikkim</v>
      </c>
      <c r="B32" s="15" t="str">
        <f>IFERROR(__xludf.DUMMYFUNCTION("""COMPUTED_VALUE"""),"Sikkimese[4]")</f>
        <v>Sikkimese[4]</v>
      </c>
      <c r="C32" s="15" t="str">
        <f>IFERROR(__xludf.DUMMYFUNCTION("""COMPUTED_VALUE"""),"Sikkimese")</f>
        <v>Sikkimese</v>
      </c>
      <c r="D32" s="15"/>
    </row>
    <row r="33">
      <c r="A33" s="15" t="str">
        <f>IFERROR(__xludf.DUMMYFUNCTION("""COMPUTED_VALUE"""),"Tamil Nadu")</f>
        <v>Tamil Nadu</v>
      </c>
      <c r="B33" s="15" t="str">
        <f>IFERROR(__xludf.DUMMYFUNCTION("""COMPUTED_VALUE"""),"Tamil,[4] Tamilian")</f>
        <v>Tamil,[4] Tamilian</v>
      </c>
      <c r="C33" s="15" t="str">
        <f>IFERROR(__xludf.DUMMYFUNCTION("""COMPUTED_VALUE"""),"Tamils, Tamilians")</f>
        <v>Tamils, Tamilians</v>
      </c>
      <c r="D33" s="15" t="str">
        <f>IFERROR(__xludf.DUMMYFUNCTION("""COMPUTED_VALUE"""),"Tamizhan")</f>
        <v>Tamizhan</v>
      </c>
    </row>
    <row r="34">
      <c r="A34" s="15" t="str">
        <f>IFERROR(__xludf.DUMMYFUNCTION("""COMPUTED_VALUE"""),"Telangana")</f>
        <v>Telangana</v>
      </c>
      <c r="B34" s="15" t="str">
        <f>IFERROR(__xludf.DUMMYFUNCTION("""COMPUTED_VALUE"""),"Telanganite")</f>
        <v>Telanganite</v>
      </c>
      <c r="C34" s="15" t="str">
        <f>IFERROR(__xludf.DUMMYFUNCTION("""COMPUTED_VALUE"""),"Telanganites")</f>
        <v>Telanganites</v>
      </c>
      <c r="D34" s="15" t="str">
        <f>IFERROR(__xludf.DUMMYFUNCTION("""COMPUTED_VALUE"""),"Teluguvaaru")</f>
        <v>Teluguvaaru</v>
      </c>
    </row>
    <row r="35">
      <c r="A35" s="15" t="str">
        <f>IFERROR(__xludf.DUMMYFUNCTION("""COMPUTED_VALUE"""),"Tripura")</f>
        <v>Tripura</v>
      </c>
      <c r="B35" s="15" t="str">
        <f>IFERROR(__xludf.DUMMYFUNCTION("""COMPUTED_VALUE"""),"Tripuri, Tripuran")</f>
        <v>Tripuri, Tripuran</v>
      </c>
      <c r="C35" s="15" t="str">
        <f>IFERROR(__xludf.DUMMYFUNCTION("""COMPUTED_VALUE"""),"Tripuris, Tripurans")</f>
        <v>Tripuris, Tripurans</v>
      </c>
      <c r="D35" s="15"/>
    </row>
    <row r="36">
      <c r="A36" s="15" t="str">
        <f>IFERROR(__xludf.DUMMYFUNCTION("""COMPUTED_VALUE"""),"Uttar Pradesh")</f>
        <v>Uttar Pradesh</v>
      </c>
      <c r="B36" s="15" t="str">
        <f>IFERROR(__xludf.DUMMYFUNCTION("""COMPUTED_VALUE"""),"Uttar Pradeshi")</f>
        <v>Uttar Pradeshi</v>
      </c>
      <c r="C36" s="15" t="str">
        <f>IFERROR(__xludf.DUMMYFUNCTION("""COMPUTED_VALUE"""),"Uttar Pradeshis")</f>
        <v>Uttar Pradeshis</v>
      </c>
      <c r="D36" s="15"/>
    </row>
    <row r="37">
      <c r="A37" s="15" t="str">
        <f>IFERROR(__xludf.DUMMYFUNCTION("""COMPUTED_VALUE"""),"Uttarakhand")</f>
        <v>Uttarakhand</v>
      </c>
      <c r="B37" s="15" t="str">
        <f>IFERROR(__xludf.DUMMYFUNCTION("""COMPUTED_VALUE"""),"Uttarakhandi")</f>
        <v>Uttarakhandi</v>
      </c>
      <c r="C37" s="15" t="str">
        <f>IFERROR(__xludf.DUMMYFUNCTION("""COMPUTED_VALUE"""),"Uttarakhandis")</f>
        <v>Uttarakhandis</v>
      </c>
      <c r="D37" s="15"/>
    </row>
    <row r="38">
      <c r="A38" s="15" t="str">
        <f>IFERROR(__xludf.DUMMYFUNCTION("""COMPUTED_VALUE"""),"West Bengal")</f>
        <v>West Bengal</v>
      </c>
      <c r="B38" s="15" t="str">
        <f>IFERROR(__xludf.DUMMYFUNCTION("""COMPUTED_VALUE"""),"(West) Bengali,[4] (West) Bengalese (archaic)[4]")</f>
        <v>(West) Bengali,[4] (West) Bengalese (archaic)[4]</v>
      </c>
      <c r="C38" s="15" t="str">
        <f>IFERROR(__xludf.DUMMYFUNCTION("""COMPUTED_VALUE"""),"(West) Bengalis")</f>
        <v>(West) Bengalis</v>
      </c>
      <c r="D38" s="1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tr">
        <f>IFERROR(__xludf.DUMMYFUNCTION("IMPORTHTML(""https://en.wikipedia.org/wiki/List_of_adjectival_and_demonymic_forms_of_place_names"", ""table"", 7)"),"Division")</f>
        <v>Division</v>
      </c>
      <c r="B1" s="15" t="str">
        <f>IFERROR(__xludf.DUMMYFUNCTION("""COMPUTED_VALUE"""),"Adjective")</f>
        <v>Adjective</v>
      </c>
      <c r="C1" s="15" t="str">
        <f>IFERROR(__xludf.DUMMYFUNCTION("""COMPUTED_VALUE"""),"Demonym")</f>
        <v>Demonym</v>
      </c>
      <c r="D1" s="15"/>
    </row>
    <row r="2">
      <c r="A2" s="15"/>
      <c r="B2" s="15"/>
      <c r="C2" s="15"/>
      <c r="D2" s="15" t="str">
        <f>IFERROR(__xludf.DUMMYFUNCTION("""COMPUTED_VALUE"""),"*colloquial*")</f>
        <v>*colloquial*</v>
      </c>
    </row>
    <row r="3">
      <c r="A3" s="15" t="str">
        <f>IFERROR(__xludf.DUMMYFUNCTION("""COMPUTED_VALUE"""),"Barisal Division")</f>
        <v>Barisal Division</v>
      </c>
      <c r="B3" s="15" t="str">
        <f>IFERROR(__xludf.DUMMYFUNCTION("""COMPUTED_VALUE"""),"Barisali")</f>
        <v>Barisali</v>
      </c>
      <c r="C3" s="15" t="str">
        <f>IFERROR(__xludf.DUMMYFUNCTION("""COMPUTED_VALUE"""),"Barisali (Borishali)")</f>
        <v>Barisali (Borishali)</v>
      </c>
      <c r="D3" s="15" t="str">
        <f>IFERROR(__xludf.DUMMYFUNCTION("""COMPUTED_VALUE"""),"Barisailla (Borishailla)")</f>
        <v>Barisailla (Borishailla)</v>
      </c>
    </row>
    <row r="4">
      <c r="A4" s="15" t="str">
        <f>IFERROR(__xludf.DUMMYFUNCTION("""COMPUTED_VALUE"""),"Chittagong Division")</f>
        <v>Chittagong Division</v>
      </c>
      <c r="B4" s="15" t="str">
        <f>IFERROR(__xludf.DUMMYFUNCTION("""COMPUTED_VALUE"""),"Chittagonian")</f>
        <v>Chittagonian</v>
      </c>
      <c r="C4" s="15" t="str">
        <f>IFERROR(__xludf.DUMMYFUNCTION("""COMPUTED_VALUE"""),"Chãtgaiya (Satgaiya)")</f>
        <v>Chãtgaiya (Satgaiya)</v>
      </c>
      <c r="D4" s="15" t="str">
        <f>IFERROR(__xludf.DUMMYFUNCTION("""COMPUTED_VALUE"""),"Chittagainga (Sitainga)")</f>
        <v>Chittagainga (Sitainga)</v>
      </c>
    </row>
    <row r="5">
      <c r="A5" s="15" t="str">
        <f>IFERROR(__xludf.DUMMYFUNCTION("""COMPUTED_VALUE"""),"Dhaka Division")</f>
        <v>Dhaka Division</v>
      </c>
      <c r="B5" s="15" t="str">
        <f>IFERROR(__xludf.DUMMYFUNCTION("""COMPUTED_VALUE"""),"Dhakai")</f>
        <v>Dhakai</v>
      </c>
      <c r="C5" s="15" t="str">
        <f>IFERROR(__xludf.DUMMYFUNCTION("""COMPUTED_VALUE"""),"Dhakaiya")</f>
        <v>Dhakaiya</v>
      </c>
      <c r="D5" s="15" t="str">
        <f>IFERROR(__xludf.DUMMYFUNCTION("""COMPUTED_VALUE"""),"Dhakaiya")</f>
        <v>Dhakaiya</v>
      </c>
    </row>
    <row r="6">
      <c r="A6" s="15" t="str">
        <f>IFERROR(__xludf.DUMMYFUNCTION("""COMPUTED_VALUE"""),"Khulna Division")</f>
        <v>Khulna Division</v>
      </c>
      <c r="B6" s="15" t="str">
        <f>IFERROR(__xludf.DUMMYFUNCTION("""COMPUTED_VALUE"""),"Khulnaiya")</f>
        <v>Khulnaiya</v>
      </c>
      <c r="C6" s="15" t="str">
        <f>IFERROR(__xludf.DUMMYFUNCTION("""COMPUTED_VALUE"""),"Khulnaiya")</f>
        <v>Khulnaiya</v>
      </c>
      <c r="D6" s="15" t="str">
        <f>IFERROR(__xludf.DUMMYFUNCTION("""COMPUTED_VALUE"""),"Khulnaiya")</f>
        <v>Khulnaiya</v>
      </c>
    </row>
    <row r="7">
      <c r="A7" s="15" t="str">
        <f>IFERROR(__xludf.DUMMYFUNCTION("""COMPUTED_VALUE"""),"Mymensingh Division")</f>
        <v>Mymensingh Division</v>
      </c>
      <c r="B7" s="15" t="str">
        <f>IFERROR(__xludf.DUMMYFUNCTION("""COMPUTED_VALUE"""),"Mymensinghiya")</f>
        <v>Mymensinghiya</v>
      </c>
      <c r="C7" s="15" t="str">
        <f>IFERROR(__xludf.DUMMYFUNCTION("""COMPUTED_VALUE"""),"Mymensinghi")</f>
        <v>Mymensinghi</v>
      </c>
      <c r="D7" s="15" t="str">
        <f>IFERROR(__xludf.DUMMYFUNCTION("""COMPUTED_VALUE"""),"Mymensinghiya")</f>
        <v>Mymensinghiya</v>
      </c>
    </row>
    <row r="8">
      <c r="A8" s="15" t="str">
        <f>IFERROR(__xludf.DUMMYFUNCTION("""COMPUTED_VALUE"""),"Rajshahi Division")</f>
        <v>Rajshahi Division</v>
      </c>
      <c r="B8" s="15" t="str">
        <f>IFERROR(__xludf.DUMMYFUNCTION("""COMPUTED_VALUE"""),"Rajshahiya")</f>
        <v>Rajshahiya</v>
      </c>
      <c r="C8" s="15" t="str">
        <f>IFERROR(__xludf.DUMMYFUNCTION("""COMPUTED_VALUE"""),"Rajshahiya (Rajshahiyo)")</f>
        <v>Rajshahiya (Rajshahiyo)</v>
      </c>
      <c r="D8" s="15" t="str">
        <f>IFERROR(__xludf.DUMMYFUNCTION("""COMPUTED_VALUE"""),"Rajshahiya")</f>
        <v>Rajshahiya</v>
      </c>
    </row>
    <row r="9">
      <c r="A9" s="15" t="str">
        <f>IFERROR(__xludf.DUMMYFUNCTION("""COMPUTED_VALUE"""),"Rangpur Division")</f>
        <v>Rangpur Division</v>
      </c>
      <c r="B9" s="15" t="str">
        <f>IFERROR(__xludf.DUMMYFUNCTION("""COMPUTED_VALUE"""),"Rangpuri")</f>
        <v>Rangpuri</v>
      </c>
      <c r="C9" s="15" t="str">
        <f>IFERROR(__xludf.DUMMYFUNCTION("""COMPUTED_VALUE"""),"Rangpuri (Rongpuri)")</f>
        <v>Rangpuri (Rongpuri)</v>
      </c>
      <c r="D9" s="15" t="str">
        <f>IFERROR(__xludf.DUMMYFUNCTION("""COMPUTED_VALUE"""),"Rangpuri")</f>
        <v>Rangpuri</v>
      </c>
    </row>
    <row r="10">
      <c r="A10" s="15" t="str">
        <f>IFERROR(__xludf.DUMMYFUNCTION("""COMPUTED_VALUE"""),"Sylhet Division")</f>
        <v>Sylhet Division</v>
      </c>
      <c r="B10" s="15" t="str">
        <f>IFERROR(__xludf.DUMMYFUNCTION("""COMPUTED_VALUE"""),"Sylheti")</f>
        <v>Sylheti</v>
      </c>
      <c r="C10" s="15" t="str">
        <f>IFERROR(__xludf.DUMMYFUNCTION("""COMPUTED_VALUE"""),"Sylheti (Sileti)")</f>
        <v>Sylheti (Sileti)</v>
      </c>
      <c r="D10" s="15" t="str">
        <f>IFERROR(__xludf.DUMMYFUNCTION("""COMPUTED_VALUE"""),"Siloti")</f>
        <v>Siloti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tr">
        <f>IFERROR(__xludf.DUMMYFUNCTION("IMPORTHTML(""https://en.wikipedia.org/wiki/List_of_adjectival_and_demonymic_forms_of_place_names"", ""table"", 8)"),"State / Territory")</f>
        <v>State / Territory</v>
      </c>
      <c r="B1" s="15" t="str">
        <f>IFERROR(__xludf.DUMMYFUNCTION("""COMPUTED_VALUE"""),"Adjective")</f>
        <v>Adjective</v>
      </c>
      <c r="C1" s="15" t="str">
        <f>IFERROR(__xludf.DUMMYFUNCTION("""COMPUTED_VALUE"""),"Demonym")</f>
        <v>Demonym</v>
      </c>
      <c r="D1" s="15"/>
    </row>
    <row r="2">
      <c r="A2" s="15"/>
      <c r="B2" s="15"/>
      <c r="C2" s="15"/>
      <c r="D2" s="15" t="str">
        <f>IFERROR(__xludf.DUMMYFUNCTION("""COMPUTED_VALUE"""),"*colloquial*")</f>
        <v>*colloquial*</v>
      </c>
    </row>
    <row r="3">
      <c r="A3" s="15" t="str">
        <f>IFERROR(__xludf.DUMMYFUNCTION("""COMPUTED_VALUE"""),"Johor")</f>
        <v>Johor</v>
      </c>
      <c r="B3" s="15" t="str">
        <f>IFERROR(__xludf.DUMMYFUNCTION("""COMPUTED_VALUE"""),"Johorean")</f>
        <v>Johorean</v>
      </c>
      <c r="C3" s="15" t="str">
        <f>IFERROR(__xludf.DUMMYFUNCTION("""COMPUTED_VALUE"""),"Johoreans")</f>
        <v>Johoreans</v>
      </c>
      <c r="D3" s="15" t="str">
        <f>IFERROR(__xludf.DUMMYFUNCTION("""COMPUTED_VALUE"""),"Southerners")</f>
        <v>Southerners</v>
      </c>
    </row>
    <row r="4">
      <c r="A4" s="15" t="str">
        <f>IFERROR(__xludf.DUMMYFUNCTION("""COMPUTED_VALUE"""),"Kedah")</f>
        <v>Kedah</v>
      </c>
      <c r="B4" s="15" t="str">
        <f>IFERROR(__xludf.DUMMYFUNCTION("""COMPUTED_VALUE"""),"Kedahan")</f>
        <v>Kedahan</v>
      </c>
      <c r="C4" s="15" t="str">
        <f>IFERROR(__xludf.DUMMYFUNCTION("""COMPUTED_VALUE"""),"Kedahans")</f>
        <v>Kedahans</v>
      </c>
      <c r="D4" s="15" t="str">
        <f>IFERROR(__xludf.DUMMYFUNCTION("""COMPUTED_VALUE"""),"Northerners")</f>
        <v>Northerners</v>
      </c>
    </row>
    <row r="5">
      <c r="A5" s="15" t="str">
        <f>IFERROR(__xludf.DUMMYFUNCTION("""COMPUTED_VALUE"""),"Kelantan")</f>
        <v>Kelantan</v>
      </c>
      <c r="B5" s="15" t="str">
        <f>IFERROR(__xludf.DUMMYFUNCTION("""COMPUTED_VALUE"""),"Kelantanese")</f>
        <v>Kelantanese</v>
      </c>
      <c r="C5" s="15" t="str">
        <f>IFERROR(__xludf.DUMMYFUNCTION("""COMPUTED_VALUE"""),"Kelantanese")</f>
        <v>Kelantanese</v>
      </c>
      <c r="D5" s="15" t="str">
        <f>IFERROR(__xludf.DUMMYFUNCTION("""COMPUTED_VALUE"""),"East Coasters")</f>
        <v>East Coasters</v>
      </c>
    </row>
    <row r="6">
      <c r="A6" s="15" t="str">
        <f>IFERROR(__xludf.DUMMYFUNCTION("""COMPUTED_VALUE"""),"Kuala Lumpur")</f>
        <v>Kuala Lumpur</v>
      </c>
      <c r="B6" s="15" t="str">
        <f>IFERROR(__xludf.DUMMYFUNCTION("""COMPUTED_VALUE"""),"Kuala Lumpurian")</f>
        <v>Kuala Lumpurian</v>
      </c>
      <c r="C6" s="15" t="str">
        <f>IFERROR(__xludf.DUMMYFUNCTION("""COMPUTED_VALUE"""),"Kuala Lumpurians")</f>
        <v>Kuala Lumpurians</v>
      </c>
      <c r="D6" s="15" t="str">
        <f>IFERROR(__xludf.DUMMYFUNCTION("""COMPUTED_VALUE"""),"Federal Territorians, KL-ites")</f>
        <v>Federal Territorians, KL-ites</v>
      </c>
    </row>
    <row r="7">
      <c r="A7" s="15" t="str">
        <f>IFERROR(__xludf.DUMMYFUNCTION("""COMPUTED_VALUE"""),"Labuan")</f>
        <v>Labuan</v>
      </c>
      <c r="B7" s="15" t="str">
        <f>IFERROR(__xludf.DUMMYFUNCTION("""COMPUTED_VALUE"""),"Labuanese")</f>
        <v>Labuanese</v>
      </c>
      <c r="C7" s="15" t="str">
        <f>IFERROR(__xludf.DUMMYFUNCTION("""COMPUTED_VALUE"""),"Labuanese")</f>
        <v>Labuanese</v>
      </c>
      <c r="D7" s="15" t="str">
        <f>IFERROR(__xludf.DUMMYFUNCTION("""COMPUTED_VALUE"""),"Federal Territorians")</f>
        <v>Federal Territorians</v>
      </c>
    </row>
    <row r="8">
      <c r="A8" s="15" t="str">
        <f>IFERROR(__xludf.DUMMYFUNCTION("""COMPUTED_VALUE"""),"Malacca")</f>
        <v>Malacca</v>
      </c>
      <c r="B8" s="15" t="str">
        <f>IFERROR(__xludf.DUMMYFUNCTION("""COMPUTED_VALUE"""),"Malaccan")</f>
        <v>Malaccan</v>
      </c>
      <c r="C8" s="15" t="str">
        <f>IFERROR(__xludf.DUMMYFUNCTION("""COMPUTED_VALUE"""),"Malaccans")</f>
        <v>Malaccans</v>
      </c>
      <c r="D8" s="15"/>
    </row>
    <row r="9">
      <c r="A9" s="15" t="str">
        <f>IFERROR(__xludf.DUMMYFUNCTION("""COMPUTED_VALUE"""),"Negeri Sembilan")</f>
        <v>Negeri Sembilan</v>
      </c>
      <c r="B9" s="15" t="str">
        <f>IFERROR(__xludf.DUMMYFUNCTION("""COMPUTED_VALUE"""),"Negeri Sembilanese")</f>
        <v>Negeri Sembilanese</v>
      </c>
      <c r="C9" s="15" t="str">
        <f>IFERROR(__xludf.DUMMYFUNCTION("""COMPUTED_VALUE"""),"Negeri Sembilanese")</f>
        <v>Negeri Sembilanese</v>
      </c>
      <c r="D9" s="15" t="str">
        <f>IFERROR(__xludf.DUMMYFUNCTION("""COMPUTED_VALUE"""),"Negrians")</f>
        <v>Negrians</v>
      </c>
    </row>
    <row r="10">
      <c r="A10" s="15" t="str">
        <f>IFERROR(__xludf.DUMMYFUNCTION("""COMPUTED_VALUE"""),"Pahang")</f>
        <v>Pahang</v>
      </c>
      <c r="B10" s="15" t="str">
        <f>IFERROR(__xludf.DUMMYFUNCTION("""COMPUTED_VALUE"""),"Pahangite")</f>
        <v>Pahangite</v>
      </c>
      <c r="C10" s="15" t="str">
        <f>IFERROR(__xludf.DUMMYFUNCTION("""COMPUTED_VALUE"""),"Pahangites")</f>
        <v>Pahangites</v>
      </c>
      <c r="D10" s="15" t="str">
        <f>IFERROR(__xludf.DUMMYFUNCTION("""COMPUTED_VALUE"""),"East Coasters")</f>
        <v>East Coasters</v>
      </c>
    </row>
    <row r="11">
      <c r="A11" s="15" t="str">
        <f>IFERROR(__xludf.DUMMYFUNCTION("""COMPUTED_VALUE"""),"Penang")</f>
        <v>Penang</v>
      </c>
      <c r="B11" s="15" t="str">
        <f>IFERROR(__xludf.DUMMYFUNCTION("""COMPUTED_VALUE"""),"Penangite")</f>
        <v>Penangite</v>
      </c>
      <c r="C11" s="15" t="str">
        <f>IFERROR(__xludf.DUMMYFUNCTION("""COMPUTED_VALUE"""),"Penangites")</f>
        <v>Penangites</v>
      </c>
      <c r="D11" s="15"/>
    </row>
    <row r="12">
      <c r="A12" s="15" t="str">
        <f>IFERROR(__xludf.DUMMYFUNCTION("""COMPUTED_VALUE"""),"Perak")</f>
        <v>Perak</v>
      </c>
      <c r="B12" s="15" t="str">
        <f>IFERROR(__xludf.DUMMYFUNCTION("""COMPUTED_VALUE"""),"Perakian")</f>
        <v>Perakian</v>
      </c>
      <c r="C12" s="15" t="str">
        <f>IFERROR(__xludf.DUMMYFUNCTION("""COMPUTED_VALUE"""),"Perakians")</f>
        <v>Perakians</v>
      </c>
      <c r="D12" s="15"/>
    </row>
    <row r="13">
      <c r="A13" s="15" t="str">
        <f>IFERROR(__xludf.DUMMYFUNCTION("""COMPUTED_VALUE"""),"Perlis")</f>
        <v>Perlis</v>
      </c>
      <c r="B13" s="15" t="str">
        <f>IFERROR(__xludf.DUMMYFUNCTION("""COMPUTED_VALUE"""),"Perlisian")</f>
        <v>Perlisian</v>
      </c>
      <c r="C13" s="15" t="str">
        <f>IFERROR(__xludf.DUMMYFUNCTION("""COMPUTED_VALUE"""),"Perlisians")</f>
        <v>Perlisians</v>
      </c>
      <c r="D13" s="15"/>
    </row>
    <row r="14">
      <c r="A14" s="15" t="str">
        <f>IFERROR(__xludf.DUMMYFUNCTION("""COMPUTED_VALUE"""),"Putrajaya")</f>
        <v>Putrajaya</v>
      </c>
      <c r="B14" s="15" t="str">
        <f>IFERROR(__xludf.DUMMYFUNCTION("""COMPUTED_VALUE"""),"Putrajayan")</f>
        <v>Putrajayan</v>
      </c>
      <c r="C14" s="15" t="str">
        <f>IFERROR(__xludf.DUMMYFUNCTION("""COMPUTED_VALUE"""),"Putrajayans")</f>
        <v>Putrajayans</v>
      </c>
      <c r="D14" s="15" t="str">
        <f>IFERROR(__xludf.DUMMYFUNCTION("""COMPUTED_VALUE"""),"Federal Territorians")</f>
        <v>Federal Territorians</v>
      </c>
    </row>
    <row r="15">
      <c r="A15" s="15" t="str">
        <f>IFERROR(__xludf.DUMMYFUNCTION("""COMPUTED_VALUE"""),"Sabah")</f>
        <v>Sabah</v>
      </c>
      <c r="B15" s="15" t="str">
        <f>IFERROR(__xludf.DUMMYFUNCTION("""COMPUTED_VALUE"""),"Sabahan")</f>
        <v>Sabahan</v>
      </c>
      <c r="C15" s="15" t="str">
        <f>IFERROR(__xludf.DUMMYFUNCTION("""COMPUTED_VALUE"""),"Sabahans")</f>
        <v>Sabahans</v>
      </c>
      <c r="D15" s="15" t="str">
        <f>IFERROR(__xludf.DUMMYFUNCTION("""COMPUTED_VALUE"""),"Borneans")</f>
        <v>Borneans</v>
      </c>
    </row>
    <row r="16">
      <c r="A16" s="15" t="str">
        <f>IFERROR(__xludf.DUMMYFUNCTION("""COMPUTED_VALUE"""),"Sarawak")</f>
        <v>Sarawak</v>
      </c>
      <c r="B16" s="15" t="str">
        <f>IFERROR(__xludf.DUMMYFUNCTION("""COMPUTED_VALUE"""),"Sarawakian")</f>
        <v>Sarawakian</v>
      </c>
      <c r="C16" s="15" t="str">
        <f>IFERROR(__xludf.DUMMYFUNCTION("""COMPUTED_VALUE"""),"Sarawakians")</f>
        <v>Sarawakians</v>
      </c>
      <c r="D16" s="15" t="str">
        <f>IFERROR(__xludf.DUMMYFUNCTION("""COMPUTED_VALUE"""),"Borneans")</f>
        <v>Borneans</v>
      </c>
    </row>
    <row r="17">
      <c r="A17" s="15" t="str">
        <f>IFERROR(__xludf.DUMMYFUNCTION("""COMPUTED_VALUE"""),"Selangor")</f>
        <v>Selangor</v>
      </c>
      <c r="B17" s="15" t="str">
        <f>IFERROR(__xludf.DUMMYFUNCTION("""COMPUTED_VALUE"""),"Selangorean")</f>
        <v>Selangorean</v>
      </c>
      <c r="C17" s="15" t="str">
        <f>IFERROR(__xludf.DUMMYFUNCTION("""COMPUTED_VALUE"""),"Selangoreans")</f>
        <v>Selangoreans</v>
      </c>
      <c r="D17" s="15"/>
    </row>
    <row r="18">
      <c r="A18" s="15" t="str">
        <f>IFERROR(__xludf.DUMMYFUNCTION("""COMPUTED_VALUE"""),"Terengganu")</f>
        <v>Terengganu</v>
      </c>
      <c r="B18" s="15" t="str">
        <f>IFERROR(__xludf.DUMMYFUNCTION("""COMPUTED_VALUE"""),"Terengganuan")</f>
        <v>Terengganuan</v>
      </c>
      <c r="C18" s="15" t="str">
        <f>IFERROR(__xludf.DUMMYFUNCTION("""COMPUTED_VALUE"""),"Terengganuans")</f>
        <v>Terengganuans</v>
      </c>
      <c r="D18" s="15" t="str">
        <f>IFERROR(__xludf.DUMMYFUNCTION("""COMPUTED_VALUE"""),"East Coasters")</f>
        <v>East Coasters</v>
      </c>
    </row>
    <row r="19">
      <c r="A19" s="15" t="str">
        <f>IFERROR(__xludf.DUMMYFUNCTION("""COMPUTED_VALUE"""),"*West Malaysia*")</f>
        <v>*West Malaysia*</v>
      </c>
      <c r="B19" s="15" t="str">
        <f>IFERROR(__xludf.DUMMYFUNCTION("""COMPUTED_VALUE"""),"West Malaysian")</f>
        <v>West Malaysian</v>
      </c>
      <c r="C19" s="15" t="str">
        <f>IFERROR(__xludf.DUMMYFUNCTION("""COMPUTED_VALUE"""),"West Malaysians")</f>
        <v>West Malaysians</v>
      </c>
      <c r="D19" s="15" t="str">
        <f>IFERROR(__xludf.DUMMYFUNCTION("""COMPUTED_VALUE"""),"Malayans")</f>
        <v>Malayans</v>
      </c>
    </row>
    <row r="20">
      <c r="A20" s="15" t="str">
        <f>IFERROR(__xludf.DUMMYFUNCTION("""COMPUTED_VALUE"""),"*East Malaysia*")</f>
        <v>*East Malaysia*</v>
      </c>
      <c r="B20" s="15" t="str">
        <f>IFERROR(__xludf.DUMMYFUNCTION("""COMPUTED_VALUE"""),"East Malaysian")</f>
        <v>East Malaysian</v>
      </c>
      <c r="C20" s="15" t="str">
        <f>IFERROR(__xludf.DUMMYFUNCTION("""COMPUTED_VALUE"""),"East Malaysians")</f>
        <v>East Malaysians</v>
      </c>
      <c r="D20" s="15" t="str">
        <f>IFERROR(__xludf.DUMMYFUNCTION("""COMPUTED_VALUE"""),"Borneans")</f>
        <v>Borneans</v>
      </c>
    </row>
  </sheetData>
  <drawing r:id="rId1"/>
</worksheet>
</file>