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ungh\Python Workspace\HSR_DMG_Simulator Ver0.11\"/>
    </mc:Choice>
  </mc:AlternateContent>
  <xr:revisionPtr revIDLastSave="0" documentId="13_ncr:1_{B2B1D01B-4D87-4091-9F24-14EB916B8DC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  <sheet name="메인딜러 딜량비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I11" i="2"/>
  <c r="I10" i="2"/>
  <c r="I14" i="2"/>
  <c r="I9" i="2"/>
  <c r="I12" i="2"/>
  <c r="I13" i="2"/>
  <c r="E14" i="2"/>
  <c r="E9" i="2"/>
  <c r="E11" i="2"/>
  <c r="E10" i="2"/>
  <c r="E13" i="2"/>
  <c r="F16" i="1" l="1"/>
  <c r="L29" i="1" s="1"/>
  <c r="L17" i="1"/>
  <c r="L16" i="1"/>
  <c r="F12" i="1"/>
  <c r="G12" i="1" s="1"/>
  <c r="G21" i="1"/>
  <c r="G15" i="1"/>
  <c r="G14" i="1"/>
  <c r="G13" i="1"/>
  <c r="L40" i="1"/>
  <c r="F26" i="1"/>
  <c r="G26" i="1" s="1"/>
  <c r="F25" i="1"/>
  <c r="G25" i="1" s="1"/>
  <c r="F24" i="1"/>
  <c r="G24" i="1" s="1"/>
  <c r="F23" i="1"/>
  <c r="G23" i="1" s="1"/>
  <c r="F22" i="1"/>
  <c r="G22" i="1" s="1"/>
  <c r="F20" i="1"/>
  <c r="G20" i="1" s="1"/>
  <c r="F19" i="1"/>
  <c r="L33" i="1" s="1"/>
  <c r="F18" i="1"/>
  <c r="F17" i="1"/>
  <c r="L34" i="1" l="1"/>
  <c r="L37" i="1"/>
  <c r="L39" i="1"/>
  <c r="L38" i="1"/>
  <c r="G19" i="1"/>
  <c r="L36" i="1"/>
  <c r="L31" i="1"/>
  <c r="L30" i="1"/>
  <c r="L32" i="1"/>
  <c r="G18" i="1"/>
  <c r="G17" i="1"/>
  <c r="L35" i="1"/>
  <c r="G16" i="1"/>
</calcChain>
</file>

<file path=xl/sharedStrings.xml><?xml version="1.0" encoding="utf-8"?>
<sst xmlns="http://schemas.openxmlformats.org/spreadsheetml/2006/main" count="101" uniqueCount="69">
  <si>
    <t>공격력%</t>
    <phoneticPr fontId="1" type="noConversion"/>
  </si>
  <si>
    <t>방어력%</t>
    <phoneticPr fontId="1" type="noConversion"/>
  </si>
  <si>
    <t>치명타 확률</t>
    <phoneticPr fontId="1" type="noConversion"/>
  </si>
  <si>
    <t>치명타피해</t>
    <phoneticPr fontId="1" type="noConversion"/>
  </si>
  <si>
    <t>치유량보너스</t>
    <phoneticPr fontId="1" type="noConversion"/>
  </si>
  <si>
    <t>효과명중</t>
    <phoneticPr fontId="1" type="noConversion"/>
  </si>
  <si>
    <t>속도</t>
    <phoneticPr fontId="1" type="noConversion"/>
  </si>
  <si>
    <t>속성피해증가</t>
    <phoneticPr fontId="1" type="noConversion"/>
  </si>
  <si>
    <t>격파특수효과</t>
    <phoneticPr fontId="1" type="noConversion"/>
  </si>
  <si>
    <t>에너지회복효율</t>
    <phoneticPr fontId="1" type="noConversion"/>
  </si>
  <si>
    <t>체력</t>
    <phoneticPr fontId="1" type="noConversion"/>
  </si>
  <si>
    <t>체력%</t>
    <phoneticPr fontId="1" type="noConversion"/>
  </si>
  <si>
    <t>공격력</t>
    <phoneticPr fontId="1" type="noConversion"/>
  </si>
  <si>
    <t>방어력</t>
    <phoneticPr fontId="1" type="noConversion"/>
  </si>
  <si>
    <t>효과저항</t>
    <phoneticPr fontId="1" type="noConversion"/>
  </si>
  <si>
    <t>치명타확률</t>
    <phoneticPr fontId="1" type="noConversion"/>
  </si>
  <si>
    <t>부옵</t>
    <phoneticPr fontId="1" type="noConversion"/>
  </si>
  <si>
    <t>주옵</t>
    <phoneticPr fontId="1" type="noConversion"/>
  </si>
  <si>
    <t>바디</t>
    <phoneticPr fontId="1" type="noConversion"/>
  </si>
  <si>
    <t>신발</t>
    <phoneticPr fontId="1" type="noConversion"/>
  </si>
  <si>
    <t>구체</t>
    <phoneticPr fontId="1" type="noConversion"/>
  </si>
  <si>
    <t>캐릭터 기본</t>
    <phoneticPr fontId="1" type="noConversion"/>
  </si>
  <si>
    <t>기초체력</t>
    <phoneticPr fontId="1" type="noConversion"/>
  </si>
  <si>
    <t>기초공격력</t>
    <phoneticPr fontId="1" type="noConversion"/>
  </si>
  <si>
    <t>기초방어력</t>
    <phoneticPr fontId="1" type="noConversion"/>
  </si>
  <si>
    <t>에너지 회복효율</t>
    <phoneticPr fontId="1" type="noConversion"/>
  </si>
  <si>
    <t>효과 저항</t>
    <phoneticPr fontId="1" type="noConversion"/>
  </si>
  <si>
    <t>치명타 피해</t>
    <phoneticPr fontId="1" type="noConversion"/>
  </si>
  <si>
    <t>광추</t>
    <phoneticPr fontId="1" type="noConversion"/>
  </si>
  <si>
    <t>세트효과</t>
    <phoneticPr fontId="1" type="noConversion"/>
  </si>
  <si>
    <t>매듭</t>
    <phoneticPr fontId="1" type="noConversion"/>
  </si>
  <si>
    <t>고정부옵 개수</t>
    <phoneticPr fontId="1" type="noConversion"/>
  </si>
  <si>
    <t>기초속도</t>
    <phoneticPr fontId="1" type="noConversion"/>
  </si>
  <si>
    <t>체력%증가</t>
    <phoneticPr fontId="1" type="noConversion"/>
  </si>
  <si>
    <t>공격력%증가</t>
    <phoneticPr fontId="1" type="noConversion"/>
  </si>
  <si>
    <t>방어력%증가</t>
    <phoneticPr fontId="1" type="noConversion"/>
  </si>
  <si>
    <t>치유량 보너스</t>
    <phoneticPr fontId="1" type="noConversion"/>
  </si>
  <si>
    <t>고정HP증가</t>
    <phoneticPr fontId="1" type="noConversion"/>
  </si>
  <si>
    <t>고정공격력증가</t>
    <phoneticPr fontId="1" type="noConversion"/>
  </si>
  <si>
    <t>고정방어력증가</t>
    <phoneticPr fontId="1" type="noConversion"/>
  </si>
  <si>
    <t>HP%증가</t>
    <phoneticPr fontId="1" type="noConversion"/>
  </si>
  <si>
    <t>고정속도증가</t>
    <phoneticPr fontId="1" type="noConversion"/>
  </si>
  <si>
    <t>유물 스탯(이걸 AddRelic에 입력)</t>
    <phoneticPr fontId="1" type="noConversion"/>
  </si>
  <si>
    <t>최종스탯(체크용)</t>
    <phoneticPr fontId="1" type="noConversion"/>
  </si>
  <si>
    <t>주옵설정</t>
    <phoneticPr fontId="1" type="noConversion"/>
  </si>
  <si>
    <t>속성피해증가</t>
  </si>
  <si>
    <t>공격력%</t>
  </si>
  <si>
    <t>치명타피해</t>
  </si>
  <si>
    <t>일반-보스-일반</t>
    <phoneticPr fontId="1" type="noConversion"/>
  </si>
  <si>
    <t>딜량</t>
    <phoneticPr fontId="1" type="noConversion"/>
  </si>
  <si>
    <t>비율</t>
    <phoneticPr fontId="1" type="noConversion"/>
  </si>
  <si>
    <t>속도</t>
  </si>
  <si>
    <t>조건3: 파티에는 반드시 1캐릭 이상의 탱커 또는 힐러 캐릭터가 있어야함</t>
    <phoneticPr fontId="1" type="noConversion"/>
  </si>
  <si>
    <t>정예-정예</t>
    <phoneticPr fontId="1" type="noConversion"/>
  </si>
  <si>
    <r>
      <t xml:space="preserve">조건2: </t>
    </r>
    <r>
      <rPr>
        <b/>
        <sz val="11"/>
        <color rgb="FFFF0000"/>
        <rFont val="맑은 고딕"/>
        <family val="3"/>
        <charset val="129"/>
        <scheme val="minor"/>
      </rPr>
      <t>약점은 총 2개</t>
    </r>
    <r>
      <rPr>
        <sz val="11"/>
        <color theme="1"/>
        <rFont val="맑은 고딕"/>
        <family val="2"/>
        <scheme val="minor"/>
      </rPr>
      <t xml:space="preserve">로 메인딜러 속성 1개와 그외 임의의 파티원 속성 1개 </t>
    </r>
    <phoneticPr fontId="1" type="noConversion"/>
  </si>
  <si>
    <r>
      <t xml:space="preserve">조건4: </t>
    </r>
    <r>
      <rPr>
        <b/>
        <sz val="11"/>
        <color rgb="FFFF0000"/>
        <rFont val="맑은 고딕"/>
        <family val="3"/>
        <charset val="129"/>
        <scheme val="minor"/>
      </rPr>
      <t>총 6라운드 기준</t>
    </r>
    <r>
      <rPr>
        <sz val="11"/>
        <color theme="1"/>
        <rFont val="맑은 고딕"/>
        <family val="2"/>
        <scheme val="minor"/>
      </rPr>
      <t>으로 측정하며 세팅은 KQMS기준, MCTS횟수는 300회, 50게임 평균</t>
    </r>
    <phoneticPr fontId="1" type="noConversion"/>
  </si>
  <si>
    <t>음월(V2)/정운/은랑/나찰</t>
    <phoneticPr fontId="1" type="noConversion"/>
  </si>
  <si>
    <t>카프카/은랑/루카/나찰</t>
    <phoneticPr fontId="1" type="noConversion"/>
  </si>
  <si>
    <t>카프카/페라/루카/나찰</t>
    <phoneticPr fontId="1" type="noConversion"/>
  </si>
  <si>
    <r>
      <t xml:space="preserve">조건1 : </t>
    </r>
    <r>
      <rPr>
        <b/>
        <sz val="11"/>
        <color rgb="FFFF0000"/>
        <rFont val="맑은 고딕"/>
        <family val="3"/>
        <charset val="129"/>
        <scheme val="minor"/>
      </rPr>
      <t>5성은 명함 또는 1중첩, 4성은 6돌 또는 5중첩</t>
    </r>
    <phoneticPr fontId="1" type="noConversion"/>
  </si>
  <si>
    <t>블레이드/브로냐/은랑/나찰</t>
    <phoneticPr fontId="1" type="noConversion"/>
  </si>
  <si>
    <t>음월(V2)/정운/어공/나찰</t>
    <phoneticPr fontId="1" type="noConversion"/>
  </si>
  <si>
    <t>블레이드/브로냐/페라/나찰</t>
    <phoneticPr fontId="1" type="noConversion"/>
  </si>
  <si>
    <t>제레/브로냐/정운/나찰</t>
    <phoneticPr fontId="1" type="noConversion"/>
  </si>
  <si>
    <t>제레/브로냐/은랑/나찰</t>
    <phoneticPr fontId="1" type="noConversion"/>
  </si>
  <si>
    <t>경원/정운/은랑/나찰</t>
    <phoneticPr fontId="1" type="noConversion"/>
  </si>
  <si>
    <t>경원/정운/브로냐/나찰</t>
    <phoneticPr fontId="1" type="noConversion"/>
  </si>
  <si>
    <t>음월(V3)/정운/어공/나찰</t>
    <phoneticPr fontId="1" type="noConversion"/>
  </si>
  <si>
    <t>음월(V3)/정운/은랑/나찰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</si>
</sst>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10" fontId="0" fillId="3" borderId="0" xfId="0" applyNumberFormat="1" applyFill="1"/>
    <xf numFmtId="176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0"/>
  <sheetViews>
    <sheetView tabSelected="1" workbookViewId="0">
      <selection activeCell="F38" sqref="F38"/>
    </sheetView>
  </sheetViews>
  <sheetFormatPr defaultRowHeight="17" x14ac:dyDescent="0.45"/>
  <cols>
    <col min="1" max="11" width="13.9140625" customWidth="1"/>
    <col min="12" max="13" width="11.83203125" customWidth="1"/>
    <col min="14" max="14" width="12.4140625" customWidth="1"/>
  </cols>
  <sheetData>
    <row r="2" spans="2:14" hidden="1" x14ac:dyDescent="0.45">
      <c r="B2" t="s">
        <v>11</v>
      </c>
      <c r="C2" t="s">
        <v>11</v>
      </c>
      <c r="D2" t="s">
        <v>11</v>
      </c>
      <c r="E2" t="s">
        <v>11</v>
      </c>
    </row>
    <row r="3" spans="2:14" hidden="1" x14ac:dyDescent="0.45">
      <c r="B3" t="s">
        <v>0</v>
      </c>
      <c r="C3" t="s">
        <v>0</v>
      </c>
      <c r="D3" t="s">
        <v>0</v>
      </c>
      <c r="E3" t="s">
        <v>0</v>
      </c>
    </row>
    <row r="4" spans="2:14" hidden="1" x14ac:dyDescent="0.45">
      <c r="B4" t="s">
        <v>1</v>
      </c>
      <c r="C4" t="s">
        <v>1</v>
      </c>
      <c r="D4" t="s">
        <v>1</v>
      </c>
      <c r="E4" t="s">
        <v>1</v>
      </c>
    </row>
    <row r="5" spans="2:14" hidden="1" x14ac:dyDescent="0.45">
      <c r="B5" t="s">
        <v>15</v>
      </c>
      <c r="C5" t="s">
        <v>6</v>
      </c>
      <c r="D5" t="s">
        <v>7</v>
      </c>
      <c r="E5" t="s">
        <v>8</v>
      </c>
    </row>
    <row r="6" spans="2:14" hidden="1" x14ac:dyDescent="0.45">
      <c r="B6" t="s">
        <v>3</v>
      </c>
      <c r="E6" t="s">
        <v>9</v>
      </c>
    </row>
    <row r="7" spans="2:14" hidden="1" x14ac:dyDescent="0.45">
      <c r="B7" t="s">
        <v>4</v>
      </c>
    </row>
    <row r="8" spans="2:14" hidden="1" x14ac:dyDescent="0.45">
      <c r="B8" t="s">
        <v>5</v>
      </c>
    </row>
    <row r="11" spans="2:14" x14ac:dyDescent="0.45">
      <c r="B11" s="2"/>
      <c r="C11" s="2" t="s">
        <v>16</v>
      </c>
      <c r="D11" s="2" t="s">
        <v>31</v>
      </c>
      <c r="E11" s="2"/>
      <c r="F11" s="2" t="s">
        <v>17</v>
      </c>
      <c r="G11" s="7" t="s">
        <v>42</v>
      </c>
      <c r="H11" s="2"/>
      <c r="K11" s="2"/>
      <c r="L11" s="2" t="s">
        <v>21</v>
      </c>
      <c r="M11" s="2" t="s">
        <v>28</v>
      </c>
      <c r="N11" s="2" t="s">
        <v>29</v>
      </c>
    </row>
    <row r="12" spans="2:14" x14ac:dyDescent="0.45">
      <c r="B12" s="2" t="s">
        <v>41</v>
      </c>
      <c r="C12" s="3">
        <v>2.2999999999999998</v>
      </c>
      <c r="D12" s="3">
        <v>2</v>
      </c>
      <c r="E12" s="3">
        <v>2</v>
      </c>
      <c r="F12" s="3">
        <f>IF($H$16="속도", 25, 0)</f>
        <v>25</v>
      </c>
      <c r="G12" s="6">
        <f t="shared" ref="G12:G26" si="0">C12*(D12+E12)+F12</f>
        <v>34.200000000000003</v>
      </c>
      <c r="H12" s="2" t="s">
        <v>44</v>
      </c>
      <c r="K12" s="2" t="s">
        <v>22</v>
      </c>
      <c r="L12" s="3">
        <v>1164</v>
      </c>
      <c r="M12" s="3">
        <v>1058</v>
      </c>
      <c r="N12" s="3"/>
    </row>
    <row r="13" spans="2:14" x14ac:dyDescent="0.45">
      <c r="B13" s="2" t="s">
        <v>37</v>
      </c>
      <c r="C13" s="3">
        <v>38.103755</v>
      </c>
      <c r="D13" s="3">
        <v>2</v>
      </c>
      <c r="E13" s="3"/>
      <c r="F13" s="3">
        <v>705</v>
      </c>
      <c r="G13" s="6">
        <f t="shared" si="0"/>
        <v>781.20750999999996</v>
      </c>
      <c r="H13" s="2" t="s">
        <v>18</v>
      </c>
      <c r="K13" s="2" t="s">
        <v>23</v>
      </c>
      <c r="L13" s="3">
        <v>698.54</v>
      </c>
      <c r="M13" s="3">
        <v>582.12</v>
      </c>
      <c r="N13" s="3"/>
    </row>
    <row r="14" spans="2:14" x14ac:dyDescent="0.45">
      <c r="B14" s="2" t="s">
        <v>38</v>
      </c>
      <c r="C14" s="3">
        <v>19.051877000000001</v>
      </c>
      <c r="D14" s="3">
        <v>2</v>
      </c>
      <c r="E14" s="3"/>
      <c r="F14" s="3">
        <v>352</v>
      </c>
      <c r="G14" s="6">
        <f t="shared" si="0"/>
        <v>390.10375399999998</v>
      </c>
      <c r="H14" s="3" t="s">
        <v>47</v>
      </c>
      <c r="K14" s="2" t="s">
        <v>24</v>
      </c>
      <c r="L14" s="3">
        <v>485.1</v>
      </c>
      <c r="M14" s="3">
        <v>463.05</v>
      </c>
      <c r="N14" s="3"/>
    </row>
    <row r="15" spans="2:14" x14ac:dyDescent="0.45">
      <c r="B15" s="2" t="s">
        <v>39</v>
      </c>
      <c r="C15" s="3">
        <v>19.051877000000001</v>
      </c>
      <c r="D15" s="3">
        <v>2</v>
      </c>
      <c r="E15" s="3"/>
      <c r="F15" s="3"/>
      <c r="G15" s="6">
        <f t="shared" si="0"/>
        <v>38.103754000000002</v>
      </c>
      <c r="H15" s="2" t="s">
        <v>19</v>
      </c>
      <c r="K15" s="2" t="s">
        <v>33</v>
      </c>
      <c r="L15" s="4"/>
      <c r="M15" s="4"/>
      <c r="N15" s="4"/>
    </row>
    <row r="16" spans="2:14" x14ac:dyDescent="0.45">
      <c r="B16" s="2" t="s">
        <v>40</v>
      </c>
      <c r="C16" s="4">
        <v>3.8879999999999998E-2</v>
      </c>
      <c r="D16" s="3">
        <v>2</v>
      </c>
      <c r="E16" s="3"/>
      <c r="F16" s="4">
        <f xml:space="preserve"> IF($H$14="체력%", 0.432, 0) + IF($H$16="체력%", 0.432, 0)+ IF($H$18="체력%", 0.432, 0)+ IF($H$20="체력%", 0.432, 0)</f>
        <v>0</v>
      </c>
      <c r="G16" s="6">
        <f t="shared" si="0"/>
        <v>7.7759999999999996E-2</v>
      </c>
      <c r="H16" s="3" t="s">
        <v>51</v>
      </c>
      <c r="K16" s="2" t="s">
        <v>34</v>
      </c>
      <c r="L16" s="4">
        <f xml:space="preserve"> 0.04 + 0.06 + 0.08 + 0.04 + 0.06</f>
        <v>0.28000000000000003</v>
      </c>
      <c r="M16" s="4"/>
      <c r="N16" s="4">
        <v>0.12</v>
      </c>
    </row>
    <row r="17" spans="2:14" x14ac:dyDescent="0.45">
      <c r="B17" s="2" t="s">
        <v>34</v>
      </c>
      <c r="C17" s="4">
        <v>3.8879999999999998E-2</v>
      </c>
      <c r="D17" s="3">
        <v>2</v>
      </c>
      <c r="E17" s="3"/>
      <c r="F17" s="4">
        <f xml:space="preserve"> IF($H$14="공격력%", 0.432, 0) + IF($H$16="공격력%", 0.432, 0)+ IF($H$18="공격력%", 0.432, 0)+ IF($H$20="공격력%", 0.432, 0)</f>
        <v>0.432</v>
      </c>
      <c r="G17" s="6">
        <f t="shared" si="0"/>
        <v>0.50975999999999999</v>
      </c>
      <c r="H17" s="2" t="s">
        <v>20</v>
      </c>
      <c r="K17" s="2" t="s">
        <v>35</v>
      </c>
      <c r="L17" s="4">
        <f xml:space="preserve"> 0.075 + 0.05</f>
        <v>0.125</v>
      </c>
      <c r="M17" s="4"/>
      <c r="N17" s="4"/>
    </row>
    <row r="18" spans="2:14" x14ac:dyDescent="0.45">
      <c r="B18" s="2" t="s">
        <v>35</v>
      </c>
      <c r="C18" s="4">
        <v>4.8599999999999997E-2</v>
      </c>
      <c r="D18" s="3">
        <v>2</v>
      </c>
      <c r="E18" s="3">
        <v>2</v>
      </c>
      <c r="F18" s="4">
        <f xml:space="preserve"> IF($H$14="방어력%", 0.54, 0) + IF($H$16="방어력%", 0.54, 0)+ IF($H$18="방어력%", 0.54, 0)+ IF($H$20="방어력%", 0.54, 0)</f>
        <v>0</v>
      </c>
      <c r="G18" s="6">
        <f t="shared" si="0"/>
        <v>0.19439999999999999</v>
      </c>
      <c r="H18" s="3" t="s">
        <v>45</v>
      </c>
      <c r="K18" s="2" t="s">
        <v>32</v>
      </c>
      <c r="L18" s="3">
        <v>99</v>
      </c>
      <c r="M18" s="3"/>
      <c r="N18" s="3"/>
    </row>
    <row r="19" spans="2:14" x14ac:dyDescent="0.45">
      <c r="B19" s="2" t="s">
        <v>8</v>
      </c>
      <c r="C19" s="4">
        <v>5.8319999999999997E-2</v>
      </c>
      <c r="D19" s="3">
        <v>2</v>
      </c>
      <c r="E19" s="3"/>
      <c r="F19" s="4">
        <f xml:space="preserve"> IF($H$20="격파특수효과", 0.648, 0)</f>
        <v>0</v>
      </c>
      <c r="G19" s="6">
        <f t="shared" si="0"/>
        <v>0.11663999999999999</v>
      </c>
      <c r="H19" s="2" t="s">
        <v>30</v>
      </c>
      <c r="K19" s="2" t="s">
        <v>25</v>
      </c>
      <c r="L19" s="4">
        <v>1</v>
      </c>
      <c r="M19" s="4"/>
      <c r="N19" s="4"/>
    </row>
    <row r="20" spans="2:14" x14ac:dyDescent="0.45">
      <c r="B20" s="2" t="s">
        <v>5</v>
      </c>
      <c r="C20" s="4">
        <v>3.8879999999999998E-2</v>
      </c>
      <c r="D20" s="3">
        <v>2</v>
      </c>
      <c r="E20" s="3"/>
      <c r="F20" s="4">
        <f>IF($H$14="효과명중", 0.432, 0)</f>
        <v>0</v>
      </c>
      <c r="G20" s="6">
        <f>C20*(D20+E20)+F20</f>
        <v>7.7759999999999996E-2</v>
      </c>
      <c r="H20" s="3" t="s">
        <v>46</v>
      </c>
      <c r="K20" s="2" t="s">
        <v>8</v>
      </c>
      <c r="L20" s="4"/>
      <c r="M20" s="4"/>
      <c r="N20" s="4"/>
    </row>
    <row r="21" spans="2:14" x14ac:dyDescent="0.45">
      <c r="B21" s="2" t="s">
        <v>14</v>
      </c>
      <c r="C21" s="4">
        <v>3.8879999999999998E-2</v>
      </c>
      <c r="D21" s="3">
        <v>2</v>
      </c>
      <c r="E21" s="3"/>
      <c r="F21" s="4"/>
      <c r="G21" s="6">
        <f t="shared" si="0"/>
        <v>7.7759999999999996E-2</v>
      </c>
      <c r="K21" s="2" t="s">
        <v>7</v>
      </c>
      <c r="L21" s="4"/>
      <c r="M21" s="4"/>
      <c r="N21" s="4"/>
    </row>
    <row r="22" spans="2:14" x14ac:dyDescent="0.45">
      <c r="B22" s="2" t="s">
        <v>15</v>
      </c>
      <c r="C22" s="4">
        <v>2.9159999999999998E-2</v>
      </c>
      <c r="D22" s="3">
        <v>2</v>
      </c>
      <c r="E22" s="3">
        <v>12</v>
      </c>
      <c r="F22" s="4">
        <f>IF($H$14="치명타확률", 0.324, 0)</f>
        <v>0</v>
      </c>
      <c r="G22" s="6">
        <f t="shared" si="0"/>
        <v>0.40823999999999999</v>
      </c>
      <c r="K22" s="2" t="s">
        <v>26</v>
      </c>
      <c r="L22" s="4"/>
      <c r="M22" s="4"/>
      <c r="N22" s="4"/>
    </row>
    <row r="23" spans="2:14" x14ac:dyDescent="0.45">
      <c r="B23" s="2" t="s">
        <v>3</v>
      </c>
      <c r="C23" s="4">
        <v>5.8319999999999997E-2</v>
      </c>
      <c r="D23" s="3">
        <v>2</v>
      </c>
      <c r="E23" s="3">
        <v>7</v>
      </c>
      <c r="F23" s="4">
        <f>IF($H$14="치명타피해", 0.648, 0)</f>
        <v>0.64800000000000002</v>
      </c>
      <c r="G23" s="6">
        <f t="shared" si="0"/>
        <v>1.1728800000000001</v>
      </c>
      <c r="K23" s="2" t="s">
        <v>5</v>
      </c>
      <c r="L23" s="4"/>
      <c r="M23" s="4"/>
      <c r="N23" s="4"/>
    </row>
    <row r="24" spans="2:14" x14ac:dyDescent="0.45">
      <c r="B24" s="2" t="s">
        <v>9</v>
      </c>
      <c r="C24" s="4"/>
      <c r="D24" s="3"/>
      <c r="E24" s="3"/>
      <c r="F24" s="4">
        <f xml:space="preserve"> IF($H$20="에너지회복효율", 0.194, 0)</f>
        <v>0</v>
      </c>
      <c r="G24" s="6">
        <f t="shared" si="0"/>
        <v>0</v>
      </c>
      <c r="K24" s="2" t="s">
        <v>2</v>
      </c>
      <c r="L24" s="4">
        <v>0.12</v>
      </c>
      <c r="M24" s="4"/>
      <c r="N24" s="4"/>
    </row>
    <row r="25" spans="2:14" x14ac:dyDescent="0.45">
      <c r="B25" s="2" t="s">
        <v>4</v>
      </c>
      <c r="C25" s="4"/>
      <c r="D25" s="3"/>
      <c r="E25" s="3"/>
      <c r="F25" s="4">
        <f>IF($H$14="치유량보너스", 0.345, 0)</f>
        <v>0</v>
      </c>
      <c r="G25" s="6">
        <f t="shared" si="0"/>
        <v>0</v>
      </c>
      <c r="K25" s="2" t="s">
        <v>27</v>
      </c>
      <c r="L25" s="4"/>
      <c r="M25" s="4"/>
      <c r="N25" s="4"/>
    </row>
    <row r="26" spans="2:14" x14ac:dyDescent="0.45">
      <c r="B26" s="2" t="s">
        <v>7</v>
      </c>
      <c r="C26" s="4"/>
      <c r="D26" s="3"/>
      <c r="E26" s="3"/>
      <c r="F26" s="4">
        <f>IF($H$18="속성피해증가", 0.388, 0)</f>
        <v>0.38800000000000001</v>
      </c>
      <c r="G26" s="6">
        <f t="shared" si="0"/>
        <v>0.38800000000000001</v>
      </c>
      <c r="K26" s="2" t="s">
        <v>36</v>
      </c>
    </row>
    <row r="28" spans="2:14" x14ac:dyDescent="0.45">
      <c r="L28" t="s">
        <v>43</v>
      </c>
    </row>
    <row r="29" spans="2:14" x14ac:dyDescent="0.45">
      <c r="K29" t="s">
        <v>10</v>
      </c>
      <c r="L29">
        <f>(L12+M12+N12) * (1+C16*(D16+E16)+F16+L15+M15+N15)+C13*(D13+E13)+F13</f>
        <v>3175.9902300000003</v>
      </c>
    </row>
    <row r="30" spans="2:14" x14ac:dyDescent="0.45">
      <c r="K30" t="s">
        <v>12</v>
      </c>
      <c r="L30">
        <f>(L13+M13+N13) * (1+C17*(D17+E17)+F17+L16+M16+N16)+C14*(D14+E14)+F14</f>
        <v>2835.8569955999997</v>
      </c>
    </row>
    <row r="31" spans="2:14" x14ac:dyDescent="0.45">
      <c r="K31" t="s">
        <v>13</v>
      </c>
      <c r="L31">
        <f>(L14+M14+N14) * (1+C18*(D18+E18)+F18+L17+M17+N17)+C15*(D15+E15)+F15</f>
        <v>1289.092864</v>
      </c>
    </row>
    <row r="32" spans="2:14" x14ac:dyDescent="0.45">
      <c r="K32" t="s">
        <v>6</v>
      </c>
      <c r="L32">
        <f>(L18+M18+N18) +C12*(D12+E12)+F12</f>
        <v>133.19999999999999</v>
      </c>
    </row>
    <row r="33" spans="11:12" x14ac:dyDescent="0.45">
      <c r="K33" t="s">
        <v>8</v>
      </c>
      <c r="L33" s="5">
        <f>(L20+M20+N20) +C19*(D19+E19)+F19</f>
        <v>0.11663999999999999</v>
      </c>
    </row>
    <row r="34" spans="11:12" x14ac:dyDescent="0.45">
      <c r="K34" t="s">
        <v>9</v>
      </c>
      <c r="L34" s="5">
        <f>(L19+M19+N19)+F24</f>
        <v>1</v>
      </c>
    </row>
    <row r="35" spans="11:12" x14ac:dyDescent="0.45">
      <c r="K35" t="s">
        <v>4</v>
      </c>
      <c r="L35" s="1">
        <f>F25+L26+M26+N26</f>
        <v>0</v>
      </c>
    </row>
    <row r="36" spans="11:12" x14ac:dyDescent="0.45">
      <c r="K36" t="s">
        <v>7</v>
      </c>
      <c r="L36" s="1">
        <f>L21+M21+N21+F26</f>
        <v>0.38800000000000001</v>
      </c>
    </row>
    <row r="37" spans="11:12" x14ac:dyDescent="0.45">
      <c r="K37" t="s">
        <v>15</v>
      </c>
      <c r="L37" s="5">
        <f>L24+M24+N24+C22*(D22+E22) +F22 + 0.05</f>
        <v>0.57824000000000009</v>
      </c>
    </row>
    <row r="38" spans="11:12" x14ac:dyDescent="0.45">
      <c r="K38" t="s">
        <v>3</v>
      </c>
      <c r="L38" s="5">
        <f>L25+M25+N25+C23*(D23+E23) +F23 + 0.5</f>
        <v>1.6728800000000001</v>
      </c>
    </row>
    <row r="39" spans="11:12" x14ac:dyDescent="0.45">
      <c r="K39" t="s">
        <v>5</v>
      </c>
      <c r="L39" s="5">
        <f>L23+M23+N23+C20*(D20+E20)+F20</f>
        <v>7.7759999999999996E-2</v>
      </c>
    </row>
    <row r="40" spans="11:12" x14ac:dyDescent="0.45">
      <c r="K40" t="s">
        <v>14</v>
      </c>
      <c r="L40" s="5">
        <f>L22+M22+N22+C21*(D21+E21)+F21</f>
        <v>7.7759999999999996E-2</v>
      </c>
    </row>
  </sheetData>
  <phoneticPr fontId="1" type="noConversion"/>
  <dataValidations count="4">
    <dataValidation type="list" allowBlank="1" showInputMessage="1" showErrorMessage="1" sqref="H14" xr:uid="{69E7A302-2851-49A2-A900-4B6120EB98A4}">
      <formula1>$B$2:$B$8</formula1>
    </dataValidation>
    <dataValidation type="list" allowBlank="1" showInputMessage="1" showErrorMessage="1" sqref="H16" xr:uid="{8C197E54-66C1-453D-A8F0-E47C6139B7C1}">
      <formula1>$C$2:$C$5</formula1>
    </dataValidation>
    <dataValidation type="list" allowBlank="1" showInputMessage="1" showErrorMessage="1" sqref="H18" xr:uid="{9897DFDD-FE83-4FBB-9347-DEC8F1B82930}">
      <formula1>$D$2:$D$5</formula1>
    </dataValidation>
    <dataValidation type="list" allowBlank="1" showInputMessage="1" showErrorMessage="1" sqref="H20" xr:uid="{842F7926-7CE7-446E-97DE-CA3D0C7A2078}">
      <formula1>$E$2:$E$6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0AB5-21AC-4815-A39B-D6EB37D835A4}">
  <dimension ref="C2:M23"/>
  <sheetViews>
    <sheetView workbookViewId="0">
      <selection activeCell="D17" sqref="D17"/>
    </sheetView>
  </sheetViews>
  <sheetFormatPr defaultRowHeight="17" x14ac:dyDescent="0.45"/>
  <cols>
    <col min="3" max="3" width="25.83203125" customWidth="1"/>
    <col min="4" max="6" width="19.6640625" customWidth="1"/>
    <col min="7" max="7" width="24.6640625" customWidth="1"/>
    <col min="8" max="10" width="19.6640625" customWidth="1"/>
    <col min="11" max="11" width="25.5" customWidth="1"/>
    <col min="12" max="15" width="19.6640625" customWidth="1"/>
  </cols>
  <sheetData>
    <row r="2" spans="3:13" x14ac:dyDescent="0.45">
      <c r="C2" s="9" t="s">
        <v>59</v>
      </c>
      <c r="D2" s="9"/>
      <c r="E2" s="9"/>
      <c r="F2" s="9"/>
    </row>
    <row r="3" spans="3:13" x14ac:dyDescent="0.45">
      <c r="C3" s="9" t="s">
        <v>54</v>
      </c>
      <c r="D3" s="9"/>
      <c r="E3" s="9"/>
      <c r="F3" s="9"/>
    </row>
    <row r="4" spans="3:13" x14ac:dyDescent="0.45">
      <c r="C4" s="9" t="s">
        <v>52</v>
      </c>
      <c r="D4" s="9"/>
      <c r="E4" s="9"/>
      <c r="F4" s="9"/>
    </row>
    <row r="5" spans="3:13" x14ac:dyDescent="0.45">
      <c r="C5" s="9" t="s">
        <v>55</v>
      </c>
      <c r="D5" s="9"/>
      <c r="E5" s="9"/>
      <c r="F5" s="9"/>
    </row>
    <row r="6" spans="3:13" x14ac:dyDescent="0.45">
      <c r="C6" s="10"/>
      <c r="D6" s="10"/>
      <c r="E6" s="10"/>
      <c r="F6" s="10"/>
    </row>
    <row r="8" spans="3:13" x14ac:dyDescent="0.45">
      <c r="C8" s="8" t="s">
        <v>48</v>
      </c>
      <c r="D8" s="8" t="s">
        <v>49</v>
      </c>
      <c r="E8" s="8" t="s">
        <v>50</v>
      </c>
      <c r="G8" s="8" t="s">
        <v>53</v>
      </c>
      <c r="H8" s="8" t="s">
        <v>49</v>
      </c>
      <c r="I8" s="8" t="s">
        <v>50</v>
      </c>
    </row>
    <row r="9" spans="3:13" x14ac:dyDescent="0.45">
      <c r="C9" s="2" t="s">
        <v>64</v>
      </c>
      <c r="D9" s="3">
        <v>1632874</v>
      </c>
      <c r="E9" s="4">
        <f t="shared" ref="E9:E14" si="0">D9/$D$9</f>
        <v>1</v>
      </c>
      <c r="G9" s="2" t="s">
        <v>62</v>
      </c>
      <c r="H9" s="3">
        <v>1634465</v>
      </c>
      <c r="I9" s="4">
        <f t="shared" ref="I9:I14" si="1">H9/$H$9</f>
        <v>1</v>
      </c>
      <c r="M9" s="1"/>
    </row>
    <row r="10" spans="3:13" x14ac:dyDescent="0.45">
      <c r="C10" s="2" t="s">
        <v>57</v>
      </c>
      <c r="D10" s="3">
        <v>1544324</v>
      </c>
      <c r="E10" s="4">
        <f t="shared" si="0"/>
        <v>0.94577046361201167</v>
      </c>
      <c r="G10" s="2" t="s">
        <v>58</v>
      </c>
      <c r="H10" s="3">
        <v>1498971</v>
      </c>
      <c r="I10" s="4">
        <f t="shared" si="1"/>
        <v>0.91710192631839771</v>
      </c>
      <c r="M10" s="1"/>
    </row>
    <row r="11" spans="3:13" x14ac:dyDescent="0.45">
      <c r="C11" s="2" t="s">
        <v>60</v>
      </c>
      <c r="D11" s="3">
        <v>1451462</v>
      </c>
      <c r="E11" s="4">
        <f t="shared" si="0"/>
        <v>0.8889001845825214</v>
      </c>
      <c r="G11" s="2" t="s">
        <v>67</v>
      </c>
      <c r="H11" s="3">
        <v>1475332</v>
      </c>
      <c r="I11" s="4">
        <f t="shared" si="1"/>
        <v>0.90263908985509023</v>
      </c>
      <c r="M11" s="1"/>
    </row>
    <row r="12" spans="3:13" x14ac:dyDescent="0.45">
      <c r="C12" s="2" t="s">
        <v>68</v>
      </c>
      <c r="D12" s="3">
        <v>1343929</v>
      </c>
      <c r="E12" s="4">
        <f t="shared" si="0"/>
        <v>0.82304513391725265</v>
      </c>
      <c r="G12" s="2" t="s">
        <v>61</v>
      </c>
      <c r="H12" s="3">
        <v>1431093</v>
      </c>
      <c r="I12" s="4">
        <f t="shared" si="1"/>
        <v>0.8755727409274594</v>
      </c>
      <c r="M12" s="1"/>
    </row>
    <row r="13" spans="3:13" x14ac:dyDescent="0.45">
      <c r="C13" s="2" t="s">
        <v>56</v>
      </c>
      <c r="D13" s="3">
        <v>1324090</v>
      </c>
      <c r="E13" s="4">
        <f t="shared" si="0"/>
        <v>0.81089539058126958</v>
      </c>
      <c r="G13" s="2" t="s">
        <v>66</v>
      </c>
      <c r="H13" s="3">
        <v>1418259</v>
      </c>
      <c r="I13" s="4">
        <f t="shared" si="1"/>
        <v>0.86772063029798741</v>
      </c>
      <c r="M13" s="1"/>
    </row>
    <row r="14" spans="3:13" x14ac:dyDescent="0.45">
      <c r="C14" s="2" t="s">
        <v>65</v>
      </c>
      <c r="D14" s="3">
        <v>1228171</v>
      </c>
      <c r="E14" s="4">
        <f t="shared" si="0"/>
        <v>0.7521529524017162</v>
      </c>
      <c r="G14" s="2" t="s">
        <v>63</v>
      </c>
      <c r="H14" s="3">
        <v>1381976</v>
      </c>
      <c r="I14" s="4">
        <f t="shared" si="1"/>
        <v>0.84552192919395641</v>
      </c>
    </row>
    <row r="18" spans="5:5" x14ac:dyDescent="0.45">
      <c r="E18" s="1"/>
    </row>
    <row r="19" spans="5:5" x14ac:dyDescent="0.45">
      <c r="E19" s="1"/>
    </row>
    <row r="20" spans="5:5" x14ac:dyDescent="0.45">
      <c r="E20" s="1"/>
    </row>
    <row r="21" spans="5:5" x14ac:dyDescent="0.45">
      <c r="E21" s="1"/>
    </row>
    <row r="22" spans="5:5" x14ac:dyDescent="0.45">
      <c r="E22" s="1"/>
    </row>
    <row r="23" spans="5:5" x14ac:dyDescent="0.45">
      <c r="E23" s="1"/>
    </row>
  </sheetData>
  <sortState xmlns:xlrd2="http://schemas.microsoft.com/office/spreadsheetml/2017/richdata2" ref="C9:E14">
    <sortCondition descending="1" ref="D9:D14"/>
  </sortState>
  <mergeCells count="5">
    <mergeCell ref="C2:F2"/>
    <mergeCell ref="C3:F3"/>
    <mergeCell ref="C4:F4"/>
    <mergeCell ref="C5:F5"/>
    <mergeCell ref="C6:F6"/>
  </mergeCells>
  <phoneticPr fontId="1" type="noConversion"/>
  <conditionalFormatting sqref="D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{69EE0205-FF53-487C-9E14-6A7DF9538778}</x14:id>
        </ext>
      </extLst>
    </cfRule>
  </conditionalFormatting>
  <conditionalFormatting sqref="D9:D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{0931541A-5D32-41B3-97A4-36131618CA23}</x14:id>
        </ext>
      </extLst>
    </cfRule>
  </conditionalFormatting>
  <conditionalFormatting sqref="D10:D1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{D04A28C7-DB88-40AC-A131-DE5C78C2FCA3}</x14:id>
        </ext>
      </extLst>
    </cfRule>
  </conditionalFormatting>
  <conditionalFormatting sqref="D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{3A6C0EC5-9627-4876-9BDE-0974AF61B45E}</x14:id>
        </ext>
      </extLst>
    </cfRule>
  </conditionalFormatting>
  <conditionalFormatting sqref="H9:H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{EE45252F-92C3-4097-BE2B-EC84979E85C7}</x14:id>
        </ext>
      </extLst>
    </cfRule>
  </conditionalFormatting>
  <conditionalFormatting sqref="L9:L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{EA624707-A027-4D52-BEEC-7597C890CF90}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EE0205-FF53-487C-9E14-6A7DF9538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0931541A-5D32-41B3-97A4-36131618CA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D9:D14</xm:sqref>
        </x14:conditionalFormatting>
        <x14:conditionalFormatting xmlns:xm="http://schemas.microsoft.com/office/excel/2006/main">
          <x14:cfRule type="dataBar" id="{D04A28C7-DB88-40AC-A131-DE5C78C2F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D10:D14</xm:sqref>
        </x14:conditionalFormatting>
        <x14:conditionalFormatting xmlns:xm="http://schemas.microsoft.com/office/excel/2006/main">
          <x14:cfRule type="dataBar" id="{3A6C0EC5-9627-4876-9BDE-0974AF61B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EE45252F-92C3-4097-BE2B-EC84979E8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H9:H14</xm:sqref>
        </x14:conditionalFormatting>
        <x14:conditionalFormatting xmlns:xm="http://schemas.microsoft.com/office/excel/2006/main">
          <x14:cfRule type="dataBar" id="{EA624707-A027-4D52-BEEC-7597C890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L9:L13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메인딜러 딜량비교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고성호</dc:creator>
  <cp:lastModifiedBy>고성호</cp:lastModifiedBy>
  <dcterms:created xsi:type="dcterms:W3CDTF">2015-06-05T18:17:20Z</dcterms:created>
  <dcterms:modified xsi:type="dcterms:W3CDTF">2023-08-01T11:46:10Z</dcterms:modified>
</cp:coreProperties>
</file>