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ssets" sheetId="1" r:id="rId4"/>
    <sheet state="visible" name="2024 Transazioni" sheetId="2" r:id="rId5"/>
    <sheet state="visible" name="THe" sheetId="3" r:id="rId6"/>
    <sheet state="visible" name="Ordinals" sheetId="4" r:id="rId7"/>
    <sheet state="visible" name="IntelligentData" sheetId="5" r:id="rId8"/>
    <sheet state="visible" name="Planning" sheetId="6" r:id="rId9"/>
    <sheet state="visible" name="Exchanges" sheetId="7" r:id="rId10"/>
    <sheet state="visible" name="HC" sheetId="8" r:id="rId11"/>
    <sheet state="visible" name="FIAT-IN-out" sheetId="9" r:id="rId12"/>
    <sheet state="visible" name="Fiat x Banche" sheetId="10" r:id="rId13"/>
    <sheet state="visible" name="Movimenti Old" sheetId="11" r:id="rId14"/>
    <sheet state="visible" name="202302" sheetId="12" r:id="rId15"/>
    <sheet state="visible" name="202301" sheetId="13" r:id="rId16"/>
    <sheet state="visible" name="EuroFid" sheetId="14" r:id="rId17"/>
    <sheet state="visible" name="ARB Spot" sheetId="15" r:id="rId18"/>
  </sheets>
  <definedNames>
    <definedName hidden="1" localSheetId="1" name="_xlnm._FilterDatabase">'2024 Transazioni'!$A$15:$CF$436</definedName>
  </definedNames>
  <calcPr/>
</workbook>
</file>

<file path=xl/sharedStrings.xml><?xml version="1.0" encoding="utf-8"?>
<sst xmlns="http://schemas.openxmlformats.org/spreadsheetml/2006/main" count="1956" uniqueCount="1162">
  <si>
    <t>Ordinals wallet</t>
  </si>
  <si>
    <t>bc1p23nl8nx8n0yxesn4hl8klcmnrjpa0nddgk60m7yjleuw7t8a06yspqe9vg</t>
  </si>
  <si>
    <t>ETH/BTC</t>
  </si>
  <si>
    <t>$</t>
  </si>
  <si>
    <t>Ordi pay</t>
  </si>
  <si>
    <t>34CUhAPEop6sHMFqNfkrMi3sapmMcD3Frc</t>
  </si>
  <si>
    <t>Apeboard</t>
  </si>
  <si>
    <t>TG</t>
  </si>
  <si>
    <t>@Super764</t>
  </si>
  <si>
    <t>EUR/USD</t>
  </si>
  <si>
    <t>&lt;-last update:</t>
  </si>
  <si>
    <t>manual</t>
  </si>
  <si>
    <t>ETHBTC=</t>
  </si>
  <si>
    <t>in BTC</t>
  </si>
  <si>
    <t>0x0481405dD8a41BdF57B541c4d6190C536a525719</t>
  </si>
  <si>
    <t>TW</t>
  </si>
  <si>
    <t>Pizzi764</t>
  </si>
  <si>
    <t>USD/EUR</t>
  </si>
  <si>
    <t>last tickers :</t>
  </si>
  <si>
    <t>in €</t>
  </si>
  <si>
    <t>0x28b47a4fFfAf0ee72f2ce05b4b6bed6B6aaB234b</t>
  </si>
  <si>
    <t>D</t>
  </si>
  <si>
    <t>Pizzi#9539</t>
  </si>
  <si>
    <t>Asset allocation</t>
  </si>
  <si>
    <t>USD</t>
  </si>
  <si>
    <t>Stable</t>
  </si>
  <si>
    <t>Cosa</t>
  </si>
  <si>
    <t>Quanto</t>
  </si>
  <si>
    <t>Note</t>
  </si>
  <si>
    <t>Coins</t>
  </si>
  <si>
    <t>USDT</t>
  </si>
  <si>
    <t>USDC</t>
  </si>
  <si>
    <t>BTC</t>
  </si>
  <si>
    <t>ETH</t>
  </si>
  <si>
    <t>Shitcoins</t>
  </si>
  <si>
    <t>=CRYPTOBALANCE("USDC","0x28b47a4fFfAf0ee72f2ce05b4b6bed6B6aaB234b",$Q$3)</t>
  </si>
  <si>
    <t>Nodemonkes</t>
  </si>
  <si>
    <t>Totali</t>
  </si>
  <si>
    <t>xpub:</t>
  </si>
  <si>
    <t>xpub6DTpCdMcnUqoNKAcYBV1N6J3rpULxyv9yuwut3qqsGkqpgERdfmZALYwcJRfuH99f33ZvQNSYQh6Z7aUwaEce7QbHmmXKQPsmhUBefmdjVx</t>
  </si>
  <si>
    <t>Quantità</t>
  </si>
  <si>
    <t>Importo</t>
  </si>
  <si>
    <t>Attuali</t>
  </si>
  <si>
    <t>.###</t>
  </si>
  <si>
    <t>Data</t>
  </si>
  <si>
    <t>Totale $</t>
  </si>
  <si>
    <t>Totale €</t>
  </si>
  <si>
    <t>Totale BTC</t>
  </si>
  <si>
    <t>Total</t>
  </si>
  <si>
    <t>Valore --&gt;</t>
  </si>
  <si>
    <t>+5k airdrop ARBITRUM</t>
  </si>
  <si>
    <t>AAVE</t>
  </si>
  <si>
    <t>CRO</t>
  </si>
  <si>
    <t>HYPE</t>
  </si>
  <si>
    <t>SNX</t>
  </si>
  <si>
    <t>ANON</t>
  </si>
  <si>
    <t>UNI</t>
  </si>
  <si>
    <t>GMX</t>
  </si>
  <si>
    <t xml:space="preserve">Togli il </t>
  </si>
  <si>
    <t>FIBS</t>
  </si>
  <si>
    <t>Range</t>
  </si>
  <si>
    <t xml:space="preserve">su tutto è </t>
  </si>
  <si>
    <t>ends</t>
  </si>
  <si>
    <t>%</t>
  </si>
  <si>
    <t>Eth 40%</t>
  </si>
  <si>
    <t>start</t>
  </si>
  <si>
    <t>BTC 60%</t>
  </si>
  <si>
    <t>Qui abbiamo tolto NM e Runes</t>
  </si>
  <si>
    <t>Qui abbiamo realizzato le RSIC Runes (ancora c'erano i 2 NM)</t>
  </si>
  <si>
    <t>***INSERITI NM E SHITCOINS PARALLELI</t>
  </si>
  <si>
    <t>STAKING</t>
  </si>
  <si>
    <t>POOL</t>
  </si>
  <si>
    <t>LSTAKE</t>
  </si>
  <si>
    <t>PnL %</t>
  </si>
  <si>
    <t>Etherfi Wrapped eETH</t>
  </si>
  <si>
    <t>PnL</t>
  </si>
  <si>
    <t>PMC</t>
  </si>
  <si>
    <t>NOW</t>
  </si>
  <si>
    <t>Unit -&gt;</t>
  </si>
  <si>
    <t>Conteggi fino</t>
  </si>
  <si>
    <t>https://curve.fi/#/arbitrum/swap?from=0xaf88d065e77c8cc2239327c5edb3a432268e5831&amp;to=0xfea7a6a0b346362bf88a9e4a88416b77a57d6c2a</t>
  </si>
  <si>
    <t>https://app.pendle.finance/earn/fixed-yield?showDetails=true</t>
  </si>
  <si>
    <t>https://app.aave.com/?marketName=proto_polygon_v3</t>
  </si>
  <si>
    <t>https://app.abracadabra.money/#/pool/2/42161</t>
  </si>
  <si>
    <t>https://app.pendle.finance/earn/fixed-yield</t>
  </si>
  <si>
    <t>Add CB</t>
  </si>
  <si>
    <t>https://portal.dymension.xyz/dymension/staking</t>
  </si>
  <si>
    <t>https://www.dextools.io/app/en/ether/pair-explorer/0x95d17be5a7e189e073cf4d6509ac264dcde025a5?t=1709995804601</t>
  </si>
  <si>
    <t>https://www.dextools.io/app/en/ether/pair-explorer/0x9628105808292699874f20d77d50a09bc26850c5?t=1709799919936</t>
  </si>
  <si>
    <t>https://www.dextools.io/app/en/polygon/pair-explorer/0x36165b14423425228d7ef62b3ffa799d446347c1?t=1709558830478</t>
  </si>
  <si>
    <t>https://www.kucoin.com/trade/METIS-USDT</t>
  </si>
  <si>
    <t>https://www.dextools.io/app/en/polygon/pair-explorer/0xe6c36eed27c2e8ecb9a233bf12da06c9730b5955?t=1711471777449</t>
  </si>
  <si>
    <t>https://pancakeswap.finance/swap?outputCurrency=0x8C49A510756224E887B3D99d00D959F2d86Dda1c&amp;inputCurrency=0x55d398326f99059fF775485246999027B3197955</t>
  </si>
  <si>
    <t>https://staking.pyth.network/</t>
  </si>
  <si>
    <t>https://www.sushi.com/swap?chainId=8453&amp;token0=NATIVE&amp;token1=0xF6e932Ca12afa26665dC4dDE7e27be02A7c02e50&amp;swapAmount=</t>
  </si>
  <si>
    <t>Sum ₿</t>
  </si>
  <si>
    <t>https://app.aave.com/?marketName=proto_optimism_v3</t>
  </si>
  <si>
    <t>https://debank.com/profile/0x28b47a4fFfAf0ee72f2ce05b4b6bed6B6aaB234b</t>
  </si>
  <si>
    <t>https://debank.com/profile/0x0481405dD8a41BdF57B541c4d6190C536a525719</t>
  </si>
  <si>
    <t>https://app.1inch.io/#/42161/simple/swap/SPELL/USDT</t>
  </si>
  <si>
    <t>https://app.ether.fi/liquid/eth</t>
  </si>
  <si>
    <t>STAKE 21d</t>
  </si>
  <si>
    <t>https://www.dextools.io/app/en/bnb/pair-explorer/0x3b4568933f86122e3a19814b1d42aa27fe429c3b?t=1710926240475</t>
  </si>
  <si>
    <t>Sum Ξ</t>
  </si>
  <si>
    <t>Iniziali coin</t>
  </si>
  <si>
    <t>FREEROLL</t>
  </si>
  <si>
    <t>Sum USDC</t>
  </si>
  <si>
    <t>Saldo coin</t>
  </si>
  <si>
    <t>Sum USDT</t>
  </si>
  <si>
    <t>Saldo $</t>
  </si>
  <si>
    <t>Sum SHIT</t>
  </si>
  <si>
    <t>BYBIT</t>
  </si>
  <si>
    <t>MIM/USDT</t>
  </si>
  <si>
    <t>N</t>
  </si>
  <si>
    <t>DATA</t>
  </si>
  <si>
    <t>Rate</t>
  </si>
  <si>
    <t>Rif</t>
  </si>
  <si>
    <t>Tipo</t>
  </si>
  <si>
    <t>BTC Ledger</t>
  </si>
  <si>
    <t>BTC
Xverse</t>
  </si>
  <si>
    <t>Binance
BTC</t>
  </si>
  <si>
    <t>ByBit
BTC</t>
  </si>
  <si>
    <t>ByBit
ETH</t>
  </si>
  <si>
    <t>ByBit
USDT</t>
  </si>
  <si>
    <t>aOptUSDT</t>
  </si>
  <si>
    <t>ETH Ledger 0x28</t>
  </si>
  <si>
    <t>ETH Ledger 0x04</t>
  </si>
  <si>
    <t>ETH Ledger ARB 0x04</t>
  </si>
  <si>
    <t>Ledger BASE</t>
  </si>
  <si>
    <t>Binance
ETH</t>
  </si>
  <si>
    <t>Polygon Ledger
USDT 2024</t>
  </si>
  <si>
    <t>Polygon Ledger
USDC 0x04</t>
  </si>
  <si>
    <t>Polygon AAVE USDC 0x04</t>
  </si>
  <si>
    <t>ARB USDT 0x04</t>
  </si>
  <si>
    <t>ARB USDC 0x04</t>
  </si>
  <si>
    <t>MIM</t>
  </si>
  <si>
    <t>MagicLP MIM/USDT</t>
  </si>
  <si>
    <t>Pendle 0x04</t>
  </si>
  <si>
    <t>EtherFi 0x28</t>
  </si>
  <si>
    <t>Ledger USDC HOT 2023</t>
  </si>
  <si>
    <t>Kraken
BTC</t>
  </si>
  <si>
    <t>Kraken
ETH</t>
  </si>
  <si>
    <t>Kraken
USDC</t>
  </si>
  <si>
    <t>Kraken USDT</t>
  </si>
  <si>
    <t>Kraken USD</t>
  </si>
  <si>
    <r>
      <rPr>
        <rFont val="Arial"/>
        <b/>
        <color rgb="FF1155CC"/>
        <sz val="8.0"/>
        <u/>
      </rPr>
      <t>Gate.io</t>
    </r>
    <r>
      <rPr>
        <rFont val="Arial"/>
        <b/>
        <sz val="8.0"/>
      </rPr>
      <t xml:space="preserve">
USDT</t>
    </r>
  </si>
  <si>
    <r>
      <rPr>
        <rFont val="Arial"/>
        <b/>
        <color rgb="FF1155CC"/>
        <sz val="8.0"/>
        <u/>
      </rPr>
      <t>MEXC</t>
    </r>
    <r>
      <rPr>
        <rFont val="Arial"/>
        <b/>
        <sz val="8.0"/>
      </rPr>
      <t xml:space="preserve">
USDT</t>
    </r>
  </si>
  <si>
    <t>Kucoin
USDT</t>
  </si>
  <si>
    <t>BSC Ledger 2023</t>
  </si>
  <si>
    <t>Binance USDC</t>
  </si>
  <si>
    <t>Binance
USDT</t>
  </si>
  <si>
    <t>ZK Sync</t>
  </si>
  <si>
    <t>Bitget
XRP</t>
  </si>
  <si>
    <t>CRO
App</t>
  </si>
  <si>
    <t>ByBit
AAVE</t>
  </si>
  <si>
    <t>ByBit
GMX</t>
  </si>
  <si>
    <t>ByBit
RUNE</t>
  </si>
  <si>
    <t>ByBit
SNX</t>
  </si>
  <si>
    <t>ByBit
UNI</t>
  </si>
  <si>
    <t>Kraken ATOM</t>
  </si>
  <si>
    <t>Cosmos ATOM</t>
  </si>
  <si>
    <t>Cosmos DYM</t>
  </si>
  <si>
    <t>Opt Synthetix</t>
  </si>
  <si>
    <t>Cosmos AKT</t>
  </si>
  <si>
    <t>Cosmos KUJI</t>
  </si>
  <si>
    <t>Eth23 OPFLOW</t>
  </si>
  <si>
    <t>ALPH</t>
  </si>
  <si>
    <t>MEXC BlocX</t>
  </si>
  <si>
    <t>Polygon METAL</t>
  </si>
  <si>
    <t>METIS</t>
  </si>
  <si>
    <t>Kucoin MTRG</t>
  </si>
  <si>
    <t>Kucoin XWG</t>
  </si>
  <si>
    <t>NAKA</t>
  </si>
  <si>
    <t>BSC Realio</t>
  </si>
  <si>
    <t>Binance FXS</t>
  </si>
  <si>
    <t>Binance FET</t>
  </si>
  <si>
    <t>Binance SEI</t>
  </si>
  <si>
    <t>Binance DyDx</t>
  </si>
  <si>
    <t>SOL Pyth</t>
  </si>
  <si>
    <t>Binance Pendle</t>
  </si>
  <si>
    <t>Binance PIXEL</t>
  </si>
  <si>
    <t>Binance BONK</t>
  </si>
  <si>
    <t>Binance MEME</t>
  </si>
  <si>
    <t>Base MOCHI</t>
  </si>
  <si>
    <t>Binance PEPE</t>
  </si>
  <si>
    <t>Binance WIF</t>
  </si>
  <si>
    <t>Binance FLOKI</t>
  </si>
  <si>
    <t>Costo in $</t>
  </si>
  <si>
    <t>Descrizione operazione</t>
  </si>
  <si>
    <t>Link TX</t>
  </si>
  <si>
    <t>₿</t>
  </si>
  <si>
    <t>Ξ</t>
  </si>
  <si>
    <t>ZK</t>
  </si>
  <si>
    <t>XRP</t>
  </si>
  <si>
    <t>RUNE</t>
  </si>
  <si>
    <t>ATOM</t>
  </si>
  <si>
    <t>DYM</t>
  </si>
  <si>
    <t>AKT</t>
  </si>
  <si>
    <t>KUJI</t>
  </si>
  <si>
    <t>OPFLOW</t>
  </si>
  <si>
    <t>BLOCX</t>
  </si>
  <si>
    <t>METAL</t>
  </si>
  <si>
    <t>MTRG</t>
  </si>
  <si>
    <t>XWG</t>
  </si>
  <si>
    <t>RIO</t>
  </si>
  <si>
    <t>FXS</t>
  </si>
  <si>
    <t>FET</t>
  </si>
  <si>
    <t>SEI</t>
  </si>
  <si>
    <t>DYDX</t>
  </si>
  <si>
    <t>PYTH</t>
  </si>
  <si>
    <t>PENDLE</t>
  </si>
  <si>
    <t>PIXEL</t>
  </si>
  <si>
    <t>BONK</t>
  </si>
  <si>
    <t>MEME</t>
  </si>
  <si>
    <t>MOCHI</t>
  </si>
  <si>
    <t>PEPE</t>
  </si>
  <si>
    <t>WIF</t>
  </si>
  <si>
    <t>FLOKI</t>
  </si>
  <si>
    <t>TRANSFER</t>
  </si>
  <si>
    <t>1° funding XVerse Hot Wallet - Prova</t>
  </si>
  <si>
    <t>https://blockstream.info/tx/1f9b860f5b7d2cedfa82d8b140685e7bca2bde38f6d6376c89dc9faf18ff93e5</t>
  </si>
  <si>
    <t>2° funding XVerse Hot Wallet</t>
  </si>
  <si>
    <t>https://blockstream.info/tx/1ce819cb49c94c105b94ca5c389ac5dbad0892372155b1d3a9ab5eb8c09207b2</t>
  </si>
  <si>
    <t>FEES</t>
  </si>
  <si>
    <t>Approval per Magic Eden Marketplace NFTs</t>
  </si>
  <si>
    <t>https://mempool.space/tx/fd85ef3b9d4c63ee4e162285a501d85f6a4647874be478e7e5e939f428436c2a</t>
  </si>
  <si>
    <t>NFT</t>
  </si>
  <si>
    <t>NodeMonkes #8563</t>
  </si>
  <si>
    <t>https://mempool.space/tx/e0558bf51a1c2a2595e8fb7079dae78f9c63bcd5cad74438800b66fa3da1b47b</t>
  </si>
  <si>
    <t>Acquisto NodeMonkes #468</t>
  </si>
  <si>
    <t>https://mempool.space/tx/d5624d10753b496ee75de28766455716923512f1c116bdcecff5631aea87945c</t>
  </si>
  <si>
    <t>EXCHANGE</t>
  </si>
  <si>
    <t>Sell XRP Bitget poi inviati ad eth</t>
  </si>
  <si>
    <t>https://etherscan.io/tx/0x63790e7ea0dff35254f9a9b7bd8ce32dfcd4be35ddc39e7194c4437c55dd5939</t>
  </si>
  <si>
    <t>11/01/24 21:43</t>
  </si>
  <si>
    <t>Acquisto NodeMonkes #8237</t>
  </si>
  <si>
    <t>https://mempool.space/tx/1753a89b03a9e72e97cc484799fd21fdec67eca485c770f3655b7f75213f5f2a</t>
  </si>
  <si>
    <t>22/01/24 06:58</t>
  </si>
  <si>
    <t>Acquisto NodeMonkes #9284</t>
  </si>
  <si>
    <t>https://mempool.space/tx/4067739aca991ae291b1c08594259018f263d38ab37b62dc45249748cfeb6940</t>
  </si>
  <si>
    <t>25/01/24 13:10</t>
  </si>
  <si>
    <t>COST</t>
  </si>
  <si>
    <t>Attivazione RSIC Rune 6161 (send allo stesso address)</t>
  </si>
  <si>
    <t>https://mempool.space/tx/071ae8f0d518a958c5e6ee4d04bd4239c85941f0ec05e7a8cf6caec6872a583d</t>
  </si>
  <si>
    <t>25/01/24 15:55</t>
  </si>
  <si>
    <t>Attivazione RSIC Rune 9058 (send allo stesso address)</t>
  </si>
  <si>
    <t>https://mempool.space/tx/8d9d8391e08c052c1a1a631042d8ef7ef8f76100ffdd9331acf194a9086e5e11</t>
  </si>
  <si>
    <t>31/01/24 18:12</t>
  </si>
  <si>
    <t>Isolamento di un sat Palindrome</t>
  </si>
  <si>
    <t>https://mempool.space/tx/e2e1ed976004779ba15effa5278ed2e72be418c0c213d67a62aea7ef680e8ed5</t>
  </si>
  <si>
    <t>31/01/24 18:24</t>
  </si>
  <si>
    <t>Acquisto di n.2 RSIC: 13863, 2848</t>
  </si>
  <si>
    <t>https://mempool.space/tx/f53f371e3d4d900203c7f21820d982f9ab4d77e06703358eb14e21d603c1ab33</t>
  </si>
  <si>
    <t>https://blockstream.info/tx/934a38edc8e8e345ab6bb825b991fb2d7fb153910c9ad8c37bee3f9df9d91ba6</t>
  </si>
  <si>
    <t>https://etherscan.io/tx/0x899be47d68cbed565d74913b58fc54714ddbee4b96cd38db80de6d1e208d05c8</t>
  </si>
  <si>
    <t>POOL-IN</t>
  </si>
  <si>
    <t>Pendle Finance ezETH</t>
  </si>
  <si>
    <t>https://etherscan.io/tx/0xe6e233aa111899bed45f6c614a0f8a0e9f9d6286430339ca2a93021c1a3a0a29</t>
  </si>
  <si>
    <t>Inscribed RSIC-Boost</t>
  </si>
  <si>
    <t>https://mempool.space/tx/7b61ed845165aebc26a3d58485a86984368881833d038807a3b99c924ba98182</t>
  </si>
  <si>
    <t>https://mempool.space/tx/1167a1071a6b694fed38de06a2261814f04496b0bcd643ceb4445a847233aac3</t>
  </si>
  <si>
    <t>https://mempool.space/tx/09901feeae460073a9aac17e74b8f61010152e48d0e6adad812d8912cda9141b</t>
  </si>
  <si>
    <t>https://etherscan.io/tx/0xc4495f5e1f2e6de6ec380b443315eeeba9d80f6e0723543a9a6f27b633c9e30a</t>
  </si>
  <si>
    <t>https://mempool.space/tx/eb48dbf69284f26c1d87b9726b8acf2fa47f5d334638e9c224fb26bb0560abe5</t>
  </si>
  <si>
    <t>8$ commissione</t>
  </si>
  <si>
    <t>https://etherscan.io/tx/0x88ca4f65cd03816c7f09fe3a70ffa852d780020289b065eed1920c1e5dd7514f</t>
  </si>
  <si>
    <t>https://etherscan.io/tx/0xf81fbd8dda3a43980136a1095d19f6c256dff34ca60ffae2dd2d4e152cceb892</t>
  </si>
  <si>
    <t>Per fees</t>
  </si>
  <si>
    <t>Transfer 10k su paradex per washtrading airdrop farming</t>
  </si>
  <si>
    <t>https://etherscan.io/tx/0x792a71bc0df54e189aba9a022364015289b0a2185d35392ac7f1cc2672b99a84</t>
  </si>
  <si>
    <t>PNL</t>
  </si>
  <si>
    <t>PnL da trading in Leva su Paradex</t>
  </si>
  <si>
    <t>Sold 1 Rune Guardians (Era un Airdrop)</t>
  </si>
  <si>
    <t>https://mempool.space/tx/e1f4771cb8c8bc05ba99973a93390040b8e16b30765d9880ff0a064082a2c8f1</t>
  </si>
  <si>
    <t>Sold 1 RuneMania Miner (airdrop)</t>
  </si>
  <si>
    <t>https://mempool.space/tx/a0a8c2b35bbd07bed93cf1b1ec618568d951e68eb0db5d2fe0e80123ef6839c7</t>
  </si>
  <si>
    <t>Natcat (124040)</t>
  </si>
  <si>
    <t>https://mempool.space/tx/0b13255e21a7e6cb8df422bbf55f142d58f1015b731f5f9b07ffd221833f976c</t>
  </si>
  <si>
    <t>https://etherscan.io/tx/0x1e88faee360816612c60ece96fd45d2760e00c54276625c90dee377b03d9b591</t>
  </si>
  <si>
    <t>https://etherscan.io/tx/0xd1233a93cb19cc87795f371a82368f305855b0dec2198acaf85718c120feb83f</t>
  </si>
  <si>
    <t>https://bscscan.com/tx/0x902abeba54195b175a54ba5bfaa1ad2eb7e787bf12dd9332db8a619b827e839c</t>
  </si>
  <si>
    <t>https://bscscan.com/tx/0xc17bccf3aa08b29b993e26b34e67f58ba8cee6e5418da3a3138d076402e9a254</t>
  </si>
  <si>
    <t>https://bscscan.com/tx/0x7de32d3e18517c0411e04fb3a024e7d29d7e8971363a62183d21495d507138a4</t>
  </si>
  <si>
    <t>https://www.mintscan.io/osmosis/txs/AAC73A93745BD3C104E9BE17EDAF2656F1B2DEA3AF8031EDBA9FC8D3B6B3E255</t>
  </si>
  <si>
    <t>https://www.mintscan.io/osmosis/txs/1D8EF7A518EB35E5582C026DDAAE7F1BEAA9C72A3D77A11F3005BEB090BC30F1</t>
  </si>
  <si>
    <t>https://www.mintscan.io/osmosis/tx/3670E3E2A2EFD85EF734C1D68A939F1DA23D09E962C85595F31C2B74F6D4BA31</t>
  </si>
  <si>
    <t>https://www.mintscan.io/dymension/txs/2EC723C207CC0FEFD2EEEA717CC8F9B81CBD68D21E6582397D6D25FFCCCD1920</t>
  </si>
  <si>
    <t>https://mempool.space/tx/61baf4d44ea3990e050611c76db0070091092ea41d21b01a31e14b0d4dfe4dc4</t>
  </si>
  <si>
    <t>#6 RSIC a Floor</t>
  </si>
  <si>
    <t>https://mempool.space/tx/271d900abc69681c16c4d4add64048d6bfb797dc561151d93e541715ee8bd737</t>
  </si>
  <si>
    <t>https://bscscan.com/tx/0x56e22e32515294483ce85828a1fbdcac41b41e62db95c9391930286a33ff6e65</t>
  </si>
  <si>
    <t>2 tx</t>
  </si>
  <si>
    <t>https://www.mintscan.io/osmosis/txs/E05CC68613C1644BD0B2BB3CDA260CC30D5A03CD0E629B2FF389009880BDA544</t>
  </si>
  <si>
    <t>https://www.mintscan.io/osmosis/tx/2FF4E6C4B49D787FF8AAC35AA9E448523128A9D87D99BA2DE025E2575C44500C?height=14085669</t>
  </si>
  <si>
    <t>https://www.mintscan.io/osmosis/tx/6AEC23A1554AE9677FA3E00C3D42D885BAE981F10A912CF4C6C4A9EE15BBDD80?height=14085798</t>
  </si>
  <si>
    <t>https://mempool.space/tx/238a112e267aa850fc37367da293d107309029c3c3f04681b578ebb2da379be8</t>
  </si>
  <si>
    <t>https://etherscan.io/tx/0xc7eadb81806b450a73d6140677c16fce6ea5d3915383582c39c3e54afc0d17e6</t>
  </si>
  <si>
    <t>https://etherscan.io/tx/0x052b8147e0700a934394e21568061d21648a0c5cabd89ec0c78ea34465c8e8a7</t>
  </si>
  <si>
    <t>RSIC 17288</t>
  </si>
  <si>
    <t>https://mempool.space/tx/188c4f021055ec1ba0335858753e0bff5062f783deeb86213d91179b621f43f9</t>
  </si>
  <si>
    <t>https://polygonscan.com/tx/0xfc99b59fd20de1bc2eac21c6bb132ad16e01c0e7b6a43f0ffcb491c087bd7efa</t>
  </si>
  <si>
    <t>https://polygonscan.com/tx/0x1059e3aacd2fd2ea8507e05091378b43e825b04f4e3a9b83e37e49d8ce17d352</t>
  </si>
  <si>
    <t>https://bscscan.com/tx/0x92241c2f5f5b2002d4b91df7e887e4b501f9971a9ab304836951f48d51f57b23</t>
  </si>
  <si>
    <t>https://polygonscan.com/tx/0x441754e1df571c0a94ea69bc5cf6c3564c587dae9dfea949c21a49d2acb46b70</t>
  </si>
  <si>
    <t>https://www.mintscan.io/cosmos/txs/4E02407CF1E4E37A8EB7DED5BFE13EF7C240FF3C4D7ED613C2B702BB9D282E7B</t>
  </si>
  <si>
    <t>https://www.mintscan.io/osmosis/txs/E9BF44E2F3085AB5E0104B5A1BB8D028BB7976D2451C0CF9D9D166356E0C8039</t>
  </si>
  <si>
    <t>https://www.mintscan.io/osmosis/tx/2186CCAE6F4D74DC9CCBFF860CFAB4CB075FD69855E5BF6399191D453BE45085</t>
  </si>
  <si>
    <t>https://www.mintscan.io/osmosis/tx/F07FBCA2BE3FD358DE51F8CE74208BF56B95FA94031E4509BE15376A33D9EDD5</t>
  </si>
  <si>
    <t>Liquidata posizione su Paradex</t>
  </si>
  <si>
    <t>06/03/24 08:25</t>
  </si>
  <si>
    <t>https://bscscan.com/tx/0xacad85cd0a85182baf3fddeacd421e3152e755a8f19fc03971b89200562fec30</t>
  </si>
  <si>
    <r>
      <rPr>
        <sz val="8.0"/>
      </rPr>
      <t xml:space="preserve">Girati prima su MEXC poi su </t>
    </r>
    <r>
      <rPr>
        <color rgb="FF1155CC"/>
        <sz val="8.0"/>
        <u/>
      </rPr>
      <t>gate.io</t>
    </r>
  </si>
  <si>
    <t>https://etherscan.io/tx/0x3e0ae7495ee53ef5538cc2d8126b52cf6fa3b68b9873f8014819900ea6f86caf</t>
  </si>
  <si>
    <t>https://etherscan.io/tx/0x126173953af6bf47e9aa164feebfc769a6a92a2f3ac5f775469e84ef26229002</t>
  </si>
  <si>
    <t>https://polygonscan.com/tx/0x88e10aa2989995007a14a6c19b1cdf4f8e6de9c22bedf8a25f04ba9b7a0a6c10</t>
  </si>
  <si>
    <t>https://polygonscan.com/tx/0x6fef6843b0fd346b50f0dd07503bd6f94f34bc22eaee6d868442d55683cf6384</t>
  </si>
  <si>
    <t>https://www.mintscan.io/cosmos/txs/E8A500AAF633B2E3CB11F545990C36CA533AB73362C7E247861BD2E483493197</t>
  </si>
  <si>
    <t>BRIDGE di Aleph onchain</t>
  </si>
  <si>
    <t>https://etherscan.io/tx/0xb501a8848508a1134814f84057f4999d0383f6794e8119f92270d90a7da878f8</t>
  </si>
  <si>
    <t>https://etherscan.io/tx/0x2d02762bdecbe515956a6c0a1198db4a0f02774e8ab2cb05f8a8600530148721</t>
  </si>
  <si>
    <t>https://polygonscan.com/tx/0x2ea81e1fe7fac808db20624d47defdaae6fa46cbc2156e262dda23398dedcfc7</t>
  </si>
  <si>
    <t>CAPARRA VIAGGIO EL SALVADOR TBTC</t>
  </si>
  <si>
    <t>https://polygonscan.com/tx/0x274fb9b8fbfb2229532509c1c7a8d6f564d92114215dba1afa705d87dc3fdfc7</t>
  </si>
  <si>
    <t>https://www.mintscan.io/osmosis/txs/E876F409F6196E5C832E1A82BA6ECA3C299E17F9CB42F1A806BFC15F367F9767</t>
  </si>
  <si>
    <t>https://www.mintscan.io/osmosis/tx/456F680B7F0CF70F261A07CE495AB5BE0ECF78BE0AF0B3ADC0FEE677B762E22D</t>
  </si>
  <si>
    <t>https://mempool.space/tx/4060847e6eea8ac3545b701c4cde5e71cf6eff6f39e8cb083eaad2d4564b3a1b</t>
  </si>
  <si>
    <t>https://etherscan.io/tx/0x1344bd8d7769a9c459947065ce077d3b466462b987f0f2454c6fb5a06c6a8420</t>
  </si>
  <si>
    <t>AIRDROP</t>
  </si>
  <si>
    <t>Aidrop NFt Runekingdom1</t>
  </si>
  <si>
    <t>https://mempool.space/tx/da377adcff108ed978a6862fc08c9590f090e5f3e0b59d9e7c05b169270daaf2</t>
  </si>
  <si>
    <t>Aidrop NFt Runekingdom2</t>
  </si>
  <si>
    <t>https://mempool.space/tx/9061363244d3953304f72b4062762cff5d5424b5339a486f08ba79edfa5c5e05</t>
  </si>
  <si>
    <t>Approve MaxPain.XCopy Opensea</t>
  </si>
  <si>
    <t>https://etherscan.io/tx/0x81acc1a12d33057fe0bb4243473d6bb1dba6f6ee78456c9ef332b414e33a0c13</t>
  </si>
  <si>
    <t>Vendute 2 RSIC</t>
  </si>
  <si>
    <t>https://mempool.space/tx/85e718954f7ce8ae82407e5e37bd6f234df481aa4d057bbd6243c7d322eba594</t>
  </si>
  <si>
    <t>https://mempool.space/tx/69ae976d783273fdfb8a7680268f69272f71e202de56a99f42f2ccf4bef1f728</t>
  </si>
  <si>
    <t>Venduta 1 RSIC</t>
  </si>
  <si>
    <t>https://mempool.space/tx/a3ae454df53f090397cce8e09a2582ce619fea67af2600bdb3f1f61cd31bc00f</t>
  </si>
  <si>
    <t>https://mempool.space/tx/467a5c7f6dd9d165ef90500eacea53cc6bd07ea56be5ab848ddc00e0069dfce7</t>
  </si>
  <si>
    <t>Scammato OpFlow</t>
  </si>
  <si>
    <t>https://etherscan.io/tx/0x8dfa2819863474ad77c6dfc98b0df5d84f095da661c292d1e330b3b52d6beeb8</t>
  </si>
  <si>
    <t>NodeMonke #9284</t>
  </si>
  <si>
    <t>https://mempool.space/tx/0034faa5f5224cd4b0a1678853f3e62d30e2cabd89d1a8aa55bf5859ea819fc6</t>
  </si>
  <si>
    <t>https://mempool.space/tx/4a4e26c4be8ff9a0e9177aded08e0fbde6be5d5258a0d68a75d0bdddc6b66f40</t>
  </si>
  <si>
    <t>https://www.mintscan.io/osmosis/txs/753D29F96B6551474F9AB676BE5131D0FF6EA8CC99FAAEB73AB6A69FF2FECF0B</t>
  </si>
  <si>
    <t>https://mempool.space/tx/e40376cba3e08cb0c473ee06b97246dbff0bdbc6060fda401b630d496f7a40dd</t>
  </si>
  <si>
    <t>AIRDROP SOLD</t>
  </si>
  <si>
    <t>https://mempool.space/tx/5c06126e25d458dd13bcfc0b85e8f72de74061df7d1c3cd76e4cabf1532a3f99</t>
  </si>
  <si>
    <t>https://mempool.space/tx/00c3873a0afe24561fd5c539e0cfc5ac49b3f91d3cd6215a7d7607cf902a21d0</t>
  </si>
  <si>
    <t>XCOPY MAXPAIN 2023 (costo 1ETH)</t>
  </si>
  <si>
    <t>https://etherscan.io/tx/0x740368678c8f5906bccb1b50be596e01cf1c214f540af7dd9125b0b75f94e26b</t>
  </si>
  <si>
    <t>https://bscscan.com/tx/0x920e6f76533eed7d0c539887b2f6e50d61efb10ac49b7c8e4b28519352b17715</t>
  </si>
  <si>
    <t>https://bscscan.com/tx/0x8fb27bd3e5b13ca526da83d3b7a88293d310b459d5814c72a3d71dcf0a5ed0f3</t>
  </si>
  <si>
    <t>https://bscscan.com/tx/0x7a11dfc205983d2d2ac395fa3bc5aa1feb6aead5e0c1944eed3c15540fffd0c5</t>
  </si>
  <si>
    <t>https://bscscan.com/tx/0xae5c591ee9764b3e22b6c6936a022daa7cf66875dd77b4428fdd89132624aa6d</t>
  </si>
  <si>
    <t>https://www.blockchain.com/explorer/transactions/btc/ed0b01764f2b910c4a64cd4afa0a3e4090cfd69b902054b554c4950d5eb153cb</t>
  </si>
  <si>
    <t>RSIC 5947</t>
  </si>
  <si>
    <t>https://mempool.space/tx/f0c8b1f69b20151611ea49f3fef5a0126fe4af7661208fcdbf0df7e7cc9a61c3</t>
  </si>
  <si>
    <t>RSIC 6161</t>
  </si>
  <si>
    <t>https://mempool.space/tx/08a22e499262943247171341aa9fcb09d99177db713ec2cac9d87b79151fa122</t>
  </si>
  <si>
    <t>Approved Runes As Fuck</t>
  </si>
  <si>
    <t>https://mempool.space/tx/ca768e6e50f7b97ba2122ee2c8290582a3dd9759731fc7d88ada1e128937a296</t>
  </si>
  <si>
    <t>RAF364</t>
  </si>
  <si>
    <t>https://mempool.space/tx/92e29dc7c476f7265d7256ab92684ae3e730f7debfd9e141374a0e3f5a290fc6</t>
  </si>
  <si>
    <t>RAF916</t>
  </si>
  <si>
    <t>https://mempool.space/tx/e895cb6f1b12410b3c974da525fdb5839eea64558be9050ce070399bdf797a11</t>
  </si>
  <si>
    <t>https://www.mintscan.io/osmosis/txs/2AF71D019D959E0E9A1D8AA4B0A99DB38F6E9F5E15898D0A0B3612462478BD74</t>
  </si>
  <si>
    <t>https://bscscan.com/tx/0x573cf8b520f851c7ef5015fe1fd2ac41fa64cec7db70a07b172d0204c26aff8e</t>
  </si>
  <si>
    <t>https://etherscan.io/tx/0xd925bd0e781bd079d432af5d3192275d1c592f8813a3c17583936b61f38fef68</t>
  </si>
  <si>
    <t>https://arbiscan.io/tx/0x1a807c5dc1e3aae7bd5c5cb979278a24e9b2edccaabf5ec37430077bfc3736f0</t>
  </si>
  <si>
    <t>Pendle arb scad 27/07/2024</t>
  </si>
  <si>
    <t>https://arbiscan.io/tx/0x6d87fb24024a81f0343d71b0e017d3d130e9969972f737783a12b62220eb0bac</t>
  </si>
  <si>
    <t>https://etherscan.io/tx/0x5fa9e12eb8cae103526a35e882c2385cef09e410857da0eceec2adb97083e56d</t>
  </si>
  <si>
    <t>https://basescan.org/tx/0xba7ea1dfd9b1159cf5a62484a1bf53fdee25961caf67a0391d5f49682c3237a1</t>
  </si>
  <si>
    <t>https://basescan.org/tx/0x15aa1378a8bbb53e5c7795adfa3813c9185fcc8d0ca481ec957d7a2932f80564</t>
  </si>
  <si>
    <t>rsETH</t>
  </si>
  <si>
    <t>https://arbiscan.io//tx/0xe453e573151538a8425fd8a0fa53a04741214f2eda922077d10fb208db322250</t>
  </si>
  <si>
    <t>Per trasferimento su rete nativa</t>
  </si>
  <si>
    <t>https://andromeda-explorer.metis.io/tx/0xd507c52deaa0a4a14e67bee47edd1bb3a04f897fa5b52787536fd39448a3718f</t>
  </si>
  <si>
    <t>https://andromeda-explorer.metis.io/tx/0x456679a12afb995cedfd4b7b1d09797daa7fe4a55d4688eef7e241e777429a7b</t>
  </si>
  <si>
    <t>https://polygonscan.com/tx/0x7431657dd5bdfff96ac6da9ecf4bdff822e5e6cd92de14958a508ced6a930797</t>
  </si>
  <si>
    <t>Sold le ultime 2 RSIC</t>
  </si>
  <si>
    <t>https://mempool.space/tx/be09b7d5ca47c8cfd8ef7665884a32f409166f4475f55370dadf5f29a46e40af</t>
  </si>
  <si>
    <t>Sold Rune Booster</t>
  </si>
  <si>
    <t>https://mempool.space/tx/fa56f3229d7de501c35513ee848d53b7fa181254ab83633a606f05b38a2e492c</t>
  </si>
  <si>
    <t>Fees TX da Binance a Solana per staking</t>
  </si>
  <si>
    <t>https://basescan.org/tx/0x5b77251f3137644607d5d5f2581d45b592a87c355e91c4e8b75d6cea3dd32266</t>
  </si>
  <si>
    <t>https://arbiscan.io/tx/0x746e5ef5b9bafb46bfd2db273b1ac0aeabdeec3c3444966e94e06543c444dbb7</t>
  </si>
  <si>
    <t>Sold NFT Airdrop on ME</t>
  </si>
  <si>
    <t>https://mempool.space/tx/ed1bc8ec67b071ed8894fba1b5b9831d5fb3ec3bf3085cb957869d57b5e92165</t>
  </si>
  <si>
    <t>Sold Tiny Vikink Ordinal</t>
  </si>
  <si>
    <t>https://mempool.space/tx/1467c5ec4a17a3f71f2609f5080700cc70ec523449accd7e7f44e1db0ab2d869</t>
  </si>
  <si>
    <t>https://polygonscan.com/tx/0x64ce4e0599f9d063b90cef6cadd678ba8037adc6cc9a1fc07435acdb9fc0f756</t>
  </si>
  <si>
    <t>https://www.mintscan.io/osmosis/tx/9685880EFAC7A82A015C8B4C93A24A88383A9FD4F5C752E9491DB87D8B05ACAA</t>
  </si>
  <si>
    <t>+1 TX</t>
  </si>
  <si>
    <t>Venduto altro NFT Airdroppato</t>
  </si>
  <si>
    <t>https://mempool.space/tx/892347e20a2b23cab4732f73df7c7bf7a6faddf5d289a3f2b6c38d55aae74bf4</t>
  </si>
  <si>
    <t>Sold 2nd Xcopy</t>
  </si>
  <si>
    <t>https://etherscan.io/tx/0x39a571ed5cb4fee546112ff30c515c9728be482118610005d7d0559e9dea86d1</t>
  </si>
  <si>
    <t>Mint STEPEPEN</t>
  </si>
  <si>
    <t>https://mempool.space/tx/96cc2c19cb0bb2f62513cd7728f75c664a403c06ceb633ec167cc439a09cf3ba</t>
  </si>
  <si>
    <t>Sold Airdrop RUNE NODES</t>
  </si>
  <si>
    <t>https://mempool.space/tx/f0da70db41f1a8bc84e3965e956855b5afd06b894481bb36b6aaf9a571f75ea3</t>
  </si>
  <si>
    <t>presi 3 stepepen</t>
  </si>
  <si>
    <t>https://mempool.space/tx/2fd33f8fcd1ad6ed86ad27f6242cab5aaf70e2326083fb9b04c19cfcef82814f</t>
  </si>
  <si>
    <t xml:space="preserve">sold Airdrops </t>
  </si>
  <si>
    <t>https://mempool.space/tx/d45b67f20838987bf13ec9e93a900028fbce10ce3cf3547890ed5dd486297b2a</t>
  </si>
  <si>
    <t>https://mempool.space/tx/43da29ad84f5e05b6d0dd7c3ca694bb6481ed6e2f02c2ff0ef4c635f47725ab7</t>
  </si>
  <si>
    <t>https://mempool.space/tx/8e7a495b76f359a274aa88af739295c0e286a871260fce342753392d07a31e93</t>
  </si>
  <si>
    <t>POOL-OUT</t>
  </si>
  <si>
    <t>ezETH-Renzo</t>
  </si>
  <si>
    <t>https://etherscan.io/tx/0x31f20fcd9120dc8d687479d1386a2e152b48219b9944d623e7ddb68c81f4303e</t>
  </si>
  <si>
    <t>https://etherscan.io/tx/0x6ac01ea58857b4abf9b320d5de1887edf5b80a9081674b0501b471fce790f9fc</t>
  </si>
  <si>
    <t>https://polygonscan.com/tx/0xb4eee98b016015751517047defc55c9adf859cc1cdada6c96152e32cafd5de98</t>
  </si>
  <si>
    <t>https://polygonscan.com/tx/0xd47762be8fe285c15ef044c43584c201fd62bd41c3758c28739ce328d9be8552</t>
  </si>
  <si>
    <t>https://polygonscan.com/tx/0x905d15fbd9fe0212f4eef076b4dd4550fa0baa7ad8cf760b3927dc12e6a49b53</t>
  </si>
  <si>
    <t>TP1 RIO</t>
  </si>
  <si>
    <t>https://bscscan.com/tx/0xf103c34f973315174193d766170343ae6df869a5002e7a4c14d0a46bbdbe8fbd</t>
  </si>
  <si>
    <t>TP2 RIO</t>
  </si>
  <si>
    <t>https://bscscan.com/tx/0xc4df831eee4dc9f2e3e7f6332fef7f8d84e2368ac1eec192248870dced494059</t>
  </si>
  <si>
    <t>TP3 RIO</t>
  </si>
  <si>
    <t>https://bscscan.com/tx/0xc19628c9accbe88b2e3e155eb3078d1af2d00e1df280be08118ae954f88a56a0</t>
  </si>
  <si>
    <t>https://bscscan.com/tx/0x9ab0371aa4eeac4d1a6edde38a86a40a4734819e8ae495bcf8ce5f8dae1f9d5e</t>
  </si>
  <si>
    <t>https://arbiscan.io//tx/0xcc24a49c76b43b62224174bdc29379013524bb983372c5ecbd210a89240f55bd</t>
  </si>
  <si>
    <t>https://arbiscan.io/tx/0x713ff65ce171eb47b2c41ddadb556638d1e3de10c000722f0c645666beb936b0</t>
  </si>
  <si>
    <t>https://arbiscan.io/tx/0xdc1e028d7cf75729573bd503e49cd7378ddd507283fbb0b3d0225b68a157e68d</t>
  </si>
  <si>
    <t>https://arbiscan.io//tx/0x5693e53a7939c9eb6b2a0c5e0a7392ed2a15c5663b2b503d82c1ca02d13c4d2a</t>
  </si>
  <si>
    <t>https://arbiscan.io/tx/0x065b850d20c6d7ac1d3c4cb0a1cff88d526183f6bf6a0950988f8d12bdf564e1</t>
  </si>
  <si>
    <t>SOLD 2 STEPEPE</t>
  </si>
  <si>
    <t>https://mempool.space/tx/1ce8a0f0c8b7458e2e32b1f920c46ec4ebb4722fe090f4e53b37f98f845d48dd</t>
  </si>
  <si>
    <t>https://polygonscan.com/tx/0xb22be55ec52b70745dcc4f100ede163eadf71c6d0a42d32c05863f81348ba28f</t>
  </si>
  <si>
    <t>https://polygonscan.com/tx/0x06bdb38f3cbc96e3e4d464f97dcc52ef277cf496fe54de2b27506e3204076777</t>
  </si>
  <si>
    <t>https://polygonscan.com/tx/0x8b11a9ed506d78c181b008cb36b05efa74715b4cf2674c73be5c257e6a1eb487</t>
  </si>
  <si>
    <t>https://polygonscan.com/tx/0x34f389ceaa3157ddb16f40cab495ddc133992af11ec77b43e6b629da7c4b972b</t>
  </si>
  <si>
    <t>https://etherscan.io/tx/0x4eb7691ea2203c241593d2314eb63403140ca450a25cfca50aa33e31ff5ebe12</t>
  </si>
  <si>
    <t>https://basescan.org/tx/0x27fe7a14b40e429b48f871e9fa8e9b4821f419534af86dcefee5f14cf9482088</t>
  </si>
  <si>
    <t>https://polygonscan.com/tx/0xeb2bc547d9e8752c7c06aaacfef90e414751dba4c08554183948175e629ff785</t>
  </si>
  <si>
    <t>https://polygonscan.com/tx/0x3593f233b8712262d2494ff27c1378206d0030e3cc3df538ac96215720c05265</t>
  </si>
  <si>
    <t>https://bscscan.com/tx/0xe908d0a4d3c912f5df8e2bfbab4ffb773ea72a25acb1efb7e912be14c8a344bd</t>
  </si>
  <si>
    <t>https://bscscan.com/tx/0xaf55975290c4d93f474da370bca1662fade5fb06e431a8d82f673540dce0a9c4</t>
  </si>
  <si>
    <t>https://www.mintscan.io/osmosis/tx/A3FBF5B7DD07F6777C800F9506A5A283817395DF28BB8B2D476C91391CBCDC01</t>
  </si>
  <si>
    <t>Dumpati 2 STEPEPEN</t>
  </si>
  <si>
    <t>https://mempool.space/tx/fb94e30e2f9272976f0144567ad560f01859fcf64a9236b8a3d66824507b7480</t>
  </si>
  <si>
    <t>https://polygonscan.com/tx/0x909d9016afbd1407b45c01e4978a98a068b91aaf6e5b5146a7e4eeeb858c7422</t>
  </si>
  <si>
    <t>https://polygonscan.com/tx/0x71acab4048b6f8ce5ca09b680fd564cf65f5ea1011a6f4e9d2ab46925cc9fc4a</t>
  </si>
  <si>
    <t>https://polygonscan.com/tx/0x8c381be2ad407d56971575721db88ba9f3593d74955e3421aadd7bc271e23373</t>
  </si>
  <si>
    <t>Sold DEC Runes Airdrop</t>
  </si>
  <si>
    <t>https://mempool.space/tx/4a0f357e0f74a2301a220ab28cc4fce22f22d2a503673ad851e1f3f8c1fca91d</t>
  </si>
  <si>
    <t>Sold Rune Airdrop</t>
  </si>
  <si>
    <t>https://mempool.space/tx/18761024ee5a34c34ba1125877676ffda7320556e4030e540b3f9b4b67bf1fe7</t>
  </si>
  <si>
    <t>Spesi in BNB per fees Binance</t>
  </si>
  <si>
    <t>https://www.blockchain.com/explorer/addresses/btc/bc1qed3ya5cm74nt8xyhct4r4295perqxc38knecls</t>
  </si>
  <si>
    <t>https://polygonscan.com/tx/0x3f87a8d96e280f41b5d4fdaf28e5a777bf07fee669cb3af90aa63bb8c4e3b404</t>
  </si>
  <si>
    <t>https://polygonscan.com/tx/0xf8cfb4c3dbc18c93f2dd0c288f32199c3204e8e7d60a947aed48e4e748b28ff3</t>
  </si>
  <si>
    <t>https://polygonscan.com/tx/0x00009905fc136a19a3ab3fbe2f5cc198db4bab180478d8f8ebe8fd00cdede4d4</t>
  </si>
  <si>
    <t>https://polygonscan.com/tx/0x9c0ae7bb1de8af4eeb7c668a63eabddcc6ba52c1ae60d21b1ff01f3a556745c9</t>
  </si>
  <si>
    <t>https://polygonscan.com/tx/0x6911266a8d4d41c9b7f618c255afa1410a27a8ef435b9d2c64b5cd1e62fc6069</t>
  </si>
  <si>
    <t>Vendita AIRDROP RSIC Runes</t>
  </si>
  <si>
    <t>TX multiple tra 21/05 e 22/05</t>
  </si>
  <si>
    <t>https://mempool.space/address/34CUhAPEop6sHMFqNfkrMi3sapmMcD3Frc</t>
  </si>
  <si>
    <t>https://www.blockchain.com/en/explorer/transactions/btc/80b44e0a1ca177ef12fb360fa4bcbd8914f5f917c692a21f83ac2b34a6ad2639</t>
  </si>
  <si>
    <t>https://mempool.space/tx/b510109b604a5d50dd44448dae74454c7a8d6f9595555e10601536117bbdf2af</t>
  </si>
  <si>
    <t>https://arbiscan.io/tx/0x510355a6feb13d5defa1495732c735dd41a61bf534802ceb33945f9838d002ee</t>
  </si>
  <si>
    <t>https://arbiscan.io/tx/0x4a34d7914431480ff3369d0d53b9598190be1a5ba4c8c7dad8731f9be9066d18</t>
  </si>
  <si>
    <t>Ennesimo airdrop spiccioli Rune</t>
  </si>
  <si>
    <t>https://mempool.space/tx/bcb31afa926c072a79560b77164b82e4ab4e78e00b78c1dab48a38b2189dd863</t>
  </si>
  <si>
    <t>https://arbiscan.io/tx/0x6604a39a31b03f31784ccdaca9e94fe1b16922a8cc27ec8855eaacf9861cf620</t>
  </si>
  <si>
    <t>https://arbiscan.io/tx/0xc8d8960301a99ce8cabf0b6d5693c1b62458a1007c8e17842ef7d9a7a36be9e4</t>
  </si>
  <si>
    <t>INTEREST</t>
  </si>
  <si>
    <t>https://dym.fyi/tx/7176A6F47167A68BA2E6FECAAC428D03A415CFFFBDA3C9BB4FFCB814CDDCF79C</t>
  </si>
  <si>
    <t>https://era.zksync.network/tx/0x997e2f6126a5d88c3acfab089423dc35de6aedd8c7254465823d6d8f1d715f03</t>
  </si>
  <si>
    <t>https://etherscan.io/tx/0xe24356d6373d907f4e4727e1240859f34a55c6e78ef37ced5aa68705f9de6d7c</t>
  </si>
  <si>
    <t>eETH poi weETH su symbiotic da interfaccia EtherFi</t>
  </si>
  <si>
    <t>https://etherscan.io/tx/0x9566bcaeae6f6406768fc45872f661b27f617fa66aa1663a7e1003aa8fe4fafd</t>
  </si>
  <si>
    <t>https://etherscan.io/tx/0x41b6b586526d17dbac33bda7a8a612f5896be37387b2ddecc82ef4f418033779</t>
  </si>
  <si>
    <t>https://mempool.space/tx/cb9d500399a787698f56912a95b65dcbf188f46fd89cc032264b62a41c6851ea</t>
  </si>
  <si>
    <t>https://polygonscan.com/tx/0x717071777b191e75a0ca4c4d687f7aa8669f20b393dc1944fcdf9c1e5612b868</t>
  </si>
  <si>
    <t>https://polygonscan.com/tx/0x6eb33b2d114fb14cb87d69c54f78b6c716a91d87b4562457ecb58e99fb07bdd7</t>
  </si>
  <si>
    <t>https://etherscan.io/tx/0xea98b4fad3b58135902aafaeb2c2ff8ae172f2df377ba2575af98e64db4a455a</t>
  </si>
  <si>
    <t>https://etherscan.io/tx/0x4487004a0ec92c0a00c1092c76b9be0e030fde41a362db02da748354dbe0242f</t>
  </si>
  <si>
    <t>https://arbiscan.io/tx/0xc948084a8dd3e293da8779a68334062ff10623e908a31ccd970de2a60e1f99df</t>
  </si>
  <si>
    <t>https://polygonscan.com/tx/0x19ff74cb9a0470f17ba16a885fc84368aca0f9d65f7d7e1462395b3ea67fd2cb</t>
  </si>
  <si>
    <t>https://polygonscan.com/tx/0x47ab805910a253b32d8bdf48d54854f613b150e37d90e88f453f8b46911800ee</t>
  </si>
  <si>
    <t>https://etherscan.io/tx/0xa337d7217639704d89e4c3bdc82e358e89e94c95361dcf371807fd664ab050fd</t>
  </si>
  <si>
    <t>https://etherscan.io/tx/0xf5fd49a3d33a02a66e99ebef15415c18ce51fdd8467a7d417520ee57ce555415</t>
  </si>
  <si>
    <t>https://etherscan.io/tx/0x453cadfc3efa194d8374cd2236f92755daa23d54439774c47f505e541131c093</t>
  </si>
  <si>
    <t>https://arbiscan.io/tx/0xdbcedf7f29695ac6b4473f24a4863e34e8264cddb3c106b8a466055a521d1e4e</t>
  </si>
  <si>
    <t>pendle-&gt;weETH-&gt;1inch-&gt;ETH</t>
  </si>
  <si>
    <t>https://arbiscan.io/tx/0xab4a22fd65c4400d39a52c0494b3fc96a052946d1c33b6d56386b6c9705186b2</t>
  </si>
  <si>
    <t>https://arbiscan.io/tx/0x760d5019000aaeef2268529cb5157edc07f420df136df389ba109136889553be</t>
  </si>
  <si>
    <t>https://arbiscan.io/tx/0x49327657174ed22d3648d9ff6b2c3466c38b6baca1f3ef5b5b98f2df09613cba</t>
  </si>
  <si>
    <t>https://etherscan.io/tx/0x0ff345f747ea9b0101b26ce10e931b1ef0f43127798f88d9ec4358d40fdf7332</t>
  </si>
  <si>
    <t>https://etherscan.io/tx/0xa4631fa4cc48765de6891ca97c6d8a9f008b19e8a8ef385a7002c05d87f902f8</t>
  </si>
  <si>
    <t>https://etherscan.io/tx/0xc8ad4ac8a84b01f32c80911c396e168aa5cc902183bfaa32ff7b2d72a9323c11</t>
  </si>
  <si>
    <t>https://etherscan.io/tx/0x5510a11dfcaee8e6ea9b856e4d71cca26f01b00a797369f44c62c4ebb4a677f7</t>
  </si>
  <si>
    <t>https://arbiscan.io/tx/0x7cf3df2c6311584f4158d7b002073483f4f071bf14fd0f5398622086f40e9764</t>
  </si>
  <si>
    <t>https://etherscan.io/tx/0x950851dae8c975525e68ffbaa44f974e5656ecabfbcd307f4478e7f79341d1d8</t>
  </si>
  <si>
    <t>https://etherscan.io/tx/0x2e020d6be891b25dfc9c8429bb228089a4fb456a33aedf516a3aba67b646124d</t>
  </si>
  <si>
    <t>https://polygonscan.com/tx/0x1994a378d92776f3a079e2c8f6a8051e5914d87108f969034e0a82f5b0d65191</t>
  </si>
  <si>
    <t>https://polygonscan.com/tx/0x4d23c7a23cdb8c6f615269b5c20747c90d78e07bfb11f13a3b9a6709f6f8c696</t>
  </si>
  <si>
    <t>https://polygonscan.com/tx/0x60537dbeea405d5ecc4500fd28ce672f4f47f7cf27db4903d14514b17e056b78</t>
  </si>
  <si>
    <t>https://polygonscan.com/tx/0xa268c56c08c47e7435cafb76e28b83e00a1d61f6bb7356e2ff6dbe3cbd01d230</t>
  </si>
  <si>
    <t>https://polygonscan.com/tx/0x2388424aeb39c46e70a69cb133568389f80c719e61afa022da6d1be27bddbc1f</t>
  </si>
  <si>
    <t>https://etherscan.io/tx/0x0bd30f311909f087e258e5d5cfae67b8684203dee89cfe05d88a2dd890f1447a</t>
  </si>
  <si>
    <t>https://polygonscan.com/tx/0x1de6915788c8d91b6d53491f52b5e7ae58ce5277425b30f4b73f1bb71dad11ee</t>
  </si>
  <si>
    <t>https://polygonscan.com/tx/0x9baa5415321096baf0d953d4765a69ed8089cb76883b5a33419147cd34f73941</t>
  </si>
  <si>
    <t>https://arbiscan.io/tx/0xf6ba4cfcd1bbfb5403241292e61ef20a4f20d7a9cd90c4cb42773795a439a8c9</t>
  </si>
  <si>
    <t>https://arbiscan.io/tx/0xb6d63a603efc61cc1b9ce336e22cbc6c8f24aa494103ee7c275b25d4c9091b81</t>
  </si>
  <si>
    <t>https://arbiscan.io/tx/0x9c7aa8dc5d5db13e1e398de302b8b5ef6a9d75f8094b6e6745b0b38330c9382e</t>
  </si>
  <si>
    <t>https://arbiscan.io/tx/0x8c14fcbc76c3074a3478c7635dd4541e82d876ddb52d794345f119cbe3fdc2ba</t>
  </si>
  <si>
    <t>https://arbiscan.io/tx/0xad7bbda5368f2bf273478d740654235b7f4866458f0e089dae14f0d3e7bef459</t>
  </si>
  <si>
    <t xml:space="preserve">&lt;- swaps </t>
  </si>
  <si>
    <t>liquidity -&gt;</t>
  </si>
  <si>
    <t>https://arbiscan.io/tx/0x73d7c5446d2311405d33bf6e05d6388e3221b8e6a9a759c9fe76f6b7b0cc6fbe</t>
  </si>
  <si>
    <t>https://arbiscan.io/tx/0x77d87f6ade22a835c660ec37de06a597478686baf4c57e98cca367eae6e2abc3</t>
  </si>
  <si>
    <t>ETHFI season 2</t>
  </si>
  <si>
    <t>https://etherscan.io/tx/0x9c7dd2b46066920681c7420982270239a94aa193a3d65f62ab0f5b14b5d2eeae</t>
  </si>
  <si>
    <t>Interessi pool mim/usdc</t>
  </si>
  <si>
    <t>https://arbiscan.io/tx/0x317d68be15ca992f0a20d26beb74d9457d09fa3b8e868114dca58c876c467438</t>
  </si>
  <si>
    <t>https://arbiscan.io/tx/0x27c21cf4ca2e398d21a320ff064a4f7a67ad6d87f292399a482dc44fa4e12455</t>
  </si>
  <si>
    <t>Estratti da pool mim usdc</t>
  </si>
  <si>
    <t>https://arbiscan.io/tx/0xe87d8e0cc99cbf0f5de04ec0bb8996b06060ba68a8d42cf511eb090c6df6fcfd</t>
  </si>
  <si>
    <t>https://arbiscan.io/tx/0x402cbaaee054e9353c4971ec09585a89e87009a31b32f2e1ad58a1048c86d144</t>
  </si>
  <si>
    <t>https://arbiscan.io/tx/0x1b7a38a75d3488ea2601032d306b9e53e49d43c39abb107860ca42a71d6ac3d8</t>
  </si>
  <si>
    <t>https://etherscan.io/tx/0xf7a2f62792fb035711353244204c476fb7f9e9b40fb6fbc6e5e9857c0a42c09b</t>
  </si>
  <si>
    <t>https://etherscan.io/tx/0xaba8ea594e3794877b3ceeea04e2a27345e808f9a57912975aa6067529bf4116</t>
  </si>
  <si>
    <t>Aidrop di Rune (LIQUIDIUM)</t>
  </si>
  <si>
    <t>https://mempool.space/tx/f0c8ac346f55d1034b1c72921e1fbae620446eb8c11a1ada352e8a075159d5c4</t>
  </si>
  <si>
    <t>https://magiceden.io/runes/LIQUIDIUM%E2%80%A2TOKEN</t>
  </si>
  <si>
    <t>https://arbiscan.io/tx/0x1374dbc7587d0a643824aed43e0d58d3bc80c0745466024e5dbc880ad0a2ba81</t>
  </si>
  <si>
    <t>https://arbiscan.io/tx/0xefcce7e359e6956f2da41acb97df036863014bfdbbf0bb2b0a96fd63027579b7</t>
  </si>
  <si>
    <t>https://arbiscan.io/tx/0x67d91490661a78ba0a63443ca14229363b8f76d46f26825573d8b8dfb25533da</t>
  </si>
  <si>
    <t>https://arbiscan.io/tx/0x3dc90c3a7963ca2e5c32cecb44eac20773d6bb20aaa9f6d67fb6d6d5bb206411</t>
  </si>
  <si>
    <t>https://etherscan.io/tx/0x1fda623afab7f5cf866e74815d9183dcf2677137bf21f2de844ce7675e1b99ea</t>
  </si>
  <si>
    <t>https://etherscan.io/tx/0x86cd88be7f4d057d8c6930ef4fe4c4d8b518781638640cbef65f4144b0d93c0d</t>
  </si>
  <si>
    <t>https://etherscan.io/tx/0x2eb5fe97dd460abc5736d9c83cae1ff23c0267e01be6cee986bdfb07c9adc921</t>
  </si>
  <si>
    <t>https://arbiscan.io/tx/0x136da5c02b3fc3fe12c0edb5f43b3dd0465ac4aa2e7a187e3a7cc946b139af18</t>
  </si>
  <si>
    <t>https://arbiscan.io/tx/0x560f29087c18ec7926b1cc68e904d3508051e83e9054a11c4d853ebbeb07b613</t>
  </si>
  <si>
    <t>https://arbiscan.io/tx/0xece2c56f4eca5c058c225069b5171d8b7526abeee0ef10a325b8a658619b324a</t>
  </si>
  <si>
    <t>https://arbiscan.io/tx/0x83d92c63452f2a14702191757443ff8c646dbdfcaa1c01c522ff4fa316abee91</t>
  </si>
  <si>
    <t>https://arbiscan.io/tx/0x2c0be9f1438721bc29098551c1688b3687a9ea29476e0b5e7035140791b5da28</t>
  </si>
  <si>
    <t>https://arbiscan.io/tx/0xd84d48410322249e65052862a992ac2e091e337cb1d12d09921f2fe0ac0e1971</t>
  </si>
  <si>
    <t>https://arbiscan.io/tx/0x48f1d72267c1fb0c336c3c25a0beb41295aa8410a616d63123cdba256eff3fe7</t>
  </si>
  <si>
    <t>https://arbiscan.io/tx/0xbe8531e1a9ff6b4b45c2050a9a68d0dc83ea67a343e0ad959fc38c02f9bab15c</t>
  </si>
  <si>
    <t>https://arbiscan.io/tx/0x099c354e5e0f4ac66637f2d3d0ba6ccbc5162f263bd865447e75bd7e5b79a44f</t>
  </si>
  <si>
    <t>https://arbiscan.io/tx/0x9931fe47e034064ef71dbe882690d4ec5f56d712797362facd2b3ce784cc6a78</t>
  </si>
  <si>
    <t>https://arbiscan.io/tx/0xd4c5d8348fd53418de2f03b61a47023b2dce2da5fa3e50ec1600af74188ada31</t>
  </si>
  <si>
    <t>https://arbiscan.io/tx/0x9a4ef6938536773af83668a8afaa9ac6340949bba28866409ac8e63c04630ecf</t>
  </si>
  <si>
    <t>https://arbiscan.io/tx/0xf00bae30ad2aa0878cb2564b8e6b09a1415945991d9ff75df7b14d1967bbdcc8</t>
  </si>
  <si>
    <t>https://etherscan.io/tx/0x5dac939bd910ab46417145e7d3a68214d0b16d15fb48127b8b655607990fc18f</t>
  </si>
  <si>
    <t>https://etherscan.io/tx/0xb8744195d9edb79eacb53f9ec4fd2760978e6125a89032cd2c2dc9fa860a6a5f</t>
  </si>
  <si>
    <t>https://etherscan.io/tx/0x7769e929aec220c0004e5b8975954e56b582230af9b96fa7d92d840838318cf7</t>
  </si>
  <si>
    <t>https://etherscan.io/tx/0x4dd208e5107c80e1dcf52432950fe0cccc17cba676fdda31b03397861967e93a</t>
  </si>
  <si>
    <t>https://etherscan.io/tx/0xe9142d18723b8e362db9f52a07fa6369050d08465c670ea125e3c1767721c9fc</t>
  </si>
  <si>
    <t>Airdrop S2 ethfi</t>
  </si>
  <si>
    <t>https://etherscan.io/tx/0x5c9392d888caf796ec5398f662d47895a6373991a58913b0266b7ce39f4ecddd</t>
  </si>
  <si>
    <t>https://etherscan.io/tx/0x4b630c0ba1b6c6c1206b0008e0128ee78ee486eee9b45a64feae9b00e975225e</t>
  </si>
  <si>
    <t>https://etherscan.io/tx/0x1a5a19777986eb076cdc47d3131f3021e831174fcfa801eba89cb213b0e839f2</t>
  </si>
  <si>
    <t>https://mempool.space/tx/f7301635dcf02ecbf41b0809fef9c2a2209c064b20f2f6fed958929109e1c724</t>
  </si>
  <si>
    <t>https://etherscan.io/tx/0x83209f9e2677db6c9b0ea2fcc4fc4dc44a4093174b22141eef72cfc05456004f</t>
  </si>
  <si>
    <t>https://etherscan.io/tx/0x9f9153a9a76a7d3c235de96de17ea493187a20296f0faf985a981f17864f8ec0</t>
  </si>
  <si>
    <t>https://optimistic.etherscan.io/tx/0xc21887214abe368cc573379e2d7d91307cb7860b79d6a6abaf2103c0f060ca2e</t>
  </si>
  <si>
    <t>Etherfi Liquid</t>
  </si>
  <si>
    <t>https://etherscan.io/tx/0x1e16fb787edbfe313a6c8855ae5512a1c024fff69dccde8e532887db5b951689</t>
  </si>
  <si>
    <t>https://etherscan.io/tx/0x95848f5542794b124f592c9f2d1ea1383ea6339f5083d68fbd87f2c54a50a231</t>
  </si>
  <si>
    <t>https://etherscan.io/tx/0x6e3dcc4a036ea02ef8d598ecf054cabe75a55f59e5b65a7815f027acd5942784</t>
  </si>
  <si>
    <t>https://etherscan.io/tx/0xab3651ec87cb74052eefd51c374e9d5aacdc132e56dca4880d6e8fe2d7dfa5f1</t>
  </si>
  <si>
    <t>In tutto ora ci sono 98.79 ETH</t>
  </si>
  <si>
    <t>https://optimistic.etherscan.io/tx/0x61158447c4f9a9e6fa80a6dd451365da00f77d5b81d86f038c96557fd234149a</t>
  </si>
  <si>
    <t>Equity</t>
  </si>
  <si>
    <t>reference</t>
  </si>
  <si>
    <t>Hyperliquid</t>
  </si>
  <si>
    <t>slug</t>
  </si>
  <si>
    <t>hyperliquid</t>
  </si>
  <si>
    <t>unit value</t>
  </si>
  <si>
    <t>curr value</t>
  </si>
  <si>
    <t>quantity</t>
  </si>
  <si>
    <t>curr qty</t>
  </si>
  <si>
    <t>bag invested</t>
  </si>
  <si>
    <t>total bag value</t>
  </si>
  <si>
    <t>bag value</t>
  </si>
  <si>
    <t>total cost</t>
  </si>
  <si>
    <t>mean cost</t>
  </si>
  <si>
    <t>network</t>
  </si>
  <si>
    <t>ARB</t>
  </si>
  <si>
    <t>Solana</t>
  </si>
  <si>
    <t>coin</t>
  </si>
  <si>
    <t>Date</t>
  </si>
  <si>
    <t>Notes</t>
  </si>
  <si>
    <t>TX</t>
  </si>
  <si>
    <t>Cost</t>
  </si>
  <si>
    <t>Quantity</t>
  </si>
  <si>
    <t>3900$ a settembre 2024</t>
  </si>
  <si>
    <t>xFees</t>
  </si>
  <si>
    <t>$ME airdrop</t>
  </si>
  <si>
    <t>$PENGU airdrop</t>
  </si>
  <si>
    <t>Node Monkes</t>
  </si>
  <si>
    <t>CMC Data</t>
  </si>
  <si>
    <t>Last update</t>
  </si>
  <si>
    <t>Coin slug</t>
  </si>
  <si>
    <t>Value</t>
  </si>
  <si>
    <t>bitcoin</t>
  </si>
  <si>
    <t>ethereum</t>
  </si>
  <si>
    <t>Stake carta</t>
  </si>
  <si>
    <t>Scade</t>
  </si>
  <si>
    <t>20/5/2022</t>
  </si>
  <si>
    <t>Defi swap</t>
  </si>
  <si>
    <t>(scad 13/9/2024)</t>
  </si>
  <si>
    <t>cronos</t>
  </si>
  <si>
    <t>Eran 35000€</t>
  </si>
  <si>
    <t>cro stava a</t>
  </si>
  <si>
    <t>oggi cro sta a</t>
  </si>
  <si>
    <t>cosmos</t>
  </si>
  <si>
    <t>https://crypto.com/boost</t>
  </si>
  <si>
    <t>realio-network</t>
  </si>
  <si>
    <t>arbitrum</t>
  </si>
  <si>
    <t>kujira</t>
  </si>
  <si>
    <t>dymension</t>
  </si>
  <si>
    <t>dydx-chain</t>
  </si>
  <si>
    <t>pyth-network</t>
  </si>
  <si>
    <t>pendle</t>
  </si>
  <si>
    <t>pepe</t>
  </si>
  <si>
    <t>BadMad Robots</t>
  </si>
  <si>
    <t>drunk-robots</t>
  </si>
  <si>
    <t>akash-network</t>
  </si>
  <si>
    <t>mochi-the-catcoin-new</t>
  </si>
  <si>
    <t>sei</t>
  </si>
  <si>
    <t>aave</t>
  </si>
  <si>
    <t>nakamoto-games</t>
  </si>
  <si>
    <t>pixels</t>
  </si>
  <si>
    <t>synthetix</t>
  </si>
  <si>
    <t>aerodrome-finance</t>
  </si>
  <si>
    <t>dogwifhat</t>
  </si>
  <si>
    <t>floki-inu</t>
  </si>
  <si>
    <t>frax-share</t>
  </si>
  <si>
    <t>zksync</t>
  </si>
  <si>
    <t>uniswap</t>
  </si>
  <si>
    <t>rune</t>
  </si>
  <si>
    <t>solana</t>
  </si>
  <si>
    <t>gmx</t>
  </si>
  <si>
    <t>Plan DCA</t>
  </si>
  <si>
    <t>Buy ETH</t>
  </si>
  <si>
    <t>Frequenza gg</t>
  </si>
  <si>
    <t>Studio allocazioni a piramide</t>
  </si>
  <si>
    <t>Periodo start</t>
  </si>
  <si>
    <t>Periodo end</t>
  </si>
  <si>
    <t>Tolleranza Frontrun livello</t>
  </si>
  <si>
    <t>Days</t>
  </si>
  <si>
    <t>Livello</t>
  </si>
  <si>
    <t>Livello reale</t>
  </si>
  <si>
    <t>Probabilità che accada</t>
  </si>
  <si>
    <t>Allocazione</t>
  </si>
  <si>
    <t>BTC To Buy</t>
  </si>
  <si>
    <t>N.Acquisti</t>
  </si>
  <si>
    <t>Size acquisto</t>
  </si>
  <si>
    <t>Arrivati qui faremo tanti acquisti spalmati su analisi momentanea locale, cmq 5BTC</t>
  </si>
  <si>
    <t>ZKSync</t>
  </si>
  <si>
    <t>All --&gt;</t>
  </si>
  <si>
    <t>Asset</t>
  </si>
  <si>
    <t>importi</t>
  </si>
  <si>
    <t>% target allocazione</t>
  </si>
  <si>
    <t>delta %</t>
  </si>
  <si>
    <t>Allocazione finale (coin)</t>
  </si>
  <si>
    <t>Allocazione finale</t>
  </si>
  <si>
    <t>Delta $ +acq -ven</t>
  </si>
  <si>
    <t>In coin</t>
  </si>
  <si>
    <t>FIAT</t>
  </si>
  <si>
    <t>Calcoli Loan AAVE</t>
  </si>
  <si>
    <t>Giorni dentro</t>
  </si>
  <si>
    <t>Supply APR</t>
  </si>
  <si>
    <t>LTV</t>
  </si>
  <si>
    <t>Gain -&gt;</t>
  </si>
  <si>
    <t>Borrow USDT</t>
  </si>
  <si>
    <t>Borrow APY</t>
  </si>
  <si>
    <t>Cost -&gt;</t>
  </si>
  <si>
    <t>Supply Abracadabra</t>
  </si>
  <si>
    <t>Net</t>
  </si>
  <si>
    <t>Net % -&gt;</t>
  </si>
  <si>
    <t>APR % -&gt;</t>
  </si>
  <si>
    <t>CT Importato</t>
  </si>
  <si>
    <t>n.</t>
  </si>
  <si>
    <t>Nome</t>
  </si>
  <si>
    <t xml:space="preserve">last </t>
  </si>
  <si>
    <t>Maker fee</t>
  </si>
  <si>
    <t>Taker fee</t>
  </si>
  <si>
    <t xml:space="preserve">Bonifico </t>
  </si>
  <si>
    <t>Nota</t>
  </si>
  <si>
    <t>TapBit</t>
  </si>
  <si>
    <t>super764@proton.me</t>
  </si>
  <si>
    <t>r.%8</t>
  </si>
  <si>
    <t>referral gianluca-golf di chartmate</t>
  </si>
  <si>
    <t>BitGet</t>
  </si>
  <si>
    <t>Alberto.pizzinelli@gmail.com</t>
  </si>
  <si>
    <t>fund: r..%8</t>
  </si>
  <si>
    <t>con referral Giacomo</t>
  </si>
  <si>
    <t>Tealstreet API BYBIT KEY</t>
  </si>
  <si>
    <t>Md...4!</t>
  </si>
  <si>
    <t>Bybit</t>
  </si>
  <si>
    <t>come Unibo 231</t>
  </si>
  <si>
    <t>promozione 0% su maker</t>
  </si>
  <si>
    <t>Kraken</t>
  </si>
  <si>
    <t>M.......!</t>
  </si>
  <si>
    <t>Super764</t>
  </si>
  <si>
    <t>Binance</t>
  </si>
  <si>
    <t>alberto.pizzinelli@gmail.com</t>
  </si>
  <si>
    <t>Padre = apizzo@tiscali.it</t>
  </si>
  <si>
    <t>pas %8</t>
  </si>
  <si>
    <t>usando BNB x fee (25%)</t>
  </si>
  <si>
    <t>coinbase + pro</t>
  </si>
  <si>
    <t>non supportato</t>
  </si>
  <si>
    <t>KuCoin.com</t>
  </si>
  <si>
    <t>2FA authy</t>
  </si>
  <si>
    <t>Crypto.com\exchange</t>
  </si>
  <si>
    <t>r4..%8</t>
  </si>
  <si>
    <t>FTX</t>
  </si>
  <si>
    <t>r4..%8hw1</t>
  </si>
  <si>
    <t>Primexbt</t>
  </si>
  <si>
    <t>pass std di google</t>
  </si>
  <si>
    <t>Hotbit</t>
  </si>
  <si>
    <t>r4 standard</t>
  </si>
  <si>
    <t>https://pro.coinbase.com/</t>
  </si>
  <si>
    <t>Poloniex</t>
  </si>
  <si>
    <t>r4TDD</t>
  </si>
  <si>
    <t>16-Digit Key: URJS37VL66HIQ7DT</t>
  </si>
  <si>
    <t>qtrade.io</t>
  </si>
  <si>
    <t>mdlunga</t>
  </si>
  <si>
    <t>2fa</t>
  </si>
  <si>
    <t>BitMax (ascendex)</t>
  </si>
  <si>
    <t>rischiesta lista mov 2017 2018</t>
  </si>
  <si>
    <t>Bittrex</t>
  </si>
  <si>
    <t>s%8</t>
  </si>
  <si>
    <t>richiesto sblocco account</t>
  </si>
  <si>
    <t>IDEX su bsc</t>
  </si>
  <si>
    <t>okx</t>
  </si>
  <si>
    <t>s78</t>
  </si>
  <si>
    <t>Huobi.pro</t>
  </si>
  <si>
    <t>fund password: md...</t>
  </si>
  <si>
    <t xml:space="preserve">Livecoin </t>
  </si>
  <si>
    <t>super764</t>
  </si>
  <si>
    <t>r4…hW11</t>
  </si>
  <si>
    <t>HitBTC</t>
  </si>
  <si>
    <t>Cryptopia</t>
  </si>
  <si>
    <t>pin: 42211</t>
  </si>
  <si>
    <t>CoinExchange.io</t>
  </si>
  <si>
    <t>https://tidex.com</t>
  </si>
  <si>
    <t>Tradesatoshi</t>
  </si>
  <si>
    <t>Cryptobridge - super764 - DEX - Key su _crypto-dbox</t>
  </si>
  <si>
    <t>mercatox</t>
  </si>
  <si>
    <t>https://mercatox.com</t>
  </si>
  <si>
    <t>%8</t>
  </si>
  <si>
    <t>gate.io</t>
  </si>
  <si>
    <t>super76@protonmail.com</t>
  </si>
  <si>
    <t>pwfondi:</t>
  </si>
  <si>
    <t>mdzcr5</t>
  </si>
  <si>
    <t>MEXC</t>
  </si>
  <si>
    <t>Md..!</t>
  </si>
  <si>
    <t>HALVINGS ICOS</t>
  </si>
  <si>
    <t>Note 2</t>
  </si>
  <si>
    <t>25/09/2021</t>
  </si>
  <si>
    <t>venduti ce ne sono un po' ancora al 06/12/2023 eran 2 dolalri</t>
  </si>
  <si>
    <t>#45 the-winky</t>
  </si>
  <si>
    <t>https://bscscan.com/tx/0x054ed22823c06da7ca671743535da274babafa63fef721cc3fc280f4a419345e</t>
  </si>
  <si>
    <t>https://twitter.com/thewinkies1</t>
  </si>
  <si>
    <t>Private 0: $0,0047</t>
  </si>
  <si>
    <t>Lock-Up: 3 month cliff and 12 months vesting (8,33%/month)</t>
  </si>
  <si>
    <t>@PeppeStark</t>
  </si>
  <si>
    <t>18 apr presi 100$</t>
  </si>
  <si>
    <t>04/05 presi 95$</t>
  </si>
  <si>
    <t>28/09/2021</t>
  </si>
  <si>
    <t>fail</t>
  </si>
  <si>
    <t>#46 shoefy</t>
  </si>
  <si>
    <t>https://bscscan.com/tx/0x633a756933498c3547dc40be74bd3f16e75617dfe0e177720e11ca7b46e1e564</t>
  </si>
  <si>
    <t>https://docsend.com/view/s/3y24gmfcbcdnvmmg</t>
  </si>
  <si>
    <t>Private 2: $0,25
Lock-Up: 10% TGE - 3hr after Dex listing, linearly over 6 months ( 15%)</t>
  </si>
  <si>
    <t>FAIL</t>
  </si>
  <si>
    <t>30/09/2021</t>
  </si>
  <si>
    <t>seccati</t>
  </si>
  <si>
    <t>#47 starchi</t>
  </si>
  <si>
    <t>https://bscscan.com/tx/0x61d7db66059bfd0554fe0df9e8b8e3bddd7a84ed0f89ca9622d3a89669169af9</t>
  </si>
  <si>
    <t>listing 2 mesi, rilascio settimanale o 2 settimane</t>
  </si>
  <si>
    <t>$ELIXIR</t>
  </si>
  <si>
    <t>Investiti</t>
  </si>
  <si>
    <t>Tokenz</t>
  </si>
  <si>
    <t>Cliff</t>
  </si>
  <si>
    <t>Price now</t>
  </si>
  <si>
    <t>Total bag (12 mesi)</t>
  </si>
  <si>
    <t>Quotazione 05/12/2023 - cliff 05/02/2023</t>
  </si>
  <si>
    <t>#50 5ire</t>
  </si>
  <si>
    <t>https://bscscan.com/tx/0xfd0b4ef5e2b628d5ad98c029986c4b3d05e59120fad36bec3b14f4b6b62a1644</t>
  </si>
  <si>
    <t>Private 3: $0.20408 (poi 0,07$)
Lock-Up: 0.5% per day For 14 days -- 2 month Cliff -- 12 mont Daily linear release</t>
  </si>
  <si>
    <t>Quindi</t>
  </si>
  <si>
    <t>20/10/2021</t>
  </si>
  <si>
    <t>#60 sports Icon LEONCINI</t>
  </si>
  <si>
    <t>seed 0,65$ 10% subito poi sblocco in 14 mesi</t>
  </si>
  <si>
    <t>Dumpati il 10% a 426$</t>
  </si>
  <si>
    <t>24/10/2021</t>
  </si>
  <si>
    <t>Non ancora fuori</t>
  </si>
  <si>
    <t>#64 Animalia</t>
  </si>
  <si>
    <t>https://bscscan.com/tx/0x6ff7d93bb953640e94d88fd31b2694d4c018545c19175dfd9c855632c56e9540</t>
  </si>
  <si>
    <t>0,8$</t>
  </si>
  <si>
    <t>Lock-Up: 20% release at TGE, then linear vesting over the next 12 months</t>
  </si>
  <si>
    <t>Eran 1000 poi 700 sono state rifondate</t>
  </si>
  <si>
    <t>https://www.coingecko.com/it/monete/visiongame</t>
  </si>
  <si>
    <t>#69 Visiongame</t>
  </si>
  <si>
    <t>https://bscscan.com/tx/0xe63b1234f13113350ae0f30bfa6f0ecb465f352dc36366d4163bef2257cc9775</t>
  </si>
  <si>
    <t>TOKENS SU SOLANA</t>
  </si>
  <si>
    <t>Mix of Strategic &amp; Private</t>
  </si>
  <si>
    <t>Strategic: $0.015</t>
  </si>
  <si>
    <t>Lock-Up: 1 week cliff - 10% monthly</t>
  </si>
  <si>
    <t>Private: $0.02</t>
  </si>
  <si>
    <t>Lock-Up: 8% TGE- Vesting for 8 month - Monthly release</t>
  </si>
  <si>
    <t>DA REFUND di #54 matterless</t>
  </si>
  <si>
    <t>distribuiti il 22/4/2022 il 3%</t>
  </si>
  <si>
    <t>seguire</t>
  </si>
  <si>
    <t>BONIFICI DA E VERSO</t>
  </si>
  <si>
    <t>Totale FIAT vs Crypto</t>
  </si>
  <si>
    <t>Estratto verificato</t>
  </si>
  <si>
    <t>Data Operazione</t>
  </si>
  <si>
    <t>Val BTC $</t>
  </si>
  <si>
    <t>Val BTC EUR</t>
  </si>
  <si>
    <t>Bonifici Out</t>
  </si>
  <si>
    <t>Bonifici In</t>
  </si>
  <si>
    <t>Sum € Uscite</t>
  </si>
  <si>
    <t>btc acquistati</t>
  </si>
  <si>
    <t>Sum btc acquistati</t>
  </si>
  <si>
    <t>Prezzo carico bag</t>
  </si>
  <si>
    <t>Prezzo medio di carico</t>
  </si>
  <si>
    <t>Descrizione</t>
  </si>
  <si>
    <t>Descrizione Completa</t>
  </si>
  <si>
    <t>1</t>
  </si>
  <si>
    <t>05-09-2017</t>
  </si>
  <si>
    <t>Bonifico SEPA Estero</t>
  </si>
  <si>
    <t>Ben: AS LHV PANK Ins: 05/09/2017 11:52:38 Da: INTERNET Iban: EE957700771001355096 TransID: 1709051262227610480320023900IT Cau: CBAEURNPHGZWRZ</t>
  </si>
  <si>
    <t>07-09-2017</t>
  </si>
  <si>
    <t>Ben: AS LHV PANK Ins: 07/09/2017 12:27:32 Da: INTERNET Iban: EE957700771001355096 TransID: 1709071262955303480320023900IT Cau: CBAEURNPHGZWRZ</t>
  </si>
  <si>
    <t>18-09-2017</t>
  </si>
  <si>
    <t>Ben: AS LHV PANK Ins: 18/09/2017 15:29:55 Da: INTERNET Iban: EE957700771001355096 TransID: 1709161265934212480320023900IT Cau: CBAEURNPHGZWRZ</t>
  </si>
  <si>
    <t>09-10-2017</t>
  </si>
  <si>
    <t>Ben: AS LHV PANK Ins: 09/10/2017 10:47:55 Da: INTERNET Iban: EE957700771001355096 TransID: 1710071273164455480320023900IT Cau: CBAEURNPHGZWRZ</t>
  </si>
  <si>
    <t>12-10-2017</t>
  </si>
  <si>
    <t>Ben: AS LHV PANK Ins: 12/10/2017 14:23:00 Da: INTERNET Iban: EE957700771001355096 TransID: 1710111274662767480320023900IT Cau: CBAEURNPHGZWRZ</t>
  </si>
  <si>
    <t>26-10-2017</t>
  </si>
  <si>
    <t>Ben: AS LHV PANK Ins: 26/10/2017 16:52:46 Da: INTERNET Iban: EE957700771001355096 TransID: 1710251279348781480320023900IT Cau: CBAEURNPHGZWRZ</t>
  </si>
  <si>
    <t>13-11-2017</t>
  </si>
  <si>
    <t>Ben: AS LHV PANK Ins: 13/11/2017 08:20:57 Da: INTERNET Iban: EE957700771001355096 TransID: 1711111284802087480320023900IT Cau: CBAEURNPHGZWRZ</t>
  </si>
  <si>
    <t>06-12-2017</t>
  </si>
  <si>
    <t>Ben: AS LHV PANK Ins: 06/12/2017 15:09:18 Da: INTERNET Iban: EE957700771001355096 TransID: 1712051293346086480320023900IT Cau: CBAEURNPHGZWRZ</t>
  </si>
  <si>
    <t>07-02-2018</t>
  </si>
  <si>
    <t>Ben: AS LHV PANK Ins: 07/02/2018 14:13:34 Da: INTERNET Iban: EE957700771001355096 TransID: 1802061315410682480320023900IT Cau: CBAEURNPHGZWRZ</t>
  </si>
  <si>
    <t>20-03-2018</t>
  </si>
  <si>
    <t>Ord: Coinbase UK, Ltd Ben: Alberto Pizzinelli Dt-ord: 20/03/2018 Banca Ord: AS LHV PANK Info-Cli: TUCAK279</t>
  </si>
  <si>
    <t>16-05-2019</t>
  </si>
  <si>
    <t>Ben: CB PAYMENTS, LTD Ins: 16/05/2019 23:30:35 Da: INTERNET Iban: EE297700771001961370 TransID: 1905151488114553480320023900IT Cau: CBAEURNPHGZWRZ</t>
  </si>
  <si>
    <t>09-07-2019</t>
  </si>
  <si>
    <t>Ben: CB PAYMENTS, LTD Ins: 09/07/2019 20:01:35 Da: INTERNET Iban: EE297700771001961370 TransID: 1907081510840089480320023900IT Cau: CBAEURNPHGZWRZ</t>
  </si>
  <si>
    <t>07-11-2019</t>
  </si>
  <si>
    <t>Ben: CB PAYMENTS, LTD Ins: 07/11/2019 16:53:36 Da: INTERNET Iban: EE297700771001961370 TransID: 1911061561853724480320023900IT Cau: CBAEURNPHGZWRZ</t>
  </si>
  <si>
    <t>12-03-2020</t>
  </si>
  <si>
    <t>Ben: CB PAYMENTS, LTD Ins: 12/03/2020 13:08:05 Da: INTERNET Iban: EE297700771001961370 TransID: 2003121618645665480320023900IT Cau: CBAEURNPHGZWRZ</t>
  </si>
  <si>
    <t>16-06-2020</t>
  </si>
  <si>
    <t>crypto.com</t>
  </si>
  <si>
    <t>Qui acquistati circa 1000€ di BTC e 2250 CRO in stake x la carta</t>
  </si>
  <si>
    <t>E' 1100</t>
  </si>
  <si>
    <t>14-07-2020</t>
  </si>
  <si>
    <t>x BTC</t>
  </si>
  <si>
    <t>carta</t>
  </si>
  <si>
    <t>07-08-2020</t>
  </si>
  <si>
    <t>comprato 1eth con carta di credito</t>
  </si>
  <si>
    <t>10-08-2020</t>
  </si>
  <si>
    <t>comprati 19382 vet su crypto.com</t>
  </si>
  <si>
    <t>01-09-2020</t>
  </si>
  <si>
    <t>comprati 2.6 eth su crypto.com</t>
  </si>
  <si>
    <t>01-10-2020</t>
  </si>
  <si>
    <t>Ben: CB PAYMENTS, LTD Ins: 01/10/2020 20:00:49 Da: INTERNET Iban: EE297700771001961370 TransID: 2009301697692065480320023900IT Cau: CBAEURNPHGZWRZ</t>
  </si>
  <si>
    <t>02-11-2020</t>
  </si>
  <si>
    <t>Ben: CB PAYMENTS, LTD Ins: 02/11/2020 14:31:34 Da: INTERNET Iban: EE297700771001961370 TransID: 2011021712301043480320023900IT Cau: CBAEURNPHGZWRZ</t>
  </si>
  <si>
    <t>21-12-2020</t>
  </si>
  <si>
    <t>Ben: COINBASE IRELAND LTD Ins: 21/12/2020 18:20:40 Da: INTERNET Iban: EE477700771003914626 TransID: 2012181733419137480320023900IT Cau: CBAEURNPHGZWRZEXC</t>
  </si>
  <si>
    <t>sono stati convertiti 1079,81 CRO in 192,02 EURO che poi sono stati usati per acquistare un monitor su amazon con la carta di credito CRO</t>
  </si>
  <si>
    <t>Pagato con CRO l'ingresso alla blockchain week di roma del 18 nov 2021</t>
  </si>
  <si>
    <t>Calcolo costo acquisto per uscita del 2018</t>
  </si>
  <si>
    <t>Entrate</t>
  </si>
  <si>
    <t>Uscite</t>
  </si>
  <si>
    <t>Prezzo di carico bag singole</t>
  </si>
  <si>
    <t>**parziale</t>
  </si>
  <si>
    <t>Somma</t>
  </si>
  <si>
    <t>PMC:</t>
  </si>
  <si>
    <t>Rimangono fuori</t>
  </si>
  <si>
    <t>da prendere dalla bag dei 10k</t>
  </si>
  <si>
    <t>CASHOUTS</t>
  </si>
  <si>
    <t>20/03/2018</t>
  </si>
  <si>
    <t>Fineco</t>
  </si>
  <si>
    <t>25/05/2022</t>
  </si>
  <si>
    <t>Plan DCA 2024</t>
  </si>
  <si>
    <t>23/03/2023</t>
  </si>
  <si>
    <t>Mediolanum</t>
  </si>
  <si>
    <t>Quindi il piano è</t>
  </si>
  <si>
    <t>Simulazione situazione 10/10/2024</t>
  </si>
  <si>
    <t>hai 10k al mese da mettere in cripto</t>
  </si>
  <si>
    <t>Ingressi</t>
  </si>
  <si>
    <t>Investibile</t>
  </si>
  <si>
    <t>Capaccioli</t>
  </si>
  <si>
    <t>Conto Bancario</t>
  </si>
  <si>
    <t>NEW CASHINS</t>
  </si>
  <si>
    <t>Fondo cassa</t>
  </si>
  <si>
    <t>22/08/2023</t>
  </si>
  <si>
    <t>Bitget</t>
  </si>
  <si>
    <t>24/08/2023</t>
  </si>
  <si>
    <t>Tasse 2024</t>
  </si>
  <si>
    <t>28/08/2023</t>
  </si>
  <si>
    <t>Sipendi - spese</t>
  </si>
  <si>
    <t>30/08/2023</t>
  </si>
  <si>
    <t>Da ottobre 2023 a luglio 2024</t>
  </si>
  <si>
    <t>14/12/2023</t>
  </si>
  <si>
    <t>Stornato</t>
  </si>
  <si>
    <t>Cercare di comprare a int regolari / su dip/crolli</t>
  </si>
  <si>
    <t>Data inizio PAC</t>
  </si>
  <si>
    <t>19/12/2023</t>
  </si>
  <si>
    <t xml:space="preserve">Data fine PAC </t>
  </si>
  <si>
    <t>Accumulo di</t>
  </si>
  <si>
    <t>20/12/2023</t>
  </si>
  <si>
    <t>mesi</t>
  </si>
  <si>
    <t>Acquisti con carta di credito Fineco</t>
  </si>
  <si>
    <t>Acquisti con carta di credito Fineco (movimento da 1100€ ma 200€ per ricarica carta di credito)</t>
  </si>
  <si>
    <t>TOTALI</t>
  </si>
  <si>
    <t>CASHOUT</t>
  </si>
  <si>
    <t>Costo</t>
  </si>
  <si>
    <t>Storia portafoglio totale</t>
  </si>
  <si>
    <t>###.</t>
  </si>
  <si>
    <t>€</t>
  </si>
  <si>
    <t>FIAT IN</t>
  </si>
  <si>
    <t>Liquidi €</t>
  </si>
  <si>
    <t>Profitto €</t>
  </si>
  <si>
    <t>Prof  €%</t>
  </si>
  <si>
    <t>BTC detenuti</t>
  </si>
  <si>
    <t>BTC$ detenuti</t>
  </si>
  <si>
    <t>BTC%</t>
  </si>
  <si>
    <t>ETH Detenuti</t>
  </si>
  <si>
    <t>ETH$ detenuti</t>
  </si>
  <si>
    <t>ETH%</t>
  </si>
  <si>
    <t>BTC Price</t>
  </si>
  <si>
    <t>ETH Price</t>
  </si>
  <si>
    <t>Luna</t>
  </si>
  <si>
    <t>Saldo Attuale</t>
  </si>
  <si>
    <t>To do:</t>
  </si>
  <si>
    <t>Saldi iniziali 1/6/2023</t>
  </si>
  <si>
    <t>Macro per copia USD/Eur - Funzion per data corrente - Tipo TX, scambio, transfer, fee</t>
  </si>
  <si>
    <t>wallets</t>
  </si>
  <si>
    <t>ETH Ledger</t>
  </si>
  <si>
    <t>ETH BitGet</t>
  </si>
  <si>
    <t>BITGET
BTC</t>
  </si>
  <si>
    <t>BITGET USDT</t>
  </si>
  <si>
    <t>BITGET EURO</t>
  </si>
  <si>
    <t>wBTC (Arb1)</t>
  </si>
  <si>
    <t>USDC Arb1</t>
  </si>
  <si>
    <t>USDT Arb1</t>
  </si>
  <si>
    <t>ARB on Arb1</t>
  </si>
  <si>
    <t>Luna2</t>
  </si>
  <si>
    <t>Link Eventuale</t>
  </si>
  <si>
    <t>Curve swap</t>
  </si>
  <si>
    <t>https://arbiscan.io/tx/0x32b541e4edbe53cb4e0217c32ada66093caeab15b3c014b4465a5cec78b837a5</t>
  </si>
  <si>
    <t>Per trading Fees su bitget</t>
  </si>
  <si>
    <t>Acquisto BTC su BitGet</t>
  </si>
  <si>
    <t>https://arbiscan.io/tx/0xb1d671e9df3a86474a3fc50caea841c93e2f69bdaa666828a92579728cc2441c</t>
  </si>
  <si>
    <t>https://arbiscan.io/tx/0xdab255defd94ec1bf25961c9ecad78cd2c581c85acb3c45bb762fef48a5ca60d</t>
  </si>
  <si>
    <t>https://arbiscan.io/tx/0x1b41fdc6ec9e277a759e9c4e0fc7d79de83243de192c19add655374935df306b</t>
  </si>
  <si>
    <t>Interessi Tenderfi USDC Vault</t>
  </si>
  <si>
    <t>https://arbiscan.io/tx/0xc6b7eec78c5aacbb51dafd0779ebaaaba7bbbeddebd4a566cbed63b33d6c316e</t>
  </si>
  <si>
    <t>BitGet Trading fees</t>
  </si>
  <si>
    <t>13/07/2023 17:46</t>
  </si>
  <si>
    <t>Airdrop Luna 2 (dovuto alla perdita del peg UST 2022) mandati a BitGet</t>
  </si>
  <si>
    <t>https://finder.terra.money/mainnet/tx/D7385320E3A2DABFD438D42CDBBAED53B3C19D60D070EC8A6D68F5947364C556</t>
  </si>
  <si>
    <t>Sold Luna2 x USDT</t>
  </si>
  <si>
    <t>Traferiti da ZKSync in perdita per giochini su protocollo (perdite Velocore pool) erano 1.9419 il 27/2 perdita di 0.7212 ETH</t>
  </si>
  <si>
    <t>https://explorer.zksync.io/tx/0x31b11382ec189416bcb14dc02d787e75d89594bb533ff4b662b1e16ff1f03cd5</t>
  </si>
  <si>
    <t>Acquisto BTC su BitGet Pair ETH/BTC</t>
  </si>
  <si>
    <t>https://etherscan.io/tx/0xa80dcd765cb6e95db45e7c3e55c5b1cea737aa4d1033ecc76410937edf43d3a1</t>
  </si>
  <si>
    <t>16/07/2023</t>
  </si>
  <si>
    <t>Spese complessive di ritiro dagli exchange</t>
  </si>
  <si>
    <t>24/07/2023</t>
  </si>
  <si>
    <t>Su CDC, convertiti 601$ derivanti dal cashback in BTC</t>
  </si>
  <si>
    <t>23/08/2023</t>
  </si>
  <si>
    <t>Da bonifico SEPA Fineco caricati</t>
  </si>
  <si>
    <t>BGB acquistati da BitGet per le trading fees</t>
  </si>
  <si>
    <t>26/08/2023</t>
  </si>
  <si>
    <t>31/08/2023</t>
  </si>
  <si>
    <t>da BitGet su EUR</t>
  </si>
  <si>
    <t>Da bonifico SEPA Fineco caricati il 30/08/2023</t>
  </si>
  <si>
    <t>ritirati arb da tenderfi (interessi)</t>
  </si>
  <si>
    <r>
      <rPr>
        <sz val="8.0"/>
      </rPr>
      <t xml:space="preserve">swap su uniswap </t>
    </r>
    <r>
      <rPr>
        <color rgb="FF1155CC"/>
        <sz val="8.0"/>
        <u/>
      </rPr>
      <t>https://arbiscan.io/tx/0xec2a6970b6b636ab92f7cfe685ff4c6cda371cda6c28ada31a75cd47b257cd46</t>
    </r>
  </si>
  <si>
    <t>Da bonifico SEPA Fineco caricati il 05/09/2023</t>
  </si>
  <si>
    <t>17/10/2023</t>
  </si>
  <si>
    <t>Mandati su ETH e poi convertiti in BTC su Binance:  https://etherscan.io/tx/0x3928226497c25cd96a47eb2399997995ffa5fd5012bbf55cf788fc145b3d7d0e
https://etherscan.io/tx/0x8974ef2a2289fed73c0f6f397b37445e4d98a194348a90becc4f1fd645dcfa56</t>
  </si>
  <si>
    <t>Da sepa Mediolanum</t>
  </si>
  <si>
    <t>Acquistati su bitget su euro</t>
  </si>
  <si>
    <t>Commissione ritiro da bitget</t>
  </si>
  <si>
    <t>31/10/2023</t>
  </si>
  <si>
    <t>Da bonifico SEPA Fineco caricati il 12/12/2023</t>
  </si>
  <si>
    <t>Storno bonifico fallito for Bitget Risk</t>
  </si>
  <si>
    <t>Da bonifico SEPA Fineco</t>
  </si>
  <si>
    <t>21/12/2023</t>
  </si>
  <si>
    <t>22/12/2023</t>
  </si>
  <si>
    <t>Da ledger a Bitget per vip1</t>
  </si>
  <si>
    <t>https://blockstream.info/tx/cfc446b227dc2309bc0d2c8cf812cfc46b2700a77cab0250b167094da7a5bc14</t>
  </si>
  <si>
    <t>Send Fees</t>
  </si>
  <si>
    <t>23/12/2023</t>
  </si>
  <si>
    <t>26/12/2023</t>
  </si>
  <si>
    <t>28/12/2023</t>
  </si>
  <si>
    <t>Swap BTC/ETH su Bitget</t>
  </si>
  <si>
    <t>29/12/2023</t>
  </si>
  <si>
    <t>-Ξ15.3421</t>
  </si>
  <si>
    <t>0.004 fees su bitget per prelievo fine anno</t>
  </si>
  <si>
    <t>0.00055 fees per prelievo fine anno</t>
  </si>
  <si>
    <t>Saldi iniziali</t>
  </si>
  <si>
    <t>Saldi iniziali 1/1/2023</t>
  </si>
  <si>
    <t>USDC ETH</t>
  </si>
  <si>
    <t>USD Kraken</t>
  </si>
  <si>
    <t>EUR Binance</t>
  </si>
  <si>
    <t>BITGET USDC</t>
  </si>
  <si>
    <t>USDC Binance</t>
  </si>
  <si>
    <t>USDT Binance</t>
  </si>
  <si>
    <t>USDC Arbitrum</t>
  </si>
  <si>
    <t>USDT Arbitrum</t>
  </si>
  <si>
    <t>ARBIPAD</t>
  </si>
  <si>
    <t>qui è stato prosciugato l'account di moon, sono stati rastrellati BUSD da binance vendendo shitcoins, tutto perchè al momento della perdita del peg di usdc non avevo ETH per le fees</t>
  </si>
  <si>
    <t>BLACK BOX</t>
  </si>
  <si>
    <t>inoltre c'era la attività di trading su bybit</t>
  </si>
  <si>
    <t>Entrato in loan AAVE con 455587</t>
  </si>
  <si>
    <t>https://etherscan.io/tx/0xc0a5a2ac37f3034cad1aa43ed3d7a311a76ce1ad42825dd5e762753de1320dee</t>
  </si>
  <si>
    <t>Estratto il loan da AAVE con 456816 quindi diff di 1229</t>
  </si>
  <si>
    <t>https://etherscan.io/tx/0x6c9a775d18984efbf2dac2bc43a58c3045325a1f4cf9bae2e6e9560165b83149</t>
  </si>
  <si>
    <t>Swappati su Uniswap 228408 USDC per 144.9432 ETH</t>
  </si>
  <si>
    <t>https://etherscan.io/tx/0x13b11621609950ea721242e73c9ef8a6b7a94c2c890bd26b11db8adaabaa2c6f</t>
  </si>
  <si>
    <t>Swappati su Uniswap 114995.20 USDC per 74.1948 ETH</t>
  </si>
  <si>
    <t>https://etherscan.io/tx/0x24969fb3157fcae88bd2d4050579e8cef8439f795cbb8e71f02e4df561a0df1e</t>
  </si>
  <si>
    <t>114208.137516 USDC sono stati trasferiti su kraken e son stati venduti per 111130,42 USD</t>
  </si>
  <si>
    <t>https://etherscan.io/tx/0x81eda885b9945985e242a3efe53e87e0d67c52558e328eed3b277257c7b4e179</t>
  </si>
  <si>
    <t>Inviati a Binance 152ETH per vendita VS EUR poi Venduti 101 ETH per EUR</t>
  </si>
  <si>
    <t>https://etherscan.io/tx/0x15bbb5f993950db0cf1848578afdfccced9c3d101957b47a2c861a382f605551</t>
  </si>
  <si>
    <t>Acquistati 0.574 BNB per fees</t>
  </si>
  <si>
    <t>Venduti i restanti 51 eth per eur su binance</t>
  </si>
  <si>
    <t>Fees Binance (avevo finito i BNB)</t>
  </si>
  <si>
    <t>Inviati a Binance 11.65 ETH per vendita su USDT</t>
  </si>
  <si>
    <t>https://etherscan.io/tx/0x1eac0d02e400465a6704bc2dff85285993636df92ae6069e9e5b91a85c49ac64</t>
  </si>
  <si>
    <t>Acquistati BNB per pagare le fees su Binance</t>
  </si>
  <si>
    <t>Invio a binance 38.7 ETH per scarico</t>
  </si>
  <si>
    <t>https://etherscan.io/tx/0x2fd783040b7cfacc41a350169655d8dd37340791eb4b1afeea7302dfd942f129</t>
  </si>
  <si>
    <t>Spostati 0.1 ETH su Arbitrum per airdrop</t>
  </si>
  <si>
    <t>https://etherscan.io/tx/0x01da789dc55300110b95a6b6d35e6c4079dc31cd3e53ae41e6becb4cd54f4c18</t>
  </si>
  <si>
    <t>Bonifico VS Fineco Bank</t>
  </si>
  <si>
    <t>16.8 eth verso binance per dump dei 2 mov successiivi</t>
  </si>
  <si>
    <t>https://etherscan.io/tx/0xfa78bfb29e4a1435f8cecfd61a2b1fb4face5e1e70eef74caf20bc59eea8c181</t>
  </si>
  <si>
    <t>Verso Banca MEdiolanum</t>
  </si>
  <si>
    <t>su binance per pareggiare fondi pool</t>
  </si>
  <si>
    <t>da binance su self custodial USDT</t>
  </si>
  <si>
    <t>https://etherscan.io/tx/0x4c572504e1c24617ca69cd5326c21cfeb311a7a5369c0002dc7937dfd910c853</t>
  </si>
  <si>
    <t>da binance su self custodial USDC</t>
  </si>
  <si>
    <t>https://etherscan.io/tx/0xbd2a02e4483430245c3643ae4096874c87338b4fda642fe1d645a38c1cb4f6d4</t>
  </si>
  <si>
    <t>allow USDT on solidly</t>
  </si>
  <si>
    <t>https://etherscan.io/tx/0xf51504f4ac50455296b74e9ba4dcc302f1d264fb20c11bf2368cb1db0d894088</t>
  </si>
  <si>
    <t>allow USDC on solidly</t>
  </si>
  <si>
    <t>https://etherscan.io/tx/0xd3008d9ac0501a941d21ef09af08f22eaca67c962e137dac2e067488dc11d453</t>
  </si>
  <si>
    <t xml:space="preserve">add liquidity 55600 USDC/ 44400 USDT on solidly </t>
  </si>
  <si>
    <t>https://etherscan.io/tx/0x9a3ef07199236c9d88bb25da7ff4145872b722886f67f868b6a508c1ba768c46</t>
  </si>
  <si>
    <t>apporve Beefy for solidly LPs</t>
  </si>
  <si>
    <t>stake solidly LP's on Beefy</t>
  </si>
  <si>
    <t>Arbitrum airdrop sold su binance 4250 arb per 5562 USDT</t>
  </si>
  <si>
    <t>Venduti EUR per USDT che andranno su Polygon x strategia defi</t>
  </si>
  <si>
    <t>Venduti USD per USDT su Kraken che andranno su Polygon x strategia defi (109.88 fees)</t>
  </si>
  <si>
    <t xml:space="preserve">Swappato USDC-&gt;RTH  su MM per 1.Airdrop - 2.bridge su ZKSynch Era (per aidrop) </t>
  </si>
  <si>
    <t>https://etherscan.io/tx/0x98177dcf7e0d9a92af9a58688056ffd7271f8587d8e64412e8f9a0ed7b52b567</t>
  </si>
  <si>
    <t>Bridge di 2 eth su ZKSynch Era</t>
  </si>
  <si>
    <t>https://etherscan.io/tx/0x8cc7588100d4b19b0bc90b849c588460640eeed14ca9e7ff70e9dd6e514cdd6e</t>
  </si>
  <si>
    <t>Poi qua varie strategi per airdrop... pool eth-VC etc etc</t>
  </si>
  <si>
    <t>27/03</t>
  </si>
  <si>
    <t>Dopo amm su Synchswap riswappato eth su SpaceSwap per 3359 USDC (-fees per pools)</t>
  </si>
  <si>
    <t>Sono stati mandati 52698.24 USDC + 47510.86 USDT tolti dalla strategia solidly-beefy da rete ETH su Polygon tramite binance per pool su Curve/Polygon-Beefy</t>
  </si>
  <si>
    <t>https://etherscan.io/tx/0xfab28408de043777e38aff0a81b07e90031c696568d12b4629b0bcba09b3bb0f</t>
  </si>
  <si>
    <t>https://etherscan.io/tx/0xc7fe53262dc3de9fe87b5c576860903079b32e9a7d1c1e7349dc71b8681f3cec</t>
  </si>
  <si>
    <t>Messe in farm 100k su curve/beefy</t>
  </si>
  <si>
    <t>https://polygonscan.com/tx/0x6fc596a95a3bd6ad1a725867b163a2811bf0ddd0df3813c6ebacc625256454a6</t>
  </si>
  <si>
    <t>am3CRV LP</t>
  </si>
  <si>
    <t>Buy BTC su Binance</t>
  </si>
  <si>
    <t>BTC Kraken x $</t>
  </si>
  <si>
    <t>ARB Kraken x $</t>
  </si>
  <si>
    <t>BTC Kraken x $ (eran rimasti 20$ convertiti in btc prima di uscire da kraken)</t>
  </si>
  <si>
    <t>withdrawal fees kraken/binance</t>
  </si>
  <si>
    <t>Tolti 100k USDC da farm su Poligon per non resa</t>
  </si>
  <si>
    <t>https://polygonscan.com/tx/0x05704b7d533b84bcbf3122701d43fb3287948457e78b148468c24bc203345b49</t>
  </si>
  <si>
    <t>70k USDC mandati da Binance ad ETH - di cui 50k sono finiti su arbitrum</t>
  </si>
  <si>
    <t>https://etherscan.io/tx/0xa385cb39483df418e0116db27552ecd264d1546d8bbe4c8cc8db0d5207f07c73</t>
  </si>
  <si>
    <t xml:space="preserve">messi 7811 ARB su tenderfi </t>
  </si>
  <si>
    <t>https://arbiscan.io/tx/0x36ff81bcc3b8d00441c18f2b0e9499b2a9d6c56a237709a48725ff54f2fd22a9</t>
  </si>
  <si>
    <t>ARB su Binance buy</t>
  </si>
  <si>
    <t>50kUSDC su ARB + supplied to TenderFi (2nd TX)</t>
  </si>
  <si>
    <t>https://etherscan.io/tx/0xda418632d633f78e63578aa10d514f0111de38b88b87c57a585c6acd23a6d40d</t>
  </si>
  <si>
    <t>https://arbiscan.io/tx/0xc09ddc3bda3fc23b23657f767e55187b77f0ea663721098184e891bfcbfc76fd</t>
  </si>
  <si>
    <t>BTC Buy su Binance</t>
  </si>
  <si>
    <t>Rimandati 20k su Binance per Buy vari</t>
  </si>
  <si>
    <t>https://etherscan.io/tx/0x668888329d14a267c93b5ff27bf1bafce251782282a9601a8437a59e30d7204a</t>
  </si>
  <si>
    <t>x BNB per fees</t>
  </si>
  <si>
    <t>USDC-&gt; USDT per trade</t>
  </si>
  <si>
    <t>13/05/2023</t>
  </si>
  <si>
    <t>ARBI per launchpad su Arbitrum / ZKSynch</t>
  </si>
  <si>
    <t>https://arbiscan.io/tx/0xf86a93e63750d67bf4203b02152f84c711232edeb184142c17606c8498a9fdd1</t>
  </si>
  <si>
    <t>https://arbiscan.io/tx/0x9d26778e33fa564f457872c77f3d2700d1483f5aadfdf494cde102850dab3e93</t>
  </si>
  <si>
    <t>14/05/2023</t>
  </si>
  <si>
    <t>https://arbiscan.io/tx/0x4338262e976755421686a9b2324e99ebd6f85152d0f80494e5db48865080cb24</t>
  </si>
  <si>
    <t>https://arbiscan.io/tx/0x2c2b488f8fb4fd964e155bf9e047166ad4329e401210d933fe85d0bf4b19906e</t>
  </si>
  <si>
    <t>https://arbiscan.io/tx/0xa25b9433961b649a5be4d5fd6cf4842445138a815e6d60139cf9bd0f7fb5fd37</t>
  </si>
  <si>
    <t>BTC per USDC su Binance</t>
  </si>
  <si>
    <t>USDC x ARB su Binance</t>
  </si>
  <si>
    <t>Acquistati BTC su BitGet</t>
  </si>
  <si>
    <t>Ritirato dal pool USDC.e/USDT pool Arbitrum su Curve</t>
  </si>
  <si>
    <t>https://arbiscan.io/tx/0x54f1351bb91342b51a40d94497d898a1eb74e362eeb15d174e9353f51ab302e5</t>
  </si>
  <si>
    <t>Swappato USDC.e in USDT</t>
  </si>
  <si>
    <t>https://arbiscan.io/tx/0x47991717c3aeaf7f72164f6fb6dd0a943e182136bc7811b8a479d1fe9b34db4f</t>
  </si>
  <si>
    <t>Mandati su BitGet 13k USDT</t>
  </si>
  <si>
    <t>https://arbiscan.io/tx/0xa42eeaa94c76ff74a7d408f45c2a32639c1be3a2f30a9b478367cdd95907d092</t>
  </si>
  <si>
    <r>
      <rPr>
        <sz val="8.0"/>
      </rPr>
      <t xml:space="preserve">Scammato $ARBI, venduto il residuo su </t>
    </r>
    <r>
      <rPr>
        <color rgb="FF1155CC"/>
        <sz val="8.0"/>
        <u/>
      </rPr>
      <t>Gate.io</t>
    </r>
    <r>
      <rPr>
        <sz val="8.0"/>
      </rPr>
      <t xml:space="preserve"> perso 2513.55$</t>
    </r>
  </si>
  <si>
    <t>Acquistati BTC su BitGet x USDT</t>
  </si>
  <si>
    <t>Swappato USDT in USDC.e  poi messi in vault su tenderfi</t>
  </si>
  <si>
    <t>https://arbiscan.io/tx/0xb9014ded444cb19352a9a5aae712d50374448526b377d46a152667d58314726a</t>
  </si>
  <si>
    <t>usdt su binance</t>
  </si>
  <si>
    <t>https://arbiscan.io/tx/0x6d422d075f1d661b227c9202d4cddffa376ee50d58b20498b6c17d20d4e34a19</t>
  </si>
  <si>
    <t>BTC/USD su binance</t>
  </si>
  <si>
    <t>Interessi di Tenderfi</t>
  </si>
  <si>
    <t>Domina</t>
  </si>
  <si>
    <t>Elenco asset</t>
  </si>
  <si>
    <t>Trasferiti</t>
  </si>
  <si>
    <t>Quote</t>
  </si>
  <si>
    <t>Attuale</t>
  </si>
  <si>
    <t>Tot EUR</t>
  </si>
  <si>
    <t>Dove sono</t>
  </si>
  <si>
    <t>PKG Brevimano</t>
  </si>
  <si>
    <t>BRODETTO</t>
  </si>
  <si>
    <t>PKG ACCORDO</t>
  </si>
  <si>
    <t>ACCORDO UAE</t>
  </si>
  <si>
    <t>ACCORDO FIN RUSSIA</t>
  </si>
  <si>
    <t>?</t>
  </si>
  <si>
    <t>EX DVH --&gt; PWW</t>
  </si>
  <si>
    <t>Fiduciaria</t>
  </si>
  <si>
    <t>ARB Spot</t>
  </si>
  <si>
    <t>Carico medio</t>
  </si>
  <si>
    <t>Now</t>
  </si>
  <si>
    <t xml:space="preserve">PnL% </t>
  </si>
  <si>
    <t>Defi</t>
  </si>
  <si>
    <t>su tenderfi</t>
  </si>
  <si>
    <t>Ricevuto</t>
  </si>
  <si>
    <t>23/3/2023</t>
  </si>
  <si>
    <t>25/4/2023</t>
  </si>
  <si>
    <t>Su Kraken x$</t>
  </si>
  <si>
    <t>28/04/2023</t>
  </si>
  <si>
    <t>08/05/2023</t>
  </si>
  <si>
    <t>Su Binance x $</t>
  </si>
  <si>
    <t>21/05/2023</t>
  </si>
  <si>
    <t>07/09/2024</t>
  </si>
  <si>
    <t>https://arbiscan.io/tx/0x68d0c2f11eacf7ad1a5d46a351103df1520265aba274ac337aa1e68e8c60ca43</t>
  </si>
  <si>
    <t>arb interessi</t>
  </si>
  <si>
    <t>ritirati da tenderfi</t>
  </si>
  <si>
    <t>Costo medio della bag che poi è stata convertiti a in WBTC su Uniswap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</si>
</sst>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2">
    <numFmt numFmtId="164" formatCode="[$$]#,##0"/>
    <numFmt numFmtId="165" formatCode="[$$]#,##0.00"/>
    <numFmt numFmtId="166" formatCode="#,##0[$€]"/>
    <numFmt numFmtId="167" formatCode="[$Ξ]#,##0.0000"/>
    <numFmt numFmtId="168" formatCode="_-[$€-2]* #,##0.00_-;_-[$€-2]* \-#,##0.00_-;_-[$€-2]* &quot;-&quot;??_-;_-@"/>
    <numFmt numFmtId="169" formatCode="#,##0.000000"/>
    <numFmt numFmtId="170" formatCode="dd/mm/yy h:mm"/>
    <numFmt numFmtId="171" formatCode="[$₿]#,##0.0000"/>
    <numFmt numFmtId="172" formatCode="0.0000000000"/>
    <numFmt numFmtId="173" formatCode="[$$]#,##0.00000000"/>
    <numFmt numFmtId="174" formatCode="[$€-2]\ #,##0.00"/>
    <numFmt numFmtId="175" formatCode="dd&quot;/&quot;mm&quot;/&quot;yy&quot; &quot;h&quot;:&quot;m"/>
    <numFmt numFmtId="176" formatCode="[$$]#,##0.0000000000"/>
    <numFmt numFmtId="177" formatCode="[$€-2]\ #,##0"/>
    <numFmt numFmtId="178" formatCode="dd/mm/yyyy"/>
    <numFmt numFmtId="179" formatCode="mm/dd/yyyy"/>
    <numFmt numFmtId="180" formatCode="#,##0.0000"/>
    <numFmt numFmtId="181" formatCode="#,##0.00000"/>
    <numFmt numFmtId="182" formatCode="#,##0.000"/>
    <numFmt numFmtId="183" formatCode="[$€]#,##0.00"/>
    <numFmt numFmtId="184" formatCode="[$₿]#,##0.00000"/>
    <numFmt numFmtId="185" formatCode="0.000"/>
    <numFmt numFmtId="186" formatCode="[$₿]#,##0.00000000"/>
    <numFmt numFmtId="187" formatCode="[$$]#,##0.000"/>
    <numFmt numFmtId="188" formatCode="[$$]#,##0.00000"/>
    <numFmt numFmtId="189" formatCode="[$$]#,##0.000000000"/>
    <numFmt numFmtId="190" formatCode="[$₿]#,##0.000000"/>
    <numFmt numFmtId="191" formatCode="m/d/yyyy"/>
    <numFmt numFmtId="192" formatCode="[$$]#,##0.0000"/>
    <numFmt numFmtId="193" formatCode="[$$]#,##0.0"/>
    <numFmt numFmtId="194" formatCode="[$€-2]\ #,##0.0000"/>
    <numFmt numFmtId="195" formatCode="dd&quot;/&quot;mm&quot;/&quot;yy&quot; &quot;hh&quot;:&quot;mm"/>
    <numFmt numFmtId="196" formatCode="[$Ξ]#,##0.00000000"/>
    <numFmt numFmtId="197" formatCode="#,##0.00000000"/>
    <numFmt numFmtId="198" formatCode="[$Ξ]#,##0.00000"/>
    <numFmt numFmtId="199" formatCode="#,##0.000000000"/>
    <numFmt numFmtId="200" formatCode="m/d/yyyy h:mm:ss"/>
    <numFmt numFmtId="201" formatCode="dd/MM/yyyy H.mm.ss"/>
    <numFmt numFmtId="202" formatCode="0.0000"/>
    <numFmt numFmtId="203" formatCode="#,##0.00;(#,##0.00)"/>
    <numFmt numFmtId="204" formatCode="[$$]#,##0.0000000"/>
    <numFmt numFmtId="205" formatCode="M/d/yyyy H:mm:ss"/>
    <numFmt numFmtId="206" formatCode="&quot;$&quot;#,##0.0000"/>
    <numFmt numFmtId="207" formatCode="[$$]#,##0.000000"/>
    <numFmt numFmtId="208" formatCode="[$Ξ]#,##0.00"/>
    <numFmt numFmtId="209" formatCode="0.000000%"/>
    <numFmt numFmtId="210" formatCode="#,##0.00000[$€]"/>
    <numFmt numFmtId="211" formatCode="_-[$$-409]* #,##0.00_ ;_-[$$-409]* \-#,##0.00\ ;_-[$$-409]* &quot;-&quot;??_ ;_-@_ "/>
    <numFmt numFmtId="212" formatCode="mm/yyyy"/>
    <numFmt numFmtId="213" formatCode="m/yyyy"/>
    <numFmt numFmtId="214" formatCode="d/m/yyyy"/>
    <numFmt numFmtId="215" formatCode="d mmmm yyyy"/>
    <numFmt numFmtId="216" formatCode="dd/MM/yyyy"/>
    <numFmt numFmtId="217" formatCode="#,##0.00&quot;€&quot;"/>
    <numFmt numFmtId="218" formatCode="_-* #,##0.00\ [$€-410]_-;\-* #,##0.00\ [$€-410]_-;_-* &quot;-&quot;??\ [$€-410]_-;_-@"/>
    <numFmt numFmtId="219" formatCode="[$€]#,##0"/>
    <numFmt numFmtId="220" formatCode="&quot;$&quot;#,##0.00"/>
    <numFmt numFmtId="221" formatCode="&quot;€&quot;#,##0.00"/>
    <numFmt numFmtId="222" formatCode="_-[$€-2]* #,##0_-;_-[$€-2]* \-#,##0_-;_-[$€-2]* &quot;-&quot;??_-;_-@"/>
    <numFmt numFmtId="223" formatCode="mm/dd/yyyy h:mm"/>
    <numFmt numFmtId="224" formatCode="mm/dd/yyyy h:mm:ss"/>
    <numFmt numFmtId="225" formatCode="0.00000"/>
  </numFmts>
  <fonts count="163">
    <font>
      <sz val="10.0"/>
      <color rgb="FF000000"/>
      <name val="Verdana"/>
      <scheme val="minor"/>
    </font>
    <font>
      <color theme="1"/>
      <name val="Verdana"/>
      <scheme val="minor"/>
    </font>
    <font>
      <b/>
      <color theme="1"/>
      <name val="Montserrat"/>
    </font>
    <font>
      <sz val="9.0"/>
      <color theme="1"/>
      <name val="Montserrat"/>
    </font>
    <font>
      <u/>
      <color rgb="FF1155CC"/>
      <name val="Montserrat"/>
    </font>
    <font>
      <color theme="1"/>
      <name val="Montserrat"/>
    </font>
    <font>
      <sz val="10.0"/>
      <color theme="1"/>
      <name val="Montserrat"/>
    </font>
    <font>
      <b/>
      <sz val="10.0"/>
      <color theme="1"/>
      <name val="Montserrat"/>
    </font>
    <font>
      <sz val="8.0"/>
      <color theme="1"/>
      <name val="Verdana"/>
      <scheme val="minor"/>
    </font>
    <font>
      <u/>
      <sz val="8.0"/>
      <color rgb="FF1F95D1"/>
    </font>
    <font>
      <sz val="8.0"/>
      <color theme="1"/>
      <name val="Montserrat"/>
    </font>
    <font>
      <sz val="7.0"/>
      <color theme="1"/>
      <name val="Montserrat"/>
    </font>
    <font>
      <u/>
      <sz val="8.0"/>
      <color rgb="FF1F95D1"/>
      <name val="&quot;Google Sans Mono&quot;"/>
    </font>
    <font>
      <b/>
      <u/>
      <sz val="14.0"/>
      <color theme="1"/>
      <name val="Montserrat"/>
    </font>
    <font/>
    <font>
      <b/>
      <color rgb="FF38761D"/>
      <name val="Montserrat"/>
    </font>
    <font>
      <u/>
      <color rgb="FF1F95D1"/>
      <name val="Montserrat"/>
    </font>
    <font>
      <b/>
      <color rgb="FF1155CC"/>
      <name val="Montserrat"/>
    </font>
    <font>
      <sz val="9.0"/>
      <color rgb="FF666666"/>
      <name val="Gotham"/>
    </font>
    <font>
      <b/>
      <color theme="6"/>
      <name val="Montserrat"/>
    </font>
    <font>
      <b/>
      <color rgb="FF666666"/>
      <name val="Montserrat"/>
    </font>
    <font>
      <sz val="9.0"/>
      <color rgb="FF1F1F1F"/>
      <name val="&quot;Google Sans&quot;"/>
    </font>
    <font>
      <color rgb="FF000000"/>
      <name val="Montserrat"/>
    </font>
    <font>
      <color rgb="FF000000"/>
      <name val="Verdana"/>
      <scheme val="minor"/>
    </font>
    <font>
      <b/>
      <sz val="10.0"/>
      <color rgb="FF9900FF"/>
      <name val="Verdana"/>
      <scheme val="minor"/>
    </font>
    <font>
      <b/>
      <sz val="8.0"/>
      <color rgb="FF9900FF"/>
      <name val="Consolas"/>
    </font>
    <font>
      <b/>
      <sz val="10.0"/>
      <color rgb="FF1F1F1F"/>
      <name val="Verdana"/>
      <scheme val="minor"/>
    </font>
    <font>
      <b/>
      <sz val="8.0"/>
      <color theme="1"/>
      <name val="Consolas"/>
    </font>
    <font>
      <sz val="9.0"/>
      <color rgb="FF980000"/>
      <name val="Consolas"/>
    </font>
    <font>
      <sz val="8.0"/>
      <color rgb="FF980000"/>
      <name val="Consolas"/>
    </font>
    <font>
      <b/>
      <sz val="8.0"/>
      <color theme="1"/>
      <name val="Courier New"/>
    </font>
    <font>
      <sz val="8.0"/>
      <color rgb="FF4A86E8"/>
      <name val="Verdana"/>
      <scheme val="minor"/>
    </font>
    <font>
      <sz val="8.0"/>
      <color rgb="FF999999"/>
      <name val="Verdana"/>
      <scheme val="minor"/>
    </font>
    <font>
      <b/>
      <sz val="8.0"/>
      <color rgb="FF4A86E8"/>
      <name val="Consolas"/>
    </font>
    <font>
      <sz val="8.0"/>
      <color rgb="FF4A86E8"/>
      <name val="Consolas"/>
    </font>
    <font>
      <sz val="8.0"/>
      <color rgb="FF4A86E8"/>
      <name val="&quot;Google Sans&quot;"/>
    </font>
    <font>
      <b/>
      <sz val="8.0"/>
      <color rgb="FF4A86E8"/>
      <name val="&quot;Google Sans&quot;"/>
    </font>
    <font>
      <sz val="8.0"/>
      <color theme="1"/>
      <name val="Verdana"/>
    </font>
    <font>
      <b/>
      <sz val="8.0"/>
      <color rgb="FF4A86E8"/>
      <name val="Google Sans"/>
    </font>
    <font>
      <sz val="8.0"/>
      <color rgb="FF000000"/>
      <name val="Consolas"/>
    </font>
    <font>
      <color theme="1"/>
      <name val="Verdana"/>
    </font>
    <font>
      <b/>
      <sz val="8.0"/>
      <color rgb="FF4A86E8"/>
      <name val="Courier New"/>
    </font>
    <font>
      <sz val="8.0"/>
      <color rgb="FF999999"/>
      <name val="Consolas"/>
    </font>
    <font>
      <sz val="8.0"/>
      <color rgb="FF1F1F1F"/>
      <name val="&quot;Google Sans&quot;"/>
    </font>
    <font>
      <u/>
      <sz val="8.0"/>
      <color rgb="FF0000FF"/>
      <name val="&quot;Google Sans&quot;"/>
    </font>
    <font>
      <sz val="8.0"/>
      <color rgb="FFA61C00"/>
      <name val="Consolas"/>
    </font>
    <font>
      <sz val="8.0"/>
      <color theme="1"/>
      <name val="Consolas"/>
    </font>
    <font>
      <b/>
      <sz val="8.0"/>
      <color rgb="FFFF0000"/>
      <name val="Consolas"/>
    </font>
    <font>
      <b/>
      <sz val="8.0"/>
      <color rgb="FF000000"/>
      <name val="Consolas"/>
    </font>
    <font>
      <u/>
      <sz val="8.0"/>
      <color rgb="FF4A86E8"/>
      <name val="Consolas"/>
    </font>
    <font>
      <u/>
      <sz val="8.0"/>
      <color rgb="FF1F1F1F"/>
      <name val="Google Sans"/>
    </font>
    <font>
      <u/>
      <sz val="8.0"/>
      <color rgb="FF1F1F1F"/>
      <name val="&quot;Google Sans&quot;"/>
    </font>
    <font>
      <u/>
      <sz val="8.0"/>
      <color rgb="FF1F1F1F"/>
      <name val="&quot;Google Sans&quot;"/>
    </font>
    <font>
      <b/>
      <sz val="8.0"/>
      <color rgb="FF1F1F1F"/>
      <name val="&quot;Google Sans&quot;"/>
    </font>
    <font>
      <u/>
      <sz val="8.0"/>
      <color rgb="FF1F95D1"/>
      <name val="Verdana"/>
    </font>
    <font>
      <u/>
      <sz val="8.0"/>
      <color rgb="FF1F1F1F"/>
      <name val="Google Sans"/>
    </font>
    <font>
      <u/>
      <sz val="8.0"/>
      <color rgb="FF1F1F1F"/>
      <name val="&quot;Google Sans&quot;"/>
    </font>
    <font>
      <u/>
      <sz val="8.0"/>
      <color rgb="FF1F1F1F"/>
      <name val="&quot;Google Sans&quot;"/>
    </font>
    <font>
      <u/>
      <sz val="8.0"/>
      <color rgb="FF1F95D1"/>
      <name val="Consolas"/>
    </font>
    <font>
      <u/>
      <sz val="8.0"/>
      <color rgb="FF999999"/>
      <name val="Consolas"/>
    </font>
    <font>
      <u/>
      <sz val="8.0"/>
      <color rgb="FF980000"/>
      <name val="Consolas"/>
    </font>
    <font>
      <u/>
      <sz val="8.0"/>
      <color rgb="FF0000FF"/>
      <name val="Verdana"/>
    </font>
    <font>
      <u/>
      <sz val="8.0"/>
      <color rgb="FF0000FF"/>
      <name val="Verdana"/>
    </font>
    <font>
      <b/>
      <sz val="10.0"/>
      <color theme="1"/>
      <name val="Verdana"/>
      <scheme val="minor"/>
    </font>
    <font>
      <b/>
      <sz val="9.0"/>
      <color rgb="FF434343"/>
      <name val="Verdana"/>
      <scheme val="minor"/>
    </font>
    <font>
      <sz val="9.0"/>
      <color rgb="FF999999"/>
      <name val="Consolas"/>
    </font>
    <font>
      <sz val="9.0"/>
      <color theme="1"/>
      <name val="Consolas"/>
    </font>
    <font>
      <u/>
      <sz val="9.0"/>
      <color rgb="FF999999"/>
      <name val="Consolas"/>
    </font>
    <font>
      <u/>
      <sz val="9.0"/>
      <color rgb="FF1F1F1F"/>
      <name val="&quot;Google Sans&quot;"/>
    </font>
    <font>
      <u/>
      <sz val="8.0"/>
      <color rgb="FF1F1F1F"/>
      <name val="&quot;Google Sans&quot;"/>
    </font>
    <font>
      <u/>
      <sz val="8.0"/>
      <color rgb="FF0000FF"/>
      <name val="Verdana"/>
    </font>
    <font>
      <u/>
      <sz val="9.0"/>
      <color rgb="FF0000FF"/>
      <name val="Consolas"/>
    </font>
    <font>
      <sz val="9.0"/>
      <color rgb="FF1F1F1F"/>
      <name val="Google Sans"/>
    </font>
    <font>
      <sz val="9.0"/>
      <color theme="1"/>
      <name val="Verdana"/>
    </font>
    <font>
      <sz val="7.0"/>
      <color theme="1"/>
      <name val="Verdana"/>
      <scheme val="minor"/>
    </font>
    <font>
      <b/>
      <sz val="9.0"/>
      <color theme="1"/>
      <name val="Comfortaa"/>
    </font>
    <font>
      <b/>
      <color theme="1"/>
      <name val="Verdana"/>
      <scheme val="minor"/>
    </font>
    <font>
      <b/>
      <sz val="8.0"/>
      <color theme="1"/>
      <name val="Verdana"/>
      <scheme val="minor"/>
    </font>
    <font>
      <b/>
      <sz val="9.0"/>
      <color theme="1"/>
      <name val="Verdana"/>
      <scheme val="minor"/>
    </font>
    <font>
      <b/>
      <color theme="1"/>
      <name val="Courier New"/>
    </font>
    <font>
      <b/>
      <sz val="6.0"/>
      <color theme="1"/>
      <name val="Verdana"/>
      <scheme val="minor"/>
    </font>
    <font>
      <b/>
      <u/>
      <sz val="6.0"/>
      <color rgb="FF0000FF"/>
    </font>
    <font>
      <b/>
      <sz val="6.0"/>
      <color theme="1"/>
      <name val="Arial"/>
    </font>
    <font>
      <sz val="6.0"/>
      <color theme="1"/>
      <name val="Verdana"/>
      <scheme val="minor"/>
    </font>
    <font>
      <b/>
      <sz val="6.0"/>
      <color theme="1"/>
      <name val="Verdana"/>
    </font>
    <font>
      <b/>
      <sz val="8.0"/>
      <color theme="1"/>
      <name val="Arial"/>
    </font>
    <font>
      <b/>
      <u/>
      <sz val="8.0"/>
      <color rgb="FF0000FF"/>
      <name val="Arial"/>
    </font>
    <font>
      <b/>
      <sz val="8.0"/>
      <color theme="1"/>
      <name val="Verdana"/>
    </font>
    <font>
      <sz val="8.0"/>
      <color theme="1"/>
      <name val="Courier New"/>
    </font>
    <font>
      <sz val="8.0"/>
      <color theme="1"/>
      <name val="Arial"/>
    </font>
    <font>
      <u/>
      <sz val="8.0"/>
      <color rgb="FF1F95D1"/>
      <name val="Verdana"/>
    </font>
    <font>
      <sz val="10.0"/>
      <color theme="1"/>
      <name val="Courier New"/>
    </font>
    <font>
      <color theme="1"/>
      <name val="Arial"/>
    </font>
    <font>
      <sz val="10.0"/>
      <color theme="1"/>
      <name val="Arial"/>
    </font>
    <font>
      <u/>
      <color rgb="FF1F95D1"/>
      <name val="Verdana"/>
    </font>
    <font>
      <u/>
      <color rgb="FF1F95D1"/>
      <name val="Verdana"/>
    </font>
    <font>
      <u/>
      <color rgb="FF0000FF"/>
    </font>
    <font>
      <sz val="8.0"/>
      <color rgb="FF000000"/>
      <name val="Verdana"/>
      <scheme val="minor"/>
    </font>
    <font>
      <u/>
      <color rgb="FF0000FF"/>
    </font>
    <font>
      <sz val="8.0"/>
      <color rgb="FF1F1F1F"/>
      <name val="Verdana"/>
      <scheme val="minor"/>
    </font>
    <font>
      <sz val="11.0"/>
      <color rgb="FF1F1F1F"/>
      <name val="&quot;Google Sans&quot;"/>
    </font>
    <font>
      <u/>
      <color rgb="FF1F95D1"/>
    </font>
    <font>
      <sz val="8.0"/>
      <color rgb="FF1A2F40"/>
      <name val="Verdana"/>
    </font>
    <font>
      <color theme="1"/>
      <name val="Courier New"/>
    </font>
    <font>
      <u/>
      <sz val="8.0"/>
      <color rgb="FF0000FF"/>
    </font>
    <font>
      <sz val="9.0"/>
      <color rgb="FF1155CC"/>
      <name val="&quot;Google Sans Mono&quot;"/>
    </font>
    <font>
      <color rgb="FF000000"/>
      <name val="Arial"/>
    </font>
    <font>
      <sz val="10.0"/>
      <color rgb="FF1F1F1F"/>
      <name val="Arial"/>
    </font>
    <font>
      <u/>
      <sz val="10.0"/>
      <color rgb="FF0000FF"/>
      <name val="Courier New"/>
    </font>
    <font>
      <sz val="10.0"/>
      <color theme="1"/>
      <name val="Verdana"/>
      <scheme val="minor"/>
    </font>
    <font>
      <u/>
      <sz val="8.0"/>
      <color rgb="FF1F95D1"/>
      <name val="Verdana"/>
      <scheme val="minor"/>
    </font>
    <font>
      <u/>
      <sz val="11.0"/>
      <color rgb="FF000000"/>
      <name val="&quot;Google Sans&quot;"/>
    </font>
    <font>
      <u/>
      <color rgb="FF0000FF"/>
    </font>
    <font>
      <color rgb="FFFFFFFF"/>
      <name val="Verdana"/>
      <scheme val="minor"/>
    </font>
    <font>
      <u/>
      <color rgb="FF0000FF"/>
    </font>
    <font>
      <sz val="7.0"/>
      <color rgb="FFFFFFFF"/>
      <name val="Verdana"/>
      <scheme val="minor"/>
    </font>
    <font>
      <b/>
      <sz val="7.0"/>
      <color theme="1"/>
      <name val="Verdana"/>
      <scheme val="minor"/>
    </font>
    <font>
      <u/>
      <color rgb="FF1F95D1"/>
      <name val="Verdana"/>
      <scheme val="minor"/>
    </font>
    <font>
      <b/>
      <color rgb="FF980000"/>
      <name val="Verdana"/>
      <scheme val="minor"/>
    </font>
    <font>
      <sz val="10.0"/>
      <color rgb="FF1F1F1F"/>
      <name val="Verdana"/>
      <scheme val="minor"/>
    </font>
    <font>
      <color rgb="FF999999"/>
      <name val="Verdana"/>
      <scheme val="minor"/>
    </font>
    <font>
      <color rgb="FF85200C"/>
      <name val="Verdana"/>
      <scheme val="minor"/>
    </font>
    <font>
      <sz val="11.0"/>
      <color rgb="FF000000"/>
      <name val="Inter"/>
    </font>
    <font>
      <sz val="12.0"/>
      <color theme="0"/>
      <name val="Comfortaa"/>
    </font>
    <font>
      <sz val="12.0"/>
      <color rgb="FFFFFFFF"/>
      <name val="Comfortaa"/>
    </font>
    <font>
      <b/>
      <sz val="14.0"/>
      <color rgb="FFFFFFFF"/>
      <name val="Comfortaa"/>
    </font>
    <font>
      <b/>
      <sz val="14.0"/>
      <color theme="0"/>
      <name val="Comfortaa"/>
    </font>
    <font>
      <b/>
      <sz val="12.0"/>
      <color theme="0"/>
      <name val="Comfortaa"/>
    </font>
    <font>
      <u/>
      <sz val="12.0"/>
      <color theme="0"/>
      <name val="Comfortaa"/>
    </font>
    <font>
      <b/>
      <sz val="12.0"/>
      <color rgb="FFFFFFFF"/>
      <name val="Comfortaa"/>
    </font>
    <font>
      <b/>
      <color rgb="FFF3F3F3"/>
      <name val="Verdana"/>
      <scheme val="minor"/>
    </font>
    <font>
      <color rgb="FFF3F3F3"/>
      <name val="Verdana"/>
      <scheme val="minor"/>
    </font>
    <font>
      <u/>
      <color rgb="FF0000FF"/>
    </font>
    <font>
      <u/>
      <color rgb="FF0000FF"/>
    </font>
    <font>
      <u/>
      <color rgb="FF1155CC"/>
    </font>
    <font>
      <b/>
      <color rgb="FF1A2F40"/>
      <name val="Verdana"/>
    </font>
    <font>
      <b/>
      <u/>
      <color rgb="FF1155CC"/>
      <name val="Verdana"/>
    </font>
    <font>
      <color rgb="FF1A2F40"/>
      <name val="Verdana"/>
    </font>
    <font>
      <u/>
      <color rgb="FF0000FF"/>
      <name val="Verdana"/>
    </font>
    <font>
      <u/>
      <color rgb="FF0000FF"/>
      <name val="Verdana"/>
    </font>
    <font>
      <sz val="11.0"/>
      <color rgb="FF000000"/>
      <name val="Docs-Inconsolata"/>
    </font>
    <font>
      <u/>
      <color rgb="FF0000FF"/>
      <name val="Verdana"/>
    </font>
    <font>
      <u/>
      <color rgb="FF1A2F40"/>
      <name val="Verdana"/>
    </font>
    <font>
      <u/>
      <color rgb="FF0000FF"/>
      <name val="Docs-Roboto"/>
    </font>
    <font>
      <color rgb="FF1A2F40"/>
      <name val="Arial"/>
    </font>
    <font>
      <b/>
      <sz val="12.0"/>
      <color rgb="FFFFFFFF"/>
      <name val="Calibri"/>
    </font>
    <font>
      <sz val="11.0"/>
      <color rgb="FF000000"/>
      <name val="Calibri"/>
    </font>
    <font>
      <b/>
      <sz val="14.0"/>
      <color rgb="FF000000"/>
      <name val="Calibri"/>
    </font>
    <font>
      <b/>
      <color theme="1"/>
      <name val="Arial"/>
    </font>
    <font>
      <b/>
      <sz val="11.0"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sz val="11.0"/>
      <color theme="1"/>
      <name val="Calibri"/>
    </font>
    <font>
      <b/>
      <sz val="12.0"/>
      <color theme="1"/>
      <name val="Verdana"/>
      <scheme val="minor"/>
    </font>
    <font>
      <b/>
      <color rgb="FFFF9900"/>
      <name val="Verdana"/>
      <scheme val="minor"/>
    </font>
    <font>
      <color rgb="FFA61C00"/>
      <name val="Verdana"/>
      <scheme val="minor"/>
    </font>
    <font>
      <u/>
      <sz val="11.0"/>
      <color rgb="FF000000"/>
      <name val="Calibri"/>
    </font>
    <font>
      <sz val="8.0"/>
      <color rgb="FFFFFFFF"/>
      <name val="Montserrat"/>
    </font>
    <font>
      <u/>
      <color rgb="FF0000FF"/>
    </font>
    <font>
      <u/>
      <sz val="12.0"/>
      <color rgb="FF24272A"/>
      <name val="&quot;Segoe UI&quot;"/>
    </font>
    <font>
      <sz val="11.0"/>
      <color rgb="FF1E2022"/>
      <name val="Helvetica"/>
    </font>
    <font>
      <u/>
      <color rgb="FF0000FF"/>
    </font>
    <font>
      <u/>
      <color rgb="FF0000FF"/>
    </font>
  </fonts>
  <fills count="37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9CB9C"/>
        <bgColor rgb="FFF9CB9C"/>
      </patternFill>
    </fill>
    <fill>
      <patternFill patternType="solid">
        <fgColor rgb="FFF4C7C3"/>
        <bgColor rgb="FFF4C7C3"/>
      </patternFill>
    </fill>
    <fill>
      <patternFill patternType="solid">
        <fgColor rgb="FF999999"/>
        <bgColor rgb="FF999999"/>
      </patternFill>
    </fill>
    <fill>
      <patternFill patternType="solid">
        <fgColor rgb="FFF2F8F0"/>
        <bgColor rgb="FFF2F8F0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  <fill>
      <patternFill patternType="solid">
        <fgColor rgb="FFF4FBF7"/>
        <bgColor rgb="FFF4FBF7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FFF00"/>
        <bgColor rgb="FFFFFF00"/>
      </patternFill>
    </fill>
    <fill>
      <patternFill patternType="solid">
        <fgColor rgb="FFCC4125"/>
        <bgColor rgb="FFCC4125"/>
      </patternFill>
    </fill>
    <fill>
      <patternFill patternType="solid">
        <fgColor rgb="FFFFE599"/>
        <bgColor rgb="FFFFE599"/>
      </patternFill>
    </fill>
    <fill>
      <patternFill patternType="solid">
        <fgColor rgb="FFF9ECC2"/>
        <bgColor rgb="FFF9ECC2"/>
      </patternFill>
    </fill>
    <fill>
      <patternFill patternType="solid">
        <fgColor rgb="FFF9ECC5"/>
        <bgColor rgb="FFF9ECC5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  <fill>
      <patternFill patternType="solid">
        <fgColor rgb="FF38761D"/>
        <bgColor rgb="FF38761D"/>
      </patternFill>
    </fill>
    <fill>
      <patternFill patternType="solid">
        <fgColor rgb="FF666666"/>
        <bgColor rgb="FF666666"/>
      </patternFill>
    </fill>
    <fill>
      <patternFill patternType="solid">
        <fgColor rgb="FFB4A7D6"/>
        <bgColor rgb="FFB4A7D6"/>
      </patternFill>
    </fill>
    <fill>
      <patternFill patternType="solid">
        <fgColor rgb="FFC9DAF8"/>
        <bgColor rgb="FFC9DAF8"/>
      </patternFill>
    </fill>
    <fill>
      <patternFill patternType="solid">
        <fgColor rgb="FFFF9900"/>
        <bgColor rgb="FFFF9900"/>
      </patternFill>
    </fill>
    <fill>
      <patternFill patternType="solid">
        <fgColor rgb="FFB6D7A8"/>
        <bgColor rgb="FFB6D7A8"/>
      </patternFill>
    </fill>
    <fill>
      <patternFill patternType="solid">
        <fgColor rgb="FFA5A5A5"/>
        <bgColor rgb="FFA5A5A5"/>
      </patternFill>
    </fill>
    <fill>
      <patternFill patternType="solid">
        <fgColor rgb="FFD8D8D8"/>
        <bgColor rgb="FFD8D8D8"/>
      </patternFill>
    </fill>
    <fill>
      <patternFill patternType="solid">
        <fgColor rgb="FFE7E6E6"/>
        <bgColor rgb="FFE7E6E6"/>
      </patternFill>
    </fill>
    <fill>
      <patternFill patternType="solid">
        <fgColor rgb="FFCFE2F3"/>
        <bgColor rgb="FFCFE2F3"/>
      </patternFill>
    </fill>
    <fill>
      <patternFill patternType="solid">
        <fgColor rgb="FFEA9999"/>
        <bgColor rgb="FFEA9999"/>
      </patternFill>
    </fill>
    <fill>
      <patternFill patternType="solid">
        <fgColor rgb="FF741B47"/>
        <bgColor rgb="FF741B47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</fills>
  <borders count="46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FF6F31"/>
      </left>
      <right style="medium">
        <color rgb="FFFF6F31"/>
      </right>
      <top style="medium">
        <color rgb="FFFF6F31"/>
      </top>
      <bottom style="medium">
        <color rgb="FFFF6F31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medium">
        <color rgb="FF000000"/>
      </right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left style="medium">
        <color rgb="FFE27228"/>
      </left>
      <right style="medium">
        <color rgb="FFE27228"/>
      </right>
      <top style="medium">
        <color rgb="FFE27228"/>
      </top>
      <bottom style="medium">
        <color rgb="FFE27228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/>
    </border>
    <border>
      <right/>
    </border>
  </borders>
  <cellStyleXfs count="1">
    <xf borderId="0" fillId="0" fontId="0" numFmtId="0" applyAlignment="1" applyFont="1"/>
  </cellStyleXfs>
  <cellXfs count="134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0" fillId="0" fontId="2" numFmtId="0" xfId="0" applyAlignment="1" applyFont="1">
      <alignment horizontal="center" readingOrder="0" vertical="center"/>
    </xf>
    <xf borderId="0" fillId="0" fontId="2" numFmtId="164" xfId="0" applyAlignment="1" applyFont="1" applyNumberFormat="1">
      <alignment horizontal="center" readingOrder="0" vertical="center"/>
    </xf>
    <xf borderId="0" fillId="0" fontId="1" numFmtId="165" xfId="0" applyAlignment="1" applyFont="1" applyNumberFormat="1">
      <alignment readingOrder="0" vertical="center"/>
    </xf>
    <xf borderId="0" fillId="0" fontId="1" numFmtId="0" xfId="0" applyAlignment="1" applyFont="1">
      <alignment horizontal="right" readingOrder="0" vertical="center"/>
    </xf>
    <xf borderId="0" fillId="0" fontId="3" numFmtId="166" xfId="0" applyAlignment="1" applyFont="1" applyNumberFormat="1">
      <alignment horizontal="left" readingOrder="0"/>
    </xf>
    <xf borderId="0" fillId="0" fontId="4" numFmtId="0" xfId="0" applyAlignment="1" applyFont="1">
      <alignment horizontal="center" readingOrder="0" vertical="center"/>
    </xf>
    <xf borderId="0" fillId="0" fontId="5" numFmtId="167" xfId="0" applyAlignment="1" applyFont="1" applyNumberFormat="1">
      <alignment horizontal="right" readingOrder="0" vertical="center"/>
    </xf>
    <xf borderId="0" fillId="0" fontId="5" numFmtId="165" xfId="0" applyAlignment="1" applyFont="1" applyNumberFormat="1">
      <alignment horizontal="center" readingOrder="0" vertical="center"/>
    </xf>
    <xf borderId="0" fillId="0" fontId="1" numFmtId="0" xfId="0" applyAlignment="1" applyFont="1">
      <alignment vertical="center"/>
    </xf>
    <xf borderId="0" fillId="2" fontId="6" numFmtId="168" xfId="0" applyAlignment="1" applyFill="1" applyFont="1" applyNumberFormat="1">
      <alignment horizontal="center" readingOrder="0" vertical="center"/>
    </xf>
    <xf borderId="0" fillId="3" fontId="6" numFmtId="169" xfId="0" applyAlignment="1" applyFill="1" applyFont="1" applyNumberFormat="1">
      <alignment horizontal="center" readingOrder="0" vertical="center"/>
    </xf>
    <xf borderId="0" fillId="2" fontId="6" numFmtId="164" xfId="0" applyAlignment="1" applyFont="1" applyNumberFormat="1">
      <alignment horizontal="center" readingOrder="0" vertical="center"/>
    </xf>
    <xf borderId="0" fillId="2" fontId="6" numFmtId="170" xfId="0" applyAlignment="1" applyFont="1" applyNumberFormat="1">
      <alignment horizontal="center" readingOrder="0" vertical="center"/>
    </xf>
    <xf borderId="0" fillId="0" fontId="6" numFmtId="171" xfId="0" applyAlignment="1" applyFont="1" applyNumberFormat="1">
      <alignment readingOrder="0" vertical="center"/>
    </xf>
    <xf borderId="0" fillId="0" fontId="6" numFmtId="164" xfId="0" applyAlignment="1" applyFont="1" applyNumberFormat="1">
      <alignment vertical="center"/>
    </xf>
    <xf borderId="0" fillId="0" fontId="6" numFmtId="165" xfId="0" applyAlignment="1" applyFont="1" applyNumberFormat="1">
      <alignment vertical="center"/>
    </xf>
    <xf borderId="0" fillId="0" fontId="6" numFmtId="164" xfId="0" applyAlignment="1" applyFont="1" applyNumberFormat="1">
      <alignment readingOrder="0" vertical="center"/>
    </xf>
    <xf borderId="0" fillId="0" fontId="6" numFmtId="4" xfId="0" applyAlignment="1" applyFont="1" applyNumberFormat="1">
      <alignment horizontal="right" readingOrder="0" vertical="center"/>
    </xf>
    <xf borderId="0" fillId="0" fontId="6" numFmtId="0" xfId="0" applyAlignment="1" applyFont="1">
      <alignment vertical="center"/>
    </xf>
    <xf borderId="0" fillId="0" fontId="5" numFmtId="0" xfId="0" applyAlignment="1" applyFont="1">
      <alignment vertical="center"/>
    </xf>
    <xf borderId="1" fillId="0" fontId="2" numFmtId="0" xfId="0" applyAlignment="1" applyBorder="1" applyFont="1">
      <alignment horizontal="center" readingOrder="0" vertical="center"/>
    </xf>
    <xf borderId="1" fillId="0" fontId="2" numFmtId="164" xfId="0" applyAlignment="1" applyBorder="1" applyFont="1" applyNumberFormat="1">
      <alignment horizontal="center" vertical="center"/>
    </xf>
    <xf borderId="0" fillId="0" fontId="1" numFmtId="165" xfId="0" applyAlignment="1" applyFont="1" applyNumberFormat="1">
      <alignment vertical="center"/>
    </xf>
    <xf borderId="0" fillId="0" fontId="3" numFmtId="165" xfId="0" applyAlignment="1" applyFont="1" applyNumberFormat="1">
      <alignment horizontal="left" readingOrder="0"/>
    </xf>
    <xf borderId="0" fillId="0" fontId="7" numFmtId="165" xfId="0" applyAlignment="1" applyFont="1" applyNumberFormat="1">
      <alignment horizontal="right" readingOrder="0" vertical="center"/>
    </xf>
    <xf borderId="0" fillId="0" fontId="7" numFmtId="172" xfId="0" applyAlignment="1" applyFont="1" applyNumberFormat="1">
      <alignment horizontal="left" readingOrder="0" vertical="center"/>
    </xf>
    <xf borderId="0" fillId="0" fontId="6" numFmtId="173" xfId="0" applyAlignment="1" applyFont="1" applyNumberFormat="1">
      <alignment horizontal="right" readingOrder="0" vertical="center"/>
    </xf>
    <xf borderId="0" fillId="0" fontId="6" numFmtId="171" xfId="0" applyAlignment="1" applyFont="1" applyNumberFormat="1">
      <alignment horizontal="left" vertical="center"/>
    </xf>
    <xf borderId="1" fillId="0" fontId="2" numFmtId="171" xfId="0" applyAlignment="1" applyBorder="1" applyFont="1" applyNumberFormat="1">
      <alignment horizontal="center" vertical="center"/>
    </xf>
    <xf borderId="0" fillId="0" fontId="1" numFmtId="170" xfId="0" applyAlignment="1" applyFont="1" applyNumberFormat="1">
      <alignment vertical="center"/>
    </xf>
    <xf borderId="0" fillId="0" fontId="8" numFmtId="0" xfId="0" applyAlignment="1" applyFont="1">
      <alignment readingOrder="0" vertical="center"/>
    </xf>
    <xf borderId="0" fillId="0" fontId="9" numFmtId="165" xfId="0" applyAlignment="1" applyFont="1" applyNumberFormat="1">
      <alignment readingOrder="0"/>
    </xf>
    <xf borderId="0" fillId="0" fontId="5" numFmtId="0" xfId="0" applyAlignment="1" applyFont="1">
      <alignment horizontal="center" readingOrder="0"/>
    </xf>
    <xf borderId="0" fillId="0" fontId="5" numFmtId="9" xfId="0" applyAlignment="1" applyFont="1" applyNumberFormat="1">
      <alignment horizontal="center" readingOrder="0"/>
    </xf>
    <xf borderId="0" fillId="0" fontId="1" numFmtId="0" xfId="0" applyFont="1"/>
    <xf borderId="0" fillId="0" fontId="1" numFmtId="174" xfId="0" applyAlignment="1" applyFont="1" applyNumberFormat="1">
      <alignment vertical="center"/>
    </xf>
    <xf borderId="0" fillId="0" fontId="6" numFmtId="174" xfId="0" applyAlignment="1" applyFont="1" applyNumberFormat="1">
      <alignment readingOrder="0" vertical="center"/>
    </xf>
    <xf borderId="0" fillId="0" fontId="6" numFmtId="169" xfId="0" applyAlignment="1" applyFont="1" applyNumberFormat="1">
      <alignment horizontal="center" readingOrder="0" vertical="center"/>
    </xf>
    <xf borderId="0" fillId="0" fontId="6" numFmtId="164" xfId="0" applyAlignment="1" applyFont="1" applyNumberFormat="1">
      <alignment horizontal="center" readingOrder="0" vertical="center"/>
    </xf>
    <xf borderId="0" fillId="0" fontId="6" numFmtId="175" xfId="0" applyAlignment="1" applyFont="1" applyNumberFormat="1">
      <alignment horizontal="center" vertical="center"/>
    </xf>
    <xf borderId="2" fillId="0" fontId="6" numFmtId="0" xfId="0" applyAlignment="1" applyBorder="1" applyFont="1">
      <alignment horizontal="center" readingOrder="0" vertical="center"/>
    </xf>
    <xf borderId="0" fillId="0" fontId="6" numFmtId="176" xfId="0" applyAlignment="1" applyFont="1" applyNumberFormat="1">
      <alignment horizontal="right" readingOrder="0" vertical="center"/>
    </xf>
    <xf borderId="0" fillId="0" fontId="6" numFmtId="167" xfId="0" applyAlignment="1" applyFont="1" applyNumberFormat="1">
      <alignment horizontal="left" vertical="center"/>
    </xf>
    <xf borderId="0" fillId="0" fontId="2" numFmtId="0" xfId="0" applyAlignment="1" applyFont="1">
      <alignment horizontal="left" readingOrder="0" vertical="center"/>
    </xf>
    <xf borderId="1" fillId="0" fontId="10" numFmtId="0" xfId="0" applyAlignment="1" applyBorder="1" applyFont="1">
      <alignment horizontal="center" readingOrder="0" vertical="center"/>
    </xf>
    <xf borderId="1" fillId="0" fontId="10" numFmtId="177" xfId="0" applyAlignment="1" applyBorder="1" applyFont="1" applyNumberFormat="1">
      <alignment horizontal="center" vertical="center"/>
    </xf>
    <xf borderId="0" fillId="0" fontId="11" numFmtId="0" xfId="0" applyAlignment="1" applyFont="1">
      <alignment horizontal="left" vertical="center"/>
    </xf>
    <xf borderId="0" fillId="0" fontId="10" numFmtId="0" xfId="0" applyAlignment="1" applyFont="1">
      <alignment horizontal="center" readingOrder="0" vertical="center"/>
    </xf>
    <xf borderId="0" fillId="4" fontId="12" numFmtId="166" xfId="0" applyAlignment="1" applyFill="1" applyFont="1" applyNumberFormat="1">
      <alignment readingOrder="0"/>
    </xf>
    <xf borderId="0" fillId="0" fontId="5" numFmtId="166" xfId="0" applyAlignment="1" applyFont="1" applyNumberFormat="1">
      <alignment horizontal="center" readingOrder="0"/>
    </xf>
    <xf borderId="0" fillId="0" fontId="5" numFmtId="166" xfId="0" applyAlignment="1" applyFont="1" applyNumberFormat="1">
      <alignment horizontal="center" readingOrder="0"/>
    </xf>
    <xf borderId="0" fillId="0" fontId="1" numFmtId="0" xfId="0" applyAlignment="1" applyFont="1">
      <alignment readingOrder="0"/>
    </xf>
    <xf borderId="0" fillId="0" fontId="5" numFmtId="174" xfId="0" applyAlignment="1" applyFont="1" applyNumberFormat="1">
      <alignment vertical="center"/>
    </xf>
    <xf borderId="0" fillId="0" fontId="6" numFmtId="171" xfId="0" applyAlignment="1" applyFont="1" applyNumberFormat="1">
      <alignment vertical="center"/>
    </xf>
    <xf borderId="0" fillId="0" fontId="6" numFmtId="169" xfId="0" applyAlignment="1" applyFont="1" applyNumberFormat="1">
      <alignment vertical="center"/>
    </xf>
    <xf borderId="0" fillId="0" fontId="6" numFmtId="177" xfId="0" applyAlignment="1" applyFont="1" applyNumberFormat="1">
      <alignment vertical="center"/>
    </xf>
    <xf borderId="0" fillId="0" fontId="6" numFmtId="165" xfId="0" applyAlignment="1" applyFont="1" applyNumberFormat="1">
      <alignment vertical="center"/>
    </xf>
    <xf borderId="3" fillId="0" fontId="5" numFmtId="0" xfId="0" applyAlignment="1" applyBorder="1" applyFont="1">
      <alignment horizontal="center" readingOrder="0" vertical="center"/>
    </xf>
    <xf borderId="4" fillId="0" fontId="5" numFmtId="165" xfId="0" applyAlignment="1" applyBorder="1" applyFont="1" applyNumberFormat="1">
      <alignment horizontal="left" readingOrder="0" vertical="center"/>
    </xf>
    <xf borderId="5" fillId="0" fontId="5" numFmtId="0" xfId="0" applyAlignment="1" applyBorder="1" applyFont="1">
      <alignment horizontal="center" vertical="center"/>
    </xf>
    <xf borderId="3" fillId="0" fontId="13" numFmtId="0" xfId="0" applyAlignment="1" applyBorder="1" applyFont="1">
      <alignment horizontal="center" readingOrder="0" vertical="center"/>
    </xf>
    <xf borderId="4" fillId="0" fontId="5" numFmtId="0" xfId="0" applyAlignment="1" applyBorder="1" applyFont="1">
      <alignment horizontal="center" readingOrder="0" vertical="center"/>
    </xf>
    <xf borderId="4" fillId="0" fontId="2" numFmtId="164" xfId="0" applyAlignment="1" applyBorder="1" applyFont="1" applyNumberFormat="1">
      <alignment horizontal="center" readingOrder="0" vertical="center"/>
    </xf>
    <xf borderId="4" fillId="0" fontId="5" numFmtId="0" xfId="0" applyAlignment="1" applyBorder="1" applyFont="1">
      <alignment horizontal="center" vertical="center"/>
    </xf>
    <xf borderId="0" fillId="0" fontId="6" numFmtId="0" xfId="0" applyAlignment="1" applyFont="1">
      <alignment vertical="center"/>
    </xf>
    <xf borderId="0" fillId="0" fontId="6" numFmtId="178" xfId="0" applyAlignment="1" applyFont="1" applyNumberFormat="1">
      <alignment readingOrder="0" vertical="center"/>
    </xf>
    <xf borderId="0" fillId="0" fontId="6" numFmtId="174" xfId="0" applyAlignment="1" applyFont="1" applyNumberFormat="1">
      <alignment vertical="center"/>
    </xf>
    <xf borderId="6" fillId="0" fontId="2" numFmtId="0" xfId="0" applyAlignment="1" applyBorder="1" applyFont="1">
      <alignment horizontal="center" readingOrder="0" vertical="center"/>
    </xf>
    <xf borderId="7" fillId="0" fontId="2" numFmtId="0" xfId="0" applyAlignment="1" applyBorder="1" applyFont="1">
      <alignment horizontal="center" readingOrder="0" vertical="center"/>
    </xf>
    <xf borderId="8" fillId="0" fontId="2" numFmtId="0" xfId="0" applyAlignment="1" applyBorder="1" applyFont="1">
      <alignment horizontal="center" readingOrder="0" vertical="center"/>
    </xf>
    <xf borderId="6" fillId="0" fontId="14" numFmtId="0" xfId="0" applyBorder="1" applyFont="1"/>
    <xf borderId="0" fillId="0" fontId="5" numFmtId="0" xfId="0" applyAlignment="1" applyFont="1">
      <alignment horizontal="center" readingOrder="0" vertical="center"/>
    </xf>
    <xf borderId="9" fillId="0" fontId="14" numFmtId="0" xfId="0" applyBorder="1" applyFont="1"/>
    <xf borderId="0" fillId="0" fontId="6" numFmtId="171" xfId="0" applyAlignment="1" applyFont="1" applyNumberFormat="1">
      <alignment shrinkToFit="0" vertical="center" wrapText="0"/>
    </xf>
    <xf borderId="0" fillId="0" fontId="5" numFmtId="0" xfId="0" applyAlignment="1" applyFont="1">
      <alignment shrinkToFit="0" vertical="center" wrapText="0"/>
    </xf>
    <xf borderId="10" fillId="0" fontId="15" numFmtId="0" xfId="0" applyAlignment="1" applyBorder="1" applyFont="1">
      <alignment horizontal="center" readingOrder="0" vertical="center"/>
    </xf>
    <xf borderId="11" fillId="0" fontId="15" numFmtId="165" xfId="0" applyAlignment="1" applyBorder="1" applyFont="1" applyNumberFormat="1">
      <alignment horizontal="center" vertical="center"/>
    </xf>
    <xf borderId="12" fillId="0" fontId="5" numFmtId="3" xfId="0" applyAlignment="1" applyBorder="1" applyFont="1" applyNumberFormat="1">
      <alignment horizontal="center" readingOrder="0" vertical="center"/>
    </xf>
    <xf borderId="10" fillId="0" fontId="5" numFmtId="0" xfId="0" applyAlignment="1" applyBorder="1" applyFont="1">
      <alignment horizontal="center" readingOrder="0" vertical="center"/>
    </xf>
    <xf borderId="13" fillId="3" fontId="5" numFmtId="0" xfId="0" applyAlignment="1" applyBorder="1" applyFont="1">
      <alignment horizontal="center" readingOrder="0" vertical="center"/>
    </xf>
    <xf borderId="11" fillId="0" fontId="5" numFmtId="165" xfId="0" applyAlignment="1" applyBorder="1" applyFont="1" applyNumberFormat="1">
      <alignment horizontal="left" readingOrder="0" vertical="center"/>
    </xf>
    <xf borderId="11" fillId="3" fontId="5" numFmtId="165" xfId="0" applyAlignment="1" applyBorder="1" applyFont="1" applyNumberFormat="1">
      <alignment horizontal="center" readingOrder="0" vertical="center"/>
    </xf>
    <xf borderId="14" fillId="0" fontId="16" numFmtId="165" xfId="0" applyAlignment="1" applyBorder="1" applyFont="1" applyNumberFormat="1">
      <alignment horizontal="left" readingOrder="0" vertical="center"/>
    </xf>
    <xf borderId="15" fillId="0" fontId="14" numFmtId="0" xfId="0" applyBorder="1" applyFont="1"/>
    <xf borderId="16" fillId="0" fontId="17" numFmtId="0" xfId="0" applyAlignment="1" applyBorder="1" applyFont="1">
      <alignment horizontal="center" readingOrder="0" vertical="center"/>
    </xf>
    <xf borderId="17" fillId="0" fontId="17" numFmtId="165" xfId="0" applyAlignment="1" applyBorder="1" applyFont="1" applyNumberFormat="1">
      <alignment horizontal="center" readingOrder="0" vertical="center"/>
    </xf>
    <xf borderId="18" fillId="0" fontId="5" numFmtId="3" xfId="0" applyAlignment="1" applyBorder="1" applyFont="1" applyNumberFormat="1">
      <alignment horizontal="center" readingOrder="0" vertical="center"/>
    </xf>
    <xf borderId="16" fillId="3" fontId="5" numFmtId="0" xfId="0" applyAlignment="1" applyBorder="1" applyFont="1">
      <alignment horizontal="center" readingOrder="0" vertical="center"/>
    </xf>
    <xf borderId="19" fillId="0" fontId="5" numFmtId="165" xfId="0" applyAlignment="1" applyBorder="1" applyFont="1" applyNumberFormat="1">
      <alignment horizontal="center" readingOrder="0" vertical="center"/>
    </xf>
    <xf borderId="20" fillId="3" fontId="5" numFmtId="4" xfId="0" applyAlignment="1" applyBorder="1" applyFont="1" applyNumberFormat="1">
      <alignment horizontal="center" readingOrder="0" vertical="center"/>
    </xf>
    <xf borderId="17" fillId="0" fontId="5" numFmtId="165" xfId="0" applyAlignment="1" applyBorder="1" applyFont="1" applyNumberFormat="1">
      <alignment horizontal="center" readingOrder="0" vertical="center"/>
    </xf>
    <xf borderId="21" fillId="4" fontId="18" numFmtId="165" xfId="0" applyAlignment="1" applyBorder="1" applyFont="1" applyNumberFormat="1">
      <alignment horizontal="left" readingOrder="0"/>
    </xf>
    <xf borderId="22" fillId="0" fontId="14" numFmtId="0" xfId="0" applyBorder="1" applyFont="1"/>
    <xf borderId="0" fillId="0" fontId="1" numFmtId="179" xfId="0" applyAlignment="1" applyFont="1" applyNumberFormat="1">
      <alignment readingOrder="0" vertical="center"/>
    </xf>
    <xf borderId="0" fillId="0" fontId="1" numFmtId="0" xfId="0" applyAlignment="1" applyFont="1">
      <alignment vertical="center"/>
    </xf>
    <xf borderId="16" fillId="0" fontId="19" numFmtId="0" xfId="0" applyAlignment="1" applyBorder="1" applyFont="1">
      <alignment horizontal="center" readingOrder="0" vertical="center"/>
    </xf>
    <xf borderId="17" fillId="0" fontId="19" numFmtId="165" xfId="0" applyAlignment="1" applyBorder="1" applyFont="1" applyNumberFormat="1">
      <alignment horizontal="center" vertical="center"/>
    </xf>
    <xf borderId="23" fillId="3" fontId="5" numFmtId="165" xfId="0" applyAlignment="1" applyBorder="1" applyFont="1" applyNumberFormat="1">
      <alignment horizontal="center" vertical="center"/>
    </xf>
    <xf borderId="20" fillId="3" fontId="5" numFmtId="165" xfId="0" applyAlignment="1" applyBorder="1" applyFont="1" applyNumberFormat="1">
      <alignment horizontal="center" vertical="center"/>
    </xf>
    <xf borderId="24" fillId="4" fontId="5" numFmtId="165" xfId="0" applyAlignment="1" applyBorder="1" applyFont="1" applyNumberFormat="1">
      <alignment horizontal="center" readingOrder="0" vertical="center"/>
    </xf>
    <xf borderId="25" fillId="0" fontId="5" numFmtId="0" xfId="0" applyAlignment="1" applyBorder="1" applyFont="1">
      <alignment horizontal="left" readingOrder="0" vertical="center"/>
    </xf>
    <xf borderId="26" fillId="0" fontId="14" numFmtId="0" xfId="0" applyBorder="1" applyFont="1"/>
    <xf borderId="16" fillId="0" fontId="20" numFmtId="0" xfId="0" applyAlignment="1" applyBorder="1" applyFont="1">
      <alignment horizontal="center" readingOrder="0" vertical="center"/>
    </xf>
    <xf borderId="17" fillId="0" fontId="20" numFmtId="165" xfId="0" applyAlignment="1" applyBorder="1" applyFont="1" applyNumberFormat="1">
      <alignment horizontal="center" vertical="center"/>
    </xf>
    <xf borderId="18" fillId="0" fontId="5" numFmtId="180" xfId="0" applyAlignment="1" applyBorder="1" applyFont="1" applyNumberFormat="1">
      <alignment horizontal="center" readingOrder="0" vertical="center"/>
    </xf>
    <xf borderId="25" fillId="0" fontId="5" numFmtId="165" xfId="0" applyAlignment="1" applyBorder="1" applyFont="1" applyNumberFormat="1">
      <alignment horizontal="center" vertical="center"/>
    </xf>
    <xf borderId="0" fillId="0" fontId="6" numFmtId="181" xfId="0" applyAlignment="1" applyFont="1" applyNumberFormat="1">
      <alignment vertical="center"/>
    </xf>
    <xf borderId="0" fillId="0" fontId="6" numFmtId="4" xfId="0" applyAlignment="1" applyFont="1" applyNumberFormat="1">
      <alignment vertical="center"/>
    </xf>
    <xf borderId="0" fillId="0" fontId="6" numFmtId="180" xfId="0" applyAlignment="1" applyFont="1" applyNumberFormat="1">
      <alignment vertical="center"/>
    </xf>
    <xf borderId="0" fillId="0" fontId="1" numFmtId="4" xfId="0" applyAlignment="1" applyFont="1" applyNumberFormat="1">
      <alignment readingOrder="0" vertical="center"/>
    </xf>
    <xf borderId="27" fillId="3" fontId="5" numFmtId="165" xfId="0" applyAlignment="1" applyBorder="1" applyFont="1" applyNumberFormat="1">
      <alignment horizontal="center" readingOrder="0" vertical="center"/>
    </xf>
    <xf borderId="17" fillId="3" fontId="5" numFmtId="0" xfId="0" applyAlignment="1" applyBorder="1" applyFont="1">
      <alignment horizontal="center" readingOrder="0" vertical="center"/>
    </xf>
    <xf quotePrefix="1" borderId="21" fillId="4" fontId="21" numFmtId="0" xfId="0" applyAlignment="1" applyBorder="1" applyFont="1">
      <alignment readingOrder="0"/>
    </xf>
    <xf borderId="0" fillId="0" fontId="1" numFmtId="1" xfId="0" applyAlignment="1" applyFont="1" applyNumberFormat="1">
      <alignment vertical="center"/>
    </xf>
    <xf borderId="16" fillId="0" fontId="5" numFmtId="0" xfId="0" applyAlignment="1" applyBorder="1" applyFont="1">
      <alignment horizontal="center" readingOrder="0" vertical="center"/>
    </xf>
    <xf borderId="18" fillId="0" fontId="5" numFmtId="182" xfId="0" applyAlignment="1" applyBorder="1" applyFont="1" applyNumberFormat="1">
      <alignment horizontal="center" readingOrder="0" vertical="center"/>
    </xf>
    <xf borderId="27" fillId="3" fontId="5" numFmtId="0" xfId="0" applyAlignment="1" applyBorder="1" applyFont="1">
      <alignment horizontal="center" readingOrder="0" vertical="center"/>
    </xf>
    <xf borderId="20" fillId="3" fontId="5" numFmtId="0" xfId="0" applyAlignment="1" applyBorder="1" applyFont="1">
      <alignment horizontal="center" readingOrder="0" vertical="center"/>
    </xf>
    <xf borderId="24" fillId="0" fontId="5" numFmtId="165" xfId="0" applyAlignment="1" applyBorder="1" applyFont="1" applyNumberFormat="1">
      <alignment horizontal="center" readingOrder="0" vertical="center"/>
    </xf>
    <xf borderId="28" fillId="0" fontId="5" numFmtId="165" xfId="0" applyAlignment="1" applyBorder="1" applyFont="1" applyNumberFormat="1">
      <alignment horizontal="center" readingOrder="0" vertical="center"/>
    </xf>
    <xf borderId="0" fillId="0" fontId="1" numFmtId="3" xfId="0" applyAlignment="1" applyFont="1" applyNumberFormat="1">
      <alignment readingOrder="0" vertical="center"/>
    </xf>
    <xf borderId="23" fillId="3" fontId="22" numFmtId="3" xfId="0" applyAlignment="1" applyBorder="1" applyFont="1" applyNumberFormat="1">
      <alignment horizontal="center" readingOrder="0" vertical="center"/>
    </xf>
    <xf borderId="17" fillId="3" fontId="5" numFmtId="165" xfId="0" applyAlignment="1" applyBorder="1" applyFont="1" applyNumberFormat="1">
      <alignment horizontal="center" readingOrder="0" vertical="center"/>
    </xf>
    <xf borderId="28" fillId="3" fontId="5" numFmtId="183" xfId="0" applyAlignment="1" applyBorder="1" applyFont="1" applyNumberFormat="1">
      <alignment horizontal="center" readingOrder="0" vertical="center"/>
    </xf>
    <xf borderId="0" fillId="0" fontId="1" numFmtId="4" xfId="0" applyAlignment="1" applyFont="1" applyNumberFormat="1">
      <alignment vertical="center"/>
    </xf>
    <xf borderId="29" fillId="0" fontId="5" numFmtId="0" xfId="0" applyAlignment="1" applyBorder="1" applyFont="1">
      <alignment horizontal="center" readingOrder="0" vertical="center"/>
    </xf>
    <xf borderId="30" fillId="0" fontId="5" numFmtId="165" xfId="0" applyAlignment="1" applyBorder="1" applyFont="1" applyNumberFormat="1">
      <alignment horizontal="center" readingOrder="0" vertical="center"/>
    </xf>
    <xf borderId="31" fillId="0" fontId="5" numFmtId="3" xfId="0" applyAlignment="1" applyBorder="1" applyFont="1" applyNumberFormat="1">
      <alignment horizontal="center" readingOrder="0" vertical="center"/>
    </xf>
    <xf borderId="29" fillId="0" fontId="5" numFmtId="3" xfId="0" applyAlignment="1" applyBorder="1" applyFont="1" applyNumberFormat="1">
      <alignment horizontal="center" readingOrder="0" vertical="center"/>
    </xf>
    <xf borderId="32" fillId="0" fontId="22" numFmtId="3" xfId="0" applyAlignment="1" applyBorder="1" applyFont="1" applyNumberFormat="1">
      <alignment horizontal="center" readingOrder="0" vertical="center"/>
    </xf>
    <xf borderId="33" fillId="0" fontId="5" numFmtId="4" xfId="0" applyAlignment="1" applyBorder="1" applyFont="1" applyNumberFormat="1">
      <alignment horizontal="center" readingOrder="0" vertical="center"/>
    </xf>
    <xf borderId="30" fillId="3" fontId="5" numFmtId="165" xfId="0" applyAlignment="1" applyBorder="1" applyFont="1" applyNumberFormat="1">
      <alignment horizontal="center" readingOrder="0" vertical="center"/>
    </xf>
    <xf borderId="34" fillId="0" fontId="5" numFmtId="165" xfId="0" applyAlignment="1" applyBorder="1" applyFont="1" applyNumberFormat="1">
      <alignment horizontal="center" vertical="center"/>
    </xf>
    <xf borderId="35" fillId="0" fontId="14" numFmtId="0" xfId="0" applyBorder="1" applyFont="1"/>
    <xf borderId="0" fillId="0" fontId="5" numFmtId="165" xfId="0" applyAlignment="1" applyFont="1" applyNumberFormat="1">
      <alignment horizontal="center" vertical="center"/>
    </xf>
    <xf borderId="0" fillId="0" fontId="5" numFmtId="3" xfId="0" applyAlignment="1" applyFont="1" applyNumberFormat="1">
      <alignment horizontal="center" readingOrder="0" vertical="center"/>
    </xf>
    <xf borderId="0" fillId="0" fontId="5" numFmtId="171" xfId="0" applyAlignment="1" applyFont="1" applyNumberFormat="1">
      <alignment horizontal="center" vertical="center"/>
    </xf>
    <xf borderId="0" fillId="0" fontId="5" numFmtId="0" xfId="0" applyAlignment="1" applyFont="1">
      <alignment horizontal="center" vertical="center"/>
    </xf>
    <xf borderId="3" fillId="0" fontId="5" numFmtId="0" xfId="0" applyAlignment="1" applyBorder="1" applyFont="1">
      <alignment horizontal="center" vertical="center"/>
    </xf>
    <xf borderId="0" fillId="0" fontId="5" numFmtId="0" xfId="0" applyAlignment="1" applyFont="1">
      <alignment vertical="center"/>
    </xf>
    <xf borderId="13" fillId="0" fontId="5" numFmtId="171" xfId="0" applyAlignment="1" applyBorder="1" applyFont="1" applyNumberFormat="1">
      <alignment horizontal="center" readingOrder="0" vertical="center"/>
    </xf>
    <xf borderId="11" fillId="0" fontId="5" numFmtId="184" xfId="0" applyAlignment="1" applyBorder="1" applyFont="1" applyNumberFormat="1">
      <alignment horizontal="center" readingOrder="0" vertical="center"/>
    </xf>
    <xf borderId="11" fillId="0" fontId="5" numFmtId="165" xfId="0" applyAlignment="1" applyBorder="1" applyFont="1" applyNumberFormat="1">
      <alignment horizontal="center" vertical="center"/>
    </xf>
    <xf borderId="14" fillId="0" fontId="5" numFmtId="165" xfId="0" applyAlignment="1" applyBorder="1" applyFont="1" applyNumberFormat="1">
      <alignment horizontal="left" readingOrder="0" shrinkToFit="0" vertical="center" wrapText="0"/>
    </xf>
    <xf borderId="0" fillId="0" fontId="7" numFmtId="169" xfId="0" applyAlignment="1" applyFont="1" applyNumberFormat="1">
      <alignment horizontal="center" readingOrder="0" vertical="center"/>
    </xf>
    <xf borderId="36" fillId="0" fontId="5" numFmtId="171" xfId="0" applyAlignment="1" applyBorder="1" applyFont="1" applyNumberFormat="1">
      <alignment horizontal="center" vertical="center"/>
    </xf>
    <xf borderId="30" fillId="0" fontId="5" numFmtId="171" xfId="0" applyAlignment="1" applyBorder="1" applyFont="1" applyNumberFormat="1">
      <alignment horizontal="center" readingOrder="0" vertical="center"/>
    </xf>
    <xf borderId="33" fillId="0" fontId="5" numFmtId="165" xfId="0" applyAlignment="1" applyBorder="1" applyFont="1" applyNumberFormat="1">
      <alignment horizontal="center" vertical="center"/>
    </xf>
    <xf borderId="34" fillId="0" fontId="5" numFmtId="165" xfId="0" applyAlignment="1" applyBorder="1" applyFont="1" applyNumberFormat="1">
      <alignment horizontal="center" readingOrder="0" vertical="center"/>
    </xf>
    <xf borderId="0" fillId="0" fontId="7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horizontal="center" readingOrder="0" vertical="center"/>
    </xf>
    <xf borderId="0" fillId="0" fontId="7" numFmtId="164" xfId="0" applyAlignment="1" applyFont="1" applyNumberFormat="1">
      <alignment horizontal="center" readingOrder="0" vertical="center"/>
    </xf>
    <xf borderId="0" fillId="0" fontId="7" numFmtId="177" xfId="0" applyAlignment="1" applyFont="1" applyNumberFormat="1">
      <alignment horizontal="center" readingOrder="0" vertical="center"/>
    </xf>
    <xf borderId="0" fillId="0" fontId="7" numFmtId="171" xfId="0" applyAlignment="1" applyFont="1" applyNumberFormat="1">
      <alignment horizontal="center" readingOrder="0" vertical="center"/>
    </xf>
    <xf borderId="0" fillId="0" fontId="7" numFmtId="165" xfId="0" applyAlignment="1" applyFont="1" applyNumberFormat="1">
      <alignment horizontal="center" readingOrder="0" vertical="center"/>
    </xf>
    <xf borderId="0" fillId="0" fontId="5" numFmtId="171" xfId="0" applyAlignment="1" applyFont="1" applyNumberFormat="1">
      <alignment horizontal="center" readingOrder="0" vertical="center"/>
    </xf>
    <xf borderId="0" fillId="0" fontId="6" numFmtId="178" xfId="0" applyAlignment="1" applyFont="1" applyNumberFormat="1">
      <alignment readingOrder="0"/>
    </xf>
    <xf borderId="0" fillId="0" fontId="6" numFmtId="0" xfId="0" applyFont="1"/>
    <xf borderId="0" fillId="0" fontId="6" numFmtId="165" xfId="0" applyFont="1" applyNumberFormat="1"/>
    <xf borderId="4" fillId="0" fontId="2" numFmtId="165" xfId="0" applyAlignment="1" applyBorder="1" applyFont="1" applyNumberFormat="1">
      <alignment horizontal="center" readingOrder="0" vertical="center"/>
    </xf>
    <xf quotePrefix="1" borderId="0" fillId="0" fontId="6" numFmtId="0" xfId="0" applyAlignment="1" applyFont="1">
      <alignment readingOrder="0" vertical="center"/>
    </xf>
    <xf borderId="13" fillId="3" fontId="5" numFmtId="10" xfId="0" applyAlignment="1" applyBorder="1" applyFont="1" applyNumberFormat="1">
      <alignment horizontal="center" vertical="center"/>
    </xf>
    <xf borderId="11" fillId="3" fontId="5" numFmtId="167" xfId="0" applyAlignment="1" applyBorder="1" applyFont="1" applyNumberFormat="1">
      <alignment horizontal="center" readingOrder="0" vertical="center"/>
    </xf>
    <xf borderId="14" fillId="0" fontId="5" numFmtId="0" xfId="0" applyAlignment="1" applyBorder="1" applyFont="1">
      <alignment horizontal="center" readingOrder="0" vertical="center"/>
    </xf>
    <xf borderId="0" fillId="0" fontId="1" numFmtId="0" xfId="0" applyAlignment="1" applyFont="1">
      <alignment readingOrder="0" vertical="center"/>
    </xf>
    <xf borderId="36" fillId="0" fontId="5" numFmtId="10" xfId="0" applyAlignment="1" applyBorder="1" applyFont="1" applyNumberFormat="1">
      <alignment horizontal="center" readingOrder="0" vertical="center"/>
    </xf>
    <xf borderId="30" fillId="3" fontId="5" numFmtId="167" xfId="0" applyAlignment="1" applyBorder="1" applyFont="1" applyNumberFormat="1">
      <alignment horizontal="center" readingOrder="0" vertical="center"/>
    </xf>
    <xf borderId="34" fillId="0" fontId="22" numFmtId="165" xfId="0" applyAlignment="1" applyBorder="1" applyFont="1" applyNumberFormat="1">
      <alignment horizontal="left" readingOrder="0" vertical="center"/>
    </xf>
    <xf borderId="0" fillId="0" fontId="5" numFmtId="167" xfId="0" applyAlignment="1" applyFont="1" applyNumberFormat="1">
      <alignment horizontal="center" vertical="center"/>
    </xf>
    <xf borderId="0" fillId="0" fontId="22" numFmtId="165" xfId="0" applyAlignment="1" applyFont="1" applyNumberFormat="1">
      <alignment horizontal="left" readingOrder="0" vertical="center"/>
    </xf>
    <xf borderId="0" fillId="0" fontId="5" numFmtId="10" xfId="0" applyAlignment="1" applyFont="1" applyNumberFormat="1">
      <alignment horizontal="center" readingOrder="0" vertical="center"/>
    </xf>
    <xf borderId="0" fillId="3" fontId="5" numFmtId="167" xfId="0" applyAlignment="1" applyFont="1" applyNumberFormat="1">
      <alignment horizontal="center" readingOrder="0" vertical="center"/>
    </xf>
    <xf borderId="0" fillId="0" fontId="22" numFmtId="165" xfId="0" applyAlignment="1" applyFont="1" applyNumberFormat="1">
      <alignment horizontal="left" readingOrder="0" vertical="center"/>
    </xf>
    <xf borderId="11" fillId="0" fontId="5" numFmtId="0" xfId="0" applyAlignment="1" applyBorder="1" applyFont="1">
      <alignment horizontal="center" readingOrder="0" vertical="center"/>
    </xf>
    <xf borderId="11" fillId="0" fontId="5" numFmtId="165" xfId="0" applyAlignment="1" applyBorder="1" applyFont="1" applyNumberFormat="1">
      <alignment horizontal="center" readingOrder="0" vertical="center"/>
    </xf>
    <xf borderId="14" fillId="0" fontId="5" numFmtId="165" xfId="0" applyAlignment="1" applyBorder="1" applyFont="1" applyNumberFormat="1">
      <alignment horizontal="center" vertical="center"/>
    </xf>
    <xf borderId="17" fillId="0" fontId="5" numFmtId="0" xfId="0" applyAlignment="1" applyBorder="1" applyFont="1">
      <alignment horizontal="center" readingOrder="0" vertical="center"/>
    </xf>
    <xf borderId="28" fillId="0" fontId="5" numFmtId="165" xfId="0" applyAlignment="1" applyBorder="1" applyFont="1" applyNumberFormat="1">
      <alignment horizontal="center" vertical="center"/>
    </xf>
    <xf borderId="17" fillId="0" fontId="5" numFmtId="165" xfId="0" applyAlignment="1" applyBorder="1" applyFont="1" applyNumberFormat="1">
      <alignment horizontal="center" vertical="center"/>
    </xf>
    <xf borderId="17" fillId="0" fontId="5" numFmtId="185" xfId="0" applyAlignment="1" applyBorder="1" applyFont="1" applyNumberFormat="1">
      <alignment horizontal="center" vertical="center"/>
    </xf>
    <xf borderId="17" fillId="0" fontId="1" numFmtId="0" xfId="0" applyBorder="1" applyFont="1"/>
    <xf borderId="17" fillId="0" fontId="1" numFmtId="0" xfId="0" applyAlignment="1" applyBorder="1" applyFont="1">
      <alignment readingOrder="0"/>
    </xf>
    <xf borderId="16" fillId="0" fontId="1" numFmtId="0" xfId="0" applyBorder="1" applyFont="1"/>
    <xf borderId="29" fillId="0" fontId="1" numFmtId="0" xfId="0" applyBorder="1" applyFont="1"/>
    <xf borderId="30" fillId="0" fontId="1" numFmtId="0" xfId="0" applyBorder="1" applyFont="1"/>
    <xf borderId="34" fillId="0" fontId="1" numFmtId="0" xfId="0" applyBorder="1" applyFont="1"/>
    <xf borderId="0" fillId="0" fontId="1" numFmtId="165" xfId="0" applyFont="1" applyNumberFormat="1"/>
    <xf borderId="0" fillId="0" fontId="1" numFmtId="174" xfId="0" applyFont="1" applyNumberFormat="1"/>
    <xf borderId="0" fillId="0" fontId="1" numFmtId="165" xfId="0" applyFont="1" applyNumberFormat="1"/>
    <xf borderId="0" fillId="0" fontId="1" numFmtId="10" xfId="0" applyAlignment="1" applyFont="1" applyNumberFormat="1">
      <alignment readingOrder="0"/>
    </xf>
    <xf borderId="0" fillId="3" fontId="6" numFmtId="0" xfId="0" applyAlignment="1" applyFont="1">
      <alignment vertical="center"/>
    </xf>
    <xf borderId="0" fillId="3" fontId="5" numFmtId="0" xfId="0" applyAlignment="1" applyFont="1">
      <alignment vertical="center"/>
    </xf>
    <xf borderId="0" fillId="0" fontId="1" numFmtId="10" xfId="0" applyFont="1" applyNumberFormat="1"/>
    <xf borderId="0" fillId="0" fontId="1" numFmtId="171" xfId="0" applyAlignment="1" applyFont="1" applyNumberFormat="1">
      <alignment readingOrder="0"/>
    </xf>
    <xf quotePrefix="1" borderId="0" fillId="0" fontId="1" numFmtId="0" xfId="0" applyAlignment="1" applyFont="1">
      <alignment horizontal="right" readingOrder="0"/>
    </xf>
    <xf borderId="0" fillId="0" fontId="23" numFmtId="171" xfId="0" applyFont="1" applyNumberFormat="1"/>
    <xf borderId="0" fillId="0" fontId="1" numFmtId="167" xfId="0" applyFont="1" applyNumberFormat="1"/>
    <xf borderId="0" fillId="0" fontId="1" numFmtId="171" xfId="0" applyFont="1" applyNumberFormat="1"/>
    <xf borderId="0" fillId="0" fontId="1" numFmtId="2" xfId="0" applyFont="1" applyNumberFormat="1"/>
    <xf borderId="0" fillId="0" fontId="1" numFmtId="1" xfId="0" applyFont="1" applyNumberFormat="1"/>
    <xf borderId="0" fillId="0" fontId="5" numFmtId="0" xfId="0" applyAlignment="1" applyFont="1">
      <alignment readingOrder="0" vertical="center"/>
    </xf>
    <xf borderId="0" fillId="0" fontId="5" numFmtId="165" xfId="0" applyAlignment="1" applyFont="1" applyNumberFormat="1">
      <alignment vertical="center"/>
    </xf>
    <xf borderId="0" fillId="0" fontId="5" numFmtId="183" xfId="0" applyAlignment="1" applyFont="1" applyNumberFormat="1">
      <alignment vertical="center"/>
    </xf>
    <xf borderId="0" fillId="0" fontId="5" numFmtId="183" xfId="0" applyAlignment="1" applyFont="1" applyNumberFormat="1">
      <alignment readingOrder="0" vertical="center"/>
    </xf>
    <xf borderId="0" fillId="0" fontId="2" numFmtId="183" xfId="0" applyAlignment="1" applyFont="1" applyNumberFormat="1">
      <alignment vertical="center"/>
    </xf>
    <xf borderId="0" fillId="5" fontId="5" numFmtId="0" xfId="0" applyAlignment="1" applyFill="1" applyFont="1">
      <alignment horizontal="center" vertical="center"/>
    </xf>
    <xf borderId="0" fillId="5" fontId="5" numFmtId="0" xfId="0" applyAlignment="1" applyFont="1">
      <alignment vertical="center"/>
    </xf>
    <xf borderId="0" fillId="5" fontId="5" numFmtId="165" xfId="0" applyAlignment="1" applyFont="1" applyNumberFormat="1">
      <alignment vertical="center"/>
    </xf>
    <xf borderId="0" fillId="5" fontId="5" numFmtId="174" xfId="0" applyAlignment="1" applyFont="1" applyNumberFormat="1">
      <alignment vertical="center"/>
    </xf>
    <xf borderId="0" fillId="5" fontId="6" numFmtId="0" xfId="0" applyAlignment="1" applyFont="1">
      <alignment vertical="center"/>
    </xf>
    <xf borderId="0" fillId="0" fontId="6" numFmtId="178" xfId="0" applyAlignment="1" applyFont="1" applyNumberFormat="1">
      <alignment readingOrder="0" vertical="center"/>
    </xf>
    <xf borderId="0" fillId="6" fontId="5" numFmtId="0" xfId="0" applyAlignment="1" applyFill="1" applyFont="1">
      <alignment horizontal="center" vertical="center"/>
    </xf>
    <xf borderId="0" fillId="6" fontId="5" numFmtId="0" xfId="0" applyAlignment="1" applyFont="1">
      <alignment vertical="center"/>
    </xf>
    <xf borderId="0" fillId="6" fontId="5" numFmtId="165" xfId="0" applyAlignment="1" applyFont="1" applyNumberFormat="1">
      <alignment vertical="center"/>
    </xf>
    <xf borderId="0" fillId="6" fontId="5" numFmtId="174" xfId="0" applyAlignment="1" applyFont="1" applyNumberFormat="1">
      <alignment vertical="center"/>
    </xf>
    <xf borderId="0" fillId="6" fontId="6" numFmtId="178" xfId="0" applyAlignment="1" applyFont="1" applyNumberFormat="1">
      <alignment readingOrder="0" vertical="center"/>
    </xf>
    <xf borderId="0" fillId="6" fontId="6" numFmtId="169" xfId="0" applyAlignment="1" applyFont="1" applyNumberFormat="1">
      <alignment vertical="center"/>
    </xf>
    <xf borderId="0" fillId="6" fontId="6" numFmtId="164" xfId="0" applyAlignment="1" applyFont="1" applyNumberFormat="1">
      <alignment vertical="center"/>
    </xf>
    <xf borderId="0" fillId="6" fontId="6" numFmtId="177" xfId="0" applyAlignment="1" applyFont="1" applyNumberFormat="1">
      <alignment vertical="center"/>
    </xf>
    <xf borderId="0" fillId="6" fontId="6" numFmtId="171" xfId="0" applyAlignment="1" applyFont="1" applyNumberFormat="1">
      <alignment vertical="center"/>
    </xf>
    <xf borderId="0" fillId="6" fontId="6" numFmtId="165" xfId="0" applyAlignment="1" applyFont="1" applyNumberFormat="1">
      <alignment vertical="center"/>
    </xf>
    <xf borderId="0" fillId="6" fontId="6" numFmtId="0" xfId="0" applyAlignment="1" applyFont="1">
      <alignment readingOrder="0" vertical="center"/>
    </xf>
    <xf borderId="0" fillId="0" fontId="24" numFmtId="0" xfId="0" applyAlignment="1" applyFont="1">
      <alignment horizontal="left" readingOrder="0" vertical="center"/>
    </xf>
    <xf borderId="0" fillId="0" fontId="25" numFmtId="164" xfId="0" applyAlignment="1" applyFont="1" applyNumberFormat="1">
      <alignment horizontal="right" readingOrder="0" vertical="center"/>
    </xf>
    <xf borderId="0" fillId="4" fontId="26" numFmtId="0" xfId="0" applyAlignment="1" applyFont="1">
      <alignment horizontal="left" readingOrder="0" vertical="center"/>
    </xf>
    <xf borderId="0" fillId="0" fontId="27" numFmtId="164" xfId="0" applyAlignment="1" applyFont="1" applyNumberFormat="1">
      <alignment horizontal="right" readingOrder="0" shrinkToFit="0" vertical="center" wrapText="1"/>
    </xf>
    <xf borderId="0" fillId="0" fontId="28" numFmtId="171" xfId="0" applyAlignment="1" applyFont="1" applyNumberFormat="1">
      <alignment horizontal="center" readingOrder="0"/>
    </xf>
    <xf borderId="0" fillId="0" fontId="28" numFmtId="186" xfId="0" applyAlignment="1" applyFont="1" applyNumberFormat="1">
      <alignment horizontal="center" readingOrder="0"/>
    </xf>
    <xf borderId="0" fillId="0" fontId="28" numFmtId="165" xfId="0" applyAlignment="1" applyFont="1" applyNumberFormat="1">
      <alignment horizontal="center" readingOrder="0"/>
    </xf>
    <xf borderId="0" fillId="0" fontId="29" numFmtId="165" xfId="0" applyAlignment="1" applyFont="1" applyNumberFormat="1">
      <alignment horizontal="center" readingOrder="0"/>
    </xf>
    <xf borderId="0" fillId="0" fontId="28" numFmtId="171" xfId="0" applyAlignment="1" applyFont="1" applyNumberFormat="1">
      <alignment horizontal="center" readingOrder="0" vertical="center"/>
    </xf>
    <xf borderId="0" fillId="4" fontId="28" numFmtId="171" xfId="0" applyAlignment="1" applyFont="1" applyNumberFormat="1">
      <alignment horizontal="center" readingOrder="0"/>
    </xf>
    <xf borderId="0" fillId="7" fontId="8" numFmtId="164" xfId="0" applyAlignment="1" applyFill="1" applyFont="1" applyNumberFormat="1">
      <alignment horizontal="right" readingOrder="0" vertical="center"/>
    </xf>
    <xf borderId="0" fillId="0" fontId="30" numFmtId="164" xfId="0" applyAlignment="1" applyFont="1" applyNumberFormat="1">
      <alignment horizontal="right" readingOrder="0" shrinkToFit="0" vertical="center" wrapText="1"/>
    </xf>
    <xf borderId="0" fillId="0" fontId="30" numFmtId="164" xfId="0" applyAlignment="1" applyFont="1" applyNumberFormat="1">
      <alignment horizontal="right" readingOrder="0" vertical="center"/>
    </xf>
    <xf borderId="0" fillId="0" fontId="8" numFmtId="164" xfId="0" applyAlignment="1" applyFont="1" applyNumberFormat="1">
      <alignment horizontal="right" readingOrder="0" vertical="center"/>
    </xf>
    <xf borderId="0" fillId="0" fontId="31" numFmtId="0" xfId="0" applyFont="1"/>
    <xf borderId="0" fillId="0" fontId="8" numFmtId="0" xfId="0" applyAlignment="1" applyFont="1">
      <alignment readingOrder="0"/>
    </xf>
    <xf borderId="0" fillId="0" fontId="8" numFmtId="167" xfId="0" applyFont="1" applyNumberFormat="1"/>
    <xf borderId="0" fillId="0" fontId="32" numFmtId="9" xfId="0" applyAlignment="1" applyFont="1" applyNumberFormat="1">
      <alignment horizontal="center" readingOrder="0" vertical="center"/>
    </xf>
    <xf borderId="0" fillId="0" fontId="33" numFmtId="167" xfId="0" applyAlignment="1" applyFont="1" applyNumberFormat="1">
      <alignment horizontal="right" readingOrder="0" shrinkToFit="0" vertical="center" wrapText="1"/>
    </xf>
    <xf borderId="0" fillId="0" fontId="34" numFmtId="164" xfId="0" applyAlignment="1" applyFont="1" applyNumberFormat="1">
      <alignment horizontal="right" readingOrder="0" vertical="center"/>
    </xf>
    <xf borderId="0" fillId="0" fontId="34" numFmtId="186" xfId="0" applyAlignment="1" applyFont="1" applyNumberFormat="1">
      <alignment horizontal="right" readingOrder="0" vertical="center"/>
    </xf>
    <xf borderId="0" fillId="0" fontId="34" numFmtId="164" xfId="0" applyAlignment="1" applyFont="1" applyNumberFormat="1">
      <alignment horizontal="right" readingOrder="0"/>
    </xf>
    <xf borderId="0" fillId="4" fontId="35" numFmtId="164" xfId="0" applyAlignment="1" applyFont="1" applyNumberFormat="1">
      <alignment horizontal="right" readingOrder="0"/>
    </xf>
    <xf borderId="0" fillId="0" fontId="36" numFmtId="10" xfId="0" applyAlignment="1" applyFont="1" applyNumberFormat="1">
      <alignment horizontal="right" readingOrder="0"/>
    </xf>
    <xf borderId="0" fillId="4" fontId="37" numFmtId="164" xfId="0" applyAlignment="1" applyFont="1" applyNumberFormat="1">
      <alignment vertical="bottom"/>
    </xf>
    <xf borderId="0" fillId="0" fontId="36" numFmtId="0" xfId="0" applyAlignment="1" applyFont="1">
      <alignment horizontal="right" readingOrder="0"/>
    </xf>
    <xf borderId="0" fillId="0" fontId="36" numFmtId="165" xfId="0" applyAlignment="1" applyFont="1" applyNumberFormat="1">
      <alignment horizontal="right" readingOrder="0"/>
    </xf>
    <xf borderId="0" fillId="0" fontId="38" numFmtId="165" xfId="0" applyAlignment="1" applyFont="1" applyNumberFormat="1">
      <alignment horizontal="right" vertical="bottom"/>
    </xf>
    <xf borderId="0" fillId="0" fontId="34" numFmtId="164" xfId="0" applyAlignment="1" applyFont="1" applyNumberFormat="1">
      <alignment horizontal="right"/>
    </xf>
    <xf borderId="0" fillId="0" fontId="34" numFmtId="171" xfId="0" applyAlignment="1" applyFont="1" applyNumberFormat="1">
      <alignment horizontal="center" readingOrder="0"/>
    </xf>
    <xf borderId="0" fillId="0" fontId="37" numFmtId="164" xfId="0" applyFont="1" applyNumberFormat="1"/>
    <xf borderId="0" fillId="4" fontId="33" numFmtId="164" xfId="0" applyAlignment="1" applyFont="1" applyNumberFormat="1">
      <alignment horizontal="right" readingOrder="0" vertical="center"/>
    </xf>
    <xf borderId="0" fillId="4" fontId="39" numFmtId="0" xfId="0" applyAlignment="1" applyFont="1">
      <alignment horizontal="right" readingOrder="0" shrinkToFit="0" wrapText="0"/>
    </xf>
    <xf borderId="0" fillId="2" fontId="39" numFmtId="187" xfId="0" applyAlignment="1" applyFont="1" applyNumberFormat="1">
      <alignment horizontal="right" readingOrder="0" shrinkToFit="0" wrapText="0"/>
    </xf>
    <xf borderId="0" fillId="2" fontId="40" numFmtId="187" xfId="0" applyAlignment="1" applyFont="1" applyNumberFormat="1">
      <alignment vertical="bottom"/>
    </xf>
    <xf borderId="0" fillId="2" fontId="34" numFmtId="187" xfId="0" applyAlignment="1" applyFont="1" applyNumberFormat="1">
      <alignment horizontal="right" readingOrder="0" shrinkToFit="0" wrapText="0"/>
    </xf>
    <xf borderId="0" fillId="2" fontId="39" numFmtId="10" xfId="0" applyAlignment="1" applyFont="1" applyNumberFormat="1">
      <alignment horizontal="right" readingOrder="0" shrinkToFit="0" wrapText="0"/>
    </xf>
    <xf borderId="0" fillId="8" fontId="39" numFmtId="10" xfId="0" applyAlignment="1" applyFill="1" applyFont="1" applyNumberFormat="1">
      <alignment horizontal="right" shrinkToFit="0" vertical="bottom" wrapText="0"/>
    </xf>
    <xf borderId="0" fillId="7" fontId="31" numFmtId="164" xfId="0" applyAlignment="1" applyFont="1" applyNumberFormat="1">
      <alignment horizontal="right" readingOrder="0" vertical="center"/>
    </xf>
    <xf borderId="0" fillId="0" fontId="41" numFmtId="164" xfId="0" applyAlignment="1" applyFont="1" applyNumberFormat="1">
      <alignment horizontal="right" readingOrder="0" shrinkToFit="0" vertical="center" wrapText="1"/>
    </xf>
    <xf borderId="0" fillId="0" fontId="41" numFmtId="164" xfId="0" applyAlignment="1" applyFont="1" applyNumberFormat="1">
      <alignment horizontal="right" readingOrder="0" vertical="center"/>
    </xf>
    <xf borderId="0" fillId="0" fontId="31" numFmtId="164" xfId="0" applyAlignment="1" applyFont="1" applyNumberFormat="1">
      <alignment horizontal="right" readingOrder="0" vertical="center"/>
    </xf>
    <xf borderId="0" fillId="0" fontId="8" numFmtId="0" xfId="0" applyFont="1"/>
    <xf borderId="0" fillId="0" fontId="42" numFmtId="164" xfId="0" applyAlignment="1" applyFont="1" applyNumberFormat="1">
      <alignment horizontal="right" readingOrder="0" vertical="center"/>
    </xf>
    <xf borderId="0" fillId="0" fontId="42" numFmtId="186" xfId="0" applyAlignment="1" applyFont="1" applyNumberFormat="1">
      <alignment horizontal="right" readingOrder="0" vertical="center"/>
    </xf>
    <xf borderId="0" fillId="0" fontId="29" numFmtId="164" xfId="0" applyAlignment="1" applyFont="1" applyNumberFormat="1">
      <alignment horizontal="right" readingOrder="0"/>
    </xf>
    <xf borderId="0" fillId="0" fontId="43" numFmtId="164" xfId="0" applyAlignment="1" applyFont="1" applyNumberFormat="1">
      <alignment horizontal="right" readingOrder="0"/>
    </xf>
    <xf borderId="0" fillId="0" fontId="43" numFmtId="165" xfId="0" applyAlignment="1" applyFont="1" applyNumberFormat="1">
      <alignment horizontal="right" readingOrder="0"/>
    </xf>
    <xf borderId="0" fillId="0" fontId="37" numFmtId="165" xfId="0" applyAlignment="1" applyFont="1" applyNumberFormat="1">
      <alignment vertical="bottom"/>
    </xf>
    <xf borderId="0" fillId="0" fontId="44" numFmtId="164" xfId="0" applyAlignment="1" applyFont="1" applyNumberFormat="1">
      <alignment horizontal="left" readingOrder="0"/>
    </xf>
    <xf borderId="0" fillId="0" fontId="37" numFmtId="164" xfId="0" applyAlignment="1" applyFont="1" applyNumberFormat="1">
      <alignment vertical="bottom"/>
    </xf>
    <xf borderId="0" fillId="0" fontId="29" numFmtId="164" xfId="0" applyAlignment="1" applyFont="1" applyNumberFormat="1">
      <alignment horizontal="right" readingOrder="0" vertical="center"/>
    </xf>
    <xf borderId="0" fillId="0" fontId="45" numFmtId="164" xfId="0" applyAlignment="1" applyFont="1" applyNumberFormat="1">
      <alignment horizontal="right"/>
    </xf>
    <xf borderId="0" fillId="0" fontId="45" numFmtId="164" xfId="0" applyAlignment="1" applyFont="1" applyNumberFormat="1">
      <alignment horizontal="right" readingOrder="0" vertical="center"/>
    </xf>
    <xf borderId="0" fillId="0" fontId="46" numFmtId="164" xfId="0" applyAlignment="1" applyFont="1" applyNumberFormat="1">
      <alignment horizontal="right" readingOrder="0"/>
    </xf>
    <xf borderId="0" fillId="4" fontId="47" numFmtId="164" xfId="0" applyAlignment="1" applyFont="1" applyNumberFormat="1">
      <alignment horizontal="right" readingOrder="0" vertical="center"/>
    </xf>
    <xf borderId="0" fillId="4" fontId="48" numFmtId="164" xfId="0" applyAlignment="1" applyFont="1" applyNumberFormat="1">
      <alignment horizontal="right" readingOrder="0" shrinkToFit="0" wrapText="0"/>
    </xf>
    <xf borderId="0" fillId="9" fontId="48" numFmtId="164" xfId="0" applyAlignment="1" applyFill="1" applyFont="1" applyNumberFormat="1">
      <alignment horizontal="right" readingOrder="0" shrinkToFit="0" wrapText="0"/>
    </xf>
    <xf borderId="0" fillId="4" fontId="48" numFmtId="164" xfId="0" applyAlignment="1" applyFont="1" applyNumberFormat="1">
      <alignment horizontal="right" shrinkToFit="0" vertical="bottom" wrapText="0"/>
    </xf>
    <xf borderId="0" fillId="9" fontId="47" numFmtId="164" xfId="0" applyAlignment="1" applyFont="1" applyNumberFormat="1">
      <alignment horizontal="right" readingOrder="0" shrinkToFit="0" wrapText="0"/>
    </xf>
    <xf borderId="0" fillId="6" fontId="48" numFmtId="164" xfId="0" applyAlignment="1" applyFont="1" applyNumberFormat="1">
      <alignment horizontal="right" shrinkToFit="0" vertical="bottom" wrapText="0"/>
    </xf>
    <xf borderId="0" fillId="10" fontId="48" numFmtId="164" xfId="0" applyAlignment="1" applyFill="1" applyFont="1" applyNumberFormat="1">
      <alignment horizontal="right" readingOrder="0" shrinkToFit="0" wrapText="0"/>
    </xf>
    <xf borderId="0" fillId="11" fontId="48" numFmtId="164" xfId="0" applyAlignment="1" applyFill="1" applyFont="1" applyNumberFormat="1">
      <alignment horizontal="right" shrinkToFit="0" vertical="bottom" wrapText="0"/>
    </xf>
    <xf borderId="0" fillId="0" fontId="8" numFmtId="167" xfId="0" applyAlignment="1" applyFont="1" applyNumberFormat="1">
      <alignment readingOrder="0"/>
    </xf>
    <xf borderId="0" fillId="0" fontId="35" numFmtId="164" xfId="0" applyAlignment="1" applyFont="1" applyNumberFormat="1">
      <alignment horizontal="right" readingOrder="0"/>
    </xf>
    <xf borderId="0" fillId="0" fontId="35" numFmtId="165" xfId="0" applyAlignment="1" applyFont="1" applyNumberFormat="1">
      <alignment horizontal="right" readingOrder="0"/>
    </xf>
    <xf borderId="0" fillId="0" fontId="49" numFmtId="164" xfId="0" applyAlignment="1" applyFont="1" applyNumberFormat="1">
      <alignment horizontal="right" readingOrder="0"/>
    </xf>
    <xf borderId="0" fillId="4" fontId="34" numFmtId="187" xfId="0" applyAlignment="1" applyFont="1" applyNumberFormat="1">
      <alignment horizontal="right" readingOrder="0" shrinkToFit="0" wrapText="0"/>
    </xf>
    <xf borderId="0" fillId="2" fontId="34" numFmtId="10" xfId="0" applyAlignment="1" applyFont="1" applyNumberFormat="1">
      <alignment horizontal="right" readingOrder="0" shrinkToFit="0" wrapText="0"/>
    </xf>
    <xf borderId="0" fillId="2" fontId="34" numFmtId="188" xfId="0" applyAlignment="1" applyFont="1" applyNumberFormat="1">
      <alignment horizontal="right" readingOrder="0" shrinkToFit="0" wrapText="0"/>
    </xf>
    <xf borderId="0" fillId="2" fontId="34" numFmtId="173" xfId="0" applyAlignment="1" applyFont="1" applyNumberFormat="1">
      <alignment horizontal="right" readingOrder="0" shrinkToFit="0" wrapText="0"/>
    </xf>
    <xf borderId="21" fillId="2" fontId="34" numFmtId="187" xfId="0" applyAlignment="1" applyBorder="1" applyFont="1" applyNumberFormat="1">
      <alignment horizontal="right" shrinkToFit="0" vertical="bottom" wrapText="0"/>
    </xf>
    <xf borderId="0" fillId="0" fontId="31" numFmtId="10" xfId="0" applyAlignment="1" applyFont="1" applyNumberFormat="1">
      <alignment horizontal="right" readingOrder="0" vertical="center"/>
    </xf>
    <xf borderId="0" fillId="0" fontId="42" numFmtId="165" xfId="0" applyAlignment="1" applyFont="1" applyNumberFormat="1">
      <alignment horizontal="right" readingOrder="0" vertical="center"/>
    </xf>
    <xf borderId="0" fillId="0" fontId="29" numFmtId="171" xfId="0" applyAlignment="1" applyFont="1" applyNumberFormat="1">
      <alignment horizontal="center" readingOrder="0"/>
    </xf>
    <xf borderId="17" fillId="2" fontId="48" numFmtId="187" xfId="0" applyAlignment="1" applyBorder="1" applyFont="1" applyNumberFormat="1">
      <alignment horizontal="right" readingOrder="0" shrinkToFit="0" wrapText="0"/>
    </xf>
    <xf borderId="0" fillId="4" fontId="42" numFmtId="187" xfId="0" applyAlignment="1" applyFont="1" applyNumberFormat="1">
      <alignment horizontal="right" readingOrder="0" shrinkToFit="0" wrapText="0"/>
    </xf>
    <xf borderId="17" fillId="2" fontId="42" numFmtId="165" xfId="0" applyAlignment="1" applyBorder="1" applyFont="1" applyNumberFormat="1">
      <alignment horizontal="right" readingOrder="0" shrinkToFit="0" wrapText="0"/>
    </xf>
    <xf borderId="17" fillId="2" fontId="42" numFmtId="165" xfId="0" applyAlignment="1" applyBorder="1" applyFont="1" applyNumberFormat="1">
      <alignment horizontal="right" shrinkToFit="0" vertical="bottom" wrapText="0"/>
    </xf>
    <xf borderId="17" fillId="2" fontId="42" numFmtId="187" xfId="0" applyAlignment="1" applyBorder="1" applyFont="1" applyNumberFormat="1">
      <alignment horizontal="right" readingOrder="0" shrinkToFit="0" wrapText="0"/>
    </xf>
    <xf borderId="17" fillId="9" fontId="48" numFmtId="187" xfId="0" applyAlignment="1" applyBorder="1" applyFont="1" applyNumberFormat="1">
      <alignment horizontal="right" readingOrder="0" shrinkToFit="0" wrapText="0"/>
    </xf>
    <xf borderId="17" fillId="2" fontId="48" numFmtId="188" xfId="0" applyAlignment="1" applyBorder="1" applyFont="1" applyNumberFormat="1">
      <alignment horizontal="right" shrinkToFit="0" vertical="bottom" wrapText="0"/>
    </xf>
    <xf borderId="17" fillId="2" fontId="48" numFmtId="173" xfId="0" applyAlignment="1" applyBorder="1" applyFont="1" applyNumberFormat="1">
      <alignment horizontal="right" readingOrder="0" shrinkToFit="0" wrapText="0"/>
    </xf>
    <xf borderId="17" fillId="2" fontId="48" numFmtId="188" xfId="0" applyAlignment="1" applyBorder="1" applyFont="1" applyNumberFormat="1">
      <alignment horizontal="right" readingOrder="0" shrinkToFit="0" wrapText="0"/>
    </xf>
    <xf borderId="24" fillId="2" fontId="39" numFmtId="189" xfId="0" applyAlignment="1" applyBorder="1" applyFont="1" applyNumberFormat="1">
      <alignment horizontal="right" readingOrder="0" shrinkToFit="0" vertical="bottom" wrapText="0"/>
    </xf>
    <xf borderId="17" fillId="2" fontId="48" numFmtId="189" xfId="0" applyAlignment="1" applyBorder="1" applyFont="1" applyNumberFormat="1">
      <alignment horizontal="right" readingOrder="0" shrinkToFit="0" wrapText="0"/>
    </xf>
    <xf borderId="37" fillId="0" fontId="8" numFmtId="0" xfId="0" applyBorder="1" applyFont="1"/>
    <xf borderId="0" fillId="0" fontId="33" numFmtId="164" xfId="0" applyAlignment="1" applyFont="1" applyNumberFormat="1">
      <alignment horizontal="right" readingOrder="0" shrinkToFit="0" vertical="center" wrapText="1"/>
    </xf>
    <xf borderId="0" fillId="0" fontId="8" numFmtId="186" xfId="0" applyFont="1" applyNumberFormat="1"/>
    <xf borderId="0" fillId="0" fontId="29" numFmtId="165" xfId="0" applyAlignment="1" applyFont="1" applyNumberFormat="1">
      <alignment readingOrder="0"/>
    </xf>
    <xf borderId="0" fillId="4" fontId="43" numFmtId="165" xfId="0" applyAlignment="1" applyFont="1" applyNumberFormat="1">
      <alignment readingOrder="0"/>
    </xf>
    <xf borderId="0" fillId="4" fontId="37" numFmtId="165" xfId="0" applyAlignment="1" applyFont="1" applyNumberFormat="1">
      <alignment vertical="bottom"/>
    </xf>
    <xf borderId="0" fillId="0" fontId="37" numFmtId="165" xfId="0" applyFont="1" applyNumberFormat="1"/>
    <xf borderId="0" fillId="4" fontId="43" numFmtId="165" xfId="0" applyAlignment="1" applyFont="1" applyNumberFormat="1">
      <alignment readingOrder="0"/>
    </xf>
    <xf borderId="0" fillId="4" fontId="50" numFmtId="165" xfId="0" applyAlignment="1" applyFont="1" applyNumberFormat="1">
      <alignment vertical="bottom"/>
    </xf>
    <xf borderId="0" fillId="4" fontId="51" numFmtId="165" xfId="0" applyAlignment="1" applyFont="1" applyNumberFormat="1">
      <alignment readingOrder="0"/>
    </xf>
    <xf borderId="0" fillId="4" fontId="52" numFmtId="165" xfId="0" applyAlignment="1" applyFont="1" applyNumberFormat="1">
      <alignment readingOrder="0"/>
    </xf>
    <xf borderId="0" fillId="0" fontId="53" numFmtId="0" xfId="0" applyAlignment="1" applyFont="1">
      <alignment horizontal="left" readingOrder="0" shrinkToFit="0" wrapText="0"/>
    </xf>
    <xf borderId="0" fillId="0" fontId="29" numFmtId="165" xfId="0" applyAlignment="1" applyFont="1" applyNumberFormat="1">
      <alignment horizontal="right" readingOrder="0" vertical="center"/>
    </xf>
    <xf borderId="0" fillId="0" fontId="45" numFmtId="165" xfId="0" applyFont="1" applyNumberFormat="1"/>
    <xf borderId="0" fillId="0" fontId="45" numFmtId="165" xfId="0" applyAlignment="1" applyFont="1" applyNumberFormat="1">
      <alignment horizontal="right" readingOrder="0" vertical="center"/>
    </xf>
    <xf borderId="0" fillId="0" fontId="46" numFmtId="165" xfId="0" applyAlignment="1" applyFont="1" applyNumberFormat="1">
      <alignment readingOrder="0"/>
    </xf>
    <xf borderId="0" fillId="4" fontId="46" numFmtId="165" xfId="0" applyAlignment="1" applyFont="1" applyNumberFormat="1">
      <alignment readingOrder="0"/>
    </xf>
    <xf borderId="0" fillId="4" fontId="42" numFmtId="164" xfId="0" applyAlignment="1" applyFont="1" applyNumberFormat="1">
      <alignment horizontal="right" readingOrder="0" vertical="center"/>
    </xf>
    <xf borderId="0" fillId="9" fontId="29" numFmtId="164" xfId="0" applyAlignment="1" applyFont="1" applyNumberFormat="1">
      <alignment readingOrder="0" shrinkToFit="0" wrapText="0"/>
    </xf>
    <xf borderId="0" fillId="9" fontId="29" numFmtId="165" xfId="0" applyAlignment="1" applyFont="1" applyNumberFormat="1">
      <alignment readingOrder="0" shrinkToFit="0" wrapText="0"/>
    </xf>
    <xf borderId="0" fillId="9" fontId="29" numFmtId="164" xfId="0" applyAlignment="1" applyFont="1" applyNumberFormat="1">
      <alignment horizontal="right" readingOrder="0" shrinkToFit="0" vertical="bottom" wrapText="0"/>
    </xf>
    <xf borderId="0" fillId="10" fontId="29" numFmtId="164" xfId="0" applyAlignment="1" applyFont="1" applyNumberFormat="1">
      <alignment readingOrder="0" shrinkToFit="0" wrapText="0"/>
    </xf>
    <xf borderId="0" fillId="10" fontId="29" numFmtId="164" xfId="0" applyAlignment="1" applyFont="1" applyNumberFormat="1">
      <alignment horizontal="right" readingOrder="0" shrinkToFit="0" vertical="bottom" wrapText="0"/>
    </xf>
    <xf borderId="0" fillId="7" fontId="8" numFmtId="0" xfId="0" applyAlignment="1" applyFont="1">
      <alignment horizontal="center" readingOrder="0" vertical="center"/>
    </xf>
    <xf borderId="0" fillId="0" fontId="30" numFmtId="174" xfId="0" applyAlignment="1" applyFont="1" applyNumberFormat="1">
      <alignment horizontal="right" readingOrder="0" shrinkToFit="0" vertical="center" wrapText="1"/>
    </xf>
    <xf borderId="0" fillId="0" fontId="30" numFmtId="174" xfId="0" applyAlignment="1" applyFont="1" applyNumberFormat="1">
      <alignment horizontal="right" readingOrder="0" vertical="center"/>
    </xf>
    <xf borderId="0" fillId="0" fontId="8" numFmtId="0" xfId="0" applyAlignment="1" applyFont="1">
      <alignment horizontal="center" readingOrder="0" vertical="center"/>
    </xf>
    <xf borderId="0" fillId="0" fontId="32" numFmtId="0" xfId="0" applyAlignment="1" applyFont="1">
      <alignment horizontal="center" readingOrder="0" vertical="center"/>
    </xf>
    <xf borderId="0" fillId="0" fontId="29" numFmtId="186" xfId="0" applyAlignment="1" applyFont="1" applyNumberFormat="1">
      <alignment readingOrder="0"/>
    </xf>
    <xf borderId="0" fillId="4" fontId="43" numFmtId="167" xfId="0" applyAlignment="1" applyFont="1" applyNumberFormat="1">
      <alignment readingOrder="0"/>
    </xf>
    <xf borderId="0" fillId="0" fontId="42" numFmtId="165" xfId="0" applyAlignment="1" applyFont="1" applyNumberFormat="1">
      <alignment horizontal="right" readingOrder="0" vertical="center"/>
    </xf>
    <xf borderId="0" fillId="4" fontId="37" numFmtId="167" xfId="0" applyAlignment="1" applyFont="1" applyNumberFormat="1">
      <alignment vertical="bottom"/>
    </xf>
    <xf borderId="0" fillId="0" fontId="54" numFmtId="165" xfId="0" applyAlignment="1" applyFont="1" applyNumberFormat="1">
      <alignment readingOrder="0" shrinkToFit="0" wrapText="0"/>
    </xf>
    <xf borderId="0" fillId="0" fontId="29" numFmtId="165" xfId="0" applyAlignment="1" applyFont="1" applyNumberFormat="1">
      <alignment readingOrder="0"/>
    </xf>
    <xf borderId="0" fillId="4" fontId="43" numFmtId="165" xfId="0" applyAlignment="1" applyFont="1" applyNumberFormat="1">
      <alignment readingOrder="0" shrinkToFit="0" wrapText="0"/>
    </xf>
    <xf borderId="0" fillId="4" fontId="55" numFmtId="165" xfId="0" applyAlignment="1" applyFont="1" applyNumberFormat="1">
      <alignment shrinkToFit="0" vertical="bottom" wrapText="0"/>
    </xf>
    <xf borderId="0" fillId="4" fontId="56" numFmtId="165" xfId="0" applyAlignment="1" applyFont="1" applyNumberFormat="1">
      <alignment readingOrder="0" shrinkToFit="0" wrapText="0"/>
    </xf>
    <xf borderId="0" fillId="4" fontId="57" numFmtId="167" xfId="0" applyAlignment="1" applyFont="1" applyNumberFormat="1">
      <alignment readingOrder="0" shrinkToFit="0" wrapText="0"/>
    </xf>
    <xf borderId="0" fillId="4" fontId="43" numFmtId="165" xfId="0" applyAlignment="1" applyFont="1" applyNumberFormat="1">
      <alignment horizontal="left" readingOrder="0" shrinkToFit="0" wrapText="0"/>
    </xf>
    <xf borderId="0" fillId="0" fontId="29" numFmtId="165" xfId="0" applyAlignment="1" applyFont="1" applyNumberFormat="1">
      <alignment horizontal="right" readingOrder="0" vertical="center"/>
    </xf>
    <xf borderId="0" fillId="0" fontId="45" numFmtId="167" xfId="0" applyAlignment="1" applyFont="1" applyNumberFormat="1">
      <alignment readingOrder="0"/>
    </xf>
    <xf borderId="0" fillId="0" fontId="45" numFmtId="165" xfId="0" applyAlignment="1" applyFont="1" applyNumberFormat="1">
      <alignment horizontal="right" readingOrder="0" vertical="center"/>
    </xf>
    <xf borderId="0" fillId="0" fontId="46" numFmtId="4" xfId="0" applyAlignment="1" applyFont="1" applyNumberFormat="1">
      <alignment readingOrder="0"/>
    </xf>
    <xf borderId="0" fillId="0" fontId="37" numFmtId="165" xfId="0" applyFont="1" applyNumberFormat="1"/>
    <xf borderId="0" fillId="4" fontId="46" numFmtId="4" xfId="0" applyAlignment="1" applyFont="1" applyNumberFormat="1">
      <alignment readingOrder="0"/>
    </xf>
    <xf borderId="0" fillId="4" fontId="42" numFmtId="4" xfId="0" applyAlignment="1" applyFont="1" applyNumberFormat="1">
      <alignment horizontal="right" readingOrder="0" vertical="center"/>
    </xf>
    <xf borderId="0" fillId="9" fontId="29" numFmtId="4" xfId="0" applyAlignment="1" applyFont="1" applyNumberFormat="1">
      <alignment readingOrder="0" shrinkToFit="0" wrapText="0"/>
    </xf>
    <xf borderId="0" fillId="9" fontId="40" numFmtId="4" xfId="0" applyAlignment="1" applyFont="1" applyNumberFormat="1">
      <alignment vertical="bottom"/>
    </xf>
    <xf borderId="0" fillId="9" fontId="58" numFmtId="4" xfId="0" applyAlignment="1" applyFont="1" applyNumberFormat="1">
      <alignment readingOrder="0" shrinkToFit="0" wrapText="0"/>
    </xf>
    <xf borderId="0" fillId="9" fontId="59" numFmtId="4" xfId="0" applyAlignment="1" applyFont="1" applyNumberFormat="1">
      <alignment horizontal="left" readingOrder="0" shrinkToFit="0" vertical="center" wrapText="0"/>
    </xf>
    <xf borderId="0" fillId="9" fontId="60" numFmtId="4" xfId="0" applyAlignment="1" applyFont="1" applyNumberFormat="1">
      <alignment readingOrder="0" shrinkToFit="0" wrapText="0"/>
    </xf>
    <xf borderId="0" fillId="9" fontId="37" numFmtId="4" xfId="0" applyAlignment="1" applyFont="1" applyNumberFormat="1">
      <alignment vertical="bottom"/>
    </xf>
    <xf borderId="0" fillId="9" fontId="61" numFmtId="4" xfId="0" applyAlignment="1" applyFont="1" applyNumberFormat="1">
      <alignment readingOrder="0" vertical="bottom"/>
    </xf>
    <xf borderId="0" fillId="10" fontId="29" numFmtId="4" xfId="0" applyAlignment="1" applyFont="1" applyNumberFormat="1">
      <alignment readingOrder="0" shrinkToFit="0" wrapText="0"/>
    </xf>
    <xf borderId="0" fillId="10" fontId="62" numFmtId="4" xfId="0" applyAlignment="1" applyFont="1" applyNumberFormat="1">
      <alignment readingOrder="0" shrinkToFit="0" vertical="bottom" wrapText="0"/>
    </xf>
    <xf borderId="38" fillId="0" fontId="63" numFmtId="0" xfId="0" applyAlignment="1" applyBorder="1" applyFont="1">
      <alignment horizontal="left" readingOrder="0" vertical="center"/>
    </xf>
    <xf borderId="27" fillId="0" fontId="27" numFmtId="171" xfId="0" applyAlignment="1" applyBorder="1" applyFont="1" applyNumberFormat="1">
      <alignment horizontal="right" readingOrder="0" vertical="center"/>
    </xf>
    <xf borderId="0" fillId="0" fontId="32" numFmtId="3" xfId="0" applyAlignment="1" applyFont="1" applyNumberFormat="1">
      <alignment horizontal="center" readingOrder="0" shrinkToFit="0" vertical="center" wrapText="0"/>
    </xf>
    <xf borderId="0" fillId="0" fontId="64" numFmtId="0" xfId="0" applyAlignment="1" applyFont="1">
      <alignment horizontal="left" readingOrder="0" shrinkToFit="0" vertical="center" wrapText="0"/>
    </xf>
    <xf borderId="0" fillId="0" fontId="65" numFmtId="186" xfId="0" applyAlignment="1" applyFont="1" applyNumberFormat="1">
      <alignment horizontal="right" readingOrder="0" shrinkToFit="0" vertical="center" wrapText="0"/>
    </xf>
    <xf borderId="0" fillId="0" fontId="66" numFmtId="186" xfId="0" applyAlignment="1" applyFont="1" applyNumberFormat="1">
      <alignment shrinkToFit="0" wrapText="0"/>
    </xf>
    <xf borderId="0" fillId="4" fontId="21" numFmtId="167" xfId="0" applyAlignment="1" applyFont="1" applyNumberFormat="1">
      <alignment readingOrder="0" shrinkToFit="0" wrapText="0"/>
    </xf>
    <xf borderId="0" fillId="0" fontId="65" numFmtId="165" xfId="0" applyAlignment="1" applyFont="1" applyNumberFormat="1">
      <alignment horizontal="right" readingOrder="0" shrinkToFit="0" vertical="center" wrapText="0"/>
    </xf>
    <xf borderId="0" fillId="0" fontId="67" numFmtId="165" xfId="0" applyAlignment="1" applyFont="1" applyNumberFormat="1">
      <alignment horizontal="right" readingOrder="0" shrinkToFit="0" vertical="center" wrapText="0"/>
    </xf>
    <xf borderId="0" fillId="4" fontId="68" numFmtId="167" xfId="0" applyAlignment="1" applyFont="1" applyNumberFormat="1">
      <alignment readingOrder="0" shrinkToFit="0" wrapText="0"/>
    </xf>
    <xf borderId="0" fillId="4" fontId="40" numFmtId="167" xfId="0" applyAlignment="1" applyFont="1" applyNumberFormat="1">
      <alignment vertical="bottom"/>
    </xf>
    <xf borderId="0" fillId="0" fontId="40" numFmtId="165" xfId="0" applyFont="1" applyNumberFormat="1"/>
    <xf borderId="0" fillId="0" fontId="66" numFmtId="165" xfId="0" applyAlignment="1" applyFont="1" applyNumberFormat="1">
      <alignment shrinkToFit="0" wrapText="0"/>
    </xf>
    <xf borderId="0" fillId="4" fontId="21" numFmtId="165" xfId="0" applyAlignment="1" applyFont="1" applyNumberFormat="1">
      <alignment readingOrder="0" shrinkToFit="0" wrapText="0"/>
    </xf>
    <xf borderId="0" fillId="4" fontId="40" numFmtId="165" xfId="0" applyAlignment="1" applyFont="1" applyNumberFormat="1">
      <alignment vertical="bottom"/>
    </xf>
    <xf borderId="0" fillId="4" fontId="69" numFmtId="165" xfId="0" applyAlignment="1" applyFont="1" applyNumberFormat="1">
      <alignment readingOrder="0" shrinkToFit="0" wrapText="0"/>
    </xf>
    <xf borderId="0" fillId="0" fontId="70" numFmtId="0" xfId="0" applyAlignment="1" applyFont="1">
      <alignment horizontal="center" readingOrder="0" vertical="bottom"/>
    </xf>
    <xf borderId="0" fillId="0" fontId="65" numFmtId="165" xfId="0" applyAlignment="1" applyFont="1" applyNumberFormat="1">
      <alignment horizontal="right" readingOrder="0" shrinkToFit="0" vertical="center" wrapText="0"/>
    </xf>
    <xf borderId="0" fillId="0" fontId="66" numFmtId="167" xfId="0" applyAlignment="1" applyFont="1" applyNumberFormat="1">
      <alignment shrinkToFit="0" wrapText="0"/>
    </xf>
    <xf borderId="0" fillId="0" fontId="66" numFmtId="4" xfId="0" applyAlignment="1" applyFont="1" applyNumberFormat="1">
      <alignment readingOrder="0" shrinkToFit="0" wrapText="0"/>
    </xf>
    <xf borderId="0" fillId="0" fontId="40" numFmtId="165" xfId="0" applyFont="1" applyNumberFormat="1"/>
    <xf borderId="0" fillId="4" fontId="66" numFmtId="4" xfId="0" applyAlignment="1" applyFont="1" applyNumberFormat="1">
      <alignment readingOrder="0" shrinkToFit="0" wrapText="0"/>
    </xf>
    <xf borderId="0" fillId="4" fontId="65" numFmtId="3" xfId="0" applyAlignment="1" applyFont="1" applyNumberFormat="1">
      <alignment horizontal="right" readingOrder="0" shrinkToFit="0" vertical="center" wrapText="0"/>
    </xf>
    <xf borderId="0" fillId="9" fontId="66" numFmtId="4" xfId="0" applyAlignment="1" applyFont="1" applyNumberFormat="1">
      <alignment shrinkToFit="0" wrapText="0"/>
    </xf>
    <xf borderId="0" fillId="9" fontId="66" numFmtId="4" xfId="0" applyAlignment="1" applyFont="1" applyNumberFormat="1">
      <alignment readingOrder="0" shrinkToFit="0" wrapText="0"/>
    </xf>
    <xf borderId="0" fillId="9" fontId="65" numFmtId="4" xfId="0" applyAlignment="1" applyFont="1" applyNumberFormat="1">
      <alignment horizontal="right" readingOrder="0" shrinkToFit="0" vertical="center" wrapText="0"/>
    </xf>
    <xf borderId="0" fillId="9" fontId="71" numFmtId="4" xfId="0" applyAlignment="1" applyFont="1" applyNumberFormat="1">
      <alignment readingOrder="0" shrinkToFit="0" wrapText="0"/>
    </xf>
    <xf borderId="0" fillId="10" fontId="66" numFmtId="4" xfId="0" applyAlignment="1" applyFont="1" applyNumberFormat="1">
      <alignment shrinkToFit="0" wrapText="0"/>
    </xf>
    <xf borderId="0" fillId="10" fontId="40" numFmtId="4" xfId="0" applyAlignment="1" applyFont="1" applyNumberFormat="1">
      <alignment vertical="bottom"/>
    </xf>
    <xf borderId="39" fillId="0" fontId="63" numFmtId="0" xfId="0" applyAlignment="1" applyBorder="1" applyFont="1">
      <alignment horizontal="left" readingOrder="0" vertical="center"/>
    </xf>
    <xf borderId="40" fillId="0" fontId="27" numFmtId="167" xfId="0" applyAlignment="1" applyBorder="1" applyFont="1" applyNumberFormat="1">
      <alignment horizontal="right" vertical="center"/>
    </xf>
    <xf borderId="0" fillId="0" fontId="32" numFmtId="3" xfId="0" applyAlignment="1" applyFont="1" applyNumberFormat="1">
      <alignment horizontal="center" readingOrder="0" vertical="center"/>
    </xf>
    <xf borderId="0" fillId="0" fontId="64" numFmtId="0" xfId="0" applyAlignment="1" applyFont="1">
      <alignment horizontal="left" readingOrder="0" vertical="center"/>
    </xf>
    <xf borderId="0" fillId="0" fontId="65" numFmtId="186" xfId="0" applyAlignment="1" applyFont="1" applyNumberFormat="1">
      <alignment horizontal="right" readingOrder="0" vertical="center"/>
    </xf>
    <xf borderId="0" fillId="0" fontId="66" numFmtId="186" xfId="0" applyFont="1" applyNumberFormat="1"/>
    <xf borderId="0" fillId="4" fontId="21" numFmtId="167" xfId="0" applyAlignment="1" applyFont="1" applyNumberFormat="1">
      <alignment readingOrder="0"/>
    </xf>
    <xf borderId="0" fillId="0" fontId="65" numFmtId="165" xfId="0" applyAlignment="1" applyFont="1" applyNumberFormat="1">
      <alignment horizontal="right" readingOrder="0" vertical="center"/>
    </xf>
    <xf borderId="0" fillId="4" fontId="72" numFmtId="167" xfId="0" applyAlignment="1" applyFont="1" applyNumberFormat="1">
      <alignment horizontal="right" vertical="bottom"/>
    </xf>
    <xf borderId="0" fillId="0" fontId="66" numFmtId="165" xfId="0" applyFont="1" applyNumberFormat="1"/>
    <xf borderId="0" fillId="4" fontId="21" numFmtId="165" xfId="0" applyAlignment="1" applyFont="1" applyNumberFormat="1">
      <alignment readingOrder="0"/>
    </xf>
    <xf borderId="0" fillId="0" fontId="65" numFmtId="165" xfId="0" applyAlignment="1" applyFont="1" applyNumberFormat="1">
      <alignment horizontal="right" readingOrder="0" vertical="center"/>
    </xf>
    <xf borderId="0" fillId="0" fontId="66" numFmtId="167" xfId="0" applyFont="1" applyNumberFormat="1"/>
    <xf borderId="0" fillId="0" fontId="66" numFmtId="4" xfId="0" applyAlignment="1" applyFont="1" applyNumberFormat="1">
      <alignment readingOrder="0"/>
    </xf>
    <xf borderId="0" fillId="0" fontId="66" numFmtId="165" xfId="0" applyAlignment="1" applyFont="1" applyNumberFormat="1">
      <alignment readingOrder="0"/>
    </xf>
    <xf borderId="0" fillId="12" fontId="66" numFmtId="4" xfId="0" applyAlignment="1" applyFill="1" applyFont="1" applyNumberFormat="1">
      <alignment readingOrder="0"/>
    </xf>
    <xf borderId="0" fillId="4" fontId="66" numFmtId="4" xfId="0" applyAlignment="1" applyFont="1" applyNumberFormat="1">
      <alignment readingOrder="0"/>
    </xf>
    <xf borderId="0" fillId="4" fontId="65" numFmtId="4" xfId="0" applyAlignment="1" applyFont="1" applyNumberFormat="1">
      <alignment horizontal="right" readingOrder="0" vertical="center"/>
    </xf>
    <xf borderId="0" fillId="13" fontId="66" numFmtId="4" xfId="0" applyFill="1" applyFont="1" applyNumberFormat="1"/>
    <xf borderId="0" fillId="13" fontId="40" numFmtId="4" xfId="0" applyAlignment="1" applyFont="1" applyNumberFormat="1">
      <alignment vertical="bottom"/>
    </xf>
    <xf borderId="0" fillId="9" fontId="66" numFmtId="4" xfId="0" applyFont="1" applyNumberFormat="1"/>
    <xf borderId="0" fillId="12" fontId="66" numFmtId="4" xfId="0" applyFont="1" applyNumberFormat="1"/>
    <xf borderId="0" fillId="14" fontId="66" numFmtId="4" xfId="0" applyFill="1" applyFont="1" applyNumberFormat="1"/>
    <xf borderId="0" fillId="12" fontId="65" numFmtId="4" xfId="0" applyAlignment="1" applyFont="1" applyNumberFormat="1">
      <alignment horizontal="right" readingOrder="0" vertical="center"/>
    </xf>
    <xf borderId="0" fillId="12" fontId="40" numFmtId="4" xfId="0" applyAlignment="1" applyFont="1" applyNumberFormat="1">
      <alignment vertical="bottom"/>
    </xf>
    <xf borderId="0" fillId="12" fontId="73" numFmtId="4" xfId="0" applyAlignment="1" applyFont="1" applyNumberFormat="1">
      <alignment readingOrder="0" vertical="bottom"/>
    </xf>
    <xf borderId="0" fillId="15" fontId="66" numFmtId="4" xfId="0" applyFill="1" applyFont="1" applyNumberFormat="1"/>
    <xf borderId="0" fillId="10" fontId="66" numFmtId="4" xfId="0" applyFont="1" applyNumberFormat="1"/>
    <xf borderId="0" fillId="0" fontId="1" numFmtId="0" xfId="0" applyAlignment="1" applyFont="1">
      <alignment horizontal="center" vertical="center"/>
    </xf>
    <xf borderId="39" fillId="0" fontId="63" numFmtId="174" xfId="0" applyAlignment="1" applyBorder="1" applyFont="1" applyNumberFormat="1">
      <alignment horizontal="left" readingOrder="0" vertical="center"/>
    </xf>
    <xf borderId="40" fillId="0" fontId="27" numFmtId="164" xfId="0" applyAlignment="1" applyBorder="1" applyFont="1" applyNumberFormat="1">
      <alignment horizontal="right" vertical="center"/>
    </xf>
    <xf borderId="0" fillId="0" fontId="8" numFmtId="3" xfId="0" applyAlignment="1" applyFont="1" applyNumberFormat="1">
      <alignment horizontal="center" readingOrder="0" vertical="center"/>
    </xf>
    <xf borderId="0" fillId="0" fontId="64" numFmtId="0" xfId="0" applyAlignment="1" applyFont="1">
      <alignment horizontal="center" readingOrder="0" vertical="center"/>
    </xf>
    <xf borderId="0" fillId="0" fontId="66" numFmtId="190" xfId="0" applyAlignment="1" applyFont="1" applyNumberFormat="1">
      <alignment horizontal="center" readingOrder="0" vertical="center"/>
    </xf>
    <xf borderId="0" fillId="0" fontId="66" numFmtId="190" xfId="0" applyAlignment="1" applyFont="1" applyNumberFormat="1">
      <alignment horizontal="center" vertical="center"/>
    </xf>
    <xf borderId="0" fillId="0" fontId="66" numFmtId="167" xfId="0" applyAlignment="1" applyFont="1" applyNumberFormat="1">
      <alignment horizontal="center" readingOrder="0" vertical="center"/>
    </xf>
    <xf borderId="0" fillId="0" fontId="74" numFmtId="4" xfId="0" applyAlignment="1" applyFont="1" applyNumberFormat="1">
      <alignment horizontal="center" vertical="center"/>
    </xf>
    <xf borderId="0" fillId="0" fontId="66" numFmtId="167" xfId="0" applyAlignment="1" applyFont="1" applyNumberFormat="1">
      <alignment horizontal="center"/>
    </xf>
    <xf borderId="0" fillId="0" fontId="40" numFmtId="0" xfId="0" applyAlignment="1" applyFont="1">
      <alignment vertical="bottom"/>
    </xf>
    <xf borderId="0" fillId="0" fontId="66" numFmtId="165" xfId="0" applyAlignment="1" applyFont="1" applyNumberFormat="1">
      <alignment horizontal="center" readingOrder="0" vertical="center"/>
    </xf>
    <xf borderId="0" fillId="0" fontId="46" numFmtId="165" xfId="0" applyAlignment="1" applyFont="1" applyNumberFormat="1">
      <alignment horizontal="center" readingOrder="0" vertical="center"/>
    </xf>
    <xf borderId="0" fillId="0" fontId="66" numFmtId="167" xfId="0" applyAlignment="1" applyFont="1" applyNumberFormat="1">
      <alignment horizontal="center" vertical="center"/>
    </xf>
    <xf borderId="0" fillId="9" fontId="66" numFmtId="4" xfId="0" applyAlignment="1" applyFont="1" applyNumberFormat="1">
      <alignment horizontal="center" readingOrder="0" vertical="center"/>
    </xf>
    <xf borderId="0" fillId="4" fontId="66" numFmtId="4" xfId="0" applyAlignment="1" applyFont="1" applyNumberFormat="1">
      <alignment horizontal="center" vertical="center"/>
    </xf>
    <xf borderId="0" fillId="4" fontId="66" numFmtId="4" xfId="0" applyAlignment="1" applyFont="1" applyNumberFormat="1">
      <alignment horizontal="center" readingOrder="0" vertical="center"/>
    </xf>
    <xf borderId="0" fillId="9" fontId="66" numFmtId="4" xfId="0" applyAlignment="1" applyFont="1" applyNumberFormat="1">
      <alignment horizontal="center"/>
    </xf>
    <xf borderId="0" fillId="9" fontId="66" numFmtId="4" xfId="0" applyAlignment="1" applyFont="1" applyNumberFormat="1">
      <alignment horizontal="center" vertical="center"/>
    </xf>
    <xf borderId="0" fillId="10" fontId="66" numFmtId="4" xfId="0" applyAlignment="1" applyFont="1" applyNumberFormat="1">
      <alignment horizontal="center" readingOrder="0" vertical="center"/>
    </xf>
    <xf borderId="0" fillId="10" fontId="46" numFmtId="3" xfId="0" applyAlignment="1" applyFont="1" applyNumberFormat="1">
      <alignment horizontal="center"/>
    </xf>
    <xf borderId="0" fillId="10" fontId="46" numFmtId="3" xfId="0" applyAlignment="1" applyFont="1" applyNumberFormat="1">
      <alignment horizontal="center" readingOrder="0" vertical="center"/>
    </xf>
    <xf borderId="0" fillId="7" fontId="1" numFmtId="0" xfId="0" applyAlignment="1" applyFont="1">
      <alignment horizontal="center" readingOrder="0" vertical="center"/>
    </xf>
    <xf borderId="0" fillId="0" fontId="30" numFmtId="174" xfId="0" applyAlignment="1" applyFont="1" applyNumberFormat="1">
      <alignment horizontal="center" readingOrder="0" shrinkToFit="0" vertical="center" wrapText="1"/>
    </xf>
    <xf borderId="0" fillId="0" fontId="75" numFmtId="164" xfId="0" applyAlignment="1" applyFont="1" applyNumberFormat="1">
      <alignment horizontal="center" readingOrder="0" vertical="center"/>
    </xf>
    <xf borderId="0" fillId="0" fontId="1" numFmtId="191" xfId="0" applyAlignment="1" applyFont="1" applyNumberForma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41" fillId="0" fontId="63" numFmtId="0" xfId="0" applyAlignment="1" applyBorder="1" applyFont="1">
      <alignment horizontal="left" readingOrder="0" vertical="center"/>
    </xf>
    <xf borderId="19" fillId="0" fontId="27" numFmtId="164" xfId="0" applyAlignment="1" applyBorder="1" applyFont="1" applyNumberFormat="1">
      <alignment horizontal="right" readingOrder="0" shrinkToFit="0" vertical="center" wrapText="1"/>
    </xf>
    <xf borderId="0" fillId="0" fontId="8" numFmtId="174" xfId="0" applyAlignment="1" applyFont="1" applyNumberFormat="1">
      <alignment horizontal="center" readingOrder="0" shrinkToFit="0" vertical="center" wrapText="1"/>
    </xf>
    <xf borderId="0" fillId="0" fontId="66" numFmtId="165" xfId="0" applyAlignment="1" applyFont="1" applyNumberFormat="1">
      <alignment horizontal="right" readingOrder="0" shrinkToFit="0" vertical="center" wrapText="1"/>
    </xf>
    <xf borderId="0" fillId="0" fontId="66" numFmtId="165" xfId="0" applyAlignment="1" applyFont="1" applyNumberFormat="1">
      <alignment horizontal="right" readingOrder="0" shrinkToFit="0" vertical="center" wrapText="1"/>
    </xf>
    <xf borderId="0" fillId="0" fontId="8" numFmtId="164" xfId="0" applyAlignment="1" applyFont="1" applyNumberFormat="1">
      <alignment horizontal="center" vertical="center"/>
    </xf>
    <xf borderId="0" fillId="0" fontId="66" numFmtId="165" xfId="0" applyAlignment="1" applyFont="1" applyNumberFormat="1">
      <alignment horizontal="right" shrinkToFit="0" wrapText="1"/>
    </xf>
    <xf borderId="0" fillId="0" fontId="66" numFmtId="165" xfId="0" applyAlignment="1" applyFont="1" applyNumberFormat="1">
      <alignment horizontal="right" shrinkToFit="0" vertical="center" wrapText="1"/>
    </xf>
    <xf borderId="0" fillId="0" fontId="66" numFmtId="165" xfId="0" applyAlignment="1" applyFont="1" applyNumberFormat="1">
      <alignment horizontal="center" vertical="center"/>
    </xf>
    <xf borderId="0" fillId="0" fontId="66" numFmtId="165" xfId="0" applyAlignment="1" applyFont="1" applyNumberFormat="1">
      <alignment horizontal="center"/>
    </xf>
    <xf borderId="0" fillId="0" fontId="46" numFmtId="165" xfId="0" applyAlignment="1" applyFont="1" applyNumberFormat="1">
      <alignment horizontal="center" vertical="center"/>
    </xf>
    <xf borderId="0" fillId="0" fontId="74" numFmtId="164" xfId="0" applyAlignment="1" applyFont="1" applyNumberFormat="1">
      <alignment horizontal="center" vertical="center"/>
    </xf>
    <xf borderId="0" fillId="0" fontId="66" numFmtId="165" xfId="0" applyAlignment="1" applyFont="1" applyNumberFormat="1">
      <alignment horizontal="center" readingOrder="0" vertical="center"/>
    </xf>
    <xf borderId="0" fillId="4" fontId="66" numFmtId="165" xfId="0" applyAlignment="1" applyFont="1" applyNumberFormat="1">
      <alignment horizontal="right" readingOrder="0" shrinkToFit="0" vertical="center" wrapText="1"/>
    </xf>
    <xf borderId="0" fillId="0" fontId="66" numFmtId="192" xfId="0" applyAlignment="1" applyFont="1" applyNumberFormat="1">
      <alignment horizontal="center" readingOrder="0" vertical="center"/>
    </xf>
    <xf borderId="0" fillId="0" fontId="66" numFmtId="165" xfId="0" applyAlignment="1" applyFont="1" applyNumberFormat="1">
      <alignment horizontal="center" vertical="center"/>
    </xf>
    <xf borderId="0" fillId="9" fontId="66" numFmtId="164" xfId="0" applyAlignment="1" applyFont="1" applyNumberFormat="1">
      <alignment horizontal="center" readingOrder="0" shrinkToFit="0" vertical="center" wrapText="1"/>
    </xf>
    <xf borderId="0" fillId="4" fontId="66" numFmtId="164" xfId="0" applyAlignment="1" applyFont="1" applyNumberFormat="1">
      <alignment horizontal="center" readingOrder="0" shrinkToFit="0" vertical="center" wrapText="1"/>
    </xf>
    <xf borderId="0" fillId="16" fontId="66" numFmtId="164" xfId="0" applyAlignment="1" applyFill="1" applyFont="1" applyNumberFormat="1">
      <alignment horizontal="center" shrinkToFit="0" vertical="center" wrapText="1"/>
    </xf>
    <xf borderId="0" fillId="17" fontId="66" numFmtId="164" xfId="0" applyAlignment="1" applyFill="1" applyFont="1" applyNumberFormat="1">
      <alignment horizontal="center" shrinkToFit="0" vertical="center" wrapText="1"/>
    </xf>
    <xf borderId="0" fillId="18" fontId="66" numFmtId="164" xfId="0" applyAlignment="1" applyFill="1" applyFont="1" applyNumberFormat="1">
      <alignment horizontal="center" shrinkToFit="0" wrapText="1"/>
    </xf>
    <xf borderId="0" fillId="7" fontId="1" numFmtId="174" xfId="0" applyAlignment="1" applyFont="1" applyNumberFormat="1">
      <alignment horizontal="center" readingOrder="0" shrinkToFit="0" vertical="center" wrapText="1"/>
    </xf>
    <xf borderId="0" fillId="0" fontId="75" numFmtId="193" xfId="0" applyAlignment="1" applyFont="1" applyNumberFormat="1">
      <alignment horizontal="center" readingOrder="0" shrinkToFit="0" vertical="center" wrapText="1"/>
    </xf>
    <xf borderId="0" fillId="0" fontId="1" numFmtId="174" xfId="0" applyAlignment="1" applyFont="1" applyNumberFormat="1">
      <alignment readingOrder="0" shrinkToFit="0" vertical="center" wrapText="1"/>
    </xf>
    <xf borderId="0" fillId="4" fontId="26" numFmtId="0" xfId="0" applyAlignment="1" applyFont="1">
      <alignment horizontal="right" readingOrder="0" vertical="center"/>
    </xf>
    <xf borderId="0" fillId="0" fontId="76" numFmtId="3" xfId="0" applyAlignment="1" applyFont="1" applyNumberFormat="1">
      <alignment horizontal="center" readingOrder="0" shrinkToFit="0" vertical="center" wrapText="1"/>
    </xf>
    <xf borderId="0" fillId="0" fontId="76" numFmtId="186" xfId="0" applyAlignment="1" applyFont="1" applyNumberFormat="1">
      <alignment horizontal="center" readingOrder="0" shrinkToFit="0" vertical="center" wrapText="1"/>
    </xf>
    <xf borderId="0" fillId="0" fontId="76" numFmtId="186" xfId="0" applyAlignment="1" applyFont="1" applyNumberFormat="1">
      <alignment horizontal="right" readingOrder="0" shrinkToFit="0" vertical="center" wrapText="1"/>
    </xf>
    <xf borderId="0" fillId="4" fontId="21" numFmtId="165" xfId="0" applyAlignment="1" applyFont="1" applyNumberFormat="1">
      <alignment horizontal="center" readingOrder="0" vertical="center"/>
    </xf>
    <xf borderId="0" fillId="0" fontId="1" numFmtId="167" xfId="0" applyAlignment="1" applyFont="1" applyNumberFormat="1">
      <alignment horizontal="center" vertical="center"/>
    </xf>
    <xf borderId="0" fillId="0" fontId="76" numFmtId="165" xfId="0" applyAlignment="1" applyFont="1" applyNumberFormat="1">
      <alignment horizontal="center" readingOrder="0" shrinkToFit="0" vertical="center" wrapText="1"/>
    </xf>
    <xf borderId="0" fillId="0" fontId="76" numFmtId="167" xfId="0" applyAlignment="1" applyFont="1" applyNumberFormat="1">
      <alignment horizontal="center" readingOrder="0" shrinkToFit="0" vertical="center" wrapText="1"/>
    </xf>
    <xf borderId="0" fillId="0" fontId="40" numFmtId="167" xfId="0" applyAlignment="1" applyFont="1" applyNumberFormat="1">
      <alignment horizontal="center" vertical="center"/>
    </xf>
    <xf borderId="0" fillId="0" fontId="21" numFmtId="165" xfId="0" applyAlignment="1" applyFont="1" applyNumberFormat="1">
      <alignment horizontal="center" readingOrder="0" vertical="center"/>
    </xf>
    <xf borderId="0" fillId="0" fontId="77" numFmtId="165" xfId="0" applyAlignment="1" applyFont="1" applyNumberFormat="1">
      <alignment horizontal="center" readingOrder="0" shrinkToFit="0" vertical="center" wrapText="1"/>
    </xf>
    <xf borderId="0" fillId="0" fontId="21" numFmtId="0" xfId="0" applyAlignment="1" applyFont="1">
      <alignment horizontal="center" readingOrder="0" vertical="center"/>
    </xf>
    <xf borderId="0" fillId="4" fontId="21" numFmtId="4" xfId="0" applyAlignment="1" applyFont="1" applyNumberFormat="1">
      <alignment horizontal="center" readingOrder="0" vertical="center"/>
    </xf>
    <xf borderId="0" fillId="4" fontId="5" numFmtId="4" xfId="0" applyAlignment="1" applyFont="1" applyNumberFormat="1">
      <alignment horizontal="center" readingOrder="0" vertical="center"/>
    </xf>
    <xf borderId="0" fillId="9" fontId="21" numFmtId="4" xfId="0" applyAlignment="1" applyFont="1" applyNumberFormat="1">
      <alignment horizontal="center" readingOrder="0" vertical="center"/>
    </xf>
    <xf borderId="0" fillId="9" fontId="21" numFmtId="0" xfId="0" applyAlignment="1" applyFont="1">
      <alignment horizontal="center" readingOrder="0" vertical="center"/>
    </xf>
    <xf borderId="0" fillId="9" fontId="76" numFmtId="4" xfId="0" applyAlignment="1" applyFont="1" applyNumberFormat="1">
      <alignment horizontal="center" readingOrder="0" shrinkToFit="0" vertical="center" wrapText="1"/>
    </xf>
    <xf borderId="0" fillId="9" fontId="21" numFmtId="165" xfId="0" applyAlignment="1" applyFont="1" applyNumberFormat="1">
      <alignment horizontal="center" readingOrder="0" vertical="center"/>
    </xf>
    <xf borderId="0" fillId="9" fontId="76" numFmtId="167" xfId="0" applyAlignment="1" applyFont="1" applyNumberFormat="1">
      <alignment horizontal="center" readingOrder="0" shrinkToFit="0" vertical="center" wrapText="1"/>
    </xf>
    <xf borderId="0" fillId="10" fontId="21" numFmtId="165" xfId="0" applyAlignment="1" applyFont="1" applyNumberFormat="1">
      <alignment horizontal="center" readingOrder="0" vertical="center"/>
    </xf>
    <xf borderId="0" fillId="10" fontId="40" numFmtId="167" xfId="0" applyAlignment="1" applyFont="1" applyNumberFormat="1">
      <alignment horizontal="center" vertical="center"/>
    </xf>
    <xf borderId="0" fillId="7" fontId="76" numFmtId="0" xfId="0" applyAlignment="1" applyFont="1">
      <alignment horizontal="center" readingOrder="0" shrinkToFit="0" vertical="center" wrapText="1"/>
    </xf>
    <xf borderId="0" fillId="0" fontId="75" numFmtId="192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readingOrder="0" shrinkToFit="0" vertical="center" wrapText="1"/>
    </xf>
    <xf borderId="0" fillId="4" fontId="43" numFmtId="0" xfId="0" applyAlignment="1" applyFont="1">
      <alignment horizontal="center" readingOrder="0" vertical="center"/>
    </xf>
    <xf borderId="0" fillId="0" fontId="30" numFmtId="165" xfId="0" applyAlignment="1" applyFont="1" applyNumberFormat="1">
      <alignment horizontal="left" readingOrder="0" shrinkToFit="0" vertical="center" wrapText="1"/>
    </xf>
    <xf borderId="0" fillId="0" fontId="76" numFmtId="186" xfId="0" applyAlignment="1" applyFont="1" applyNumberFormat="1">
      <alignment horizontal="center" readingOrder="0" shrinkToFit="0" vertical="center" wrapText="1"/>
    </xf>
    <xf borderId="0" fillId="0" fontId="1" numFmtId="186" xfId="0" applyAlignment="1" applyFont="1" applyNumberFormat="1">
      <alignment horizontal="center" vertical="center"/>
    </xf>
    <xf borderId="0" fillId="0" fontId="78" numFmtId="165" xfId="0" applyAlignment="1" applyFont="1" applyNumberFormat="1">
      <alignment horizontal="center" readingOrder="0" shrinkToFit="0" vertical="center" wrapText="1"/>
    </xf>
    <xf borderId="0" fillId="0" fontId="40" numFmtId="165" xfId="0" applyAlignment="1" applyFont="1" applyNumberFormat="1">
      <alignment horizontal="center" vertical="center"/>
    </xf>
    <xf borderId="0" fillId="0" fontId="78" numFmtId="165" xfId="0" applyAlignment="1" applyFont="1" applyNumberFormat="1">
      <alignment horizontal="center" readingOrder="0" shrinkToFit="0" vertical="center" wrapText="1"/>
    </xf>
    <xf borderId="0" fillId="0" fontId="76" numFmtId="4" xfId="0" applyAlignment="1" applyFont="1" applyNumberFormat="1">
      <alignment horizontal="center" readingOrder="0" shrinkToFit="0" vertical="center" wrapText="1"/>
    </xf>
    <xf borderId="0" fillId="0" fontId="40" numFmtId="167" xfId="0" applyAlignment="1" applyFont="1" applyNumberFormat="1">
      <alignment horizontal="center"/>
    </xf>
    <xf borderId="0" fillId="4" fontId="76" numFmtId="4" xfId="0" applyAlignment="1" applyFont="1" applyNumberFormat="1">
      <alignment horizontal="center" readingOrder="0" shrinkToFit="0" vertical="center" wrapText="1"/>
    </xf>
    <xf borderId="0" fillId="9" fontId="40" numFmtId="4" xfId="0" applyAlignment="1" applyFont="1" applyNumberFormat="1">
      <alignment horizontal="center"/>
    </xf>
    <xf borderId="0" fillId="9" fontId="5" numFmtId="4" xfId="0" applyAlignment="1" applyFont="1" applyNumberFormat="1">
      <alignment horizontal="center" readingOrder="0" vertical="center"/>
    </xf>
    <xf borderId="0" fillId="9" fontId="40" numFmtId="4" xfId="0" applyAlignment="1" applyFont="1" applyNumberFormat="1">
      <alignment horizontal="center" vertical="center"/>
    </xf>
    <xf borderId="0" fillId="10" fontId="76" numFmtId="4" xfId="0" applyAlignment="1" applyFont="1" applyNumberFormat="1">
      <alignment horizontal="center" readingOrder="0" shrinkToFit="0" vertical="center" wrapText="1"/>
    </xf>
    <xf borderId="0" fillId="10" fontId="40" numFmtId="4" xfId="0" applyAlignment="1" applyFont="1" applyNumberFormat="1">
      <alignment horizontal="center" vertical="center"/>
    </xf>
    <xf borderId="0" fillId="0" fontId="79" numFmtId="194" xfId="0" applyAlignment="1" applyFont="1" applyNumberFormat="1">
      <alignment horizontal="right" readingOrder="0" shrinkToFit="0" vertical="center" wrapText="1"/>
    </xf>
    <xf borderId="0" fillId="0" fontId="80" numFmtId="0" xfId="0" applyAlignment="1" applyFont="1">
      <alignment horizontal="center" readingOrder="0" shrinkToFit="0" vertical="center" wrapText="1"/>
    </xf>
    <xf borderId="0" fillId="0" fontId="80" numFmtId="195" xfId="0" applyAlignment="1" applyFont="1" applyNumberFormat="1">
      <alignment horizontal="left" readingOrder="0" shrinkToFit="0" vertical="center" wrapText="1"/>
    </xf>
    <xf borderId="0" fillId="0" fontId="80" numFmtId="3" xfId="0" applyAlignment="1" applyFont="1" applyNumberFormat="1">
      <alignment horizontal="center" readingOrder="0" shrinkToFit="0" vertical="center" wrapText="1"/>
    </xf>
    <xf borderId="0" fillId="0" fontId="80" numFmtId="186" xfId="0" applyAlignment="1" applyFont="1" applyNumberFormat="1">
      <alignment horizontal="center" readingOrder="0" shrinkToFit="0" vertical="center" wrapText="1"/>
    </xf>
    <xf borderId="0" fillId="0" fontId="81" numFmtId="186" xfId="0" applyAlignment="1" applyFont="1" applyNumberFormat="1">
      <alignment horizontal="center" readingOrder="0" shrinkToFit="0" vertical="center" wrapText="1"/>
    </xf>
    <xf borderId="0" fillId="0" fontId="82" numFmtId="186" xfId="0" applyAlignment="1" applyFont="1" applyNumberFormat="1">
      <alignment horizontal="center" readingOrder="0" shrinkToFit="0" vertical="center" wrapText="1"/>
    </xf>
    <xf borderId="0" fillId="0" fontId="83" numFmtId="186" xfId="0" applyAlignment="1" applyFont="1" applyNumberFormat="1">
      <alignment horizontal="center" vertical="center"/>
    </xf>
    <xf borderId="0" fillId="0" fontId="83" numFmtId="167" xfId="0" applyAlignment="1" applyFont="1" applyNumberFormat="1">
      <alignment horizontal="center" vertical="center"/>
    </xf>
    <xf borderId="0" fillId="0" fontId="80" numFmtId="165" xfId="0" applyAlignment="1" applyFont="1" applyNumberFormat="1">
      <alignment horizontal="center" readingOrder="0" shrinkToFit="0" vertical="center" wrapText="1"/>
    </xf>
    <xf borderId="0" fillId="0" fontId="80" numFmtId="167" xfId="0" applyAlignment="1" applyFont="1" applyNumberFormat="1">
      <alignment horizontal="center" readingOrder="0" shrinkToFit="0" vertical="center" wrapText="1"/>
    </xf>
    <xf borderId="0" fillId="0" fontId="84" numFmtId="167" xfId="0" applyAlignment="1" applyFont="1" applyNumberFormat="1">
      <alignment horizontal="center" readingOrder="0" shrinkToFit="0" vertical="center" wrapText="1"/>
    </xf>
    <xf borderId="0" fillId="0" fontId="84" numFmtId="165" xfId="0" applyAlignment="1" applyFont="1" applyNumberFormat="1">
      <alignment horizontal="center" readingOrder="0" shrinkToFit="0" wrapText="1"/>
    </xf>
    <xf borderId="0" fillId="0" fontId="82" numFmtId="165" xfId="0" applyAlignment="1" applyFont="1" applyNumberFormat="1">
      <alignment horizontal="center" readingOrder="0" shrinkToFit="0" vertical="center" wrapText="1"/>
    </xf>
    <xf borderId="0" fillId="0" fontId="77" numFmtId="165" xfId="0" applyAlignment="1" applyFont="1" applyNumberFormat="1">
      <alignment horizontal="center" readingOrder="0" shrinkToFit="0" vertical="center" wrapText="1"/>
    </xf>
    <xf borderId="0" fillId="0" fontId="85" numFmtId="186" xfId="0" applyAlignment="1" applyFont="1" applyNumberFormat="1">
      <alignment horizontal="center" readingOrder="0" shrinkToFit="0" vertical="center" wrapText="1"/>
    </xf>
    <xf borderId="0" fillId="0" fontId="85" numFmtId="167" xfId="0" applyAlignment="1" applyFont="1" applyNumberFormat="1">
      <alignment horizontal="center" readingOrder="0" shrinkToFit="0" vertical="center" wrapText="1"/>
    </xf>
    <xf borderId="0" fillId="0" fontId="85" numFmtId="4" xfId="0" applyAlignment="1" applyFont="1" applyNumberFormat="1">
      <alignment horizontal="center" readingOrder="0" shrinkToFit="0" vertical="center" wrapText="1"/>
    </xf>
    <xf borderId="0" fillId="0" fontId="86" numFmtId="165" xfId="0" applyAlignment="1" applyFont="1" applyNumberFormat="1">
      <alignment horizontal="center" readingOrder="0" shrinkToFit="0" vertical="center" wrapText="1"/>
    </xf>
    <xf borderId="0" fillId="0" fontId="85" numFmtId="165" xfId="0" applyAlignment="1" applyFont="1" applyNumberFormat="1">
      <alignment horizontal="center" readingOrder="0" shrinkToFit="0" vertical="center" wrapText="1"/>
    </xf>
    <xf borderId="0" fillId="0" fontId="85" numFmtId="165" xfId="0" applyAlignment="1" applyFont="1" applyNumberFormat="1">
      <alignment horizontal="center" readingOrder="0" shrinkToFit="0" vertical="center" wrapText="1"/>
    </xf>
    <xf borderId="0" fillId="0" fontId="87" numFmtId="165" xfId="0" applyAlignment="1" applyFont="1" applyNumberFormat="1">
      <alignment horizontal="center" readingOrder="0" shrinkToFit="0" wrapText="1"/>
    </xf>
    <xf borderId="0" fillId="4" fontId="85" numFmtId="4" xfId="0" applyAlignment="1" applyFont="1" applyNumberFormat="1">
      <alignment horizontal="center" readingOrder="0" shrinkToFit="0" vertical="center" wrapText="1"/>
    </xf>
    <xf borderId="0" fillId="4" fontId="77" numFmtId="4" xfId="0" applyAlignment="1" applyFont="1" applyNumberFormat="1">
      <alignment horizontal="center" readingOrder="0" shrinkToFit="0" vertical="center" wrapText="1"/>
    </xf>
    <xf borderId="0" fillId="9" fontId="85" numFmtId="4" xfId="0" applyAlignment="1" applyFont="1" applyNumberFormat="1">
      <alignment horizontal="center" readingOrder="0" shrinkToFit="0" vertical="center" wrapText="1"/>
    </xf>
    <xf borderId="0" fillId="9" fontId="85" numFmtId="4" xfId="0" applyAlignment="1" applyFont="1" applyNumberFormat="1">
      <alignment horizontal="center" readingOrder="0" shrinkToFit="0" wrapText="1"/>
    </xf>
    <xf borderId="0" fillId="9" fontId="77" numFmtId="4" xfId="0" applyAlignment="1" applyFont="1" applyNumberFormat="1">
      <alignment horizontal="center" readingOrder="0" shrinkToFit="0" vertical="center" wrapText="1"/>
    </xf>
    <xf borderId="0" fillId="9" fontId="85" numFmtId="4" xfId="0" applyAlignment="1" applyFont="1" applyNumberFormat="1">
      <alignment horizontal="center" shrinkToFit="0" vertical="center" wrapText="1"/>
    </xf>
    <xf borderId="0" fillId="10" fontId="85" numFmtId="4" xfId="0" applyAlignment="1" applyFont="1" applyNumberFormat="1">
      <alignment horizontal="center" readingOrder="0" shrinkToFit="0" vertical="center" wrapText="1"/>
    </xf>
    <xf borderId="0" fillId="7" fontId="77" numFmtId="0" xfId="0" applyAlignment="1" applyFont="1">
      <alignment horizontal="center" readingOrder="0" shrinkToFit="0" vertical="center" wrapText="1"/>
    </xf>
    <xf borderId="0" fillId="0" fontId="77" numFmtId="0" xfId="0" applyAlignment="1" applyFont="1">
      <alignment horizontal="center" readingOrder="0" shrinkToFit="0" vertical="center" wrapText="1"/>
    </xf>
    <xf borderId="0" fillId="0" fontId="77" numFmtId="0" xfId="0" applyAlignment="1" applyFont="1">
      <alignment readingOrder="0" shrinkToFit="0" vertical="center" wrapText="1"/>
    </xf>
    <xf borderId="21" fillId="0" fontId="8" numFmtId="0" xfId="0" applyAlignment="1" applyBorder="1" applyFont="1">
      <alignment horizontal="center" readingOrder="0"/>
    </xf>
    <xf borderId="21" fillId="0" fontId="88" numFmtId="195" xfId="0" applyAlignment="1" applyBorder="1" applyFont="1" applyNumberFormat="1">
      <alignment horizontal="center" readingOrder="0"/>
    </xf>
    <xf borderId="21" fillId="0" fontId="8" numFmtId="3" xfId="0" applyAlignment="1" applyBorder="1" applyFont="1" applyNumberFormat="1">
      <alignment horizontal="center" readingOrder="0"/>
    </xf>
    <xf borderId="21" fillId="0" fontId="8" numFmtId="186" xfId="0" applyAlignment="1" applyBorder="1" applyFont="1" applyNumberFormat="1">
      <alignment horizontal="center" readingOrder="0"/>
    </xf>
    <xf borderId="21" fillId="0" fontId="87" numFmtId="171" xfId="0" applyAlignment="1" applyBorder="1" applyFont="1" applyNumberFormat="1">
      <alignment horizontal="center" readingOrder="0" vertical="bottom"/>
    </xf>
    <xf borderId="21" fillId="0" fontId="87" numFmtId="186" xfId="0" applyAlignment="1" applyBorder="1" applyFont="1" applyNumberFormat="1">
      <alignment horizontal="center" readingOrder="0" vertical="bottom"/>
    </xf>
    <xf borderId="21" fillId="0" fontId="8" numFmtId="167" xfId="0" applyAlignment="1" applyBorder="1" applyFont="1" applyNumberFormat="1">
      <alignment horizontal="center" readingOrder="0"/>
    </xf>
    <xf borderId="21" fillId="0" fontId="37" numFmtId="165" xfId="0" applyAlignment="1" applyBorder="1" applyFont="1" applyNumberFormat="1">
      <alignment horizontal="center" readingOrder="0" vertical="bottom"/>
    </xf>
    <xf borderId="21" fillId="0" fontId="87" numFmtId="165" xfId="0" applyAlignment="1" applyBorder="1" applyFont="1" applyNumberFormat="1">
      <alignment horizontal="center" vertical="bottom"/>
    </xf>
    <xf borderId="21" fillId="0" fontId="8" numFmtId="165" xfId="0" applyAlignment="1" applyBorder="1" applyFont="1" applyNumberFormat="1">
      <alignment horizontal="center" readingOrder="0"/>
    </xf>
    <xf borderId="21" fillId="0" fontId="87" numFmtId="165" xfId="0" applyAlignment="1" applyBorder="1" applyFont="1" applyNumberFormat="1">
      <alignment horizontal="center" readingOrder="0" vertical="bottom"/>
    </xf>
    <xf borderId="21" fillId="0" fontId="87" numFmtId="167" xfId="0" applyAlignment="1" applyBorder="1" applyFont="1" applyNumberFormat="1">
      <alignment horizontal="center" readingOrder="0" vertical="bottom"/>
    </xf>
    <xf borderId="21" fillId="0" fontId="37" numFmtId="165" xfId="0" applyAlignment="1" applyBorder="1" applyFont="1" applyNumberFormat="1">
      <alignment horizontal="center" readingOrder="0" vertical="bottom"/>
    </xf>
    <xf borderId="21" fillId="0" fontId="87" numFmtId="165" xfId="0" applyAlignment="1" applyBorder="1" applyFont="1" applyNumberFormat="1">
      <alignment horizontal="center" vertical="bottom"/>
    </xf>
    <xf borderId="21" fillId="4" fontId="89" numFmtId="4" xfId="0" applyAlignment="1" applyBorder="1" applyFont="1" applyNumberFormat="1">
      <alignment horizontal="center" readingOrder="0" vertical="bottom"/>
    </xf>
    <xf borderId="21" fillId="4" fontId="8" numFmtId="4" xfId="0" applyAlignment="1" applyBorder="1" applyFont="1" applyNumberFormat="1">
      <alignment horizontal="center" readingOrder="0"/>
    </xf>
    <xf borderId="21" fillId="9" fontId="89" numFmtId="4" xfId="0" applyAlignment="1" applyBorder="1" applyFont="1" applyNumberFormat="1">
      <alignment horizontal="center" readingOrder="0" vertical="bottom"/>
    </xf>
    <xf borderId="21" fillId="9" fontId="85" numFmtId="4" xfId="0" applyAlignment="1" applyBorder="1" applyFont="1" applyNumberFormat="1">
      <alignment horizontal="center" vertical="bottom"/>
    </xf>
    <xf borderId="21" fillId="9" fontId="8" numFmtId="4" xfId="0" applyAlignment="1" applyBorder="1" applyFont="1" applyNumberFormat="1">
      <alignment horizontal="center" readingOrder="0"/>
    </xf>
    <xf borderId="21" fillId="9" fontId="37" numFmtId="4" xfId="0" applyAlignment="1" applyBorder="1" applyFont="1" applyNumberFormat="1">
      <alignment horizontal="center" readingOrder="0" vertical="bottom"/>
    </xf>
    <xf borderId="21" fillId="10" fontId="89" numFmtId="4" xfId="0" applyAlignment="1" applyBorder="1" applyFont="1" applyNumberFormat="1">
      <alignment horizontal="center" readingOrder="0" vertical="bottom"/>
    </xf>
    <xf borderId="21" fillId="10" fontId="37" numFmtId="4" xfId="0" applyAlignment="1" applyBorder="1" applyFont="1" applyNumberFormat="1">
      <alignment horizontal="center" readingOrder="0" vertical="bottom"/>
    </xf>
    <xf borderId="21" fillId="7" fontId="8" numFmtId="0" xfId="0" applyAlignment="1" applyBorder="1" applyFont="1">
      <alignment horizontal="center" readingOrder="0"/>
    </xf>
    <xf borderId="21" fillId="0" fontId="37" numFmtId="0" xfId="0" applyAlignment="1" applyBorder="1" applyFont="1">
      <alignment horizontal="center" shrinkToFit="0" vertical="bottom" wrapText="1"/>
    </xf>
    <xf borderId="21" fillId="0" fontId="90" numFmtId="0" xfId="0" applyAlignment="1" applyBorder="1" applyFont="1">
      <alignment horizontal="center" shrinkToFit="0" vertical="bottom" wrapText="0"/>
    </xf>
    <xf borderId="21" fillId="0" fontId="8" numFmtId="0" xfId="0" applyAlignment="1" applyBorder="1" applyFont="1">
      <alignment horizontal="center"/>
    </xf>
    <xf borderId="0" fillId="0" fontId="1" numFmtId="0" xfId="0" applyAlignment="1" applyFont="1">
      <alignment horizontal="center" readingOrder="0"/>
    </xf>
    <xf borderId="0" fillId="0" fontId="91" numFmtId="195" xfId="0" applyAlignment="1" applyFont="1" applyNumberFormat="1">
      <alignment horizontal="left" readingOrder="0"/>
    </xf>
    <xf borderId="0" fillId="0" fontId="1" numFmtId="3" xfId="0" applyAlignment="1" applyFont="1" applyNumberFormat="1">
      <alignment horizontal="center" readingOrder="0"/>
    </xf>
    <xf borderId="0" fillId="0" fontId="1" numFmtId="186" xfId="0" applyAlignment="1" applyFont="1" applyNumberFormat="1">
      <alignment horizontal="center" readingOrder="0"/>
    </xf>
    <xf borderId="0" fillId="0" fontId="40" numFmtId="171" xfId="0" applyAlignment="1" applyFont="1" applyNumberFormat="1">
      <alignment horizontal="right" vertical="bottom"/>
    </xf>
    <xf borderId="0" fillId="0" fontId="40" numFmtId="186" xfId="0" applyAlignment="1" applyFont="1" applyNumberFormat="1">
      <alignment horizontal="right" vertical="bottom"/>
    </xf>
    <xf borderId="0" fillId="0" fontId="92" numFmtId="186" xfId="0" applyAlignment="1" applyFont="1" applyNumberFormat="1">
      <alignment vertical="bottom"/>
    </xf>
    <xf borderId="0" fillId="0" fontId="1" numFmtId="167" xfId="0" applyAlignment="1" applyFont="1" applyNumberFormat="1">
      <alignment horizontal="right" readingOrder="0"/>
    </xf>
    <xf borderId="0" fillId="0" fontId="40" numFmtId="165" xfId="0" applyAlignment="1" applyFont="1" applyNumberFormat="1">
      <alignment readingOrder="0" vertical="bottom"/>
    </xf>
    <xf borderId="0" fillId="0" fontId="40" numFmtId="167" xfId="0" applyAlignment="1" applyFont="1" applyNumberFormat="1">
      <alignment vertical="bottom"/>
    </xf>
    <xf borderId="0" fillId="0" fontId="40" numFmtId="165" xfId="0" applyAlignment="1" applyFont="1" applyNumberFormat="1">
      <alignment vertical="bottom"/>
    </xf>
    <xf borderId="0" fillId="0" fontId="92" numFmtId="165" xfId="0" applyAlignment="1" applyFont="1" applyNumberFormat="1">
      <alignment vertical="bottom"/>
    </xf>
    <xf borderId="0" fillId="0" fontId="1" numFmtId="165" xfId="0" applyAlignment="1" applyFont="1" applyNumberFormat="1">
      <alignment horizontal="right" readingOrder="0"/>
    </xf>
    <xf borderId="0" fillId="0" fontId="8" numFmtId="165" xfId="0" applyAlignment="1" applyFont="1" applyNumberFormat="1">
      <alignment horizontal="right" readingOrder="0"/>
    </xf>
    <xf borderId="0" fillId="0" fontId="73" numFmtId="165" xfId="0" applyAlignment="1" applyFont="1" applyNumberFormat="1">
      <alignment readingOrder="0" vertical="bottom"/>
    </xf>
    <xf borderId="0" fillId="0" fontId="93" numFmtId="196" xfId="0" applyAlignment="1" applyFont="1" applyNumberFormat="1">
      <alignment vertical="bottom"/>
    </xf>
    <xf borderId="0" fillId="0" fontId="92" numFmtId="4" xfId="0" applyAlignment="1" applyFont="1" applyNumberFormat="1">
      <alignment vertical="bottom"/>
    </xf>
    <xf borderId="0" fillId="0" fontId="40" numFmtId="165" xfId="0" applyAlignment="1" applyFont="1" applyNumberFormat="1">
      <alignment vertical="bottom"/>
    </xf>
    <xf borderId="0" fillId="4" fontId="92" numFmtId="4" xfId="0" applyAlignment="1" applyFont="1" applyNumberFormat="1">
      <alignment vertical="bottom"/>
    </xf>
    <xf borderId="0" fillId="4" fontId="1" numFmtId="4" xfId="0" applyAlignment="1" applyFont="1" applyNumberFormat="1">
      <alignment readingOrder="0"/>
    </xf>
    <xf borderId="0" fillId="9" fontId="92" numFmtId="4" xfId="0" applyAlignment="1" applyFont="1" applyNumberFormat="1">
      <alignment readingOrder="0" vertical="bottom"/>
    </xf>
    <xf borderId="0" fillId="9" fontId="92" numFmtId="4" xfId="0" applyAlignment="1" applyFont="1" applyNumberFormat="1">
      <alignment vertical="bottom"/>
    </xf>
    <xf borderId="0" fillId="9" fontId="1" numFmtId="4" xfId="0" applyAlignment="1" applyFont="1" applyNumberFormat="1">
      <alignment readingOrder="0"/>
    </xf>
    <xf borderId="0" fillId="10" fontId="92" numFmtId="4" xfId="0" applyAlignment="1" applyFont="1" applyNumberFormat="1">
      <alignment vertical="bottom"/>
    </xf>
    <xf borderId="0" fillId="7" fontId="1" numFmtId="0" xfId="0" applyAlignment="1" applyFont="1">
      <alignment readingOrder="0"/>
    </xf>
    <xf borderId="0" fillId="0" fontId="37" numFmtId="0" xfId="0" applyAlignment="1" applyFont="1">
      <alignment shrinkToFit="0" vertical="bottom" wrapText="1"/>
    </xf>
    <xf borderId="0" fillId="0" fontId="94" numFmtId="0" xfId="0" applyAlignment="1" applyFont="1">
      <alignment shrinkToFit="0" vertical="bottom" wrapText="0"/>
    </xf>
    <xf borderId="0" fillId="0" fontId="40" numFmtId="171" xfId="0" applyAlignment="1" applyFont="1" applyNumberFormat="1">
      <alignment horizontal="right" readingOrder="0" vertical="bottom"/>
    </xf>
    <xf borderId="0" fillId="0" fontId="95" numFmtId="0" xfId="0" applyAlignment="1" applyFont="1">
      <alignment shrinkToFit="0" vertical="bottom" wrapText="0"/>
    </xf>
    <xf borderId="0" fillId="0" fontId="1" numFmtId="186" xfId="0" applyAlignment="1" applyFont="1" applyNumberFormat="1">
      <alignment horizontal="right" readingOrder="0"/>
    </xf>
    <xf borderId="0" fillId="7" fontId="40" numFmtId="197" xfId="0" applyAlignment="1" applyFont="1" applyNumberFormat="1">
      <alignment readingOrder="0" vertical="bottom"/>
    </xf>
    <xf borderId="0" fillId="0" fontId="37" numFmtId="0" xfId="0" applyAlignment="1" applyFont="1">
      <alignment readingOrder="0" shrinkToFit="0" vertical="bottom" wrapText="1"/>
    </xf>
    <xf borderId="0" fillId="0" fontId="1" numFmtId="171" xfId="0" applyAlignment="1" applyFont="1" applyNumberFormat="1">
      <alignment horizontal="right" readingOrder="0"/>
    </xf>
    <xf borderId="0" fillId="0" fontId="1" numFmtId="167" xfId="0" applyAlignment="1" applyFont="1" applyNumberFormat="1">
      <alignment horizontal="center" readingOrder="0"/>
    </xf>
    <xf borderId="0" fillId="0" fontId="40" numFmtId="167" xfId="0" applyAlignment="1" applyFont="1" applyNumberFormat="1">
      <alignment horizontal="right" vertical="bottom"/>
    </xf>
    <xf borderId="0" fillId="0" fontId="92" numFmtId="4" xfId="0" applyAlignment="1" applyFont="1" applyNumberFormat="1">
      <alignment readingOrder="0" vertical="bottom"/>
    </xf>
    <xf borderId="0" fillId="4" fontId="92" numFmtId="4" xfId="0" applyAlignment="1" applyFont="1" applyNumberFormat="1">
      <alignment readingOrder="0" vertical="bottom"/>
    </xf>
    <xf borderId="0" fillId="0" fontId="8" numFmtId="0" xfId="0" applyAlignment="1" applyFont="1">
      <alignment readingOrder="0" shrinkToFit="0" wrapText="1"/>
    </xf>
    <xf borderId="0" fillId="0" fontId="96" numFmtId="0" xfId="0" applyAlignment="1" applyFont="1">
      <alignment readingOrder="0"/>
    </xf>
    <xf borderId="0" fillId="0" fontId="40" numFmtId="4" xfId="0" applyAlignment="1" applyFont="1" applyNumberFormat="1">
      <alignment horizontal="right" vertical="bottom"/>
    </xf>
    <xf borderId="0" fillId="4" fontId="40" numFmtId="4" xfId="0" applyAlignment="1" applyFont="1" applyNumberFormat="1">
      <alignment horizontal="right" vertical="bottom"/>
    </xf>
    <xf borderId="0" fillId="0" fontId="1" numFmtId="171" xfId="0" applyAlignment="1" applyFont="1" applyNumberFormat="1">
      <alignment horizontal="center" readingOrder="0"/>
    </xf>
    <xf borderId="0" fillId="0" fontId="1" numFmtId="167" xfId="0" applyAlignment="1" applyFont="1" applyNumberFormat="1">
      <alignment horizontal="center"/>
    </xf>
    <xf borderId="0" fillId="0" fontId="1" numFmtId="165" xfId="0" applyAlignment="1" applyFont="1" applyNumberFormat="1">
      <alignment horizontal="center"/>
    </xf>
    <xf borderId="0" fillId="0" fontId="8" numFmtId="165" xfId="0" applyAlignment="1" applyFont="1" applyNumberFormat="1">
      <alignment horizontal="center"/>
    </xf>
    <xf borderId="0" fillId="4" fontId="1" numFmtId="4" xfId="0" applyFont="1" applyNumberFormat="1"/>
    <xf borderId="0" fillId="9" fontId="1" numFmtId="4" xfId="0" applyFont="1" applyNumberFormat="1"/>
    <xf borderId="0" fillId="7" fontId="1" numFmtId="0" xfId="0" applyFont="1"/>
    <xf borderId="0" fillId="4" fontId="97" numFmtId="0" xfId="0" applyAlignment="1" applyFont="1">
      <alignment horizontal="left" readingOrder="0"/>
    </xf>
    <xf borderId="0" fillId="0" fontId="1" numFmtId="171" xfId="0" applyAlignment="1" applyFont="1" applyNumberFormat="1">
      <alignment horizontal="center"/>
    </xf>
    <xf borderId="0" fillId="0" fontId="1" numFmtId="186" xfId="0" applyAlignment="1" applyFont="1" applyNumberFormat="1">
      <alignment horizontal="right"/>
    </xf>
    <xf borderId="0" fillId="0" fontId="92" numFmtId="186" xfId="0" applyAlignment="1" applyFont="1" applyNumberFormat="1">
      <alignment readingOrder="0" vertical="bottom"/>
    </xf>
    <xf borderId="0" fillId="0" fontId="92" numFmtId="165" xfId="0" applyAlignment="1" applyFont="1" applyNumberFormat="1">
      <alignment readingOrder="0" vertical="bottom"/>
    </xf>
    <xf borderId="0" fillId="10" fontId="92" numFmtId="4" xfId="0" applyAlignment="1" applyFont="1" applyNumberFormat="1">
      <alignment readingOrder="0" vertical="bottom"/>
    </xf>
    <xf borderId="0" fillId="0" fontId="93" numFmtId="196" xfId="0" applyAlignment="1" applyFont="1" applyNumberFormat="1">
      <alignment readingOrder="0" vertical="bottom"/>
    </xf>
    <xf borderId="0" fillId="0" fontId="1" numFmtId="186" xfId="0" applyFont="1" applyNumberFormat="1"/>
    <xf borderId="0" fillId="0" fontId="1" numFmtId="196" xfId="0" applyAlignment="1" applyFont="1" applyNumberFormat="1">
      <alignment horizontal="center" readingOrder="0"/>
    </xf>
    <xf borderId="0" fillId="0" fontId="40" numFmtId="196" xfId="0" applyAlignment="1" applyFont="1" applyNumberFormat="1">
      <alignment vertical="bottom"/>
    </xf>
    <xf borderId="0" fillId="0" fontId="40" numFmtId="196" xfId="0" applyAlignment="1" applyFont="1" applyNumberFormat="1">
      <alignment horizontal="center" vertical="bottom"/>
    </xf>
    <xf borderId="0" fillId="0" fontId="1" numFmtId="165" xfId="0" applyAlignment="1" applyFont="1" applyNumberFormat="1">
      <alignment horizontal="center" readingOrder="0"/>
    </xf>
    <xf borderId="0" fillId="0" fontId="8" numFmtId="165" xfId="0" applyAlignment="1" applyFont="1" applyNumberFormat="1">
      <alignment horizontal="center" readingOrder="0"/>
    </xf>
    <xf borderId="0" fillId="0" fontId="98" numFmtId="0" xfId="0" applyFont="1"/>
    <xf borderId="0" fillId="0" fontId="40" numFmtId="167" xfId="0" applyAlignment="1" applyFont="1" applyNumberFormat="1">
      <alignment horizontal="center" vertical="bottom"/>
    </xf>
    <xf borderId="0" fillId="0" fontId="73" numFmtId="165" xfId="0" applyAlignment="1" applyFont="1" applyNumberFormat="1">
      <alignment vertical="bottom"/>
    </xf>
    <xf borderId="0" fillId="0" fontId="1" numFmtId="0" xfId="0" applyAlignment="1" applyFont="1">
      <alignment horizontal="center"/>
    </xf>
    <xf borderId="0" fillId="0" fontId="93" numFmtId="196" xfId="0" applyAlignment="1" applyFont="1" applyNumberFormat="1">
      <alignment horizontal="center" readingOrder="0" vertical="bottom"/>
    </xf>
    <xf borderId="0" fillId="0" fontId="1" numFmtId="196" xfId="0" applyFont="1" applyNumberFormat="1"/>
    <xf borderId="0" fillId="0" fontId="8" numFmtId="165" xfId="0" applyFont="1" applyNumberFormat="1"/>
    <xf borderId="0" fillId="0" fontId="93" numFmtId="196" xfId="0" applyAlignment="1" applyFont="1" applyNumberFormat="1">
      <alignment horizontal="center" vertical="bottom"/>
    </xf>
    <xf borderId="0" fillId="0" fontId="73" numFmtId="165" xfId="0" applyAlignment="1" applyFont="1" applyNumberFormat="1">
      <alignment horizontal="right" vertical="bottom"/>
    </xf>
    <xf borderId="0" fillId="4" fontId="99" numFmtId="0" xfId="0" applyAlignment="1" applyFont="1">
      <alignment readingOrder="0"/>
    </xf>
    <xf borderId="0" fillId="0" fontId="1" numFmtId="3" xfId="0" applyAlignment="1" applyFont="1" applyNumberFormat="1">
      <alignment horizontal="center"/>
    </xf>
    <xf borderId="0" fillId="0" fontId="1" numFmtId="196" xfId="0" applyAlignment="1" applyFont="1" applyNumberFormat="1">
      <alignment horizontal="center"/>
    </xf>
    <xf borderId="0" fillId="0" fontId="8" numFmtId="0" xfId="0" applyAlignment="1" applyFont="1">
      <alignment shrinkToFit="0" wrapText="1"/>
    </xf>
    <xf borderId="0" fillId="0" fontId="1" numFmtId="198" xfId="0" applyAlignment="1" applyFont="1" applyNumberFormat="1">
      <alignment horizontal="center" readingOrder="0"/>
    </xf>
    <xf borderId="0" fillId="0" fontId="1" numFmtId="0" xfId="0" applyFont="1"/>
    <xf borderId="0" fillId="19" fontId="1" numFmtId="0" xfId="0" applyAlignment="1" applyFill="1" applyFont="1">
      <alignment horizontal="center" readingOrder="0"/>
    </xf>
    <xf borderId="0" fillId="19" fontId="91" numFmtId="195" xfId="0" applyAlignment="1" applyFont="1" applyNumberFormat="1">
      <alignment horizontal="left" readingOrder="0"/>
    </xf>
    <xf borderId="0" fillId="19" fontId="1" numFmtId="3" xfId="0" applyAlignment="1" applyFont="1" applyNumberFormat="1">
      <alignment horizontal="center"/>
    </xf>
    <xf borderId="0" fillId="19" fontId="1" numFmtId="186" xfId="0" applyAlignment="1" applyFont="1" applyNumberFormat="1">
      <alignment horizontal="center" readingOrder="0"/>
    </xf>
    <xf borderId="0" fillId="0" fontId="40" numFmtId="4" xfId="0" applyAlignment="1" applyFont="1" applyNumberFormat="1">
      <alignment horizontal="right" readingOrder="0" vertical="bottom"/>
    </xf>
    <xf borderId="0" fillId="4" fontId="1" numFmtId="0" xfId="0" applyAlignment="1" applyFont="1">
      <alignment horizontal="center" readingOrder="0"/>
    </xf>
    <xf borderId="0" fillId="4" fontId="91" numFmtId="195" xfId="0" applyAlignment="1" applyFont="1" applyNumberFormat="1">
      <alignment horizontal="left" readingOrder="0"/>
    </xf>
    <xf borderId="0" fillId="4" fontId="1" numFmtId="3" xfId="0" applyAlignment="1" applyFont="1" applyNumberFormat="1">
      <alignment horizontal="center"/>
    </xf>
    <xf borderId="0" fillId="4" fontId="1" numFmtId="186" xfId="0" applyAlignment="1" applyFont="1" applyNumberFormat="1">
      <alignment horizontal="center" readingOrder="0"/>
    </xf>
    <xf borderId="0" fillId="9" fontId="92" numFmtId="4" xfId="0" applyAlignment="1" applyFont="1" applyNumberFormat="1">
      <alignment horizontal="right" vertical="bottom"/>
    </xf>
    <xf borderId="0" fillId="9" fontId="100" numFmtId="4" xfId="0" applyAlignment="1" applyFont="1" applyNumberFormat="1">
      <alignment readingOrder="0"/>
    </xf>
    <xf borderId="0" fillId="0" fontId="101" numFmtId="0" xfId="0" applyAlignment="1" applyFont="1">
      <alignment readingOrder="0"/>
    </xf>
    <xf borderId="0" fillId="4" fontId="102" numFmtId="0" xfId="0" applyAlignment="1" applyFont="1">
      <alignment horizontal="left" readingOrder="0"/>
    </xf>
    <xf borderId="0" fillId="0" fontId="92" numFmtId="186" xfId="0" applyAlignment="1" applyFont="1" applyNumberFormat="1">
      <alignment horizontal="right" vertical="bottom"/>
    </xf>
    <xf borderId="0" fillId="0" fontId="92" numFmtId="165" xfId="0" applyAlignment="1" applyFont="1" applyNumberFormat="1">
      <alignment horizontal="right" vertical="bottom"/>
    </xf>
    <xf borderId="0" fillId="10" fontId="92" numFmtId="4" xfId="0" applyAlignment="1" applyFont="1" applyNumberFormat="1">
      <alignment horizontal="right" vertical="bottom"/>
    </xf>
    <xf borderId="0" fillId="9" fontId="92" numFmtId="4" xfId="0" applyAlignment="1" applyFont="1" applyNumberFormat="1">
      <alignment horizontal="right" readingOrder="0" vertical="bottom"/>
    </xf>
    <xf borderId="0" fillId="10" fontId="92" numFmtId="4" xfId="0" applyAlignment="1" applyFont="1" applyNumberFormat="1">
      <alignment horizontal="right" readingOrder="0" vertical="bottom"/>
    </xf>
    <xf borderId="0" fillId="0" fontId="103" numFmtId="195" xfId="0" applyAlignment="1" applyFont="1" applyNumberFormat="1">
      <alignment horizontal="left" readingOrder="0"/>
    </xf>
    <xf borderId="0" fillId="0" fontId="91" numFmtId="195" xfId="0" applyAlignment="1" applyFont="1" applyNumberFormat="1">
      <alignment horizontal="left"/>
    </xf>
    <xf borderId="0" fillId="0" fontId="92" numFmtId="165" xfId="0" applyAlignment="1" applyFont="1" applyNumberFormat="1">
      <alignment horizontal="right" readingOrder="0" vertical="bottom"/>
    </xf>
    <xf borderId="0" fillId="0" fontId="92" numFmtId="0" xfId="0" applyAlignment="1" applyFont="1">
      <alignment vertical="bottom"/>
    </xf>
    <xf borderId="0" fillId="9" fontId="92" numFmtId="0" xfId="0" applyAlignment="1" applyFont="1">
      <alignment readingOrder="0" vertical="bottom"/>
    </xf>
    <xf borderId="0" fillId="0" fontId="92" numFmtId="0" xfId="0" applyAlignment="1" applyFont="1">
      <alignment readingOrder="0" vertical="bottom"/>
    </xf>
    <xf borderId="0" fillId="0" fontId="91" numFmtId="0" xfId="0" applyAlignment="1" applyFont="1">
      <alignment horizontal="left" readingOrder="0"/>
    </xf>
    <xf borderId="0" fillId="0" fontId="104" numFmtId="0" xfId="0" applyAlignment="1" applyFont="1">
      <alignment readingOrder="0" shrinkToFit="0" wrapText="1"/>
    </xf>
    <xf borderId="0" fillId="0" fontId="92" numFmtId="167" xfId="0" applyAlignment="1" applyFont="1" applyNumberFormat="1">
      <alignment vertical="bottom"/>
    </xf>
    <xf borderId="0" fillId="9" fontId="40" numFmtId="0" xfId="0" applyAlignment="1" applyFont="1">
      <alignment vertical="bottom"/>
    </xf>
    <xf borderId="0" fillId="0" fontId="1" numFmtId="4" xfId="0" applyAlignment="1" applyFont="1" applyNumberFormat="1">
      <alignment horizontal="center"/>
    </xf>
    <xf borderId="0" fillId="0" fontId="1" numFmtId="4" xfId="0" applyFont="1" applyNumberFormat="1"/>
    <xf borderId="0" fillId="0" fontId="1" numFmtId="0" xfId="0" applyAlignment="1" applyFont="1">
      <alignment readingOrder="0"/>
    </xf>
    <xf borderId="0" fillId="9" fontId="92" numFmtId="182" xfId="0" applyAlignment="1" applyFont="1" applyNumberFormat="1">
      <alignment readingOrder="0" vertical="bottom"/>
    </xf>
    <xf borderId="0" fillId="4" fontId="105" numFmtId="4" xfId="0" applyFont="1" applyNumberFormat="1"/>
    <xf borderId="0" fillId="0" fontId="92" numFmtId="167" xfId="0" applyAlignment="1" applyFont="1" applyNumberFormat="1">
      <alignment readingOrder="0" vertical="bottom"/>
    </xf>
    <xf borderId="0" fillId="9" fontId="37" numFmtId="4" xfId="0" applyAlignment="1" applyFont="1" applyNumberFormat="1">
      <alignment readingOrder="0" vertical="bottom"/>
    </xf>
    <xf borderId="0" fillId="0" fontId="106" numFmtId="186" xfId="0" applyAlignment="1" applyFont="1" applyNumberFormat="1">
      <alignment readingOrder="0" vertical="bottom"/>
    </xf>
    <xf borderId="0" fillId="0" fontId="40" numFmtId="165" xfId="0" applyAlignment="1" applyFont="1" applyNumberFormat="1">
      <alignment horizontal="right" vertical="bottom"/>
    </xf>
    <xf borderId="0" fillId="9" fontId="40" numFmtId="4" xfId="0" applyAlignment="1" applyFont="1" applyNumberFormat="1">
      <alignment readingOrder="0" vertical="bottom"/>
    </xf>
    <xf borderId="0" fillId="4" fontId="107" numFmtId="165" xfId="0" applyAlignment="1" applyFont="1" applyNumberFormat="1">
      <alignment readingOrder="0"/>
    </xf>
    <xf borderId="0" fillId="0" fontId="40" numFmtId="167" xfId="0" applyAlignment="1" applyFont="1" applyNumberFormat="1">
      <alignment readingOrder="0" vertical="bottom"/>
    </xf>
    <xf borderId="0" fillId="0" fontId="108" numFmtId="0" xfId="0" applyAlignment="1" applyFont="1">
      <alignment horizontal="left" readingOrder="0"/>
    </xf>
    <xf borderId="0" fillId="0" fontId="1" numFmtId="167" xfId="0" applyAlignment="1" applyFont="1" applyNumberFormat="1">
      <alignment horizontal="center" readingOrder="0"/>
    </xf>
    <xf borderId="0" fillId="0" fontId="40" numFmtId="167" xfId="0" applyAlignment="1" applyFont="1" applyNumberFormat="1">
      <alignment vertical="bottom"/>
    </xf>
    <xf borderId="0" fillId="0" fontId="1" numFmtId="199" xfId="0" applyAlignment="1" applyFont="1" applyNumberFormat="1">
      <alignment horizontal="center"/>
    </xf>
    <xf borderId="0" fillId="0" fontId="109" numFmtId="186" xfId="0" applyAlignment="1" applyFont="1" applyNumberFormat="1">
      <alignment horizontal="right" readingOrder="0"/>
    </xf>
    <xf borderId="0" fillId="0" fontId="109" numFmtId="186" xfId="0" applyAlignment="1" applyFont="1" applyNumberFormat="1">
      <alignment horizontal="right"/>
    </xf>
    <xf borderId="0" fillId="0" fontId="109" numFmtId="186" xfId="0" applyAlignment="1" applyFont="1" applyNumberFormat="1">
      <alignment horizontal="center" readingOrder="0"/>
    </xf>
    <xf quotePrefix="1" borderId="0" fillId="0" fontId="1" numFmtId="0" xfId="0" applyAlignment="1" applyFont="1">
      <alignment readingOrder="0"/>
    </xf>
    <xf borderId="0" fillId="0" fontId="103" numFmtId="195" xfId="0" applyAlignment="1" applyFont="1" applyNumberFormat="1">
      <alignment horizontal="left"/>
    </xf>
    <xf borderId="0" fillId="0" fontId="1" numFmtId="186" xfId="0" applyAlignment="1" applyFont="1" applyNumberFormat="1">
      <alignment horizontal="center"/>
    </xf>
    <xf borderId="0" fillId="4" fontId="100" numFmtId="165" xfId="0" applyAlignment="1" applyFont="1" applyNumberFormat="1">
      <alignment readingOrder="0"/>
    </xf>
    <xf borderId="0" fillId="0" fontId="110" numFmtId="0" xfId="0" applyAlignment="1" applyFont="1">
      <alignment readingOrder="0" shrinkToFit="0" wrapText="1"/>
    </xf>
    <xf borderId="0" fillId="0" fontId="111" numFmtId="0" xfId="0" applyAlignment="1" applyFont="1">
      <alignment readingOrder="0"/>
    </xf>
    <xf borderId="0" fillId="0" fontId="40" numFmtId="165" xfId="0" applyAlignment="1" applyFont="1" applyNumberFormat="1">
      <alignment readingOrder="0" vertical="bottom"/>
    </xf>
    <xf borderId="0" fillId="0" fontId="92" numFmtId="190" xfId="0" applyAlignment="1" applyFont="1" applyNumberFormat="1">
      <alignment readingOrder="0" vertical="bottom"/>
    </xf>
    <xf borderId="0" fillId="0" fontId="1" numFmtId="181" xfId="0" applyAlignment="1" applyFont="1" applyNumberFormat="1">
      <alignment horizontal="center"/>
    </xf>
    <xf borderId="0" fillId="0" fontId="1" numFmtId="167" xfId="0" applyAlignment="1" applyFont="1" applyNumberFormat="1">
      <alignment readingOrder="0"/>
    </xf>
    <xf borderId="0" fillId="0" fontId="1" numFmtId="164" xfId="0" applyAlignment="1" applyFont="1" applyNumberFormat="1">
      <alignment horizontal="center" readingOrder="0"/>
    </xf>
    <xf borderId="0" fillId="0" fontId="1" numFmtId="0" xfId="0" applyAlignment="1" applyFont="1">
      <alignment shrinkToFit="0" wrapText="0"/>
    </xf>
    <xf borderId="0" fillId="0" fontId="1" numFmtId="164" xfId="0" applyAlignment="1" applyFont="1" applyNumberFormat="1">
      <alignment horizontal="center"/>
    </xf>
    <xf borderId="0" fillId="0" fontId="40" numFmtId="164" xfId="0" applyAlignment="1" applyFont="1" applyNumberFormat="1">
      <alignment horizontal="center" vertical="bottom"/>
    </xf>
    <xf borderId="0" fillId="0" fontId="8" numFmtId="164" xfId="0" applyAlignment="1" applyFont="1" applyNumberFormat="1">
      <alignment horizontal="center" readingOrder="0"/>
    </xf>
    <xf borderId="0" fillId="0" fontId="112" numFmtId="0" xfId="0" applyAlignment="1" applyFont="1">
      <alignment readingOrder="0" shrinkToFit="0" wrapText="0"/>
    </xf>
    <xf borderId="0" fillId="0" fontId="1" numFmtId="0" xfId="0" applyAlignment="1" applyFont="1">
      <alignment readingOrder="0" shrinkToFit="0" wrapText="0"/>
    </xf>
    <xf borderId="0" fillId="0" fontId="1" numFmtId="200" xfId="0" applyFont="1" applyNumberFormat="1"/>
    <xf borderId="0" fillId="0" fontId="1" numFmtId="0" xfId="0" applyAlignment="1" applyFont="1">
      <alignment horizontal="right" readingOrder="0"/>
    </xf>
    <xf borderId="0" fillId="0" fontId="103" numFmtId="200" xfId="0" applyAlignment="1" applyFont="1" applyNumberFormat="1">
      <alignment horizontal="left" readingOrder="0"/>
    </xf>
    <xf borderId="0" fillId="0" fontId="1" numFmtId="171" xfId="0" applyAlignment="1" applyFont="1" applyNumberFormat="1">
      <alignment horizontal="center" readingOrder="0"/>
    </xf>
    <xf borderId="0" fillId="0" fontId="1" numFmtId="182" xfId="0" applyAlignment="1" applyFont="1" applyNumberFormat="1">
      <alignment horizontal="center"/>
    </xf>
    <xf borderId="0" fillId="0" fontId="1" numFmtId="0" xfId="0" applyAlignment="1" applyFont="1">
      <alignment horizontal="left" readingOrder="0" shrinkToFit="0" vertical="center" wrapText="0"/>
    </xf>
    <xf borderId="0" fillId="0" fontId="8" numFmtId="0" xfId="0" applyAlignment="1" applyFont="1">
      <alignment horizontal="left" shrinkToFit="0" vertical="center" wrapText="1"/>
    </xf>
    <xf borderId="0" fillId="20" fontId="113" numFmtId="0" xfId="0" applyAlignment="1" applyFill="1" applyFont="1">
      <alignment horizontal="left" readingOrder="0" shrinkToFit="0" vertical="center" wrapText="0"/>
    </xf>
    <xf borderId="0" fillId="20" fontId="113" numFmtId="0" xfId="0" applyAlignment="1" applyFont="1">
      <alignment horizontal="right" readingOrder="0" shrinkToFit="0" vertical="center" wrapText="0"/>
    </xf>
    <xf borderId="0" fillId="0" fontId="1" numFmtId="0" xfId="0" applyAlignment="1" applyFont="1">
      <alignment horizontal="left" vertical="center"/>
    </xf>
    <xf borderId="38" fillId="0" fontId="114" numFmtId="0" xfId="0" applyAlignment="1" applyBorder="1" applyFont="1">
      <alignment horizontal="center" readingOrder="0" vertical="center"/>
    </xf>
    <xf borderId="27" fillId="0" fontId="14" numFmtId="0" xfId="0" applyBorder="1" applyFont="1"/>
    <xf borderId="40" fillId="0" fontId="14" numFmtId="0" xfId="0" applyBorder="1" applyFont="1"/>
    <xf borderId="0" fillId="0" fontId="1" numFmtId="185" xfId="0" applyAlignment="1" applyFont="1" applyNumberFormat="1">
      <alignment horizontal="left" vertical="center"/>
    </xf>
    <xf borderId="0" fillId="0" fontId="76" numFmtId="165" xfId="0" applyAlignment="1" applyFont="1" applyNumberFormat="1">
      <alignment horizontal="center" readingOrder="0" shrinkToFit="0" vertical="center" wrapText="0"/>
    </xf>
    <xf borderId="0" fillId="20" fontId="113" numFmtId="0" xfId="0" applyAlignment="1" applyFont="1">
      <alignment horizontal="center" readingOrder="0" shrinkToFit="0" vertical="center" wrapText="0"/>
    </xf>
    <xf borderId="39" fillId="0" fontId="1" numFmtId="0" xfId="0" applyAlignment="1" applyBorder="1" applyFont="1">
      <alignment horizontal="center" readingOrder="0" vertical="center"/>
    </xf>
    <xf borderId="0" fillId="0" fontId="1" numFmtId="185" xfId="0" applyAlignment="1" applyFont="1" applyNumberFormat="1">
      <alignment horizontal="center" vertical="center"/>
    </xf>
    <xf borderId="0" fillId="0" fontId="1" numFmtId="201" xfId="0" applyAlignment="1" applyFont="1" applyNumberFormat="1">
      <alignment horizontal="center" readingOrder="0" shrinkToFit="0" vertical="center" wrapText="0"/>
    </xf>
    <xf borderId="40" fillId="0" fontId="1" numFmtId="165" xfId="0" applyAlignment="1" applyBorder="1" applyFont="1" applyNumberFormat="1">
      <alignment horizontal="center" vertical="center"/>
    </xf>
    <xf borderId="40" fillId="0" fontId="1" numFmtId="0" xfId="0" applyAlignment="1" applyBorder="1" applyFont="1">
      <alignment horizontal="center" readingOrder="0" vertical="center"/>
    </xf>
    <xf borderId="40" fillId="0" fontId="1" numFmtId="185" xfId="0" applyAlignment="1" applyBorder="1" applyFont="1" applyNumberFormat="1">
      <alignment horizontal="center" vertical="center"/>
    </xf>
    <xf borderId="40" fillId="0" fontId="1" numFmtId="202" xfId="0" applyAlignment="1" applyBorder="1" applyFont="1" applyNumberFormat="1">
      <alignment horizontal="center" vertical="center"/>
    </xf>
    <xf borderId="0" fillId="0" fontId="76" numFmtId="201" xfId="0" applyAlignment="1" applyFont="1" applyNumberFormat="1">
      <alignment horizontal="center" readingOrder="0" shrinkToFit="0" vertical="center" wrapText="0"/>
    </xf>
    <xf borderId="0" fillId="0" fontId="77" numFmtId="0" xfId="0" applyAlignment="1" applyFont="1">
      <alignment horizontal="left" shrinkToFit="0" vertical="center" wrapText="1"/>
    </xf>
    <xf borderId="0" fillId="0" fontId="76" numFmtId="0" xfId="0" applyAlignment="1" applyFont="1">
      <alignment horizontal="center" vertical="center"/>
    </xf>
    <xf borderId="39" fillId="0" fontId="76" numFmtId="0" xfId="0" applyAlignment="1" applyBorder="1" applyFont="1">
      <alignment horizontal="center" readingOrder="0" vertical="center"/>
    </xf>
    <xf borderId="40" fillId="0" fontId="76" numFmtId="165" xfId="0" applyAlignment="1" applyBorder="1" applyFont="1" applyNumberFormat="1">
      <alignment horizontal="center" vertical="center"/>
    </xf>
    <xf borderId="0" fillId="0" fontId="76" numFmtId="185" xfId="0" applyAlignment="1" applyFont="1" applyNumberFormat="1">
      <alignment horizontal="center" vertical="center"/>
    </xf>
    <xf borderId="0" fillId="0" fontId="74" numFmtId="201" xfId="0" applyAlignment="1" applyFont="1" applyNumberFormat="1">
      <alignment horizontal="center" readingOrder="0" shrinkToFit="0" vertical="center" wrapText="0"/>
    </xf>
    <xf borderId="0" fillId="0" fontId="8" numFmtId="0" xfId="0" applyAlignment="1" applyFont="1">
      <alignment horizontal="left" readingOrder="0" shrinkToFit="0" vertical="center" wrapText="1"/>
    </xf>
    <xf borderId="0" fillId="20" fontId="115" numFmtId="0" xfId="0" applyAlignment="1" applyFont="1">
      <alignment horizontal="center" readingOrder="0" shrinkToFit="0" vertical="center" wrapText="0"/>
    </xf>
    <xf borderId="0" fillId="20" fontId="115" numFmtId="0" xfId="0" applyAlignment="1" applyFont="1">
      <alignment horizontal="right" readingOrder="0" shrinkToFit="0" vertical="center" wrapText="0"/>
    </xf>
    <xf borderId="0" fillId="0" fontId="74" numFmtId="0" xfId="0" applyAlignment="1" applyFont="1">
      <alignment horizontal="center" readingOrder="0" vertical="center"/>
    </xf>
    <xf borderId="39" fillId="0" fontId="116" numFmtId="167" xfId="0" applyAlignment="1" applyBorder="1" applyFont="1" applyNumberFormat="1">
      <alignment horizontal="right" readingOrder="0" shrinkToFit="0" vertical="center" wrapText="1"/>
    </xf>
    <xf borderId="40" fillId="0" fontId="74" numFmtId="0" xfId="0" applyAlignment="1" applyBorder="1" applyFont="1">
      <alignment horizontal="left" readingOrder="0" vertical="center"/>
    </xf>
    <xf borderId="39" fillId="0" fontId="1" numFmtId="0" xfId="0" applyAlignment="1" applyBorder="1" applyFont="1">
      <alignment horizontal="right"/>
    </xf>
    <xf borderId="0" fillId="0" fontId="74" numFmtId="185" xfId="0" applyAlignment="1" applyFont="1" applyNumberFormat="1">
      <alignment horizontal="center" vertical="center"/>
    </xf>
    <xf borderId="0" fillId="0" fontId="74" numFmtId="0" xfId="0" applyAlignment="1" applyFont="1">
      <alignment horizontal="center" vertical="center"/>
    </xf>
    <xf borderId="0" fillId="0" fontId="8" numFmtId="0" xfId="0" applyAlignment="1" applyFont="1">
      <alignment horizontal="left" shrinkToFit="0" wrapText="1"/>
    </xf>
    <xf borderId="0" fillId="20" fontId="113" numFmtId="0" xfId="0" applyAlignment="1" applyFont="1">
      <alignment horizontal="right" readingOrder="0" vertical="center"/>
    </xf>
    <xf borderId="40" fillId="0" fontId="1" numFmtId="0" xfId="0" applyAlignment="1" applyBorder="1" applyFont="1">
      <alignment horizontal="left" readingOrder="0" vertical="center"/>
    </xf>
    <xf borderId="28" fillId="0" fontId="1" numFmtId="201" xfId="0" applyAlignment="1" applyBorder="1" applyFont="1" applyNumberFormat="1">
      <alignment horizontal="center" readingOrder="0" shrinkToFit="0" vertical="center" wrapText="0"/>
    </xf>
    <xf borderId="25" fillId="0" fontId="109" numFmtId="0" xfId="0" applyAlignment="1" applyBorder="1" applyFont="1">
      <alignment horizontal="center" readingOrder="0" shrinkToFit="0" vertical="center" wrapText="1"/>
    </xf>
    <xf borderId="25" fillId="4" fontId="23" numFmtId="0" xfId="0" applyAlignment="1" applyBorder="1" applyFont="1">
      <alignment horizontal="center" readingOrder="0" vertical="center"/>
    </xf>
    <xf borderId="25" fillId="0" fontId="113" numFmtId="0" xfId="0" applyAlignment="1" applyBorder="1" applyFont="1">
      <alignment horizontal="center" vertical="center"/>
    </xf>
    <xf borderId="25" fillId="0" fontId="1" numFmtId="0" xfId="0" applyAlignment="1" applyBorder="1" applyFont="1">
      <alignment horizontal="center" readingOrder="0" vertical="center"/>
    </xf>
    <xf borderId="28" fillId="0" fontId="1" numFmtId="0" xfId="0" applyAlignment="1" applyBorder="1" applyFont="1">
      <alignment horizontal="center" readingOrder="0" vertical="center"/>
    </xf>
    <xf borderId="23" fillId="0" fontId="1" numFmtId="0" xfId="0" applyAlignment="1" applyBorder="1" applyFont="1">
      <alignment horizontal="center" readingOrder="0" vertical="center"/>
    </xf>
    <xf borderId="25" fillId="0" fontId="1" numFmtId="185" xfId="0" applyAlignment="1" applyBorder="1" applyFont="1" applyNumberFormat="1">
      <alignment horizontal="center" vertical="center"/>
    </xf>
    <xf borderId="25" fillId="0" fontId="1" numFmtId="0" xfId="0" applyAlignment="1" applyBorder="1" applyFont="1">
      <alignment horizontal="center" vertical="center"/>
    </xf>
    <xf borderId="23" fillId="0" fontId="1" numFmtId="0" xfId="0" applyAlignment="1" applyBorder="1" applyFont="1">
      <alignment horizontal="center" vertical="center"/>
    </xf>
    <xf borderId="0" fillId="0" fontId="113" numFmtId="0" xfId="0" applyAlignment="1" applyFont="1">
      <alignment horizontal="center" vertical="center"/>
    </xf>
    <xf borderId="39" fillId="0" fontId="1" numFmtId="0" xfId="0" applyAlignment="1" applyBorder="1" applyFont="1">
      <alignment horizontal="center" vertical="center"/>
    </xf>
    <xf borderId="40" fillId="0" fontId="1" numFmtId="0" xfId="0" applyAlignment="1" applyBorder="1" applyFont="1">
      <alignment horizontal="center" vertical="center"/>
    </xf>
    <xf borderId="0" fillId="0" fontId="1" numFmtId="201" xfId="0" applyAlignment="1" applyFont="1" applyNumberFormat="1">
      <alignment horizontal="center" shrinkToFit="0" vertical="center" wrapText="0"/>
    </xf>
    <xf borderId="0" fillId="0" fontId="40" numFmtId="0" xfId="0" applyAlignment="1" applyFont="1">
      <alignment horizontal="center" readingOrder="0" vertical="center"/>
    </xf>
    <xf borderId="39" fillId="0" fontId="40" numFmtId="0" xfId="0" applyAlignment="1" applyBorder="1" applyFont="1">
      <alignment horizontal="center" readingOrder="0" vertical="center"/>
    </xf>
    <xf borderId="40" fillId="0" fontId="40" numFmtId="0" xfId="0" applyAlignment="1" applyBorder="1" applyFont="1">
      <alignment horizontal="center" vertical="center"/>
    </xf>
    <xf borderId="41" fillId="0" fontId="1" numFmtId="0" xfId="0" applyAlignment="1" applyBorder="1" applyFont="1">
      <alignment horizontal="center" vertical="center"/>
    </xf>
    <xf borderId="19" fillId="0" fontId="1" numFmtId="0" xfId="0" applyAlignment="1" applyBorder="1" applyFont="1">
      <alignment horizontal="center" vertical="center"/>
    </xf>
    <xf borderId="0" fillId="0" fontId="76" numFmtId="0" xfId="0" applyAlignment="1" applyFont="1">
      <alignment readingOrder="0"/>
    </xf>
    <xf borderId="0" fillId="0" fontId="1" numFmtId="185" xfId="0" applyFont="1" applyNumberFormat="1"/>
    <xf borderId="0" fillId="0" fontId="117" numFmtId="0" xfId="0" applyAlignment="1" applyFont="1">
      <alignment readingOrder="0"/>
    </xf>
    <xf borderId="0" fillId="4" fontId="100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3" xfId="0" applyFont="1" applyNumberFormat="1"/>
    <xf borderId="0" fillId="0" fontId="118" numFmtId="202" xfId="0" applyFont="1" applyNumberFormat="1"/>
    <xf borderId="0" fillId="0" fontId="1" numFmtId="203" xfId="0" applyAlignment="1" applyFont="1" applyNumberFormat="1">
      <alignment readingOrder="0"/>
    </xf>
    <xf borderId="0" fillId="0" fontId="1" numFmtId="186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89" xfId="0" applyFont="1" applyNumberFormat="1"/>
    <xf borderId="0" fillId="0" fontId="76" numFmtId="0" xfId="0" applyAlignment="1" applyFont="1">
      <alignment horizontal="right" readingOrder="0"/>
    </xf>
    <xf borderId="0" fillId="0" fontId="76" numFmtId="0" xfId="0" applyFont="1"/>
    <xf borderId="0" fillId="0" fontId="76" numFmtId="4" xfId="0" applyAlignment="1" applyFont="1" applyNumberFormat="1">
      <alignment readingOrder="0"/>
    </xf>
    <xf borderId="0" fillId="0" fontId="1" numFmtId="204" xfId="0" applyFont="1" applyNumberFormat="1"/>
    <xf borderId="0" fillId="0" fontId="119" numFmtId="0" xfId="0" applyAlignment="1" applyFont="1">
      <alignment readingOrder="0"/>
    </xf>
    <xf borderId="0" fillId="0" fontId="76" numFmtId="2" xfId="0" applyFont="1" applyNumberFormat="1"/>
    <xf borderId="0" fillId="0" fontId="1" numFmtId="165" xfId="0" applyFont="1" applyNumberFormat="1"/>
    <xf borderId="0" fillId="0" fontId="40" numFmtId="186" xfId="0" applyAlignment="1" applyFont="1" applyNumberFormat="1">
      <alignment readingOrder="0" vertical="bottom"/>
    </xf>
    <xf borderId="0" fillId="0" fontId="76" numFmtId="3" xfId="0" applyFont="1" applyNumberFormat="1"/>
    <xf borderId="0" fillId="0" fontId="1" numFmtId="195" xfId="0" applyAlignment="1" applyFont="1" applyNumberFormat="1">
      <alignment horizontal="center"/>
    </xf>
    <xf borderId="0" fillId="0" fontId="1" numFmtId="164" xfId="0" applyAlignment="1" applyFont="1" applyNumberFormat="1">
      <alignment readingOrder="0"/>
    </xf>
    <xf borderId="0" fillId="0" fontId="76" numFmtId="187" xfId="0" applyFont="1" applyNumberFormat="1"/>
    <xf borderId="0" fillId="0" fontId="1" numFmtId="200" xfId="0" applyAlignment="1" applyFont="1" applyNumberFormat="1">
      <alignment readingOrder="0"/>
    </xf>
    <xf borderId="0" fillId="0" fontId="1" numFmtId="195" xfId="0" applyFont="1" applyNumberFormat="1"/>
    <xf borderId="0" fillId="0" fontId="76" numFmtId="0" xfId="0" applyAlignment="1" applyFont="1">
      <alignment horizontal="center" readingOrder="0"/>
    </xf>
    <xf borderId="0" fillId="0" fontId="76" numFmtId="3" xfId="0" applyAlignment="1" applyFont="1" applyNumberFormat="1">
      <alignment horizontal="center" readingOrder="0"/>
    </xf>
    <xf borderId="0" fillId="0" fontId="1" numFmtId="195" xfId="0" applyAlignment="1" applyFont="1" applyNumberFormat="1">
      <alignment readingOrder="0"/>
    </xf>
    <xf borderId="0" fillId="0" fontId="120" numFmtId="179" xfId="0" applyAlignment="1" applyFont="1" applyNumberFormat="1">
      <alignment readingOrder="0"/>
    </xf>
    <xf borderId="0" fillId="0" fontId="120" numFmtId="3" xfId="0" applyFont="1" applyNumberFormat="1"/>
    <xf borderId="0" fillId="0" fontId="120" numFmtId="178" xfId="0" applyAlignment="1" applyFont="1" applyNumberFormat="1">
      <alignment readingOrder="0"/>
    </xf>
    <xf borderId="0" fillId="0" fontId="23" numFmtId="3" xfId="0" applyAlignment="1" applyFont="1" applyNumberFormat="1">
      <alignment readingOrder="0"/>
    </xf>
    <xf borderId="0" fillId="0" fontId="120" numFmtId="3" xfId="0" applyAlignment="1" applyFont="1" applyNumberFormat="1">
      <alignment readingOrder="0"/>
    </xf>
    <xf borderId="0" fillId="0" fontId="121" numFmtId="0" xfId="0" applyAlignment="1" applyFont="1">
      <alignment readingOrder="0"/>
    </xf>
    <xf borderId="0" fillId="0" fontId="1" numFmtId="1" xfId="0" applyAlignment="1" applyFont="1" applyNumberFormat="1">
      <alignment readingOrder="0"/>
    </xf>
    <xf borderId="0" fillId="4" fontId="122" numFmtId="3" xfId="0" applyAlignment="1" applyFont="1" applyNumberFormat="1">
      <alignment readingOrder="0"/>
    </xf>
    <xf borderId="0" fillId="0" fontId="1" numFmtId="205" xfId="0" applyAlignment="1" applyFont="1" applyNumberFormat="1">
      <alignment readingOrder="0"/>
    </xf>
    <xf borderId="0" fillId="0" fontId="1" numFmtId="178" xfId="0" applyAlignment="1" applyFont="1" applyNumberFormat="1">
      <alignment readingOrder="0"/>
    </xf>
    <xf borderId="0" fillId="21" fontId="123" numFmtId="0" xfId="0" applyAlignment="1" applyFill="1" applyFont="1">
      <alignment horizontal="center" readingOrder="0" vertical="center"/>
    </xf>
    <xf borderId="0" fillId="22" fontId="123" numFmtId="0" xfId="0" applyAlignment="1" applyFill="1" applyFont="1">
      <alignment horizontal="center" vertical="center"/>
    </xf>
    <xf borderId="0" fillId="22" fontId="123" numFmtId="0" xfId="0" applyAlignment="1" applyFont="1">
      <alignment horizontal="center" readingOrder="0" vertical="center"/>
    </xf>
    <xf borderId="0" fillId="22" fontId="123" numFmtId="165" xfId="0" applyAlignment="1" applyFont="1" applyNumberFormat="1">
      <alignment horizontal="center" readingOrder="0" vertical="center"/>
    </xf>
    <xf borderId="0" fillId="22" fontId="123" numFmtId="0" xfId="0" applyAlignment="1" applyFont="1">
      <alignment horizontal="center" readingOrder="0" vertical="center"/>
    </xf>
    <xf borderId="0" fillId="22" fontId="124" numFmtId="0" xfId="0" applyAlignment="1" applyFont="1">
      <alignment horizontal="center" readingOrder="0" vertical="center"/>
    </xf>
    <xf borderId="0" fillId="22" fontId="123" numFmtId="165" xfId="0" applyAlignment="1" applyFont="1" applyNumberFormat="1">
      <alignment horizontal="center" vertical="center"/>
    </xf>
    <xf borderId="17" fillId="22" fontId="123" numFmtId="0" xfId="0" applyAlignment="1" applyBorder="1" applyFont="1">
      <alignment horizontal="center" readingOrder="0" vertical="center"/>
    </xf>
    <xf borderId="17" fillId="22" fontId="123" numFmtId="170" xfId="0" applyAlignment="1" applyBorder="1" applyFont="1" applyNumberFormat="1">
      <alignment horizontal="right" readingOrder="0" vertical="center"/>
    </xf>
    <xf borderId="17" fillId="22" fontId="123" numFmtId="170" xfId="0" applyAlignment="1" applyBorder="1" applyFont="1" applyNumberFormat="1">
      <alignment horizontal="center" readingOrder="0" vertical="center"/>
    </xf>
    <xf borderId="0" fillId="22" fontId="123" numFmtId="170" xfId="0" applyAlignment="1" applyFont="1" applyNumberFormat="1">
      <alignment horizontal="center" readingOrder="0" vertical="center"/>
    </xf>
    <xf borderId="0" fillId="23" fontId="125" numFmtId="0" xfId="0" applyAlignment="1" applyFill="1" applyFont="1">
      <alignment horizontal="center" readingOrder="0" vertical="center"/>
    </xf>
    <xf borderId="0" fillId="23" fontId="125" numFmtId="0" xfId="0" applyAlignment="1" applyFont="1">
      <alignment horizontal="right" readingOrder="0" vertical="center"/>
    </xf>
    <xf borderId="0" fillId="23" fontId="126" numFmtId="192" xfId="0" applyAlignment="1" applyFont="1" applyNumberFormat="1">
      <alignment horizontal="center" readingOrder="0" vertical="center"/>
    </xf>
    <xf borderId="0" fillId="22" fontId="126" numFmtId="0" xfId="0" applyAlignment="1" applyFont="1">
      <alignment horizontal="center" vertical="center"/>
    </xf>
    <xf borderId="0" fillId="22" fontId="123" numFmtId="165" xfId="0" applyAlignment="1" applyFont="1" applyNumberFormat="1">
      <alignment horizontal="left" readingOrder="0" vertical="center"/>
    </xf>
    <xf borderId="0" fillId="22" fontId="124" numFmtId="2" xfId="0" applyAlignment="1" applyFont="1" applyNumberFormat="1">
      <alignment horizontal="center" readingOrder="0" vertical="center"/>
    </xf>
    <xf borderId="0" fillId="22" fontId="124" numFmtId="0" xfId="0" applyAlignment="1" applyFont="1">
      <alignment horizontal="left" readingOrder="0" vertical="center"/>
    </xf>
    <xf borderId="0" fillId="22" fontId="124" numFmtId="0" xfId="0" applyAlignment="1" applyFont="1">
      <alignment horizontal="right" readingOrder="0" shrinkToFit="0" vertical="center" wrapText="1"/>
    </xf>
    <xf borderId="0" fillId="22" fontId="124" numFmtId="165" xfId="0" applyAlignment="1" applyFont="1" applyNumberFormat="1">
      <alignment horizontal="center" readingOrder="0" vertical="center"/>
    </xf>
    <xf borderId="0" fillId="22" fontId="123" numFmtId="2" xfId="0" applyAlignment="1" applyFont="1" applyNumberFormat="1">
      <alignment horizontal="center" vertical="center"/>
    </xf>
    <xf borderId="0" fillId="22" fontId="123" numFmtId="165" xfId="0" applyAlignment="1" applyFont="1" applyNumberFormat="1">
      <alignment horizontal="left" vertical="center"/>
    </xf>
    <xf borderId="0" fillId="22" fontId="123" numFmtId="0" xfId="0" applyAlignment="1" applyFont="1">
      <alignment horizontal="right" readingOrder="0" vertical="center"/>
    </xf>
    <xf borderId="0" fillId="22" fontId="123" numFmtId="0" xfId="0" applyAlignment="1" applyFont="1">
      <alignment horizontal="left" readingOrder="0" vertical="center"/>
    </xf>
    <xf borderId="0" fillId="22" fontId="124" numFmtId="0" xfId="0" applyAlignment="1" applyFont="1">
      <alignment horizontal="right" readingOrder="0" vertical="center"/>
    </xf>
    <xf borderId="0" fillId="22" fontId="123" numFmtId="188" xfId="0" applyAlignment="1" applyFont="1" applyNumberFormat="1">
      <alignment horizontal="center" readingOrder="0" vertical="center"/>
    </xf>
    <xf borderId="0" fillId="22" fontId="123" numFmtId="206" xfId="0" applyAlignment="1" applyFont="1" applyNumberFormat="1">
      <alignment horizontal="center" vertical="center"/>
    </xf>
    <xf borderId="0" fillId="22" fontId="123" numFmtId="188" xfId="0" applyAlignment="1" applyFont="1" applyNumberFormat="1">
      <alignment horizontal="center" vertical="center"/>
    </xf>
    <xf borderId="0" fillId="22" fontId="123" numFmtId="10" xfId="0" applyAlignment="1" applyFont="1" applyNumberFormat="1">
      <alignment horizontal="center" vertical="center"/>
    </xf>
    <xf borderId="0" fillId="22" fontId="123" numFmtId="200" xfId="0" applyAlignment="1" applyFont="1" applyNumberFormat="1">
      <alignment horizontal="center" vertical="center"/>
    </xf>
    <xf borderId="0" fillId="22" fontId="124" numFmtId="165" xfId="0" applyAlignment="1" applyFont="1" applyNumberFormat="1">
      <alignment horizontal="right" readingOrder="0" vertical="center"/>
    </xf>
    <xf borderId="0" fillId="22" fontId="127" numFmtId="192" xfId="0" applyAlignment="1" applyFont="1" applyNumberFormat="1">
      <alignment horizontal="center" readingOrder="0" vertical="center"/>
    </xf>
    <xf borderId="0" fillId="22" fontId="123" numFmtId="187" xfId="0" applyAlignment="1" applyFont="1" applyNumberFormat="1">
      <alignment horizontal="center" readingOrder="0" vertical="center"/>
    </xf>
    <xf borderId="0" fillId="22" fontId="128" numFmtId="192" xfId="0" applyAlignment="1" applyFont="1" applyNumberFormat="1">
      <alignment horizontal="center" readingOrder="0" vertical="center"/>
    </xf>
    <xf borderId="0" fillId="22" fontId="123" numFmtId="192" xfId="0" applyAlignment="1" applyFont="1" applyNumberFormat="1">
      <alignment horizontal="center" readingOrder="0" vertical="center"/>
    </xf>
    <xf borderId="0" fillId="22" fontId="124" numFmtId="187" xfId="0" applyAlignment="1" applyFont="1" applyNumberFormat="1">
      <alignment horizontal="right" readingOrder="0" vertical="center"/>
    </xf>
    <xf borderId="0" fillId="22" fontId="129" numFmtId="165" xfId="0" applyAlignment="1" applyFont="1" applyNumberFormat="1">
      <alignment horizontal="center" readingOrder="0" vertical="center"/>
    </xf>
    <xf borderId="0" fillId="22" fontId="129" numFmtId="0" xfId="0" applyAlignment="1" applyFont="1">
      <alignment horizontal="right" readingOrder="0" shrinkToFit="0" vertical="center" wrapText="1"/>
    </xf>
    <xf borderId="0" fillId="22" fontId="123" numFmtId="189" xfId="0" applyAlignment="1" applyFont="1" applyNumberFormat="1">
      <alignment horizontal="center" readingOrder="0" vertical="center"/>
    </xf>
    <xf borderId="0" fillId="22" fontId="123" numFmtId="204" xfId="0" applyAlignment="1" applyFont="1" applyNumberFormat="1">
      <alignment horizontal="center" readingOrder="0" vertical="center"/>
    </xf>
    <xf borderId="0" fillId="22" fontId="123" numFmtId="173" xfId="0" applyAlignment="1" applyFont="1" applyNumberFormat="1">
      <alignment horizontal="center" readingOrder="0" vertical="center"/>
    </xf>
    <xf borderId="0" fillId="22" fontId="123" numFmtId="165" xfId="0" applyAlignment="1" applyFont="1" applyNumberFormat="1">
      <alignment horizontal="right" readingOrder="0" vertical="center"/>
    </xf>
    <xf borderId="0" fillId="22" fontId="123" numFmtId="207" xfId="0" applyAlignment="1" applyFont="1" applyNumberFormat="1">
      <alignment horizontal="center" readingOrder="0" vertical="center"/>
    </xf>
    <xf borderId="0" fillId="22" fontId="123" numFmtId="165" xfId="0" applyAlignment="1" applyFont="1" applyNumberFormat="1">
      <alignment horizontal="right" vertical="center"/>
    </xf>
    <xf borderId="0" fillId="22" fontId="123" numFmtId="192" xfId="0" applyAlignment="1" applyFont="1" applyNumberFormat="1">
      <alignment horizontal="right" vertical="center"/>
    </xf>
    <xf borderId="0" fillId="22" fontId="123" numFmtId="192" xfId="0" applyAlignment="1" applyFont="1" applyNumberFormat="1">
      <alignment horizontal="center" vertical="center"/>
    </xf>
    <xf borderId="0" fillId="0" fontId="1" numFmtId="180" xfId="0" applyFont="1" applyNumberFormat="1"/>
    <xf borderId="0" fillId="0" fontId="1" numFmtId="183" xfId="0" applyAlignment="1" applyFont="1" applyNumberFormat="1">
      <alignment readingOrder="0"/>
    </xf>
    <xf borderId="0" fillId="0" fontId="1" numFmtId="178" xfId="0" applyFont="1" applyNumberFormat="1"/>
    <xf borderId="0" fillId="0" fontId="1" numFmtId="179" xfId="0" applyAlignment="1" applyFont="1" applyNumberFormat="1">
      <alignment readingOrder="0"/>
    </xf>
    <xf borderId="0" fillId="0" fontId="1" numFmtId="0" xfId="0" applyAlignment="1" applyFont="1">
      <alignment readingOrder="0" shrinkToFit="0" wrapText="1"/>
    </xf>
    <xf borderId="0" fillId="0" fontId="1" numFmtId="10" xfId="0" applyAlignment="1" applyFont="1" applyNumberFormat="1">
      <alignment readingOrder="0" shrinkToFit="0" wrapText="1"/>
    </xf>
    <xf borderId="0" fillId="0" fontId="1" numFmtId="180" xfId="0" applyAlignment="1" applyFont="1" applyNumberForma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164" xfId="0" applyFont="1" applyNumberFormat="1"/>
    <xf borderId="0" fillId="0" fontId="1" numFmtId="9" xfId="0" applyAlignment="1" applyFont="1" applyNumberFormat="1">
      <alignment readingOrder="0"/>
    </xf>
    <xf borderId="0" fillId="24" fontId="1" numFmtId="0" xfId="0" applyAlignment="1" applyFill="1" applyFont="1">
      <alignment readingOrder="0"/>
    </xf>
    <xf borderId="0" fillId="24" fontId="1" numFmtId="164" xfId="0" applyFont="1" applyNumberFormat="1"/>
    <xf borderId="0" fillId="24" fontId="1" numFmtId="9" xfId="0" applyAlignment="1" applyFont="1" applyNumberFormat="1">
      <alignment readingOrder="0"/>
    </xf>
    <xf borderId="0" fillId="24" fontId="1" numFmtId="10" xfId="0" applyAlignment="1" applyFont="1" applyNumberFormat="1">
      <alignment readingOrder="0"/>
    </xf>
    <xf borderId="0" fillId="24" fontId="1" numFmtId="180" xfId="0" applyFont="1" applyNumberFormat="1"/>
    <xf borderId="0" fillId="0" fontId="1" numFmtId="164" xfId="0" applyAlignment="1" applyFont="1" applyNumberFormat="1">
      <alignment readingOrder="0"/>
    </xf>
    <xf borderId="0" fillId="0" fontId="76" numFmtId="0" xfId="0" applyAlignment="1" applyFont="1">
      <alignment horizontal="center" readingOrder="0" shrinkToFit="0" wrapText="1"/>
    </xf>
    <xf borderId="0" fillId="0" fontId="130" numFmtId="0" xfId="0" applyAlignment="1" applyFont="1">
      <alignment horizontal="center" readingOrder="0" shrinkToFit="0" wrapText="1"/>
    </xf>
    <xf borderId="0" fillId="0" fontId="76" numFmtId="180" xfId="0" applyAlignment="1" applyFont="1" applyNumberFormat="1">
      <alignment readingOrder="0" shrinkToFit="0" wrapText="1"/>
    </xf>
    <xf borderId="42" fillId="0" fontId="1" numFmtId="10" xfId="0" applyAlignment="1" applyBorder="1" applyFont="1" applyNumberFormat="1">
      <alignment readingOrder="0"/>
    </xf>
    <xf borderId="0" fillId="0" fontId="131" numFmtId="10" xfId="0" applyFont="1" applyNumberFormat="1"/>
    <xf borderId="42" fillId="0" fontId="1" numFmtId="0" xfId="0" applyAlignment="1" applyBorder="1" applyFont="1">
      <alignment readingOrder="0"/>
    </xf>
    <xf borderId="0" fillId="0" fontId="1" numFmtId="208" xfId="0" applyFont="1" applyNumberFormat="1"/>
    <xf borderId="0" fillId="0" fontId="1" numFmtId="166" xfId="0" applyFont="1" applyNumberFormat="1"/>
    <xf borderId="0" fillId="0" fontId="8" numFmtId="0" xfId="0" applyAlignment="1" applyFont="1">
      <alignment horizontal="left" readingOrder="0"/>
    </xf>
    <xf borderId="0" fillId="0" fontId="8" numFmtId="180" xfId="0" applyFont="1" applyNumberFormat="1"/>
    <xf borderId="0" fillId="0" fontId="8" numFmtId="166" xfId="0" applyFont="1" applyNumberFormat="1"/>
    <xf borderId="0" fillId="0" fontId="8" numFmtId="10" xfId="0" applyAlignment="1" applyFont="1" applyNumberFormat="1">
      <alignment readingOrder="0"/>
    </xf>
    <xf borderId="0" fillId="0" fontId="8" numFmtId="209" xfId="0" applyFont="1" applyNumberFormat="1"/>
    <xf borderId="0" fillId="0" fontId="8" numFmtId="210" xfId="0" applyFont="1" applyNumberFormat="1"/>
    <xf borderId="0" fillId="0" fontId="8" numFmtId="9" xfId="0" applyAlignment="1" applyFont="1" applyNumberFormat="1">
      <alignment readingOrder="0"/>
    </xf>
    <xf borderId="0" fillId="0" fontId="76" numFmtId="0" xfId="0" applyAlignment="1" applyFont="1">
      <alignment readingOrder="0"/>
    </xf>
    <xf borderId="0" fillId="0" fontId="76" numFmtId="0" xfId="0" applyFont="1"/>
    <xf borderId="0" fillId="0" fontId="76" numFmtId="0" xfId="0" applyFont="1"/>
    <xf borderId="0" fillId="0" fontId="76" numFmtId="10" xfId="0" applyAlignment="1" applyFont="1" applyNumberFormat="1">
      <alignment readingOrder="0"/>
    </xf>
    <xf borderId="0" fillId="0" fontId="76" numFmtId="174" xfId="0" applyAlignment="1" applyFont="1" applyNumberFormat="1">
      <alignment readingOrder="0"/>
    </xf>
    <xf borderId="0" fillId="0" fontId="76" numFmtId="211" xfId="0" applyFont="1" applyNumberFormat="1"/>
    <xf borderId="0" fillId="0" fontId="76" numFmtId="170" xfId="0" applyAlignment="1" applyFont="1" applyNumberFormat="1">
      <alignment readingOrder="0"/>
    </xf>
    <xf borderId="0" fillId="0" fontId="76" numFmtId="170" xfId="0" applyFont="1" applyNumberFormat="1"/>
    <xf borderId="0" fillId="0" fontId="1" numFmtId="0" xfId="0" applyAlignment="1" applyFont="1">
      <alignment readingOrder="0"/>
    </xf>
    <xf borderId="0" fillId="0" fontId="1" numFmtId="212" xfId="0" applyAlignment="1" applyFont="1" applyNumberFormat="1">
      <alignment readingOrder="0"/>
    </xf>
    <xf borderId="0" fillId="0" fontId="1" numFmtId="0" xfId="0" applyFont="1"/>
    <xf borderId="0" fillId="0" fontId="1" numFmtId="10" xfId="0" applyAlignment="1" applyFont="1" applyNumberFormat="1">
      <alignment readingOrder="0"/>
    </xf>
    <xf borderId="0" fillId="0" fontId="1" numFmtId="174" xfId="0" applyAlignment="1" applyFont="1" applyNumberFormat="1">
      <alignment readingOrder="0"/>
    </xf>
    <xf borderId="0" fillId="0" fontId="1" numFmtId="0" xfId="0" applyFont="1"/>
    <xf borderId="0" fillId="0" fontId="1" numFmtId="211" xfId="0" applyFont="1" applyNumberFormat="1"/>
    <xf borderId="0" fillId="0" fontId="1" numFmtId="212" xfId="0" applyFont="1" applyNumberFormat="1"/>
    <xf borderId="0" fillId="0" fontId="132" numFmtId="0" xfId="0" applyFont="1"/>
    <xf borderId="0" fillId="0" fontId="133" numFmtId="0" xfId="0" applyFont="1"/>
    <xf borderId="0" fillId="0" fontId="1" numFmtId="10" xfId="0" applyFont="1" applyNumberFormat="1"/>
    <xf borderId="0" fillId="0" fontId="1" numFmtId="174" xfId="0" applyFont="1" applyNumberFormat="1"/>
    <xf borderId="0" fillId="0" fontId="1" numFmtId="213" xfId="0" applyFont="1" applyNumberFormat="1"/>
    <xf borderId="0" fillId="0" fontId="1" numFmtId="214" xfId="0" applyFont="1" applyNumberFormat="1"/>
    <xf borderId="0" fillId="0" fontId="1" numFmtId="178" xfId="0" applyAlignment="1" applyFont="1" applyNumberFormat="1">
      <alignment readingOrder="0"/>
    </xf>
    <xf quotePrefix="1" borderId="0" fillId="0" fontId="1" numFmtId="0" xfId="0" applyFont="1"/>
    <xf borderId="0" fillId="0" fontId="134" numFmtId="0" xfId="0" applyAlignment="1" applyFont="1">
      <alignment readingOrder="0"/>
    </xf>
    <xf borderId="0" fillId="0" fontId="1" numFmtId="9" xfId="0" applyFont="1" applyNumberFormat="1"/>
    <xf borderId="19" fillId="4" fontId="135" numFmtId="0" xfId="0" applyAlignment="1" applyBorder="1" applyFont="1">
      <alignment horizontal="left" readingOrder="0" shrinkToFit="0" vertical="bottom" wrapText="0"/>
    </xf>
    <xf borderId="19" fillId="4" fontId="135" numFmtId="0" xfId="0" applyAlignment="1" applyBorder="1" applyFont="1">
      <alignment horizontal="left" shrinkToFit="0" vertical="bottom" wrapText="0"/>
    </xf>
    <xf borderId="19" fillId="4" fontId="136" numFmtId="0" xfId="0" applyAlignment="1" applyBorder="1" applyFont="1">
      <alignment horizontal="left" shrinkToFit="0" vertical="bottom" wrapText="0"/>
    </xf>
    <xf borderId="19" fillId="4" fontId="137" numFmtId="0" xfId="0" applyAlignment="1" applyBorder="1" applyFont="1">
      <alignment horizontal="left" shrinkToFit="0" vertical="bottom" wrapText="0"/>
    </xf>
    <xf borderId="19" fillId="2" fontId="137" numFmtId="0" xfId="0" applyAlignment="1" applyBorder="1" applyFont="1">
      <alignment horizontal="right" readingOrder="0" shrinkToFit="0" vertical="bottom" wrapText="0"/>
    </xf>
    <xf borderId="19" fillId="2" fontId="137" numFmtId="0" xfId="0" applyAlignment="1" applyBorder="1" applyFont="1">
      <alignment horizontal="right" readingOrder="0" shrinkToFit="0" vertical="bottom" wrapText="1"/>
    </xf>
    <xf borderId="19" fillId="2" fontId="137" numFmtId="0" xfId="0" applyAlignment="1" applyBorder="1" applyFont="1">
      <alignment horizontal="left" readingOrder="0" shrinkToFit="0" vertical="bottom" wrapText="0"/>
    </xf>
    <xf borderId="19" fillId="2" fontId="138" numFmtId="0" xfId="0" applyAlignment="1" applyBorder="1" applyFont="1">
      <alignment horizontal="left" readingOrder="0" shrinkToFit="0" vertical="bottom" wrapText="0"/>
    </xf>
    <xf borderId="19" fillId="2" fontId="137" numFmtId="215" xfId="0" applyAlignment="1" applyBorder="1" applyFont="1" applyNumberFormat="1">
      <alignment horizontal="left" readingOrder="0" shrinkToFit="0" vertical="bottom" wrapText="0"/>
    </xf>
    <xf borderId="21" fillId="2" fontId="137" numFmtId="0" xfId="0" applyAlignment="1" applyBorder="1" applyFont="1">
      <alignment horizontal="left" readingOrder="0" shrinkToFit="0" vertical="bottom" wrapText="0"/>
    </xf>
    <xf borderId="21" fillId="2" fontId="137" numFmtId="0" xfId="0" applyAlignment="1" applyBorder="1" applyFont="1">
      <alignment horizontal="left" shrinkToFit="0" vertical="bottom" wrapText="0"/>
    </xf>
    <xf borderId="19" fillId="2" fontId="137" numFmtId="0" xfId="0" applyAlignment="1" applyBorder="1" applyFont="1">
      <alignment horizontal="left" shrinkToFit="0" vertical="bottom" wrapText="0"/>
    </xf>
    <xf borderId="19" fillId="25" fontId="137" numFmtId="179" xfId="0" applyAlignment="1" applyBorder="1" applyFill="1" applyFont="1" applyNumberFormat="1">
      <alignment horizontal="right" readingOrder="0" shrinkToFit="0" vertical="bottom" wrapText="0"/>
    </xf>
    <xf borderId="19" fillId="25" fontId="137" numFmtId="0" xfId="0" applyAlignment="1" applyBorder="1" applyFont="1">
      <alignment horizontal="right" readingOrder="0" shrinkToFit="0" vertical="bottom" wrapText="1"/>
    </xf>
    <xf borderId="19" fillId="25" fontId="137" numFmtId="0" xfId="0" applyAlignment="1" applyBorder="1" applyFont="1">
      <alignment horizontal="right" readingOrder="0" shrinkToFit="0" vertical="bottom" wrapText="0"/>
    </xf>
    <xf borderId="19" fillId="25" fontId="137" numFmtId="0" xfId="0" applyAlignment="1" applyBorder="1" applyFont="1">
      <alignment horizontal="left" readingOrder="0" shrinkToFit="0" vertical="bottom" wrapText="0"/>
    </xf>
    <xf borderId="19" fillId="25" fontId="139" numFmtId="0" xfId="0" applyAlignment="1" applyBorder="1" applyFont="1">
      <alignment horizontal="left" readingOrder="0" shrinkToFit="0" vertical="bottom" wrapText="0"/>
    </xf>
    <xf borderId="19" fillId="25" fontId="137" numFmtId="0" xfId="0" applyAlignment="1" applyBorder="1" applyFont="1">
      <alignment horizontal="right" shrinkToFit="0" vertical="bottom" wrapText="0"/>
    </xf>
    <xf borderId="19" fillId="25" fontId="140" numFmtId="0" xfId="0" applyAlignment="1" applyBorder="1" applyFont="1">
      <alignment horizontal="left" shrinkToFit="0" vertical="bottom" wrapText="0"/>
    </xf>
    <xf borderId="21" fillId="25" fontId="137" numFmtId="0" xfId="0" applyAlignment="1" applyBorder="1" applyFont="1">
      <alignment horizontal="left" readingOrder="0" shrinkToFit="0" vertical="bottom" wrapText="0"/>
    </xf>
    <xf borderId="21" fillId="25" fontId="137" numFmtId="0" xfId="0" applyAlignment="1" applyBorder="1" applyFont="1">
      <alignment horizontal="right" shrinkToFit="0" vertical="bottom" wrapText="0"/>
    </xf>
    <xf borderId="21" fillId="25" fontId="137" numFmtId="0" xfId="0" applyAlignment="1" applyBorder="1" applyFont="1">
      <alignment horizontal="left" shrinkToFit="0" vertical="bottom" wrapText="0"/>
    </xf>
    <xf borderId="19" fillId="25" fontId="137" numFmtId="0" xfId="0" applyAlignment="1" applyBorder="1" applyFont="1">
      <alignment horizontal="left" shrinkToFit="0" vertical="bottom" wrapText="0"/>
    </xf>
    <xf borderId="19" fillId="25" fontId="137" numFmtId="2" xfId="0" applyAlignment="1" applyBorder="1" applyFont="1" applyNumberFormat="1">
      <alignment horizontal="left" shrinkToFit="0" vertical="bottom" wrapText="0"/>
    </xf>
    <xf borderId="19" fillId="2" fontId="137" numFmtId="0" xfId="0" applyAlignment="1" applyBorder="1" applyFont="1">
      <alignment horizontal="right" shrinkToFit="0" vertical="bottom" wrapText="0"/>
    </xf>
    <xf borderId="19" fillId="4" fontId="137" numFmtId="0" xfId="0" applyAlignment="1" applyBorder="1" applyFont="1">
      <alignment horizontal="right" readingOrder="0" shrinkToFit="0" vertical="bottom" wrapText="0"/>
    </xf>
    <xf borderId="19" fillId="4" fontId="137" numFmtId="0" xfId="0" applyAlignment="1" applyBorder="1" applyFont="1">
      <alignment horizontal="right" readingOrder="0" shrinkToFit="0" vertical="bottom" wrapText="1"/>
    </xf>
    <xf borderId="19" fillId="4" fontId="137" numFmtId="0" xfId="0" applyAlignment="1" applyBorder="1" applyFont="1">
      <alignment horizontal="left" readingOrder="0" shrinkToFit="0" vertical="bottom" wrapText="0"/>
    </xf>
    <xf borderId="19" fillId="4" fontId="141" numFmtId="0" xfId="0" applyAlignment="1" applyBorder="1" applyFont="1">
      <alignment horizontal="left" readingOrder="0" shrinkToFit="0" vertical="bottom" wrapText="0"/>
    </xf>
    <xf borderId="19" fillId="4" fontId="137" numFmtId="0" xfId="0" applyAlignment="1" applyBorder="1" applyFont="1">
      <alignment horizontal="right" shrinkToFit="0" vertical="bottom" wrapText="0"/>
    </xf>
    <xf borderId="21" fillId="4" fontId="137" numFmtId="0" xfId="0" applyAlignment="1" applyBorder="1" applyFont="1">
      <alignment horizontal="left" readingOrder="0" shrinkToFit="0" vertical="bottom" wrapText="0"/>
    </xf>
    <xf borderId="21" fillId="4" fontId="137" numFmtId="0" xfId="0" applyAlignment="1" applyBorder="1" applyFont="1">
      <alignment horizontal="left" shrinkToFit="0" vertical="bottom" wrapText="0"/>
    </xf>
    <xf borderId="19" fillId="26" fontId="137" numFmtId="179" xfId="0" applyAlignment="1" applyBorder="1" applyFill="1" applyFont="1" applyNumberFormat="1">
      <alignment horizontal="right" readingOrder="0" shrinkToFit="0" vertical="bottom" wrapText="0"/>
    </xf>
    <xf borderId="19" fillId="26" fontId="142" numFmtId="0" xfId="0" applyAlignment="1" applyBorder="1" applyFont="1">
      <alignment horizontal="right" readingOrder="0" shrinkToFit="0" vertical="bottom" wrapText="1"/>
    </xf>
    <xf borderId="19" fillId="26" fontId="137" numFmtId="0" xfId="0" applyAlignment="1" applyBorder="1" applyFont="1">
      <alignment horizontal="right" readingOrder="0" shrinkToFit="0" vertical="bottom" wrapText="0"/>
    </xf>
    <xf borderId="19" fillId="26" fontId="137" numFmtId="0" xfId="0" applyAlignment="1" applyBorder="1" applyFont="1">
      <alignment horizontal="left" readingOrder="0" shrinkToFit="0" vertical="bottom" wrapText="0"/>
    </xf>
    <xf borderId="21" fillId="26" fontId="143" numFmtId="0" xfId="0" applyAlignment="1" applyBorder="1" applyFont="1">
      <alignment horizontal="left" readingOrder="0" shrinkToFit="0" vertical="bottom" wrapText="0"/>
    </xf>
    <xf borderId="19" fillId="26" fontId="137" numFmtId="0" xfId="0" applyAlignment="1" applyBorder="1" applyFont="1">
      <alignment horizontal="left" shrinkToFit="0" vertical="bottom" wrapText="0"/>
    </xf>
    <xf borderId="19" fillId="26" fontId="144" numFmtId="0" xfId="0" applyAlignment="1" applyBorder="1" applyFont="1">
      <alignment horizontal="left" readingOrder="0" shrinkToFit="0" vertical="bottom" wrapText="0"/>
    </xf>
    <xf borderId="21" fillId="26" fontId="144" numFmtId="0" xfId="0" applyAlignment="1" applyBorder="1" applyFont="1">
      <alignment horizontal="left" readingOrder="0" shrinkToFit="0" vertical="bottom" wrapText="0"/>
    </xf>
    <xf borderId="21" fillId="26" fontId="137" numFmtId="0" xfId="0" applyAlignment="1" applyBorder="1" applyFont="1">
      <alignment horizontal="left" readingOrder="0" shrinkToFit="0" vertical="bottom" wrapText="0"/>
    </xf>
    <xf borderId="0" fillId="26" fontId="1" numFmtId="0" xfId="0" applyFont="1"/>
    <xf borderId="0" fillId="27" fontId="145" numFmtId="216" xfId="0" applyAlignment="1" applyFill="1" applyFont="1" applyNumberFormat="1">
      <alignment readingOrder="0"/>
    </xf>
    <xf borderId="43" fillId="27" fontId="145" numFmtId="216" xfId="0" applyAlignment="1" applyBorder="1" applyFont="1" applyNumberFormat="1">
      <alignment readingOrder="0"/>
    </xf>
    <xf borderId="43" fillId="27" fontId="145" numFmtId="211" xfId="0" applyAlignment="1" applyBorder="1" applyFont="1" applyNumberFormat="1">
      <alignment horizontal="left"/>
    </xf>
    <xf borderId="0" fillId="0" fontId="1" numFmtId="165" xfId="0" applyFont="1" applyNumberFormat="1"/>
    <xf borderId="0" fillId="0" fontId="1" numFmtId="165" xfId="0" applyAlignment="1" applyFont="1" applyNumberFormat="1">
      <alignment horizontal="center"/>
    </xf>
    <xf borderId="0" fillId="0" fontId="1" numFmtId="170" xfId="0" applyAlignment="1" applyFont="1" applyNumberFormat="1">
      <alignment readingOrder="0"/>
    </xf>
    <xf borderId="0" fillId="28" fontId="146" numFmtId="0" xfId="0" applyAlignment="1" applyFill="1" applyFont="1">
      <alignment horizontal="right" readingOrder="0"/>
    </xf>
    <xf borderId="44" fillId="28" fontId="146" numFmtId="0" xfId="0" applyAlignment="1" applyBorder="1" applyFont="1">
      <alignment horizontal="right" readingOrder="0"/>
    </xf>
    <xf borderId="44" fillId="28" fontId="147" numFmtId="217" xfId="0" applyBorder="1" applyFont="1" applyNumberFormat="1"/>
    <xf borderId="44" fillId="29" fontId="146" numFmtId="165" xfId="0" applyBorder="1" applyFill="1" applyFont="1" applyNumberFormat="1"/>
    <xf borderId="44" fillId="29" fontId="146" numFmtId="165" xfId="0" applyAlignment="1" applyBorder="1" applyFont="1" applyNumberFormat="1">
      <alignment horizontal="center"/>
    </xf>
    <xf borderId="44" fillId="29" fontId="146" numFmtId="0" xfId="0" applyBorder="1" applyFont="1"/>
    <xf borderId="0" fillId="29" fontId="146" numFmtId="0" xfId="0" applyFont="1"/>
    <xf borderId="0" fillId="0" fontId="1" numFmtId="216" xfId="0" applyFont="1" applyNumberFormat="1"/>
    <xf borderId="0" fillId="0" fontId="146" numFmtId="218" xfId="0" applyFont="1" applyNumberFormat="1"/>
    <xf borderId="0" fillId="0" fontId="76" numFmtId="0" xfId="0" applyAlignment="1" applyFont="1">
      <alignment readingOrder="0" shrinkToFit="0" wrapText="1"/>
    </xf>
    <xf borderId="0" fillId="0" fontId="148" numFmtId="216" xfId="0" applyAlignment="1" applyFont="1" applyNumberFormat="1">
      <alignment horizontal="center" readingOrder="0" shrinkToFit="0" vertical="bottom" wrapText="1"/>
    </xf>
    <xf borderId="0" fillId="0" fontId="148" numFmtId="218" xfId="0" applyAlignment="1" applyFont="1" applyNumberFormat="1">
      <alignment horizontal="center" readingOrder="0" shrinkToFit="0" vertical="bottom" wrapText="1"/>
    </xf>
    <xf borderId="0" fillId="0" fontId="148" numFmtId="165" xfId="0" applyAlignment="1" applyFont="1" applyNumberFormat="1">
      <alignment horizontal="center" readingOrder="0" shrinkToFit="0" vertical="bottom" wrapText="1"/>
    </xf>
    <xf borderId="0" fillId="0" fontId="148" numFmtId="0" xfId="0" applyAlignment="1" applyFont="1">
      <alignment horizontal="center" readingOrder="0" shrinkToFit="0" vertical="bottom" wrapText="1"/>
    </xf>
    <xf borderId="0" fillId="0" fontId="148" numFmtId="0" xfId="0" applyAlignment="1" applyFont="1">
      <alignment horizontal="left" readingOrder="0" shrinkToFit="0" vertical="bottom" wrapText="1"/>
    </xf>
    <xf borderId="0" fillId="0" fontId="149" numFmtId="0" xfId="0" applyAlignment="1" applyFont="1">
      <alignment horizontal="center" shrinkToFit="0" vertical="bottom" wrapText="1"/>
    </xf>
    <xf borderId="0" fillId="0" fontId="76" numFmtId="0" xfId="0" applyAlignment="1" applyFont="1">
      <alignment horizontal="center" shrinkToFit="0" wrapText="1"/>
    </xf>
    <xf borderId="0" fillId="0" fontId="146" numFmtId="49" xfId="0" applyAlignment="1" applyFont="1" applyNumberFormat="1">
      <alignment horizontal="right" readingOrder="0" shrinkToFit="0" vertical="bottom" wrapText="0"/>
    </xf>
    <xf borderId="0" fillId="0" fontId="1" numFmtId="183" xfId="0" applyFont="1" applyNumberFormat="1"/>
    <xf borderId="0" fillId="0" fontId="1" numFmtId="180" xfId="0" applyAlignment="1" applyFont="1" applyNumberFormat="1">
      <alignment horizontal="center"/>
    </xf>
    <xf borderId="0" fillId="0" fontId="146" numFmtId="0" xfId="0" applyAlignment="1" applyFont="1">
      <alignment shrinkToFit="0" vertical="bottom" wrapText="0"/>
    </xf>
    <xf borderId="0" fillId="0" fontId="146" numFmtId="217" xfId="0" applyAlignment="1" applyFont="1" applyNumberFormat="1">
      <alignment horizontal="right" readingOrder="0" shrinkToFit="0" vertical="bottom" wrapText="0"/>
    </xf>
    <xf borderId="0" fillId="0" fontId="146" numFmtId="217" xfId="0" applyAlignment="1" applyFont="1" applyNumberFormat="1">
      <alignment readingOrder="0" shrinkToFit="0" vertical="bottom" wrapText="0"/>
    </xf>
    <xf borderId="0" fillId="0" fontId="146" numFmtId="186" xfId="0" applyAlignment="1" applyFont="1" applyNumberFormat="1">
      <alignment readingOrder="0" shrinkToFit="0" vertical="bottom" wrapText="0"/>
    </xf>
    <xf borderId="0" fillId="0" fontId="146" numFmtId="0" xfId="0" applyAlignment="1" applyFont="1">
      <alignment readingOrder="0" shrinkToFit="0" vertical="bottom" wrapText="0"/>
    </xf>
    <xf borderId="0" fillId="2" fontId="146" numFmtId="217" xfId="0" applyAlignment="1" applyFont="1" applyNumberFormat="1">
      <alignment horizontal="right" readingOrder="0" shrinkToFit="0" vertical="bottom" wrapText="0"/>
    </xf>
    <xf borderId="0" fillId="2" fontId="146" numFmtId="217" xfId="0" applyAlignment="1" applyFont="1" applyNumberFormat="1">
      <alignment readingOrder="0" shrinkToFit="0" vertical="bottom" wrapText="0"/>
    </xf>
    <xf borderId="0" fillId="30" fontId="146" numFmtId="217" xfId="0" applyAlignment="1" applyFill="1" applyFont="1" applyNumberFormat="1">
      <alignment horizontal="right" readingOrder="0" shrinkToFit="0" vertical="bottom" wrapText="0"/>
    </xf>
    <xf borderId="0" fillId="30" fontId="146" numFmtId="217" xfId="0" applyAlignment="1" applyFont="1" applyNumberFormat="1">
      <alignment readingOrder="0" shrinkToFit="0" vertical="bottom" wrapText="0"/>
    </xf>
    <xf borderId="0" fillId="4" fontId="146" numFmtId="217" xfId="0" applyAlignment="1" applyFont="1" applyNumberFormat="1">
      <alignment readingOrder="0" shrinkToFit="0" vertical="bottom" wrapText="0"/>
    </xf>
    <xf borderId="0" fillId="10" fontId="146" numFmtId="49" xfId="0" applyAlignment="1" applyFont="1" applyNumberFormat="1">
      <alignment horizontal="right" readingOrder="0" shrinkToFit="0" vertical="bottom" wrapText="0"/>
    </xf>
    <xf borderId="0" fillId="10" fontId="1" numFmtId="165" xfId="0" applyFont="1" applyNumberFormat="1"/>
    <xf borderId="0" fillId="10" fontId="1" numFmtId="183" xfId="0" applyFont="1" applyNumberFormat="1"/>
    <xf borderId="0" fillId="10" fontId="1" numFmtId="180" xfId="0" applyAlignment="1" applyFont="1" applyNumberFormat="1">
      <alignment horizontal="center"/>
    </xf>
    <xf borderId="0" fillId="10" fontId="146" numFmtId="0" xfId="0" applyAlignment="1" applyFont="1">
      <alignment shrinkToFit="0" vertical="bottom" wrapText="0"/>
    </xf>
    <xf borderId="0" fillId="10" fontId="146" numFmtId="217" xfId="0" applyAlignment="1" applyFont="1" applyNumberFormat="1">
      <alignment horizontal="right" readingOrder="0" shrinkToFit="0" vertical="bottom" wrapText="0"/>
    </xf>
    <xf borderId="0" fillId="10" fontId="146" numFmtId="217" xfId="0" applyAlignment="1" applyFont="1" applyNumberFormat="1">
      <alignment readingOrder="0" shrinkToFit="0" vertical="bottom" wrapText="0"/>
    </xf>
    <xf borderId="0" fillId="10" fontId="146" numFmtId="186" xfId="0" applyAlignment="1" applyFont="1" applyNumberFormat="1">
      <alignment readingOrder="0" shrinkToFit="0" vertical="bottom" wrapText="0"/>
    </xf>
    <xf borderId="0" fillId="10" fontId="146" numFmtId="0" xfId="0" applyAlignment="1" applyFont="1">
      <alignment readingOrder="0" shrinkToFit="0" vertical="bottom" wrapText="0"/>
    </xf>
    <xf borderId="0" fillId="10" fontId="150" numFmtId="0" xfId="0" applyAlignment="1" applyFont="1">
      <alignment readingOrder="0" shrinkToFit="0" vertical="bottom" wrapText="0"/>
    </xf>
    <xf borderId="0" fillId="10" fontId="146" numFmtId="0" xfId="0" applyAlignment="1" applyFont="1">
      <alignment shrinkToFit="0" vertical="bottom" wrapText="0"/>
    </xf>
    <xf borderId="0" fillId="10" fontId="1" numFmtId="0" xfId="0" applyFont="1"/>
    <xf borderId="0" fillId="31" fontId="146" numFmtId="217" xfId="0" applyAlignment="1" applyFill="1" applyFont="1" applyNumberFormat="1">
      <alignment horizontal="right" readingOrder="0" shrinkToFit="0" vertical="bottom" wrapText="0"/>
    </xf>
    <xf borderId="0" fillId="5" fontId="146" numFmtId="49" xfId="0" applyAlignment="1" applyFont="1" applyNumberFormat="1">
      <alignment horizontal="right" readingOrder="0" shrinkToFit="0" vertical="bottom" wrapText="0"/>
    </xf>
    <xf borderId="0" fillId="5" fontId="1" numFmtId="165" xfId="0" applyFont="1" applyNumberFormat="1"/>
    <xf borderId="0" fillId="5" fontId="1" numFmtId="183" xfId="0" applyFont="1" applyNumberFormat="1"/>
    <xf borderId="0" fillId="5" fontId="1" numFmtId="180" xfId="0" applyAlignment="1" applyFont="1" applyNumberFormat="1">
      <alignment horizontal="center"/>
    </xf>
    <xf borderId="0" fillId="5" fontId="146" numFmtId="0" xfId="0" applyAlignment="1" applyFont="1">
      <alignment shrinkToFit="0" vertical="bottom" wrapText="0"/>
    </xf>
    <xf borderId="0" fillId="5" fontId="146" numFmtId="217" xfId="0" applyAlignment="1" applyFont="1" applyNumberFormat="1">
      <alignment horizontal="right" readingOrder="0" shrinkToFit="0" vertical="bottom" wrapText="0"/>
    </xf>
    <xf borderId="0" fillId="5" fontId="146" numFmtId="217" xfId="0" applyAlignment="1" applyFont="1" applyNumberFormat="1">
      <alignment readingOrder="0" shrinkToFit="0" vertical="bottom" wrapText="0"/>
    </xf>
    <xf borderId="0" fillId="5" fontId="146" numFmtId="186" xfId="0" applyAlignment="1" applyFont="1" applyNumberFormat="1">
      <alignment readingOrder="0" shrinkToFit="0" vertical="bottom" wrapText="0"/>
    </xf>
    <xf borderId="0" fillId="5" fontId="146" numFmtId="0" xfId="0" applyAlignment="1" applyFont="1">
      <alignment readingOrder="0" shrinkToFit="0" vertical="bottom" wrapText="0"/>
    </xf>
    <xf borderId="0" fillId="5" fontId="151" numFmtId="0" xfId="0" applyAlignment="1" applyFont="1">
      <alignment readingOrder="0" shrinkToFit="0" vertical="bottom" wrapText="0"/>
    </xf>
    <xf borderId="45" fillId="0" fontId="14" numFmtId="0" xfId="0" applyBorder="1" applyFont="1"/>
    <xf borderId="0" fillId="5" fontId="146" numFmtId="0" xfId="0" applyAlignment="1" applyFont="1">
      <alignment shrinkToFit="0" vertical="bottom" wrapText="0"/>
    </xf>
    <xf borderId="0" fillId="5" fontId="1" numFmtId="0" xfId="0" applyFont="1"/>
    <xf borderId="0" fillId="0" fontId="146" numFmtId="49" xfId="0" applyAlignment="1" applyFont="1" applyNumberFormat="1">
      <alignment horizontal="right" readingOrder="0" shrinkToFit="0" vertical="bottom" wrapText="0"/>
    </xf>
    <xf borderId="0" fillId="0" fontId="152" numFmtId="165" xfId="0" applyFont="1" applyNumberFormat="1"/>
    <xf borderId="0" fillId="0" fontId="152" numFmtId="183" xfId="0" applyFont="1" applyNumberFormat="1"/>
    <xf borderId="0" fillId="0" fontId="152" numFmtId="180" xfId="0" applyAlignment="1" applyFont="1" applyNumberFormat="1">
      <alignment horizontal="center"/>
    </xf>
    <xf borderId="0" fillId="0" fontId="146" numFmtId="0" xfId="0" applyAlignment="1" applyFont="1">
      <alignment shrinkToFit="0" vertical="bottom" wrapText="0"/>
    </xf>
    <xf borderId="0" fillId="0" fontId="146" numFmtId="217" xfId="0" applyAlignment="1" applyFont="1" applyNumberFormat="1">
      <alignment horizontal="right" readingOrder="0" shrinkToFit="0" vertical="bottom" wrapText="0"/>
    </xf>
    <xf borderId="0" fillId="4" fontId="146" numFmtId="217" xfId="0" applyAlignment="1" applyFont="1" applyNumberFormat="1">
      <alignment readingOrder="0" shrinkToFit="0" vertical="bottom" wrapText="0"/>
    </xf>
    <xf borderId="0" fillId="0" fontId="146" numFmtId="186" xfId="0" applyAlignment="1" applyFont="1" applyNumberFormat="1">
      <alignment readingOrder="0" shrinkToFit="0" vertical="bottom" wrapText="0"/>
    </xf>
    <xf borderId="0" fillId="0" fontId="146" numFmtId="217" xfId="0" applyAlignment="1" applyFont="1" applyNumberFormat="1">
      <alignment readingOrder="0" shrinkToFit="0" vertical="bottom" wrapText="0"/>
    </xf>
    <xf borderId="0" fillId="0" fontId="146" numFmtId="0" xfId="0" applyAlignment="1" applyFont="1">
      <alignment readingOrder="0" shrinkToFit="0" vertical="bottom" wrapText="0"/>
    </xf>
    <xf borderId="0" fillId="0" fontId="152" numFmtId="0" xfId="0" applyFont="1"/>
    <xf borderId="0" fillId="0" fontId="152" numFmtId="216" xfId="0" applyAlignment="1" applyFont="1" applyNumberFormat="1">
      <alignment readingOrder="0"/>
    </xf>
    <xf borderId="0" fillId="0" fontId="146" numFmtId="218" xfId="0" applyAlignment="1" applyFont="1" applyNumberFormat="1">
      <alignment readingOrder="0"/>
    </xf>
    <xf borderId="0" fillId="0" fontId="152" numFmtId="165" xfId="0" applyAlignment="1" applyFont="1" applyNumberFormat="1">
      <alignment horizontal="center"/>
    </xf>
    <xf borderId="0" fillId="0" fontId="152" numFmtId="0" xfId="0" applyAlignment="1" applyFont="1">
      <alignment readingOrder="0"/>
    </xf>
    <xf borderId="0" fillId="0" fontId="153" numFmtId="0" xfId="0" applyAlignment="1" applyFont="1">
      <alignment readingOrder="0"/>
    </xf>
    <xf borderId="0" fillId="0" fontId="1" numFmtId="216" xfId="0" applyAlignment="1" applyFont="1" applyNumberFormat="1">
      <alignment readingOrder="0"/>
    </xf>
    <xf borderId="0" fillId="0" fontId="154" numFmtId="0" xfId="0" applyAlignment="1" applyFont="1">
      <alignment readingOrder="0"/>
    </xf>
    <xf borderId="0" fillId="0" fontId="148" numFmtId="0" xfId="0" applyAlignment="1" applyFont="1">
      <alignment horizontal="center" readingOrder="0" shrinkToFit="0" vertical="bottom" wrapText="0"/>
    </xf>
    <xf borderId="0" fillId="0" fontId="148" numFmtId="216" xfId="0" applyAlignment="1" applyFont="1" applyNumberFormat="1">
      <alignment horizontal="center" readingOrder="0" shrinkToFit="0" vertical="bottom" wrapText="0"/>
    </xf>
    <xf borderId="0" fillId="0" fontId="148" numFmtId="218" xfId="0" applyAlignment="1" applyFont="1" applyNumberFormat="1">
      <alignment horizontal="center" readingOrder="0" shrinkToFit="0" vertical="bottom" wrapText="0"/>
    </xf>
    <xf borderId="0" fillId="0" fontId="148" numFmtId="165" xfId="0" applyAlignment="1" applyFont="1" applyNumberFormat="1">
      <alignment horizontal="center" readingOrder="0" shrinkToFit="0" vertical="bottom" wrapText="0"/>
    </xf>
    <xf borderId="0" fillId="14" fontId="1" numFmtId="216" xfId="0" applyAlignment="1" applyFont="1" applyNumberFormat="1">
      <alignment readingOrder="0"/>
    </xf>
    <xf borderId="0" fillId="14" fontId="146" numFmtId="218" xfId="0" applyFont="1" applyNumberFormat="1"/>
    <xf borderId="0" fillId="14" fontId="1" numFmtId="165" xfId="0" applyFont="1" applyNumberFormat="1"/>
    <xf borderId="0" fillId="14" fontId="1" numFmtId="165" xfId="0" applyAlignment="1" applyFont="1" applyNumberFormat="1">
      <alignment horizontal="center"/>
    </xf>
    <xf borderId="0" fillId="14" fontId="1" numFmtId="0" xfId="0" applyFont="1"/>
    <xf borderId="0" fillId="14" fontId="1" numFmtId="0" xfId="0" applyAlignment="1" applyFont="1">
      <alignment readingOrder="0"/>
    </xf>
    <xf borderId="0" fillId="14" fontId="1" numFmtId="171" xfId="0" applyAlignment="1" applyFont="1" applyNumberFormat="1">
      <alignment readingOrder="0"/>
    </xf>
    <xf borderId="0" fillId="14" fontId="1" numFmtId="168" xfId="0" applyAlignment="1" applyFont="1" applyNumberFormat="1">
      <alignment readingOrder="0"/>
    </xf>
    <xf borderId="0" fillId="0" fontId="1" numFmtId="168" xfId="0" applyFont="1" applyNumberFormat="1"/>
    <xf borderId="0" fillId="0" fontId="1" numFmtId="168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76" numFmtId="168" xfId="0" applyFont="1" applyNumberFormat="1"/>
    <xf borderId="0" fillId="0" fontId="1" numFmtId="165" xfId="0" applyAlignment="1" applyFont="1" applyNumberFormat="1">
      <alignment readingOrder="0"/>
    </xf>
    <xf borderId="43" fillId="27" fontId="145" numFmtId="0" xfId="0" applyAlignment="1" applyBorder="1" applyFont="1">
      <alignment readingOrder="0"/>
    </xf>
    <xf borderId="0" fillId="0" fontId="1" numFmtId="165" xfId="0" applyAlignment="1" applyFont="1" applyNumberFormat="1">
      <alignment horizontal="center" readingOrder="0"/>
    </xf>
    <xf borderId="0" fillId="0" fontId="1" numFmtId="183" xfId="0" applyAlignment="1" applyFont="1" applyNumberFormat="1">
      <alignment readingOrder="0"/>
    </xf>
    <xf borderId="0" fillId="0" fontId="1" numFmtId="0" xfId="0" applyAlignment="1" applyFont="1">
      <alignment horizontal="left" readingOrder="0"/>
    </xf>
    <xf borderId="0" fillId="0" fontId="1" numFmtId="180" xfId="0" applyAlignment="1" applyFont="1" applyNumberFormat="1">
      <alignment horizontal="center" readingOrder="0"/>
    </xf>
    <xf borderId="0" fillId="12" fontId="1" numFmtId="0" xfId="0" applyAlignment="1" applyFont="1">
      <alignment readingOrder="0"/>
    </xf>
    <xf borderId="0" fillId="12" fontId="1" numFmtId="216" xfId="0" applyAlignment="1" applyFont="1" applyNumberFormat="1">
      <alignment horizontal="left"/>
    </xf>
    <xf borderId="0" fillId="12" fontId="1" numFmtId="183" xfId="0" applyAlignment="1" applyFont="1" applyNumberFormat="1">
      <alignment readingOrder="0"/>
    </xf>
    <xf borderId="0" fillId="12" fontId="1" numFmtId="165" xfId="0" applyAlignment="1" applyFont="1" applyNumberFormat="1">
      <alignment readingOrder="0"/>
    </xf>
    <xf borderId="0" fillId="12" fontId="1" numFmtId="180" xfId="0" applyAlignment="1" applyFont="1" applyNumberFormat="1">
      <alignment horizontal="center" readingOrder="0"/>
    </xf>
    <xf borderId="0" fillId="12" fontId="1" numFmtId="0" xfId="0" applyAlignment="1" applyFont="1">
      <alignment horizontal="left" readingOrder="0"/>
    </xf>
    <xf borderId="0" fillId="12" fontId="1" numFmtId="180" xfId="0" applyAlignment="1" applyFont="1" applyNumberFormat="1">
      <alignment horizontal="center"/>
    </xf>
    <xf borderId="0" fillId="0" fontId="1" numFmtId="216" xfId="0" applyAlignment="1" applyFont="1" applyNumberFormat="1">
      <alignment horizontal="left"/>
    </xf>
    <xf borderId="0" fillId="0" fontId="1" numFmtId="219" xfId="0" applyFont="1" applyNumberFormat="1"/>
    <xf borderId="0" fillId="0" fontId="145" numFmtId="216" xfId="0" applyAlignment="1" applyFont="1" applyNumberFormat="1">
      <alignment readingOrder="0"/>
    </xf>
    <xf borderId="0" fillId="0" fontId="145" numFmtId="0" xfId="0" applyAlignment="1" applyFont="1">
      <alignment readingOrder="0"/>
    </xf>
    <xf borderId="0" fillId="0" fontId="145" numFmtId="211" xfId="0" applyAlignment="1" applyFont="1" applyNumberFormat="1">
      <alignment horizontal="left"/>
    </xf>
    <xf borderId="0" fillId="0" fontId="1" numFmtId="219" xfId="0" applyAlignment="1" applyFont="1" applyNumberFormat="1">
      <alignment readingOrder="0"/>
    </xf>
    <xf borderId="21" fillId="0" fontId="1" numFmtId="0" xfId="0" applyAlignment="1" applyBorder="1" applyFont="1">
      <alignment readingOrder="0"/>
    </xf>
    <xf borderId="21" fillId="0" fontId="1" numFmtId="0" xfId="0" applyBorder="1" applyFont="1"/>
    <xf borderId="0" fillId="0" fontId="1" numFmtId="216" xfId="0" applyAlignment="1" applyFont="1" applyNumberFormat="1">
      <alignment horizontal="left" readingOrder="0"/>
    </xf>
    <xf borderId="0" fillId="0" fontId="155" numFmtId="0" xfId="0" applyAlignment="1" applyFont="1">
      <alignment readingOrder="0"/>
    </xf>
    <xf borderId="0" fillId="0" fontId="155" numFmtId="0" xfId="0" applyAlignment="1" applyFont="1">
      <alignment horizontal="left" readingOrder="0"/>
    </xf>
    <xf borderId="0" fillId="0" fontId="155" numFmtId="165" xfId="0" applyAlignment="1" applyFont="1" applyNumberFormat="1">
      <alignment readingOrder="0"/>
    </xf>
    <xf borderId="0" fillId="0" fontId="155" numFmtId="180" xfId="0" applyAlignment="1" applyFont="1" applyNumberFormat="1">
      <alignment horizontal="center" readingOrder="0"/>
    </xf>
    <xf borderId="0" fillId="0" fontId="1" numFmtId="191" xfId="0" applyAlignment="1" applyFont="1" applyNumberFormat="1">
      <alignment readingOrder="0"/>
    </xf>
    <xf borderId="0" fillId="0" fontId="1" numFmtId="220" xfId="0" applyAlignment="1" applyFont="1" applyNumberFormat="1">
      <alignment readingOrder="0"/>
    </xf>
    <xf borderId="0" fillId="0" fontId="1" numFmtId="217" xfId="0" applyFont="1" applyNumberFormat="1"/>
    <xf borderId="0" fillId="0" fontId="146" numFmtId="0" xfId="0" applyAlignment="1" applyFont="1">
      <alignment shrinkToFit="0" vertical="bottom" wrapText="0"/>
    </xf>
    <xf borderId="0" fillId="0" fontId="156" numFmtId="0" xfId="0" applyAlignment="1" applyFont="1">
      <alignment readingOrder="0" shrinkToFit="0" vertical="bottom" wrapText="0"/>
    </xf>
    <xf borderId="37" fillId="0" fontId="146" numFmtId="218" xfId="0" applyAlignment="1" applyBorder="1" applyFont="1" applyNumberFormat="1">
      <alignment readingOrder="0"/>
    </xf>
    <xf borderId="37" fillId="0" fontId="152" numFmtId="165" xfId="0" applyBorder="1" applyFont="1" applyNumberFormat="1"/>
    <xf borderId="37" fillId="0" fontId="152" numFmtId="165" xfId="0" applyAlignment="1" applyBorder="1" applyFont="1" applyNumberFormat="1">
      <alignment horizontal="center"/>
    </xf>
    <xf borderId="37" fillId="0" fontId="152" numFmtId="0" xfId="0" applyAlignment="1" applyBorder="1" applyFont="1">
      <alignment readingOrder="0"/>
    </xf>
    <xf borderId="37" fillId="0" fontId="152" numFmtId="217" xfId="0" applyBorder="1" applyFont="1" applyNumberFormat="1"/>
    <xf borderId="37" fillId="0" fontId="152" numFmtId="186" xfId="0" applyBorder="1" applyFont="1" applyNumberFormat="1"/>
    <xf borderId="37" fillId="0" fontId="152" numFmtId="0" xfId="0" applyBorder="1" applyFont="1"/>
    <xf borderId="0" fillId="0" fontId="152" numFmtId="217" xfId="0" applyAlignment="1" applyFont="1" applyNumberFormat="1">
      <alignment horizontal="left"/>
    </xf>
    <xf borderId="0" fillId="0" fontId="1" numFmtId="221" xfId="0" applyFont="1" applyNumberFormat="1"/>
    <xf borderId="0" fillId="0" fontId="1" numFmtId="211" xfId="0" applyFont="1" applyNumberFormat="1"/>
    <xf borderId="0" fillId="0" fontId="1" numFmtId="221" xfId="0" applyAlignment="1" applyFont="1" applyNumberFormat="1">
      <alignment readingOrder="0"/>
    </xf>
    <xf borderId="0" fillId="0" fontId="1" numFmtId="183" xfId="0" applyFont="1" applyNumberFormat="1"/>
    <xf borderId="0" fillId="0" fontId="6" numFmtId="0" xfId="0" applyAlignment="1" applyFont="1">
      <alignment horizontal="center" vertical="center"/>
    </xf>
    <xf borderId="0" fillId="32" fontId="157" numFmtId="170" xfId="0" applyAlignment="1" applyFill="1" applyFont="1" applyNumberFormat="1">
      <alignment horizontal="center" readingOrder="0" vertical="center"/>
    </xf>
    <xf borderId="0" fillId="0" fontId="6" numFmtId="165" xfId="0" applyAlignment="1" applyFont="1" applyNumberFormat="1">
      <alignment horizontal="center" vertical="center"/>
    </xf>
    <xf borderId="0" fillId="0" fontId="6" numFmtId="174" xfId="0" applyAlignment="1" applyFont="1" applyNumberFormat="1">
      <alignment horizontal="center" vertical="center"/>
    </xf>
    <xf borderId="0" fillId="0" fontId="6" numFmtId="10" xfId="0" applyAlignment="1" applyFont="1" applyNumberFormat="1">
      <alignment horizontal="center" vertical="center"/>
    </xf>
    <xf borderId="0" fillId="0" fontId="6" numFmtId="171" xfId="0" applyAlignment="1" applyFont="1" applyNumberFormat="1">
      <alignment horizontal="center" vertical="center"/>
    </xf>
    <xf borderId="0" fillId="0" fontId="6" numFmtId="167" xfId="0" applyAlignment="1" applyFont="1" applyNumberFormat="1">
      <alignment horizontal="center" vertical="center"/>
    </xf>
    <xf borderId="0" fillId="0" fontId="6" numFmtId="170" xfId="0" applyAlignment="1" applyFont="1" applyNumberFormat="1">
      <alignment horizontal="center" readingOrder="0" vertical="center"/>
    </xf>
    <xf borderId="0" fillId="0" fontId="6" numFmtId="171" xfId="0" applyAlignment="1" applyFont="1" applyNumberFormat="1">
      <alignment horizontal="center" readingOrder="0" vertical="center"/>
    </xf>
    <xf borderId="0" fillId="0" fontId="7" numFmtId="171" xfId="0" applyAlignment="1" applyFont="1" applyNumberFormat="1">
      <alignment horizontal="center" readingOrder="0" shrinkToFit="0" vertical="center" wrapText="1"/>
    </xf>
    <xf borderId="0" fillId="0" fontId="7" numFmtId="174" xfId="0" applyAlignment="1" applyFont="1" applyNumberFormat="1">
      <alignment horizontal="center" readingOrder="0" shrinkToFit="0" vertical="center" wrapText="1"/>
    </xf>
    <xf borderId="0" fillId="0" fontId="7" numFmtId="174" xfId="0" applyAlignment="1" applyFont="1" applyNumberFormat="1">
      <alignment horizontal="center" shrinkToFit="0" vertical="center" wrapText="1"/>
    </xf>
    <xf borderId="0" fillId="0" fontId="7" numFmtId="174" xfId="0" applyAlignment="1" applyFont="1" applyNumberFormat="1">
      <alignment horizontal="center" vertical="center"/>
    </xf>
    <xf borderId="0" fillId="0" fontId="7" numFmtId="10" xfId="0" applyAlignment="1" applyFont="1" applyNumberFormat="1">
      <alignment horizontal="center" vertical="center"/>
    </xf>
    <xf borderId="0" fillId="0" fontId="7" numFmtId="171" xfId="0" applyAlignment="1" applyFont="1" applyNumberFormat="1">
      <alignment horizontal="center" vertical="center"/>
    </xf>
    <xf borderId="0" fillId="0" fontId="7" numFmtId="165" xfId="0" applyAlignment="1" applyFont="1" applyNumberFormat="1">
      <alignment horizontal="center" vertical="center"/>
    </xf>
    <xf borderId="0" fillId="0" fontId="7" numFmtId="10" xfId="0" applyAlignment="1" applyFont="1" applyNumberFormat="1">
      <alignment horizontal="center" shrinkToFit="0" vertical="center" wrapText="1"/>
    </xf>
    <xf borderId="0" fillId="0" fontId="7" numFmtId="167" xfId="0" applyAlignment="1" applyFont="1" applyNumberFormat="1">
      <alignment horizontal="center" shrinkToFit="0" vertical="center" wrapText="1"/>
    </xf>
    <xf borderId="0" fillId="0" fontId="7" numFmtId="165" xfId="0" applyAlignment="1" applyFont="1" applyNumberFormat="1">
      <alignment horizontal="center" shrinkToFit="0" vertical="center" wrapText="1"/>
    </xf>
    <xf borderId="0" fillId="0" fontId="7" numFmtId="165" xfId="0" applyAlignment="1" applyFont="1" applyNumberFormat="1">
      <alignment horizontal="center" readingOrder="0" vertical="center"/>
    </xf>
    <xf borderId="0" fillId="0" fontId="7" numFmtId="174" xfId="0" applyAlignment="1" applyFont="1" applyNumberFormat="1">
      <alignment horizontal="center" readingOrder="0" vertical="center"/>
    </xf>
    <xf borderId="0" fillId="0" fontId="7" numFmtId="10" xfId="0" applyAlignment="1" applyFont="1" applyNumberFormat="1">
      <alignment horizontal="center" readingOrder="0" vertical="center"/>
    </xf>
    <xf borderId="0" fillId="0" fontId="7" numFmtId="167" xfId="0" applyAlignment="1" applyFont="1" applyNumberFormat="1">
      <alignment horizontal="center" readingOrder="0" vertical="center"/>
    </xf>
    <xf borderId="0" fillId="0" fontId="7" numFmtId="165" xfId="0" applyAlignment="1" applyFont="1" applyNumberFormat="1">
      <alignment horizontal="center" readingOrder="0" shrinkToFit="0" vertical="center" wrapText="1"/>
    </xf>
    <xf borderId="0" fillId="0" fontId="7" numFmtId="10" xfId="0" applyAlignment="1" applyFont="1" applyNumberFormat="1">
      <alignment horizontal="center" readingOrder="0" shrinkToFit="0" vertical="center" wrapText="1"/>
    </xf>
    <xf borderId="0" fillId="0" fontId="6" numFmtId="178" xfId="0" applyAlignment="1" applyFont="1" applyNumberFormat="1">
      <alignment horizontal="center" readingOrder="0" vertical="center"/>
    </xf>
    <xf borderId="0" fillId="0" fontId="6" numFmtId="167" xfId="0" applyAlignment="1" applyFont="1" applyNumberFormat="1">
      <alignment horizontal="center" shrinkToFit="0" vertical="center" wrapText="1"/>
    </xf>
    <xf borderId="0" fillId="0" fontId="6" numFmtId="165" xfId="0" applyAlignment="1" applyFont="1" applyNumberFormat="1">
      <alignment horizontal="center" readingOrder="0" shrinkToFit="0" vertical="center" wrapText="1"/>
    </xf>
    <xf borderId="0" fillId="0" fontId="6" numFmtId="10" xfId="0" applyAlignment="1" applyFont="1" applyNumberFormat="1">
      <alignment horizontal="center" shrinkToFit="0" vertical="center" wrapText="1"/>
    </xf>
    <xf borderId="0" fillId="0" fontId="6" numFmtId="165" xfId="0" applyAlignment="1" applyFont="1" applyNumberFormat="1">
      <alignment horizontal="center" readingOrder="0" vertical="center"/>
    </xf>
    <xf borderId="0" fillId="0" fontId="1" numFmtId="222" xfId="0" applyFont="1" applyNumberFormat="1"/>
    <xf borderId="0" fillId="0" fontId="5" numFmtId="0" xfId="0" applyAlignment="1" applyFont="1">
      <alignment shrinkToFit="0" vertical="center" wrapText="1"/>
    </xf>
    <xf borderId="0" fillId="0" fontId="5" numFmtId="10" xfId="0" applyAlignment="1" applyFont="1" applyNumberFormat="1">
      <alignment horizontal="center"/>
    </xf>
    <xf borderId="0" fillId="0" fontId="6" numFmtId="178" xfId="0" applyAlignment="1" applyFont="1" applyNumberFormat="1">
      <alignment horizontal="center" readingOrder="0" vertical="center"/>
    </xf>
    <xf borderId="0" fillId="0" fontId="6" numFmtId="178" xfId="0" applyAlignment="1" applyFont="1" applyNumberFormat="1">
      <alignment horizontal="center" readingOrder="0" shrinkToFit="0" vertical="center" wrapText="1"/>
    </xf>
    <xf borderId="0" fillId="0" fontId="6" numFmtId="171" xfId="0" applyAlignment="1" applyFont="1" applyNumberFormat="1">
      <alignment horizontal="center" shrinkToFit="0" vertical="center" wrapText="1"/>
    </xf>
    <xf borderId="0" fillId="0" fontId="6" numFmtId="165" xfId="0" applyAlignment="1" applyFont="1" applyNumberFormat="1">
      <alignment horizontal="center" shrinkToFit="0" vertical="center" wrapText="1"/>
    </xf>
    <xf borderId="0" fillId="0" fontId="6" numFmtId="174" xfId="0" applyAlignment="1" applyFont="1" applyNumberFormat="1">
      <alignment horizontal="center" shrinkToFit="0" vertical="center" wrapText="1"/>
    </xf>
    <xf borderId="0" fillId="33" fontId="5" numFmtId="10" xfId="0" applyAlignment="1" applyFill="1" applyFont="1" applyNumberFormat="1">
      <alignment horizontal="center"/>
    </xf>
    <xf borderId="0" fillId="33" fontId="6" numFmtId="178" xfId="0" applyAlignment="1" applyFont="1" applyNumberFormat="1">
      <alignment horizontal="center" readingOrder="0" vertical="center"/>
    </xf>
    <xf borderId="0" fillId="33" fontId="6" numFmtId="171" xfId="0" applyAlignment="1" applyFont="1" applyNumberFormat="1">
      <alignment horizontal="center" vertical="center"/>
    </xf>
    <xf borderId="0" fillId="33" fontId="6" numFmtId="165" xfId="0" applyAlignment="1" applyFont="1" applyNumberFormat="1">
      <alignment horizontal="center" vertical="center"/>
    </xf>
    <xf borderId="0" fillId="33" fontId="6" numFmtId="174" xfId="0" applyAlignment="1" applyFont="1" applyNumberFormat="1">
      <alignment horizontal="center" vertical="center"/>
    </xf>
    <xf borderId="0" fillId="33" fontId="6" numFmtId="10" xfId="0" applyAlignment="1" applyFont="1" applyNumberFormat="1">
      <alignment horizontal="center" vertical="center"/>
    </xf>
    <xf borderId="0" fillId="33" fontId="6" numFmtId="167" xfId="0" applyAlignment="1" applyFont="1" applyNumberFormat="1">
      <alignment horizontal="center" vertical="center"/>
    </xf>
    <xf borderId="0" fillId="33" fontId="6" numFmtId="165" xfId="0" applyAlignment="1" applyFont="1" applyNumberFormat="1">
      <alignment horizontal="center" readingOrder="0" vertical="center"/>
    </xf>
    <xf borderId="0" fillId="33" fontId="1" numFmtId="0" xfId="0" applyFont="1"/>
    <xf borderId="0" fillId="5" fontId="6" numFmtId="178" xfId="0" applyAlignment="1" applyFont="1" applyNumberFormat="1">
      <alignment horizontal="center" readingOrder="0" vertical="center"/>
    </xf>
    <xf borderId="0" fillId="5" fontId="6" numFmtId="171" xfId="0" applyAlignment="1" applyFont="1" applyNumberFormat="1">
      <alignment horizontal="center" vertical="center"/>
    </xf>
    <xf borderId="0" fillId="5" fontId="6" numFmtId="165" xfId="0" applyAlignment="1" applyFont="1" applyNumberFormat="1">
      <alignment horizontal="center" vertical="center"/>
    </xf>
    <xf borderId="0" fillId="5" fontId="6" numFmtId="174" xfId="0" applyAlignment="1" applyFont="1" applyNumberFormat="1">
      <alignment horizontal="center" vertical="center"/>
    </xf>
    <xf borderId="0" fillId="5" fontId="6" numFmtId="10" xfId="0" applyAlignment="1" applyFont="1" applyNumberFormat="1">
      <alignment horizontal="center" vertical="center"/>
    </xf>
    <xf borderId="0" fillId="24" fontId="6" numFmtId="178" xfId="0" applyAlignment="1" applyFont="1" applyNumberFormat="1">
      <alignment horizontal="center" readingOrder="0" vertical="center"/>
    </xf>
    <xf borderId="0" fillId="24" fontId="6" numFmtId="171" xfId="0" applyAlignment="1" applyFont="1" applyNumberFormat="1">
      <alignment horizontal="center" vertical="center"/>
    </xf>
    <xf borderId="0" fillId="24" fontId="6" numFmtId="165" xfId="0" applyAlignment="1" applyFont="1" applyNumberFormat="1">
      <alignment horizontal="center" vertical="center"/>
    </xf>
    <xf borderId="0" fillId="24" fontId="6" numFmtId="174" xfId="0" applyAlignment="1" applyFont="1" applyNumberFormat="1">
      <alignment horizontal="center" vertical="center"/>
    </xf>
    <xf borderId="0" fillId="24" fontId="6" numFmtId="10" xfId="0" applyAlignment="1" applyFont="1" applyNumberFormat="1">
      <alignment horizontal="center" vertical="center"/>
    </xf>
    <xf borderId="0" fillId="24" fontId="6" numFmtId="167" xfId="0" applyAlignment="1" applyFont="1" applyNumberFormat="1">
      <alignment horizontal="center" vertical="center"/>
    </xf>
    <xf borderId="0" fillId="24" fontId="6" numFmtId="165" xfId="0" applyAlignment="1" applyFont="1" applyNumberFormat="1">
      <alignment horizontal="center" readingOrder="0" vertical="center"/>
    </xf>
    <xf borderId="0" fillId="16" fontId="5" numFmtId="10" xfId="0" applyAlignment="1" applyFont="1" applyNumberFormat="1">
      <alignment horizontal="center"/>
    </xf>
    <xf borderId="0" fillId="16" fontId="6" numFmtId="178" xfId="0" applyAlignment="1" applyFont="1" applyNumberFormat="1">
      <alignment horizontal="center" readingOrder="0" vertical="center"/>
    </xf>
    <xf borderId="0" fillId="16" fontId="6" numFmtId="171" xfId="0" applyAlignment="1" applyFont="1" applyNumberFormat="1">
      <alignment horizontal="center" vertical="center"/>
    </xf>
    <xf borderId="0" fillId="16" fontId="6" numFmtId="165" xfId="0" applyAlignment="1" applyFont="1" applyNumberFormat="1">
      <alignment horizontal="center" readingOrder="0" vertical="center"/>
    </xf>
    <xf borderId="0" fillId="16" fontId="6" numFmtId="174" xfId="0" applyAlignment="1" applyFont="1" applyNumberFormat="1">
      <alignment horizontal="center" vertical="center"/>
    </xf>
    <xf borderId="0" fillId="16" fontId="6" numFmtId="10" xfId="0" applyAlignment="1" applyFont="1" applyNumberFormat="1">
      <alignment horizontal="center" vertical="center"/>
    </xf>
    <xf borderId="0" fillId="16" fontId="6" numFmtId="165" xfId="0" applyAlignment="1" applyFont="1" applyNumberFormat="1">
      <alignment horizontal="center" vertical="center"/>
    </xf>
    <xf borderId="0" fillId="16" fontId="6" numFmtId="167" xfId="0" applyAlignment="1" applyFont="1" applyNumberFormat="1">
      <alignment horizontal="center" vertical="center"/>
    </xf>
    <xf borderId="0" fillId="16" fontId="1" numFmtId="0" xfId="0" applyFont="1"/>
    <xf borderId="0" fillId="16" fontId="6" numFmtId="0" xfId="0" applyAlignment="1" applyFont="1">
      <alignment horizontal="center" vertical="center"/>
    </xf>
    <xf borderId="0" fillId="0" fontId="7" numFmtId="183" xfId="0" applyAlignment="1" applyFont="1" applyNumberFormat="1">
      <alignment horizontal="center" readingOrder="0" vertical="center"/>
    </xf>
    <xf borderId="0" fillId="0" fontId="6" numFmtId="183" xfId="0" applyAlignment="1" applyFont="1" applyNumberFormat="1">
      <alignment horizontal="center" vertical="center"/>
    </xf>
    <xf borderId="0" fillId="0" fontId="5" numFmtId="165" xfId="0" applyAlignment="1" applyFont="1" applyNumberFormat="1">
      <alignment horizontal="center" readingOrder="0"/>
    </xf>
    <xf borderId="0" fillId="0" fontId="6" numFmtId="183" xfId="0" applyAlignment="1" applyFont="1" applyNumberFormat="1">
      <alignment horizontal="center" shrinkToFit="0" vertical="center" wrapText="1"/>
    </xf>
    <xf borderId="0" fillId="0" fontId="2" numFmtId="169" xfId="0" applyAlignment="1" applyFont="1" applyNumberFormat="1">
      <alignment horizontal="center" readingOrder="0" vertical="center"/>
    </xf>
    <xf borderId="0" fillId="0" fontId="2" numFmtId="177" xfId="0" applyAlignment="1" applyFont="1" applyNumberFormat="1">
      <alignment horizontal="center" readingOrder="0" vertical="center"/>
    </xf>
    <xf borderId="0" fillId="0" fontId="2" numFmtId="171" xfId="0" applyAlignment="1" applyFont="1" applyNumberFormat="1">
      <alignment horizontal="center" readingOrder="0" vertical="center"/>
    </xf>
    <xf borderId="0" fillId="0" fontId="5" numFmtId="178" xfId="0" applyAlignment="1" applyFont="1" applyNumberFormat="1">
      <alignment readingOrder="0" vertical="center"/>
    </xf>
    <xf borderId="0" fillId="0" fontId="5" numFmtId="169" xfId="0" applyAlignment="1" applyFont="1" applyNumberFormat="1">
      <alignment readingOrder="0" vertical="center"/>
    </xf>
    <xf borderId="0" fillId="0" fontId="5" numFmtId="164" xfId="0" applyAlignment="1" applyFont="1" applyNumberFormat="1">
      <alignment vertical="center"/>
    </xf>
    <xf borderId="0" fillId="0" fontId="5" numFmtId="177" xfId="0" applyAlignment="1" applyFont="1" applyNumberFormat="1">
      <alignment vertical="center"/>
    </xf>
    <xf borderId="0" fillId="0" fontId="5" numFmtId="171" xfId="0" applyAlignment="1" applyFont="1" applyNumberFormat="1">
      <alignment vertical="center"/>
    </xf>
    <xf borderId="0" fillId="0" fontId="5" numFmtId="169" xfId="0" applyAlignment="1" applyFont="1" applyNumberFormat="1">
      <alignment vertical="center"/>
    </xf>
    <xf borderId="0" fillId="5" fontId="5" numFmtId="178" xfId="0" applyAlignment="1" applyFont="1" applyNumberFormat="1">
      <alignment readingOrder="0" vertical="center"/>
    </xf>
    <xf borderId="0" fillId="5" fontId="5" numFmtId="169" xfId="0" applyAlignment="1" applyFont="1" applyNumberFormat="1">
      <alignment vertical="center"/>
    </xf>
    <xf borderId="0" fillId="5" fontId="5" numFmtId="164" xfId="0" applyAlignment="1" applyFont="1" applyNumberFormat="1">
      <alignment vertical="center"/>
    </xf>
    <xf borderId="0" fillId="5" fontId="5" numFmtId="177" xfId="0" applyAlignment="1" applyFont="1" applyNumberFormat="1">
      <alignment vertical="center"/>
    </xf>
    <xf borderId="0" fillId="5" fontId="5" numFmtId="171" xfId="0" applyAlignment="1" applyFont="1" applyNumberFormat="1">
      <alignment vertical="center"/>
    </xf>
    <xf borderId="0" fillId="9" fontId="5" numFmtId="178" xfId="0" applyAlignment="1" applyFont="1" applyNumberFormat="1">
      <alignment readingOrder="0" vertical="center"/>
    </xf>
    <xf borderId="0" fillId="9" fontId="5" numFmtId="169" xfId="0" applyAlignment="1" applyFont="1" applyNumberFormat="1">
      <alignment vertical="center"/>
    </xf>
    <xf borderId="0" fillId="9" fontId="5" numFmtId="164" xfId="0" applyAlignment="1" applyFont="1" applyNumberFormat="1">
      <alignment vertical="center"/>
    </xf>
    <xf borderId="0" fillId="9" fontId="5" numFmtId="177" xfId="0" applyAlignment="1" applyFont="1" applyNumberFormat="1">
      <alignment vertical="center"/>
    </xf>
    <xf borderId="0" fillId="9" fontId="5" numFmtId="171" xfId="0" applyAlignment="1" applyFont="1" applyNumberFormat="1">
      <alignment vertical="center"/>
    </xf>
    <xf borderId="0" fillId="0" fontId="5" numFmtId="200" xfId="0" applyAlignment="1" applyFont="1" applyNumberFormat="1">
      <alignment readingOrder="0" vertical="center"/>
    </xf>
    <xf borderId="0" fillId="3" fontId="5" numFmtId="169" xfId="0" applyAlignment="1" applyFont="1" applyNumberFormat="1">
      <alignment vertical="center"/>
    </xf>
    <xf borderId="0" fillId="3" fontId="5" numFmtId="164" xfId="0" applyAlignment="1" applyFont="1" applyNumberFormat="1">
      <alignment vertical="center"/>
    </xf>
    <xf borderId="0" fillId="3" fontId="5" numFmtId="177" xfId="0" applyAlignment="1" applyFont="1" applyNumberFormat="1">
      <alignment vertical="center"/>
    </xf>
    <xf borderId="0" fillId="3" fontId="5" numFmtId="171" xfId="0" applyAlignment="1" applyFont="1" applyNumberFormat="1">
      <alignment vertical="center"/>
    </xf>
    <xf borderId="0" fillId="3" fontId="5" numFmtId="178" xfId="0" applyAlignment="1" applyFont="1" applyNumberFormat="1">
      <alignment readingOrder="0" vertical="center"/>
    </xf>
    <xf borderId="0" fillId="0" fontId="5" numFmtId="164" xfId="0" applyAlignment="1" applyFont="1" applyNumberFormat="1">
      <alignment readingOrder="0" vertical="center"/>
    </xf>
    <xf borderId="0" fillId="0" fontId="1" numFmtId="178" xfId="0" applyAlignment="1" applyFont="1" applyNumberFormat="1">
      <alignment readingOrder="0"/>
    </xf>
    <xf borderId="0" fillId="0" fontId="76" numFmtId="175" xfId="0" applyAlignment="1" applyFont="1" applyNumberFormat="1">
      <alignment horizontal="center" readingOrder="0" shrinkToFit="0" wrapText="0"/>
    </xf>
    <xf borderId="0" fillId="0" fontId="76" numFmtId="171" xfId="0" applyAlignment="1" applyFont="1" applyNumberFormat="1">
      <alignment horizontal="left" readingOrder="0" shrinkToFit="0" wrapText="0"/>
    </xf>
    <xf borderId="0" fillId="0" fontId="76" numFmtId="167" xfId="0" applyAlignment="1" applyFont="1" applyNumberFormat="1">
      <alignment horizontal="left" readingOrder="0" shrinkToFit="0" wrapText="0"/>
    </xf>
    <xf borderId="0" fillId="0" fontId="76" numFmtId="4" xfId="0" applyAlignment="1" applyFont="1" applyNumberFormat="1">
      <alignment horizontal="left" shrinkToFit="0" wrapText="0"/>
    </xf>
    <xf borderId="0" fillId="0" fontId="76" numFmtId="165" xfId="0" applyAlignment="1" applyFont="1" applyNumberFormat="1">
      <alignment horizontal="left" readingOrder="0" shrinkToFit="0" wrapText="0"/>
    </xf>
    <xf borderId="0" fillId="0" fontId="76" numFmtId="183" xfId="0" applyAlignment="1" applyFont="1" applyNumberFormat="1">
      <alignment horizontal="left" readingOrder="0" shrinkToFit="0" wrapText="0"/>
    </xf>
    <xf borderId="0" fillId="0" fontId="76" numFmtId="4" xfId="0" applyAlignment="1" applyFont="1" applyNumberFormat="1">
      <alignment horizontal="left" readingOrder="0" shrinkToFit="0" wrapText="0"/>
    </xf>
    <xf borderId="0" fillId="0" fontId="76" numFmtId="0" xfId="0" applyAlignment="1" applyFont="1">
      <alignment horizontal="left" readingOrder="0" shrinkToFit="0" wrapText="0"/>
    </xf>
    <xf borderId="0" fillId="0" fontId="77" numFmtId="0" xfId="0" applyAlignment="1" applyFont="1">
      <alignment horizontal="left" readingOrder="0" shrinkToFit="0" wrapText="0"/>
    </xf>
    <xf borderId="0" fillId="0" fontId="76" numFmtId="0" xfId="0" applyAlignment="1" applyFont="1">
      <alignment horizontal="left" shrinkToFit="0" wrapText="0"/>
    </xf>
    <xf borderId="0" fillId="0" fontId="1" numFmtId="175" xfId="0" applyAlignment="1" applyFont="1" applyNumberFormat="1">
      <alignment horizontal="center" readingOrder="0"/>
    </xf>
    <xf borderId="0" fillId="34" fontId="1" numFmtId="171" xfId="0" applyAlignment="1" applyFill="1" applyFont="1" applyNumberFormat="1">
      <alignment horizontal="center" readingOrder="0"/>
    </xf>
    <xf borderId="0" fillId="0" fontId="1" numFmtId="4" xfId="0" applyAlignment="1" applyFont="1" applyNumberFormat="1">
      <alignment horizontal="center" readingOrder="0"/>
    </xf>
    <xf borderId="0" fillId="0" fontId="1" numFmtId="183" xfId="0" applyAlignment="1" applyFont="1" applyNumberFormat="1">
      <alignment horizontal="center" readingOrder="0"/>
    </xf>
    <xf borderId="0" fillId="0" fontId="1" numFmtId="0" xfId="0" applyAlignment="1" applyFont="1">
      <alignment horizontal="left" readingOrder="0" vertical="center"/>
    </xf>
    <xf borderId="0" fillId="0" fontId="120" numFmtId="175" xfId="0" applyAlignment="1" applyFont="1" applyNumberFormat="1">
      <alignment horizontal="center" readingOrder="0" vertical="center"/>
    </xf>
    <xf borderId="0" fillId="0" fontId="120" numFmtId="171" xfId="0" applyAlignment="1" applyFont="1" applyNumberFormat="1">
      <alignment horizontal="center" readingOrder="0" vertical="center"/>
    </xf>
    <xf borderId="0" fillId="0" fontId="120" numFmtId="167" xfId="0" applyAlignment="1" applyFont="1" applyNumberFormat="1">
      <alignment horizontal="center" readingOrder="0" vertical="center"/>
    </xf>
    <xf borderId="0" fillId="0" fontId="120" numFmtId="4" xfId="0" applyAlignment="1" applyFont="1" applyNumberFormat="1">
      <alignment horizontal="center" readingOrder="0" vertical="center"/>
    </xf>
    <xf borderId="0" fillId="0" fontId="120" numFmtId="183" xfId="0" applyAlignment="1" applyFont="1" applyNumberFormat="1">
      <alignment horizontal="center" readingOrder="0" vertical="center"/>
    </xf>
    <xf borderId="0" fillId="0" fontId="8" numFmtId="0" xfId="0" applyAlignment="1" applyFont="1">
      <alignment readingOrder="0" shrinkToFit="0" vertical="center" wrapText="1"/>
    </xf>
    <xf borderId="0" fillId="4" fontId="21" numFmtId="0" xfId="0" applyAlignment="1" applyFont="1">
      <alignment readingOrder="0"/>
    </xf>
    <xf borderId="0" fillId="0" fontId="76" numFmtId="175" xfId="0" applyAlignment="1" applyFont="1" applyNumberFormat="1">
      <alignment horizontal="center" readingOrder="0" shrinkToFit="0" vertical="center" wrapText="1"/>
    </xf>
    <xf borderId="0" fillId="0" fontId="76" numFmtId="171" xfId="0" applyAlignment="1" applyFont="1" applyNumberFormat="1">
      <alignment horizontal="center" readingOrder="0" shrinkToFit="0" vertical="center" wrapText="1"/>
    </xf>
    <xf borderId="0" fillId="3" fontId="5" numFmtId="183" xfId="0" applyAlignment="1" applyFont="1" applyNumberFormat="1">
      <alignment horizontal="center" readingOrder="0" vertical="center"/>
    </xf>
    <xf borderId="0" fillId="3" fontId="5" numFmtId="165" xfId="0" applyAlignment="1" applyFont="1" applyNumberFormat="1">
      <alignment horizontal="center" readingOrder="0" vertical="center"/>
    </xf>
    <xf borderId="0" fillId="4" fontId="76" numFmtId="0" xfId="0" applyAlignment="1" applyFont="1">
      <alignment horizontal="center" readingOrder="0" shrinkToFit="0" vertical="center" wrapText="1"/>
    </xf>
    <xf borderId="0" fillId="0" fontId="76" numFmtId="0" xfId="0" applyAlignment="1" applyFont="1">
      <alignment horizontal="center" readingOrder="0" shrinkToFit="0" vertical="center" wrapText="1"/>
    </xf>
    <xf borderId="21" fillId="0" fontId="76" numFmtId="0" xfId="0" applyAlignment="1" applyBorder="1" applyFont="1">
      <alignment horizontal="center" readingOrder="0" shrinkToFit="0" vertical="center" wrapText="1"/>
    </xf>
    <xf borderId="21" fillId="0" fontId="76" numFmtId="175" xfId="0" applyAlignment="1" applyBorder="1" applyFont="1" applyNumberFormat="1">
      <alignment horizontal="center" readingOrder="0" shrinkToFit="0" vertical="center" wrapText="1"/>
    </xf>
    <xf borderId="21" fillId="0" fontId="76" numFmtId="171" xfId="0" applyAlignment="1" applyBorder="1" applyFont="1" applyNumberFormat="1">
      <alignment horizontal="center" readingOrder="0" shrinkToFit="0" vertical="center" wrapText="1"/>
    </xf>
    <xf borderId="21" fillId="0" fontId="76" numFmtId="167" xfId="0" applyAlignment="1" applyBorder="1" applyFont="1" applyNumberFormat="1">
      <alignment horizontal="center" readingOrder="0" shrinkToFit="0" vertical="center" wrapText="1"/>
    </xf>
    <xf borderId="21" fillId="4" fontId="76" numFmtId="165" xfId="0" applyAlignment="1" applyBorder="1" applyFont="1" applyNumberFormat="1">
      <alignment horizontal="center" readingOrder="0" shrinkToFit="0" vertical="center" wrapText="1"/>
    </xf>
    <xf borderId="21" fillId="4" fontId="76" numFmtId="183" xfId="0" applyAlignment="1" applyBorder="1" applyFont="1" applyNumberFormat="1">
      <alignment horizontal="center" readingOrder="0" shrinkToFit="0" vertical="center" wrapText="1"/>
    </xf>
    <xf borderId="21" fillId="0" fontId="76" numFmtId="4" xfId="0" applyAlignment="1" applyBorder="1" applyFont="1" applyNumberFormat="1">
      <alignment horizontal="center" readingOrder="0" shrinkToFit="0" vertical="center" wrapText="1"/>
    </xf>
    <xf borderId="21" fillId="4" fontId="76" numFmtId="4" xfId="0" applyAlignment="1" applyBorder="1" applyFont="1" applyNumberFormat="1">
      <alignment horizontal="center" readingOrder="0" shrinkToFit="0" vertical="center" wrapText="1"/>
    </xf>
    <xf borderId="21" fillId="4" fontId="76" numFmtId="0" xfId="0" applyAlignment="1" applyBorder="1" applyFont="1">
      <alignment horizontal="center" readingOrder="0" shrinkToFit="0" vertical="center" wrapText="1"/>
    </xf>
    <xf borderId="0" fillId="4" fontId="1" numFmtId="165" xfId="0" applyAlignment="1" applyFont="1" applyNumberFormat="1">
      <alignment readingOrder="0"/>
    </xf>
    <xf borderId="0" fillId="4" fontId="1" numFmtId="183" xfId="0" applyAlignment="1" applyFont="1" applyNumberFormat="1">
      <alignment readingOrder="0"/>
    </xf>
    <xf borderId="0" fillId="4" fontId="1" numFmtId="0" xfId="0" applyAlignment="1" applyFont="1">
      <alignment readingOrder="0"/>
    </xf>
    <xf borderId="0" fillId="0" fontId="1" numFmtId="223" xfId="0" applyAlignment="1" applyFont="1" applyNumberFormat="1">
      <alignment horizontal="center" readingOrder="0"/>
    </xf>
    <xf borderId="0" fillId="0" fontId="1" numFmtId="4" xfId="0" applyAlignment="1" applyFont="1" applyNumberFormat="1">
      <alignment readingOrder="0"/>
    </xf>
    <xf borderId="0" fillId="0" fontId="8" numFmtId="0" xfId="0" applyAlignment="1" applyFont="1">
      <alignment readingOrder="0" shrinkToFit="0" wrapText="1"/>
    </xf>
    <xf borderId="0" fillId="0" fontId="1" numFmtId="192" xfId="0" applyAlignment="1" applyFont="1" applyNumberFormat="1">
      <alignment readingOrder="0"/>
    </xf>
    <xf borderId="0" fillId="0" fontId="1" numFmtId="175" xfId="0" applyAlignment="1" applyFont="1" applyNumberFormat="1">
      <alignment horizontal="center"/>
    </xf>
    <xf borderId="0" fillId="0" fontId="1" numFmtId="184" xfId="0" applyAlignment="1" applyFont="1" applyNumberFormat="1">
      <alignment readingOrder="0"/>
    </xf>
    <xf borderId="0" fillId="35" fontId="1" numFmtId="0" xfId="0" applyAlignment="1" applyFill="1" applyFont="1">
      <alignment horizontal="center"/>
    </xf>
    <xf borderId="0" fillId="35" fontId="1" numFmtId="0" xfId="0" applyAlignment="1" applyFont="1">
      <alignment horizontal="center" readingOrder="0"/>
    </xf>
    <xf borderId="0" fillId="35" fontId="1" numFmtId="171" xfId="0" applyAlignment="1" applyFont="1" applyNumberFormat="1">
      <alignment horizontal="center" readingOrder="0"/>
    </xf>
    <xf borderId="0" fillId="35" fontId="1" numFmtId="167" xfId="0" applyAlignment="1" applyFont="1" applyNumberFormat="1">
      <alignment horizontal="center"/>
    </xf>
    <xf borderId="0" fillId="35" fontId="1" numFmtId="4" xfId="0" applyAlignment="1" applyFont="1" applyNumberFormat="1">
      <alignment horizontal="center"/>
    </xf>
    <xf borderId="0" fillId="35" fontId="1" numFmtId="165" xfId="0" applyAlignment="1" applyFont="1" applyNumberFormat="1">
      <alignment readingOrder="0"/>
    </xf>
    <xf borderId="0" fillId="35" fontId="1" numFmtId="183" xfId="0" applyAlignment="1" applyFont="1" applyNumberFormat="1">
      <alignment readingOrder="0"/>
    </xf>
    <xf borderId="0" fillId="35" fontId="1" numFmtId="165" xfId="0" applyFont="1" applyNumberFormat="1"/>
    <xf borderId="0" fillId="35" fontId="1" numFmtId="4" xfId="0" applyFont="1" applyNumberFormat="1"/>
    <xf borderId="0" fillId="35" fontId="1" numFmtId="0" xfId="0" applyFont="1"/>
    <xf borderId="0" fillId="35" fontId="8" numFmtId="0" xfId="0" applyAlignment="1" applyFont="1">
      <alignment readingOrder="0" shrinkToFit="0" wrapText="1"/>
    </xf>
    <xf borderId="0" fillId="35" fontId="1" numFmtId="171" xfId="0" applyAlignment="1" applyFont="1" applyNumberFormat="1">
      <alignment horizontal="center"/>
    </xf>
    <xf borderId="0" fillId="35" fontId="1" numFmtId="179" xfId="0" applyAlignment="1" applyFont="1" applyNumberFormat="1">
      <alignment horizontal="center" readingOrder="0"/>
    </xf>
    <xf borderId="0" fillId="0" fontId="1" numFmtId="179" xfId="0" applyAlignment="1" applyFont="1" applyNumberFormat="1">
      <alignment horizontal="center" readingOrder="0"/>
    </xf>
    <xf borderId="0" fillId="35" fontId="1" numFmtId="0" xfId="0" applyAlignment="1" applyFont="1">
      <alignment readingOrder="0"/>
    </xf>
    <xf borderId="0" fillId="35" fontId="21" numFmtId="0" xfId="0" applyAlignment="1" applyFont="1">
      <alignment readingOrder="0"/>
    </xf>
    <xf borderId="0" fillId="0" fontId="1" numFmtId="184" xfId="0" applyAlignment="1" applyFont="1" applyNumberFormat="1">
      <alignment horizontal="center"/>
    </xf>
    <xf borderId="0" fillId="0" fontId="1" numFmtId="205" xfId="0" applyAlignment="1" applyFont="1" applyNumberFormat="1">
      <alignment horizontal="center" readingOrder="0"/>
    </xf>
    <xf borderId="0" fillId="0" fontId="1" numFmtId="202" xfId="0" applyAlignment="1" applyFont="1" applyNumberFormat="1">
      <alignment horizontal="center" readingOrder="0"/>
    </xf>
    <xf borderId="0" fillId="0" fontId="1" numFmtId="202" xfId="0" applyAlignment="1" applyFont="1" applyNumberFormat="1">
      <alignment horizontal="center" readingOrder="0" vertical="center"/>
    </xf>
    <xf borderId="0" fillId="0" fontId="1" numFmtId="4" xfId="0" applyAlignment="1" applyFont="1" applyNumberFormat="1">
      <alignment horizontal="center" readingOrder="0" vertical="center"/>
    </xf>
    <xf borderId="21" fillId="0" fontId="76" numFmtId="205" xfId="0" applyAlignment="1" applyBorder="1" applyFont="1" applyNumberFormat="1">
      <alignment horizontal="center" readingOrder="0" shrinkToFit="0" vertical="center" wrapText="1"/>
    </xf>
    <xf borderId="21" fillId="0" fontId="76" numFmtId="202" xfId="0" applyAlignment="1" applyBorder="1" applyFont="1" applyNumberFormat="1">
      <alignment horizontal="center" readingOrder="0" shrinkToFit="0" vertical="center" wrapText="1"/>
    </xf>
    <xf borderId="0" fillId="0" fontId="1" numFmtId="205" xfId="0" applyAlignment="1" applyFont="1" applyNumberFormat="1">
      <alignment horizontal="right" readingOrder="0"/>
    </xf>
    <xf borderId="0" fillId="0" fontId="1" numFmtId="202" xfId="0" applyAlignment="1" applyFont="1" applyNumberFormat="1">
      <alignment horizontal="right" readingOrder="0"/>
    </xf>
    <xf borderId="0" fillId="0" fontId="1" numFmtId="0" xfId="0" applyAlignment="1" applyFont="1">
      <alignment horizontal="right"/>
    </xf>
    <xf borderId="0" fillId="4" fontId="1" numFmtId="0" xfId="0" applyFont="1"/>
    <xf borderId="0" fillId="33" fontId="1" numFmtId="0" xfId="0" applyAlignment="1" applyFont="1">
      <alignment horizontal="left" readingOrder="0"/>
    </xf>
    <xf borderId="0" fillId="2" fontId="1" numFmtId="205" xfId="0" applyAlignment="1" applyFont="1" applyNumberFormat="1">
      <alignment horizontal="right" readingOrder="0"/>
    </xf>
    <xf borderId="0" fillId="2" fontId="1" numFmtId="0" xfId="0" applyAlignment="1" applyFont="1">
      <alignment horizontal="right" readingOrder="0"/>
    </xf>
    <xf borderId="0" fillId="2" fontId="1" numFmtId="202" xfId="0" applyAlignment="1" applyFont="1" applyNumberFormat="1">
      <alignment horizontal="right" readingOrder="0"/>
    </xf>
    <xf borderId="0" fillId="2" fontId="1" numFmtId="4" xfId="0" applyAlignment="1" applyFont="1" applyNumberFormat="1">
      <alignment horizontal="center"/>
    </xf>
    <xf borderId="0" fillId="2" fontId="1" numFmtId="0" xfId="0" applyAlignment="1" applyFont="1">
      <alignment horizontal="right"/>
    </xf>
    <xf borderId="0" fillId="2" fontId="1" numFmtId="0" xfId="0" applyFont="1"/>
    <xf borderId="0" fillId="2" fontId="1" numFmtId="0" xfId="0" applyAlignment="1" applyFont="1">
      <alignment readingOrder="0"/>
    </xf>
    <xf borderId="0" fillId="2" fontId="8" numFmtId="0" xfId="0" applyAlignment="1" applyFont="1">
      <alignment readingOrder="0" shrinkToFit="0" wrapText="1"/>
    </xf>
    <xf borderId="0" fillId="2" fontId="1" numFmtId="4" xfId="0" applyAlignment="1" applyFont="1" applyNumberFormat="1">
      <alignment horizontal="center" readingOrder="0"/>
    </xf>
    <xf borderId="0" fillId="0" fontId="1" numFmtId="191" xfId="0" applyAlignment="1" applyFont="1" applyNumberFormat="1">
      <alignment horizontal="right" readingOrder="0"/>
    </xf>
    <xf borderId="0" fillId="0" fontId="1" numFmtId="200" xfId="0" applyAlignment="1" applyFont="1" applyNumberFormat="1">
      <alignment horizontal="right" readingOrder="0"/>
    </xf>
    <xf borderId="0" fillId="0" fontId="1" numFmtId="224" xfId="0" applyAlignment="1" applyFont="1" applyNumberFormat="1">
      <alignment horizontal="right" readingOrder="0"/>
    </xf>
    <xf borderId="0" fillId="16" fontId="1" numFmtId="0" xfId="0" applyAlignment="1" applyFont="1">
      <alignment horizontal="left" readingOrder="0"/>
    </xf>
    <xf borderId="0" fillId="36" fontId="1" numFmtId="0" xfId="0" applyAlignment="1" applyFill="1" applyFont="1">
      <alignment horizontal="left" readingOrder="0"/>
    </xf>
    <xf borderId="0" fillId="36" fontId="1" numFmtId="205" xfId="0" applyAlignment="1" applyFont="1" applyNumberFormat="1">
      <alignment horizontal="right" readingOrder="0"/>
    </xf>
    <xf borderId="0" fillId="36" fontId="1" numFmtId="0" xfId="0" applyAlignment="1" applyFont="1">
      <alignment horizontal="right" readingOrder="0"/>
    </xf>
    <xf borderId="0" fillId="36" fontId="1" numFmtId="202" xfId="0" applyAlignment="1" applyFont="1" applyNumberFormat="1">
      <alignment horizontal="right" readingOrder="0"/>
    </xf>
    <xf borderId="0" fillId="36" fontId="1" numFmtId="4" xfId="0" applyAlignment="1" applyFont="1" applyNumberFormat="1">
      <alignment horizontal="center" readingOrder="0"/>
    </xf>
    <xf borderId="0" fillId="36" fontId="1" numFmtId="0" xfId="0" applyAlignment="1" applyFont="1">
      <alignment horizontal="right"/>
    </xf>
    <xf borderId="0" fillId="36" fontId="1" numFmtId="0" xfId="0" applyFont="1"/>
    <xf borderId="0" fillId="36" fontId="1" numFmtId="0" xfId="0" applyAlignment="1" applyFont="1">
      <alignment readingOrder="0"/>
    </xf>
    <xf borderId="0" fillId="36" fontId="8" numFmtId="0" xfId="0" applyAlignment="1" applyFont="1">
      <alignment readingOrder="0" shrinkToFit="0" wrapText="1"/>
    </xf>
    <xf borderId="0" fillId="36" fontId="1" numFmtId="200" xfId="0" applyAlignment="1" applyFont="1" applyNumberFormat="1">
      <alignment horizontal="right" readingOrder="0"/>
    </xf>
    <xf borderId="0" fillId="36" fontId="1" numFmtId="4" xfId="0" applyAlignment="1" applyFont="1" applyNumberFormat="1">
      <alignment horizontal="center"/>
    </xf>
    <xf borderId="0" fillId="0" fontId="1" numFmtId="202" xfId="0" applyAlignment="1" applyFont="1" applyNumberFormat="1">
      <alignment readingOrder="0"/>
    </xf>
    <xf borderId="0" fillId="0" fontId="1" numFmtId="202" xfId="0" applyFont="1" applyNumberFormat="1"/>
    <xf borderId="0" fillId="0" fontId="1" numFmtId="19" xfId="0" applyFont="1" applyNumberFormat="1"/>
    <xf borderId="0" fillId="0" fontId="23" numFmtId="0" xfId="0" applyAlignment="1" applyFont="1">
      <alignment readingOrder="0"/>
    </xf>
    <xf borderId="0" fillId="0" fontId="1" numFmtId="14" xfId="0" applyFont="1" applyNumberFormat="1"/>
    <xf borderId="0" fillId="0" fontId="1" numFmtId="205" xfId="0" applyFont="1" applyNumberFormat="1"/>
    <xf borderId="0" fillId="33" fontId="1" numFmtId="0" xfId="0" applyFont="1"/>
    <xf borderId="0" fillId="33" fontId="1" numFmtId="200" xfId="0" applyAlignment="1" applyFont="1" applyNumberFormat="1">
      <alignment readingOrder="0"/>
    </xf>
    <xf borderId="0" fillId="33" fontId="1" numFmtId="202" xfId="0" applyAlignment="1" applyFont="1" applyNumberFormat="1">
      <alignment readingOrder="0"/>
    </xf>
    <xf borderId="0" fillId="33" fontId="1" numFmtId="4" xfId="0" applyAlignment="1" applyFont="1" applyNumberFormat="1">
      <alignment horizontal="center" readingOrder="0"/>
    </xf>
    <xf borderId="0" fillId="33" fontId="1" numFmtId="0" xfId="0" applyAlignment="1" applyFont="1">
      <alignment readingOrder="0"/>
    </xf>
    <xf borderId="0" fillId="0" fontId="1" numFmtId="200" xfId="0" applyAlignment="1" applyFont="1" applyNumberFormat="1">
      <alignment readingOrder="0"/>
    </xf>
    <xf borderId="0" fillId="25" fontId="1" numFmtId="0" xfId="0" applyFont="1"/>
    <xf borderId="0" fillId="25" fontId="1" numFmtId="205" xfId="0" applyAlignment="1" applyFont="1" applyNumberFormat="1">
      <alignment readingOrder="0"/>
    </xf>
    <xf borderId="0" fillId="25" fontId="1" numFmtId="202" xfId="0" applyAlignment="1" applyFont="1" applyNumberFormat="1">
      <alignment readingOrder="0"/>
    </xf>
    <xf borderId="0" fillId="25" fontId="1" numFmtId="4" xfId="0" applyAlignment="1" applyFont="1" applyNumberFormat="1">
      <alignment horizontal="center"/>
    </xf>
    <xf borderId="0" fillId="25" fontId="1" numFmtId="0" xfId="0" applyAlignment="1" applyFont="1">
      <alignment readingOrder="0"/>
    </xf>
    <xf borderId="0" fillId="25" fontId="1" numFmtId="0" xfId="0" applyFont="1"/>
    <xf borderId="0" fillId="25" fontId="158" numFmtId="0" xfId="0" applyAlignment="1" applyFont="1">
      <alignment readingOrder="0"/>
    </xf>
    <xf borderId="0" fillId="25" fontId="1" numFmtId="202" xfId="0" applyFont="1" applyNumberFormat="1"/>
    <xf borderId="0" fillId="25" fontId="1" numFmtId="0" xfId="0" applyAlignment="1" applyFont="1">
      <alignment horizontal="center"/>
    </xf>
    <xf borderId="0" fillId="25" fontId="1" numFmtId="0" xfId="0" applyAlignment="1" applyFont="1">
      <alignment horizontal="center" readingOrder="0"/>
    </xf>
    <xf borderId="0" fillId="25" fontId="1" numFmtId="202" xfId="0" applyAlignment="1" applyFont="1" applyNumberFormat="1">
      <alignment horizontal="center" readingOrder="0"/>
    </xf>
    <xf borderId="0" fillId="25" fontId="1" numFmtId="4" xfId="0" applyAlignment="1" applyFont="1" applyNumberFormat="1">
      <alignment horizontal="center" readingOrder="0"/>
    </xf>
    <xf borderId="0" fillId="25" fontId="8" numFmtId="0" xfId="0" applyAlignment="1" applyFont="1">
      <alignment readingOrder="0" shrinkToFit="0" wrapText="1"/>
    </xf>
    <xf borderId="0" fillId="0" fontId="1" numFmtId="202" xfId="0" applyAlignment="1" applyFont="1" applyNumberFormat="1">
      <alignment horizontal="center"/>
    </xf>
    <xf borderId="0" fillId="0" fontId="159" numFmtId="0" xfId="0" applyAlignment="1" applyFont="1">
      <alignment readingOrder="0"/>
    </xf>
    <xf borderId="0" fillId="4" fontId="160" numFmtId="4" xfId="0" applyAlignment="1" applyFont="1" applyNumberFormat="1">
      <alignment horizontal="left" readingOrder="0"/>
    </xf>
    <xf borderId="0" fillId="0" fontId="1" numFmtId="191" xfId="0" applyAlignment="1" applyFont="1" applyNumberFormat="1">
      <alignment horizontal="center" readingOrder="0"/>
    </xf>
    <xf borderId="0" fillId="0" fontId="1" numFmtId="224" xfId="0" applyAlignment="1" applyFont="1" applyNumberFormat="1">
      <alignment horizontal="center" readingOrder="0"/>
    </xf>
    <xf borderId="0" fillId="0" fontId="161" numFmtId="49" xfId="0" applyAlignment="1" applyFont="1" applyNumberFormat="1">
      <alignment readingOrder="0"/>
    </xf>
    <xf borderId="0" fillId="0" fontId="1" numFmtId="205" xfId="0" applyAlignment="1" applyFont="1" applyNumberFormat="1">
      <alignment horizontal="center"/>
    </xf>
    <xf borderId="0" fillId="0" fontId="1" numFmtId="49" xfId="0" applyAlignment="1" applyFont="1" applyNumberFormat="1">
      <alignment readingOrder="0"/>
    </xf>
    <xf borderId="0" fillId="0" fontId="1" numFmtId="187" xfId="0" applyAlignment="1" applyFont="1" applyNumberFormat="1">
      <alignment readingOrder="0"/>
    </xf>
    <xf borderId="0" fillId="0" fontId="1" numFmtId="225" xfId="0" applyFont="1" applyNumberFormat="1"/>
    <xf borderId="0" fillId="0" fontId="1" numFmtId="220" xfId="0" applyAlignment="1" applyFont="1" applyNumberFormat="1">
      <alignment readingOrder="0"/>
    </xf>
    <xf borderId="0" fillId="0" fontId="1" numFmtId="223" xfId="0" applyAlignment="1" applyFont="1" applyNumberFormat="1">
      <alignment readingOrder="0"/>
    </xf>
    <xf borderId="0" fillId="0" fontId="76" numFmtId="49" xfId="0" applyAlignment="1" applyFont="1" applyNumberFormat="1">
      <alignment readingOrder="0"/>
    </xf>
    <xf borderId="0" fillId="0" fontId="76" numFmtId="165" xfId="0" applyAlignment="1" applyFont="1" applyNumberFormat="1">
      <alignment readingOrder="0"/>
    </xf>
    <xf borderId="0" fillId="0" fontId="76" numFmtId="187" xfId="0" applyAlignment="1" applyFont="1" applyNumberFormat="1">
      <alignment readingOrder="0"/>
    </xf>
    <xf borderId="0" fillId="0" fontId="1" numFmtId="225" xfId="0" applyAlignment="1" applyFont="1" applyNumberFormat="1">
      <alignment readingOrder="0"/>
    </xf>
    <xf borderId="0" fillId="0" fontId="76" numFmtId="183" xfId="0" applyAlignment="1" applyFont="1" applyNumberFormat="1">
      <alignment readingOrder="0"/>
    </xf>
    <xf borderId="0" fillId="0" fontId="76" numFmtId="220" xfId="0" applyAlignment="1" applyFont="1" applyNumberFormat="1">
      <alignment readingOrder="0"/>
    </xf>
    <xf borderId="0" fillId="0" fontId="1" numFmtId="187" xfId="0" applyFont="1" applyNumberFormat="1"/>
    <xf borderId="0" fillId="0" fontId="1" numFmtId="0" xfId="0" applyAlignment="1" applyFont="1">
      <alignment readingOrder="0" shrinkToFit="0" wrapText="0"/>
    </xf>
    <xf borderId="0" fillId="0" fontId="21" numFmtId="49" xfId="0" applyAlignment="1" applyFont="1" applyNumberFormat="1">
      <alignment readingOrder="0"/>
    </xf>
    <xf borderId="0" fillId="0" fontId="1" numFmtId="220" xfId="0" applyFont="1" applyNumberFormat="1"/>
    <xf borderId="0" fillId="0" fontId="162" numFmtId="187" xfId="0" applyAlignment="1" applyFont="1" applyNumberFormat="1">
      <alignment readingOrder="0"/>
    </xf>
    <xf borderId="0" fillId="0" fontId="1" numFmtId="49" xfId="0" applyFont="1" applyNumberFormat="1"/>
  </cellXfs>
  <cellStyles count="1">
    <cellStyle xfId="0" name="Normal" builtinId="0"/>
  </cellStyles>
  <dxfs count="6">
    <dxf>
      <font>
        <color rgb="FF000000"/>
      </font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Exchanges-style">
      <tableStyleElement dxfId="3" type="headerRow"/>
      <tableStyleElement dxfId="4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>
        <c:manualLayout>
          <c:xMode val="edge"/>
          <c:yMode val="edge"/>
          <c:x val="0.037627113357040366"/>
          <c:y val="0.049679487179487176"/>
          <c:w val="0.9244166822633976"/>
          <c:h val="0.9003205128205127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rgbClr val="93C47D"/>
              </a:solidFill>
            </c:spPr>
          </c:dPt>
          <c:dPt>
            <c:idx val="1"/>
            <c:spPr>
              <a:solidFill>
                <a:srgbClr val="4A86E8"/>
              </a:solidFill>
            </c:spPr>
          </c:dPt>
          <c:dPt>
            <c:idx val="2"/>
            <c:explosion val="0"/>
            <c:spPr>
              <a:solidFill>
                <a:srgbClr val="E69138"/>
              </a:solidFill>
            </c:spPr>
          </c:dPt>
          <c:dPt>
            <c:idx val="3"/>
            <c:spPr>
              <a:solidFill>
                <a:srgbClr val="434343"/>
              </a:solidFill>
            </c:spPr>
          </c:dPt>
          <c:dPt>
            <c:idx val="4"/>
            <c:spPr>
              <a:solidFill>
                <a:srgbClr val="8E7CC3"/>
              </a:solidFill>
            </c:spPr>
          </c:dPt>
          <c:dPt>
            <c:idx val="5"/>
            <c:spPr>
              <a:solidFill>
                <a:srgbClr val="E06666"/>
              </a:solidFill>
            </c:spPr>
          </c:dPt>
          <c:dPt>
            <c:idx val="6"/>
          </c:dPt>
          <c:dPt>
            <c:idx val="7"/>
          </c:dPt>
          <c:dLbls>
            <c:showLegendKey val="0"/>
            <c:showVal val="0"/>
            <c:showCatName val="1"/>
            <c:showSerName val="0"/>
            <c:showPercent val="0"/>
            <c:showBubbleSize val="0"/>
            <c:showLeaderLines val="1"/>
          </c:dLbls>
          <c:cat>
            <c:strRef>
              <c:f>Assets!$B$8:$B$15</c:f>
            </c:strRef>
          </c:cat>
          <c:val>
            <c:numRef>
              <c:f>Assets!$C$8:$C$15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453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Assets!$O$20:$O$22</c:f>
            </c:strRef>
          </c:tx>
          <c:spPr>
            <a:ln cmpd="sng">
              <a:solidFill>
                <a:srgbClr val="C93232"/>
              </a:solidFill>
            </a:ln>
          </c:spPr>
          <c:marker>
            <c:symbol val="none"/>
          </c:marker>
          <c:cat>
            <c:strRef>
              <c:f>Assets!$M$23:$M$1000</c:f>
            </c:strRef>
          </c:cat>
          <c:val>
            <c:numRef>
              <c:f>Assets!$O$23:$O$1000</c:f>
              <c:numCache/>
            </c:numRef>
          </c:val>
          <c:smooth val="0"/>
        </c:ser>
        <c:axId val="706826860"/>
        <c:axId val="282802521"/>
      </c:lineChart>
      <c:catAx>
        <c:axId val="7068268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2F40"/>
                    </a:solidFill>
                    <a:latin typeface="+mn-lt"/>
                  </a:defRPr>
                </a:pPr>
                <a:r>
                  <a:rPr b="0">
                    <a:solidFill>
                      <a:srgbClr val="1A2F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2F40"/>
                </a:solidFill>
                <a:latin typeface="+mn-lt"/>
              </a:defRPr>
            </a:pPr>
          </a:p>
        </c:txPr>
        <c:crossAx val="282802521"/>
      </c:catAx>
      <c:valAx>
        <c:axId val="282802521"/>
        <c:scaling>
          <c:orientation val="minMax"/>
          <c:max val="13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2F40"/>
                    </a:solidFill>
                    <a:latin typeface="+mn-lt"/>
                  </a:defRPr>
                </a:pPr>
                <a:r>
                  <a:rPr b="0">
                    <a:solidFill>
                      <a:srgbClr val="1A2F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2F40"/>
                </a:solidFill>
                <a:latin typeface="+mn-lt"/>
              </a:defRPr>
            </a:pPr>
          </a:p>
        </c:txPr>
        <c:crossAx val="7068268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453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C93232"/>
              </a:solidFill>
            </a:ln>
          </c:spPr>
          <c:marker>
            <c:symbol val="none"/>
          </c:marker>
          <c:cat>
            <c:strRef>
              <c:f>Assets!$M$22:$M$1000</c:f>
            </c:strRef>
          </c:cat>
          <c:val>
            <c:numRef>
              <c:f>Assets!$Q$22:$Q$1000</c:f>
              <c:numCache/>
            </c:numRef>
          </c:val>
          <c:smooth val="0"/>
        </c:ser>
        <c:axId val="1433870880"/>
        <c:axId val="78287220"/>
      </c:lineChart>
      <c:catAx>
        <c:axId val="143387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2F40"/>
                    </a:solidFill>
                    <a:latin typeface="+mn-lt"/>
                  </a:defRPr>
                </a:pPr>
                <a:r>
                  <a:rPr b="0">
                    <a:solidFill>
                      <a:srgbClr val="1A2F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2F40"/>
                </a:solidFill>
                <a:latin typeface="+mn-lt"/>
              </a:defRPr>
            </a:pPr>
          </a:p>
        </c:txPr>
        <c:crossAx val="78287220"/>
      </c:catAx>
      <c:valAx>
        <c:axId val="78287220"/>
        <c:scaling>
          <c:orientation val="minMax"/>
          <c:max val="16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2F40"/>
                    </a:solidFill>
                    <a:latin typeface="+mn-lt"/>
                  </a:defRPr>
                </a:pPr>
                <a:r>
                  <a:rPr b="0">
                    <a:solidFill>
                      <a:srgbClr val="1A2F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1A2F40"/>
                </a:solidFill>
                <a:latin typeface="+mn-lt"/>
              </a:defRPr>
            </a:pPr>
          </a:p>
        </c:txPr>
        <c:crossAx val="14338708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453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8E7CC3"/>
              </a:solidFill>
            </c:spPr>
          </c:dPt>
          <c:dPt>
            <c:idx val="1"/>
            <c:spPr>
              <a:solidFill>
                <a:srgbClr val="0B5394"/>
              </a:solidFill>
            </c:spPr>
          </c:dPt>
          <c:dPt>
            <c:idx val="2"/>
            <c:spPr>
              <a:solidFill>
                <a:srgbClr val="57BB8A"/>
              </a:solidFill>
            </c:spPr>
          </c:dPt>
          <c:dPt>
            <c:idx val="3"/>
            <c:spPr>
              <a:solidFill>
                <a:srgbClr val="1F95D1"/>
              </a:solidFill>
            </c:spPr>
          </c:dPt>
          <c:dPt>
            <c:idx val="4"/>
            <c:spPr>
              <a:solidFill>
                <a:srgbClr val="000000"/>
              </a:solidFill>
            </c:spPr>
          </c:dPt>
          <c:dPt>
            <c:idx val="5"/>
            <c:spPr>
              <a:solidFill>
                <a:srgbClr val="FF00FF"/>
              </a:solidFill>
            </c:spPr>
          </c:dPt>
          <c:dPt>
            <c:idx val="6"/>
            <c:spPr>
              <a:solidFill>
                <a:srgbClr val="D97070"/>
              </a:solidFill>
            </c:spPr>
          </c:dPt>
          <c:dPt>
            <c:idx val="7"/>
          </c:dPt>
          <c:dPt>
            <c:idx val="8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Assets!$F$30:$F$38</c:f>
            </c:strRef>
          </c:cat>
          <c:val>
            <c:numRef>
              <c:f>Assets!$I$30:$I$38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453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3C47D"/>
              </a:solidFill>
            </c:spPr>
          </c:dPt>
          <c:dPt>
            <c:idx val="1"/>
            <c:spPr>
              <a:solidFill>
                <a:srgbClr val="F7981D"/>
              </a:solidFill>
            </c:spPr>
          </c:dPt>
          <c:dPt>
            <c:idx val="2"/>
            <c:spPr>
              <a:solidFill>
                <a:srgbClr val="BDBDBD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Planning!$B$31:$B$34</c:f>
            </c:strRef>
          </c:cat>
          <c:val>
            <c:numRef>
              <c:f>Planning!$C$31:$C$34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453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6AA84F"/>
              </a:solidFill>
            </c:spPr>
          </c:dPt>
          <c:dPt>
            <c:idx val="1"/>
            <c:spPr>
              <a:solidFill>
                <a:srgbClr val="F7981D"/>
              </a:solidFill>
            </c:spPr>
          </c:dPt>
          <c:dPt>
            <c:idx val="2"/>
            <c:spPr>
              <a:solidFill>
                <a:srgbClr val="BDBDBD"/>
              </a:solidFill>
            </c:spPr>
          </c:dPt>
          <c:dPt>
            <c:idx val="3"/>
            <c:spPr>
              <a:solidFill>
                <a:srgbClr val="FFFF0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Planning!$B$31:$B$34</c:f>
            </c:strRef>
          </c:cat>
          <c:val>
            <c:numRef>
              <c:f>Planning!$H$31:$H$34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453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'Movimenti Old'!$C$18:$C$19</c:f>
            </c:strRef>
          </c:tx>
          <c:spPr>
            <a:ln cmpd="sng">
              <a:solidFill>
                <a:srgbClr val="C93232"/>
              </a:solidFill>
            </a:ln>
          </c:spPr>
          <c:marker>
            <c:symbol val="none"/>
          </c:marker>
          <c:cat>
            <c:strRef>
              <c:f>'Movimenti Old'!$B$20:$B$999</c:f>
            </c:strRef>
          </c:cat>
          <c:val>
            <c:numRef>
              <c:f>'Movimenti Old'!$C$20:$C$999</c:f>
              <c:numCache/>
            </c:numRef>
          </c:val>
          <c:smooth val="0"/>
        </c:ser>
        <c:axId val="1415579697"/>
        <c:axId val="1186979993"/>
      </c:lineChart>
      <c:catAx>
        <c:axId val="14155796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2F40"/>
                    </a:solidFill>
                    <a:latin typeface="+mn-lt"/>
                  </a:defRPr>
                </a:pPr>
                <a:r>
                  <a:rPr b="0">
                    <a:solidFill>
                      <a:srgbClr val="1A2F40"/>
                    </a:solidFill>
                    <a:latin typeface="+mn-lt"/>
                  </a:rPr>
                  <a:t>Data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2F40"/>
                </a:solidFill>
                <a:latin typeface="+mn-lt"/>
              </a:defRPr>
            </a:pPr>
          </a:p>
        </c:txPr>
        <c:crossAx val="1186979993"/>
      </c:catAx>
      <c:valAx>
        <c:axId val="11869799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2F40"/>
                    </a:solidFill>
                    <a:latin typeface="+mn-lt"/>
                  </a:defRPr>
                </a:pPr>
                <a:r>
                  <a:rPr b="0">
                    <a:solidFill>
                      <a:srgbClr val="1A2F40"/>
                    </a:solidFill>
                    <a:latin typeface="+mn-lt"/>
                  </a:rPr>
                  <a:t>BTC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2F40"/>
                </a:solidFill>
                <a:latin typeface="+mn-lt"/>
              </a:defRPr>
            </a:pPr>
          </a:p>
        </c:txPr>
        <c:crossAx val="14155796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453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'Movimenti Old'!$D$18:$D$19</c:f>
            </c:strRef>
          </c:tx>
          <c:spPr>
            <a:ln cmpd="sng" w="19050">
              <a:solidFill>
                <a:srgbClr val="38761D"/>
              </a:solidFill>
            </a:ln>
          </c:spPr>
          <c:marker>
            <c:symbol val="none"/>
          </c:marker>
          <c:cat>
            <c:strRef>
              <c:f>'Movimenti Old'!$B$20:$B$231</c:f>
            </c:strRef>
          </c:cat>
          <c:val>
            <c:numRef>
              <c:f>'Movimenti Old'!$D$20:$D$231</c:f>
              <c:numCache/>
            </c:numRef>
          </c:val>
          <c:smooth val="0"/>
        </c:ser>
        <c:axId val="638368350"/>
        <c:axId val="870032570"/>
      </c:lineChart>
      <c:catAx>
        <c:axId val="6383683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2F40"/>
                    </a:solidFill>
                    <a:latin typeface="+mn-lt"/>
                  </a:defRPr>
                </a:pPr>
                <a:r>
                  <a:rPr b="0">
                    <a:solidFill>
                      <a:srgbClr val="1A2F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600">
                <a:solidFill>
                  <a:srgbClr val="1A2F40"/>
                </a:solidFill>
                <a:latin typeface="+mn-lt"/>
              </a:defRPr>
            </a:pPr>
          </a:p>
        </c:txPr>
        <c:crossAx val="870032570"/>
      </c:catAx>
      <c:valAx>
        <c:axId val="870032570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2F40"/>
                    </a:solidFill>
                    <a:latin typeface="+mn-lt"/>
                  </a:defRPr>
                </a:pPr>
                <a:r>
                  <a:rPr b="0">
                    <a:solidFill>
                      <a:srgbClr val="1A2F40"/>
                    </a:solidFill>
                    <a:latin typeface="+mn-lt"/>
                  </a:rPr>
                  <a:t>$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2F40"/>
                </a:solidFill>
                <a:latin typeface="+mn-lt"/>
              </a:defRPr>
            </a:pPr>
          </a:p>
        </c:txPr>
        <c:crossAx val="6383683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8761D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C93232"/>
              </a:solidFill>
            </a:ln>
          </c:spPr>
          <c:marker>
            <c:symbol val="none"/>
          </c:marker>
          <c:cat>
            <c:strRef>
              <c:f>'Movimenti Old'!$O$10</c:f>
            </c:strRef>
          </c:cat>
          <c:val>
            <c:numRef>
              <c:f>'Movimenti Old'!$G$20:$G$1000</c:f>
              <c:numCache/>
            </c:numRef>
          </c:val>
          <c:smooth val="0"/>
        </c:ser>
        <c:axId val="1895999302"/>
        <c:axId val="855123067"/>
      </c:lineChart>
      <c:catAx>
        <c:axId val="18959993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2F40"/>
                    </a:solidFill>
                    <a:latin typeface="+mn-lt"/>
                  </a:defRPr>
                </a:pPr>
                <a:r>
                  <a:rPr b="0">
                    <a:solidFill>
                      <a:srgbClr val="1A2F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2F40"/>
                </a:solidFill>
                <a:latin typeface="+mn-lt"/>
              </a:defRPr>
            </a:pPr>
          </a:p>
        </c:txPr>
        <c:crossAx val="855123067"/>
      </c:catAx>
      <c:valAx>
        <c:axId val="8551230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2F40"/>
                    </a:solidFill>
                    <a:latin typeface="+mn-lt"/>
                  </a:defRPr>
                </a:pPr>
                <a:r>
                  <a:rPr b="0">
                    <a:solidFill>
                      <a:srgbClr val="1A2F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2F40"/>
                </a:solidFill>
                <a:latin typeface="+mn-lt"/>
              </a:defRPr>
            </a:pPr>
          </a:p>
        </c:txPr>
        <c:crossAx val="18959993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4453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image" Target="../media/image3.png"/><Relationship Id="rId6" Type="http://schemas.openxmlformats.org/officeDocument/2006/relationships/image" Target="../media/image4.png"/><Relationship Id="rId7" Type="http://schemas.openxmlformats.org/officeDocument/2006/relationships/image" Target="../media/image1.png"/><Relationship Id="rId8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39.png"/><Relationship Id="rId42" Type="http://schemas.openxmlformats.org/officeDocument/2006/relationships/image" Target="../media/image44.png"/><Relationship Id="rId41" Type="http://schemas.openxmlformats.org/officeDocument/2006/relationships/image" Target="../media/image54.png"/><Relationship Id="rId44" Type="http://schemas.openxmlformats.org/officeDocument/2006/relationships/image" Target="../media/image38.png"/><Relationship Id="rId43" Type="http://schemas.openxmlformats.org/officeDocument/2006/relationships/image" Target="../media/image47.png"/><Relationship Id="rId46" Type="http://schemas.openxmlformats.org/officeDocument/2006/relationships/image" Target="../media/image48.png"/><Relationship Id="rId45" Type="http://schemas.openxmlformats.org/officeDocument/2006/relationships/image" Target="../media/image49.png"/><Relationship Id="rId1" Type="http://schemas.openxmlformats.org/officeDocument/2006/relationships/image" Target="../media/image12.png"/><Relationship Id="rId2" Type="http://schemas.openxmlformats.org/officeDocument/2006/relationships/image" Target="../media/image6.png"/><Relationship Id="rId3" Type="http://schemas.openxmlformats.org/officeDocument/2006/relationships/image" Target="../media/image5.jpg"/><Relationship Id="rId4" Type="http://schemas.openxmlformats.org/officeDocument/2006/relationships/image" Target="../media/image7.png"/><Relationship Id="rId9" Type="http://schemas.openxmlformats.org/officeDocument/2006/relationships/image" Target="../media/image10.png"/><Relationship Id="rId48" Type="http://schemas.openxmlformats.org/officeDocument/2006/relationships/image" Target="../media/image59.png"/><Relationship Id="rId47" Type="http://schemas.openxmlformats.org/officeDocument/2006/relationships/image" Target="../media/image57.png"/><Relationship Id="rId49" Type="http://schemas.openxmlformats.org/officeDocument/2006/relationships/image" Target="../media/image64.png"/><Relationship Id="rId5" Type="http://schemas.openxmlformats.org/officeDocument/2006/relationships/image" Target="../media/image16.png"/><Relationship Id="rId6" Type="http://schemas.openxmlformats.org/officeDocument/2006/relationships/image" Target="../media/image2.png"/><Relationship Id="rId7" Type="http://schemas.openxmlformats.org/officeDocument/2006/relationships/image" Target="../media/image13.png"/><Relationship Id="rId8" Type="http://schemas.openxmlformats.org/officeDocument/2006/relationships/image" Target="../media/image9.jpg"/><Relationship Id="rId31" Type="http://schemas.openxmlformats.org/officeDocument/2006/relationships/image" Target="../media/image33.png"/><Relationship Id="rId30" Type="http://schemas.openxmlformats.org/officeDocument/2006/relationships/image" Target="../media/image34.png"/><Relationship Id="rId33" Type="http://schemas.openxmlformats.org/officeDocument/2006/relationships/image" Target="../media/image42.png"/><Relationship Id="rId32" Type="http://schemas.openxmlformats.org/officeDocument/2006/relationships/image" Target="../media/image43.png"/><Relationship Id="rId35" Type="http://schemas.openxmlformats.org/officeDocument/2006/relationships/image" Target="../media/image35.png"/><Relationship Id="rId34" Type="http://schemas.openxmlformats.org/officeDocument/2006/relationships/image" Target="../media/image32.png"/><Relationship Id="rId37" Type="http://schemas.openxmlformats.org/officeDocument/2006/relationships/image" Target="../media/image55.png"/><Relationship Id="rId36" Type="http://schemas.openxmlformats.org/officeDocument/2006/relationships/image" Target="../media/image52.png"/><Relationship Id="rId39" Type="http://schemas.openxmlformats.org/officeDocument/2006/relationships/image" Target="../media/image40.png"/><Relationship Id="rId38" Type="http://schemas.openxmlformats.org/officeDocument/2006/relationships/image" Target="../media/image41.png"/><Relationship Id="rId20" Type="http://schemas.openxmlformats.org/officeDocument/2006/relationships/image" Target="../media/image28.png"/><Relationship Id="rId22" Type="http://schemas.openxmlformats.org/officeDocument/2006/relationships/image" Target="../media/image23.png"/><Relationship Id="rId21" Type="http://schemas.openxmlformats.org/officeDocument/2006/relationships/image" Target="../media/image3.png"/><Relationship Id="rId24" Type="http://schemas.openxmlformats.org/officeDocument/2006/relationships/image" Target="../media/image20.png"/><Relationship Id="rId23" Type="http://schemas.openxmlformats.org/officeDocument/2006/relationships/image" Target="../media/image24.png"/><Relationship Id="rId26" Type="http://schemas.openxmlformats.org/officeDocument/2006/relationships/image" Target="../media/image29.png"/><Relationship Id="rId25" Type="http://schemas.openxmlformats.org/officeDocument/2006/relationships/image" Target="../media/image25.png"/><Relationship Id="rId28" Type="http://schemas.openxmlformats.org/officeDocument/2006/relationships/image" Target="../media/image36.png"/><Relationship Id="rId27" Type="http://schemas.openxmlformats.org/officeDocument/2006/relationships/image" Target="../media/image31.png"/><Relationship Id="rId29" Type="http://schemas.openxmlformats.org/officeDocument/2006/relationships/image" Target="../media/image30.png"/><Relationship Id="rId51" Type="http://schemas.openxmlformats.org/officeDocument/2006/relationships/image" Target="../media/image45.png"/><Relationship Id="rId50" Type="http://schemas.openxmlformats.org/officeDocument/2006/relationships/image" Target="../media/image53.png"/><Relationship Id="rId53" Type="http://schemas.openxmlformats.org/officeDocument/2006/relationships/image" Target="../media/image56.png"/><Relationship Id="rId52" Type="http://schemas.openxmlformats.org/officeDocument/2006/relationships/image" Target="../media/image46.png"/><Relationship Id="rId11" Type="http://schemas.openxmlformats.org/officeDocument/2006/relationships/image" Target="../media/image18.png"/><Relationship Id="rId10" Type="http://schemas.openxmlformats.org/officeDocument/2006/relationships/image" Target="../media/image8.png"/><Relationship Id="rId54" Type="http://schemas.openxmlformats.org/officeDocument/2006/relationships/image" Target="../media/image60.png"/><Relationship Id="rId13" Type="http://schemas.openxmlformats.org/officeDocument/2006/relationships/image" Target="../media/image17.png"/><Relationship Id="rId12" Type="http://schemas.openxmlformats.org/officeDocument/2006/relationships/image" Target="../media/image11.png"/><Relationship Id="rId15" Type="http://schemas.openxmlformats.org/officeDocument/2006/relationships/image" Target="../media/image26.png"/><Relationship Id="rId14" Type="http://schemas.openxmlformats.org/officeDocument/2006/relationships/image" Target="../media/image14.png"/><Relationship Id="rId17" Type="http://schemas.openxmlformats.org/officeDocument/2006/relationships/image" Target="../media/image27.png"/><Relationship Id="rId16" Type="http://schemas.openxmlformats.org/officeDocument/2006/relationships/image" Target="../media/image21.png"/><Relationship Id="rId19" Type="http://schemas.openxmlformats.org/officeDocument/2006/relationships/image" Target="../media/image1.png"/><Relationship Id="rId18" Type="http://schemas.openxmlformats.org/officeDocument/2006/relationships/image" Target="../media/image1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Relationship Id="rId2" Type="http://schemas.openxmlformats.org/officeDocument/2006/relationships/image" Target="../media/image19.png"/><Relationship Id="rId3" Type="http://schemas.openxmlformats.org/officeDocument/2006/relationships/image" Target="../media/image63.png"/><Relationship Id="rId4" Type="http://schemas.openxmlformats.org/officeDocument/2006/relationships/image" Target="../media/image5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16</xdr:row>
      <xdr:rowOff>66675</xdr:rowOff>
    </xdr:from>
    <xdr:ext cx="3695700" cy="26955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180975</xdr:colOff>
      <xdr:row>4</xdr:row>
      <xdr:rowOff>104775</xdr:rowOff>
    </xdr:from>
    <xdr:ext cx="9429750" cy="38862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21</xdr:col>
      <xdr:colOff>514350</xdr:colOff>
      <xdr:row>4</xdr:row>
      <xdr:rowOff>104775</xdr:rowOff>
    </xdr:from>
    <xdr:ext cx="7229475" cy="38862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0</xdr:colOff>
      <xdr:row>27</xdr:row>
      <xdr:rowOff>85725</xdr:rowOff>
    </xdr:from>
    <xdr:ext cx="3619500" cy="2238375"/>
    <xdr:graphicFrame>
      <xdr:nvGraphicFramePr>
        <xdr:cNvPr id="4" name="Chart 4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0</xdr:colOff>
      <xdr:row>7</xdr:row>
      <xdr:rowOff>0</xdr:rowOff>
    </xdr:from>
    <xdr:ext cx="257175" cy="257175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257175" cy="25717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257175" cy="257175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257175" cy="257175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</xdr:row>
      <xdr:rowOff>0</xdr:rowOff>
    </xdr:from>
    <xdr:ext cx="161925" cy="16192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</xdr:row>
      <xdr:rowOff>0</xdr:rowOff>
    </xdr:from>
    <xdr:ext cx="28575" cy="2857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</xdr:row>
      <xdr:rowOff>0</xdr:rowOff>
    </xdr:from>
    <xdr:ext cx="57150" cy="5715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</xdr:row>
      <xdr:rowOff>0</xdr:rowOff>
    </xdr:from>
    <xdr:ext cx="57150" cy="57150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11</xdr:row>
      <xdr:rowOff>0</xdr:rowOff>
    </xdr:from>
    <xdr:ext cx="57150" cy="57150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11</xdr:row>
      <xdr:rowOff>0</xdr:rowOff>
    </xdr:from>
    <xdr:ext cx="57150" cy="57150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11</xdr:row>
      <xdr:rowOff>0</xdr:rowOff>
    </xdr:from>
    <xdr:ext cx="57150" cy="5715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11</xdr:row>
      <xdr:rowOff>0</xdr:rowOff>
    </xdr:from>
    <xdr:ext cx="57150" cy="5715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11</xdr:row>
      <xdr:rowOff>0</xdr:rowOff>
    </xdr:from>
    <xdr:ext cx="57150" cy="5715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11</xdr:row>
      <xdr:rowOff>0</xdr:rowOff>
    </xdr:from>
    <xdr:ext cx="57150" cy="5715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11</xdr:row>
      <xdr:rowOff>0</xdr:rowOff>
    </xdr:from>
    <xdr:ext cx="57150" cy="5715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11</xdr:row>
      <xdr:rowOff>0</xdr:rowOff>
    </xdr:from>
    <xdr:ext cx="161925" cy="161925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11</xdr:row>
      <xdr:rowOff>0</xdr:rowOff>
    </xdr:from>
    <xdr:ext cx="57150" cy="5715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11</xdr:row>
      <xdr:rowOff>0</xdr:rowOff>
    </xdr:from>
    <xdr:ext cx="57150" cy="57150"/>
    <xdr:pic>
      <xdr:nvPicPr>
        <xdr:cNvPr id="0" name="image1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11</xdr:row>
      <xdr:rowOff>0</xdr:rowOff>
    </xdr:from>
    <xdr:ext cx="57150" cy="57150"/>
    <xdr:pic>
      <xdr:nvPicPr>
        <xdr:cNvPr id="0" name="image1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11</xdr:row>
      <xdr:rowOff>0</xdr:rowOff>
    </xdr:from>
    <xdr:ext cx="57150" cy="57150"/>
    <xdr:pic>
      <xdr:nvPicPr>
        <xdr:cNvPr id="0" name="image1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11</xdr:row>
      <xdr:rowOff>0</xdr:rowOff>
    </xdr:from>
    <xdr:ext cx="57150" cy="57150"/>
    <xdr:pic>
      <xdr:nvPicPr>
        <xdr:cNvPr id="0" name="image1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11</xdr:row>
      <xdr:rowOff>0</xdr:rowOff>
    </xdr:from>
    <xdr:ext cx="57150" cy="57150"/>
    <xdr:pic>
      <xdr:nvPicPr>
        <xdr:cNvPr id="0" name="image1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11</xdr:row>
      <xdr:rowOff>0</xdr:rowOff>
    </xdr:from>
    <xdr:ext cx="57150" cy="57150"/>
    <xdr:pic>
      <xdr:nvPicPr>
        <xdr:cNvPr id="0" name="image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11</xdr:row>
      <xdr:rowOff>0</xdr:rowOff>
    </xdr:from>
    <xdr:ext cx="57150" cy="57150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11</xdr:row>
      <xdr:rowOff>0</xdr:rowOff>
    </xdr:from>
    <xdr:ext cx="57150" cy="57150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11</xdr:row>
      <xdr:rowOff>0</xdr:rowOff>
    </xdr:from>
    <xdr:ext cx="57150" cy="57150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11</xdr:row>
      <xdr:rowOff>0</xdr:rowOff>
    </xdr:from>
    <xdr:ext cx="57150" cy="57150"/>
    <xdr:pic>
      <xdr:nvPicPr>
        <xdr:cNvPr id="0" name="image1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</xdr:col>
      <xdr:colOff>0</xdr:colOff>
      <xdr:row>11</xdr:row>
      <xdr:rowOff>0</xdr:rowOff>
    </xdr:from>
    <xdr:ext cx="161925" cy="161925"/>
    <xdr:pic>
      <xdr:nvPicPr>
        <xdr:cNvPr id="0" name="image1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11</xdr:row>
      <xdr:rowOff>0</xdr:rowOff>
    </xdr:from>
    <xdr:ext cx="161925" cy="161925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11</xdr:row>
      <xdr:rowOff>0</xdr:rowOff>
    </xdr:from>
    <xdr:ext cx="161925" cy="161925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11</xdr:row>
      <xdr:rowOff>0</xdr:rowOff>
    </xdr:from>
    <xdr:ext cx="57150" cy="57150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0</xdr:colOff>
      <xdr:row>11</xdr:row>
      <xdr:rowOff>0</xdr:rowOff>
    </xdr:from>
    <xdr:ext cx="161925" cy="161925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11</xdr:row>
      <xdr:rowOff>0</xdr:rowOff>
    </xdr:from>
    <xdr:ext cx="161925" cy="161925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11</xdr:row>
      <xdr:rowOff>0</xdr:rowOff>
    </xdr:from>
    <xdr:ext cx="57150" cy="57150"/>
    <xdr:pic>
      <xdr:nvPicPr>
        <xdr:cNvPr id="0" name="image1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48</xdr:col>
      <xdr:colOff>0</xdr:colOff>
      <xdr:row>11</xdr:row>
      <xdr:rowOff>0</xdr:rowOff>
    </xdr:from>
    <xdr:ext cx="57150" cy="57150"/>
    <xdr:pic>
      <xdr:nvPicPr>
        <xdr:cNvPr id="0" name="image2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50</xdr:col>
      <xdr:colOff>0</xdr:colOff>
      <xdr:row>11</xdr:row>
      <xdr:rowOff>0</xdr:rowOff>
    </xdr:from>
    <xdr:ext cx="57150" cy="57150"/>
    <xdr:pic>
      <xdr:nvPicPr>
        <xdr:cNvPr id="0" name="image2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51</xdr:col>
      <xdr:colOff>0</xdr:colOff>
      <xdr:row>11</xdr:row>
      <xdr:rowOff>0</xdr:rowOff>
    </xdr:from>
    <xdr:ext cx="57150" cy="57150"/>
    <xdr:pic>
      <xdr:nvPicPr>
        <xdr:cNvPr id="0" name="image2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52</xdr:col>
      <xdr:colOff>0</xdr:colOff>
      <xdr:row>11</xdr:row>
      <xdr:rowOff>0</xdr:rowOff>
    </xdr:from>
    <xdr:ext cx="57150" cy="5715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11</xdr:row>
      <xdr:rowOff>0</xdr:rowOff>
    </xdr:from>
    <xdr:ext cx="57150" cy="57150"/>
    <xdr:pic>
      <xdr:nvPicPr>
        <xdr:cNvPr id="0" name="image2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54</xdr:col>
      <xdr:colOff>0</xdr:colOff>
      <xdr:row>11</xdr:row>
      <xdr:rowOff>0</xdr:rowOff>
    </xdr:from>
    <xdr:ext cx="57150" cy="57150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55</xdr:col>
      <xdr:colOff>0</xdr:colOff>
      <xdr:row>11</xdr:row>
      <xdr:rowOff>0</xdr:rowOff>
    </xdr:from>
    <xdr:ext cx="57150" cy="57150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56</xdr:col>
      <xdr:colOff>0</xdr:colOff>
      <xdr:row>11</xdr:row>
      <xdr:rowOff>0</xdr:rowOff>
    </xdr:from>
    <xdr:ext cx="57150" cy="57150"/>
    <xdr:pic>
      <xdr:nvPicPr>
        <xdr:cNvPr id="0" name="image2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57</xdr:col>
      <xdr:colOff>0</xdr:colOff>
      <xdr:row>11</xdr:row>
      <xdr:rowOff>0</xdr:rowOff>
    </xdr:from>
    <xdr:ext cx="57150" cy="57150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58</xdr:col>
      <xdr:colOff>0</xdr:colOff>
      <xdr:row>11</xdr:row>
      <xdr:rowOff>0</xdr:rowOff>
    </xdr:from>
    <xdr:ext cx="57150" cy="57150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11</xdr:row>
      <xdr:rowOff>0</xdr:rowOff>
    </xdr:from>
    <xdr:ext cx="57150" cy="57150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60</xdr:col>
      <xdr:colOff>0</xdr:colOff>
      <xdr:row>11</xdr:row>
      <xdr:rowOff>0</xdr:rowOff>
    </xdr:from>
    <xdr:ext cx="57150" cy="57150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61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62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63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64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65</xdr:col>
      <xdr:colOff>0</xdr:colOff>
      <xdr:row>11</xdr:row>
      <xdr:rowOff>0</xdr:rowOff>
    </xdr:from>
    <xdr:ext cx="57150" cy="57150"/>
    <xdr:pic>
      <xdr:nvPicPr>
        <xdr:cNvPr id="0" name="image1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66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68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69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70</xdr:col>
      <xdr:colOff>0</xdr:colOff>
      <xdr:row>11</xdr:row>
      <xdr:rowOff>0</xdr:rowOff>
    </xdr:from>
    <xdr:ext cx="57150" cy="5715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71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72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</xdr:row>
      <xdr:rowOff>0</xdr:rowOff>
    </xdr:from>
    <xdr:ext cx="57150" cy="571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247650" cy="247650"/>
    <xdr:pic>
      <xdr:nvPicPr>
        <xdr:cNvPr id="0" name="image3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47650" cy="247650"/>
    <xdr:pic>
      <xdr:nvPicPr>
        <xdr:cNvPr id="0" name="image3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57150" cy="57150"/>
    <xdr:pic>
      <xdr:nvPicPr>
        <xdr:cNvPr id="0" name="image3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247650" cy="247650"/>
    <xdr:pic>
      <xdr:nvPicPr>
        <xdr:cNvPr id="0" name="image3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247650" cy="24765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247650" cy="247650"/>
    <xdr:pic>
      <xdr:nvPicPr>
        <xdr:cNvPr id="0" name="image2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</xdr:row>
      <xdr:rowOff>0</xdr:rowOff>
    </xdr:from>
    <xdr:ext cx="247650" cy="247650"/>
    <xdr:pic>
      <xdr:nvPicPr>
        <xdr:cNvPr id="0" name="image2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12</xdr:row>
      <xdr:rowOff>0</xdr:rowOff>
    </xdr:from>
    <xdr:ext cx="247650" cy="24765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</xdr:row>
      <xdr:rowOff>0</xdr:rowOff>
    </xdr:from>
    <xdr:ext cx="247650" cy="24765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</xdr:row>
      <xdr:rowOff>0</xdr:rowOff>
    </xdr:from>
    <xdr:ext cx="28575" cy="28575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12</xdr:row>
      <xdr:rowOff>0</xdr:rowOff>
    </xdr:from>
    <xdr:ext cx="57150" cy="5715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12</xdr:row>
      <xdr:rowOff>0</xdr:rowOff>
    </xdr:from>
    <xdr:ext cx="57150" cy="5715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</xdr:row>
      <xdr:rowOff>0</xdr:rowOff>
    </xdr:from>
    <xdr:ext cx="57150" cy="57150"/>
    <xdr:pic>
      <xdr:nvPicPr>
        <xdr:cNvPr id="0" name="image2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12</xdr:row>
      <xdr:rowOff>0</xdr:rowOff>
    </xdr:from>
    <xdr:ext cx="57150" cy="57150"/>
    <xdr:pic>
      <xdr:nvPicPr>
        <xdr:cNvPr id="0" name="image2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12</xdr:row>
      <xdr:rowOff>0</xdr:rowOff>
    </xdr:from>
    <xdr:ext cx="57150" cy="57150"/>
    <xdr:pic>
      <xdr:nvPicPr>
        <xdr:cNvPr id="0" name="image2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</xdr:row>
      <xdr:rowOff>0</xdr:rowOff>
    </xdr:from>
    <xdr:ext cx="57150" cy="57150"/>
    <xdr:pic>
      <xdr:nvPicPr>
        <xdr:cNvPr id="0" name="image2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12</xdr:row>
      <xdr:rowOff>0</xdr:rowOff>
    </xdr:from>
    <xdr:ext cx="57150" cy="57150"/>
    <xdr:pic>
      <xdr:nvPicPr>
        <xdr:cNvPr id="0" name="image2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12</xdr:row>
      <xdr:rowOff>0</xdr:rowOff>
    </xdr:from>
    <xdr:ext cx="57150" cy="57150"/>
    <xdr:pic>
      <xdr:nvPicPr>
        <xdr:cNvPr id="0" name="image2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12</xdr:row>
      <xdr:rowOff>0</xdr:rowOff>
    </xdr:from>
    <xdr:ext cx="57150" cy="57150"/>
    <xdr:pic>
      <xdr:nvPicPr>
        <xdr:cNvPr id="0" name="image2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12</xdr:row>
      <xdr:rowOff>0</xdr:rowOff>
    </xdr:from>
    <xdr:ext cx="247650" cy="247650"/>
    <xdr:pic>
      <xdr:nvPicPr>
        <xdr:cNvPr id="0" name="image2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12</xdr:row>
      <xdr:rowOff>0</xdr:rowOff>
    </xdr:from>
    <xdr:ext cx="57150" cy="57150"/>
    <xdr:pic>
      <xdr:nvPicPr>
        <xdr:cNvPr id="0" name="image2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12</xdr:row>
      <xdr:rowOff>0</xdr:rowOff>
    </xdr:from>
    <xdr:ext cx="57150" cy="57150"/>
    <xdr:pic>
      <xdr:nvPicPr>
        <xdr:cNvPr id="0" name="image3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12</xdr:row>
      <xdr:rowOff>0</xdr:rowOff>
    </xdr:from>
    <xdr:ext cx="57150" cy="5715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12</xdr:row>
      <xdr:rowOff>0</xdr:rowOff>
    </xdr:from>
    <xdr:ext cx="57150" cy="57150"/>
    <xdr:pic>
      <xdr:nvPicPr>
        <xdr:cNvPr id="0" name="image2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12</xdr:row>
      <xdr:rowOff>0</xdr:rowOff>
    </xdr:from>
    <xdr:ext cx="57150" cy="57150"/>
    <xdr:pic>
      <xdr:nvPicPr>
        <xdr:cNvPr id="0" name="image2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12</xdr:row>
      <xdr:rowOff>0</xdr:rowOff>
    </xdr:from>
    <xdr:ext cx="57150" cy="57150"/>
    <xdr:pic>
      <xdr:nvPicPr>
        <xdr:cNvPr id="0" name="image2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12</xdr:row>
      <xdr:rowOff>0</xdr:rowOff>
    </xdr:from>
    <xdr:ext cx="57150" cy="57150"/>
    <xdr:pic>
      <xdr:nvPicPr>
        <xdr:cNvPr id="0" name="image2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12</xdr:row>
      <xdr:rowOff>0</xdr:rowOff>
    </xdr:from>
    <xdr:ext cx="57150" cy="57150"/>
    <xdr:pic>
      <xdr:nvPicPr>
        <xdr:cNvPr id="0" name="image2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12</xdr:row>
      <xdr:rowOff>0</xdr:rowOff>
    </xdr:from>
    <xdr:ext cx="57150" cy="57150"/>
    <xdr:pic>
      <xdr:nvPicPr>
        <xdr:cNvPr id="0" name="image2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12</xdr:row>
      <xdr:rowOff>0</xdr:rowOff>
    </xdr:from>
    <xdr:ext cx="57150" cy="57150"/>
    <xdr:pic>
      <xdr:nvPicPr>
        <xdr:cNvPr id="0" name="image2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12</xdr:row>
      <xdr:rowOff>0</xdr:rowOff>
    </xdr:from>
    <xdr:ext cx="57150" cy="57150"/>
    <xdr:pic>
      <xdr:nvPicPr>
        <xdr:cNvPr id="0" name="image2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12</xdr:row>
      <xdr:rowOff>0</xdr:rowOff>
    </xdr:from>
    <xdr:ext cx="57150" cy="57150"/>
    <xdr:pic>
      <xdr:nvPicPr>
        <xdr:cNvPr id="0" name="image2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12</xdr:row>
      <xdr:rowOff>0</xdr:rowOff>
    </xdr:from>
    <xdr:ext cx="57150" cy="57150"/>
    <xdr:pic>
      <xdr:nvPicPr>
        <xdr:cNvPr id="0" name="image3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</xdr:col>
      <xdr:colOff>0</xdr:colOff>
      <xdr:row>12</xdr:row>
      <xdr:rowOff>0</xdr:rowOff>
    </xdr:from>
    <xdr:ext cx="247650" cy="247650"/>
    <xdr:pic>
      <xdr:nvPicPr>
        <xdr:cNvPr id="0" name="image1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12</xdr:row>
      <xdr:rowOff>0</xdr:rowOff>
    </xdr:from>
    <xdr:ext cx="247650" cy="247650"/>
    <xdr:pic>
      <xdr:nvPicPr>
        <xdr:cNvPr id="0" name="image3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12</xdr:row>
      <xdr:rowOff>0</xdr:rowOff>
    </xdr:from>
    <xdr:ext cx="247650" cy="247650"/>
    <xdr:pic>
      <xdr:nvPicPr>
        <xdr:cNvPr id="0" name="image3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12</xdr:row>
      <xdr:rowOff>0</xdr:rowOff>
    </xdr:from>
    <xdr:ext cx="57150" cy="57150"/>
    <xdr:pic>
      <xdr:nvPicPr>
        <xdr:cNvPr id="0" name="image3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0</xdr:colOff>
      <xdr:row>12</xdr:row>
      <xdr:rowOff>0</xdr:rowOff>
    </xdr:from>
    <xdr:ext cx="247650" cy="247650"/>
    <xdr:pic>
      <xdr:nvPicPr>
        <xdr:cNvPr id="0" name="image3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12</xdr:row>
      <xdr:rowOff>0</xdr:rowOff>
    </xdr:from>
    <xdr:ext cx="247650" cy="247650"/>
    <xdr:pic>
      <xdr:nvPicPr>
        <xdr:cNvPr id="0" name="image43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12</xdr:row>
      <xdr:rowOff>0</xdr:rowOff>
    </xdr:from>
    <xdr:ext cx="57150" cy="57150"/>
    <xdr:pic>
      <xdr:nvPicPr>
        <xdr:cNvPr id="0" name="image2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0</xdr:colOff>
      <xdr:row>12</xdr:row>
      <xdr:rowOff>0</xdr:rowOff>
    </xdr:from>
    <xdr:ext cx="57150" cy="57150"/>
    <xdr:pic>
      <xdr:nvPicPr>
        <xdr:cNvPr id="0" name="image2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48</xdr:col>
      <xdr:colOff>0</xdr:colOff>
      <xdr:row>12</xdr:row>
      <xdr:rowOff>0</xdr:rowOff>
    </xdr:from>
    <xdr:ext cx="57150" cy="57150"/>
    <xdr:pic>
      <xdr:nvPicPr>
        <xdr:cNvPr id="0" name="image42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12</xdr:row>
      <xdr:rowOff>0</xdr:rowOff>
    </xdr:from>
    <xdr:ext cx="57150" cy="57150"/>
    <xdr:pic>
      <xdr:nvPicPr>
        <xdr:cNvPr id="0" name="image3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50</xdr:col>
      <xdr:colOff>0</xdr:colOff>
      <xdr:row>12</xdr:row>
      <xdr:rowOff>0</xdr:rowOff>
    </xdr:from>
    <xdr:ext cx="57150" cy="57150"/>
    <xdr:pic>
      <xdr:nvPicPr>
        <xdr:cNvPr id="0" name="image3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51</xdr:col>
      <xdr:colOff>0</xdr:colOff>
      <xdr:row>12</xdr:row>
      <xdr:rowOff>0</xdr:rowOff>
    </xdr:from>
    <xdr:ext cx="57150" cy="57150"/>
    <xdr:pic>
      <xdr:nvPicPr>
        <xdr:cNvPr id="0" name="image3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52</xdr:col>
      <xdr:colOff>0</xdr:colOff>
      <xdr:row>12</xdr:row>
      <xdr:rowOff>0</xdr:rowOff>
    </xdr:from>
    <xdr:ext cx="57150" cy="57150"/>
    <xdr:pic>
      <xdr:nvPicPr>
        <xdr:cNvPr id="0" name="image5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12</xdr:row>
      <xdr:rowOff>0</xdr:rowOff>
    </xdr:from>
    <xdr:ext cx="57150" cy="57150"/>
    <xdr:pic>
      <xdr:nvPicPr>
        <xdr:cNvPr id="0" name="image2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54</xdr:col>
      <xdr:colOff>0</xdr:colOff>
      <xdr:row>12</xdr:row>
      <xdr:rowOff>0</xdr:rowOff>
    </xdr:from>
    <xdr:ext cx="57150" cy="57150"/>
    <xdr:pic>
      <xdr:nvPicPr>
        <xdr:cNvPr id="0" name="image55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55</xdr:col>
      <xdr:colOff>0</xdr:colOff>
      <xdr:row>12</xdr:row>
      <xdr:rowOff>0</xdr:rowOff>
    </xdr:from>
    <xdr:ext cx="57150" cy="57150"/>
    <xdr:pic>
      <xdr:nvPicPr>
        <xdr:cNvPr id="0" name="image4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56</xdr:col>
      <xdr:colOff>0</xdr:colOff>
      <xdr:row>12</xdr:row>
      <xdr:rowOff>0</xdr:rowOff>
    </xdr:from>
    <xdr:ext cx="57150" cy="57150"/>
    <xdr:pic>
      <xdr:nvPicPr>
        <xdr:cNvPr id="0" name="image2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57</xdr:col>
      <xdr:colOff>0</xdr:colOff>
      <xdr:row>12</xdr:row>
      <xdr:rowOff>0</xdr:rowOff>
    </xdr:from>
    <xdr:ext cx="57150" cy="57150"/>
    <xdr:pic>
      <xdr:nvPicPr>
        <xdr:cNvPr id="0" name="image4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58</xdr:col>
      <xdr:colOff>0</xdr:colOff>
      <xdr:row>12</xdr:row>
      <xdr:rowOff>0</xdr:rowOff>
    </xdr:from>
    <xdr:ext cx="57150" cy="57150"/>
    <xdr:pic>
      <xdr:nvPicPr>
        <xdr:cNvPr id="0" name="image3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12</xdr:row>
      <xdr:rowOff>0</xdr:rowOff>
    </xdr:from>
    <xdr:ext cx="57150" cy="57150"/>
    <xdr:pic>
      <xdr:nvPicPr>
        <xdr:cNvPr id="0" name="image54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60</xdr:col>
      <xdr:colOff>0</xdr:colOff>
      <xdr:row>12</xdr:row>
      <xdr:rowOff>0</xdr:rowOff>
    </xdr:from>
    <xdr:ext cx="57150" cy="57150"/>
    <xdr:pic>
      <xdr:nvPicPr>
        <xdr:cNvPr id="0" name="image4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61</xdr:col>
      <xdr:colOff>0</xdr:colOff>
      <xdr:row>12</xdr:row>
      <xdr:rowOff>0</xdr:rowOff>
    </xdr:from>
    <xdr:ext cx="57150" cy="57150"/>
    <xdr:pic>
      <xdr:nvPicPr>
        <xdr:cNvPr id="0" name="image47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62</xdr:col>
      <xdr:colOff>0</xdr:colOff>
      <xdr:row>12</xdr:row>
      <xdr:rowOff>0</xdr:rowOff>
    </xdr:from>
    <xdr:ext cx="57150" cy="57150"/>
    <xdr:pic>
      <xdr:nvPicPr>
        <xdr:cNvPr id="0" name="image38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63</xdr:col>
      <xdr:colOff>0</xdr:colOff>
      <xdr:row>12</xdr:row>
      <xdr:rowOff>0</xdr:rowOff>
    </xdr:from>
    <xdr:ext cx="57150" cy="57150"/>
    <xdr:pic>
      <xdr:nvPicPr>
        <xdr:cNvPr id="0" name="image49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64</xdr:col>
      <xdr:colOff>0</xdr:colOff>
      <xdr:row>12</xdr:row>
      <xdr:rowOff>0</xdr:rowOff>
    </xdr:from>
    <xdr:ext cx="57150" cy="57150"/>
    <xdr:pic>
      <xdr:nvPicPr>
        <xdr:cNvPr id="0" name="image4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65</xdr:col>
      <xdr:colOff>0</xdr:colOff>
      <xdr:row>12</xdr:row>
      <xdr:rowOff>0</xdr:rowOff>
    </xdr:from>
    <xdr:ext cx="57150" cy="57150"/>
    <xdr:pic>
      <xdr:nvPicPr>
        <xdr:cNvPr id="0" name="image5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66</xdr:col>
      <xdr:colOff>0</xdr:colOff>
      <xdr:row>12</xdr:row>
      <xdr:rowOff>0</xdr:rowOff>
    </xdr:from>
    <xdr:ext cx="57150" cy="57150"/>
    <xdr:pic>
      <xdr:nvPicPr>
        <xdr:cNvPr id="0" name="image2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0</xdr:colOff>
      <xdr:row>12</xdr:row>
      <xdr:rowOff>0</xdr:rowOff>
    </xdr:from>
    <xdr:ext cx="57150" cy="57150"/>
    <xdr:pic>
      <xdr:nvPicPr>
        <xdr:cNvPr id="0" name="image5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68</xdr:col>
      <xdr:colOff>0</xdr:colOff>
      <xdr:row>12</xdr:row>
      <xdr:rowOff>0</xdr:rowOff>
    </xdr:from>
    <xdr:ext cx="57150" cy="57150"/>
    <xdr:pic>
      <xdr:nvPicPr>
        <xdr:cNvPr id="0" name="image6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69</xdr:col>
      <xdr:colOff>0</xdr:colOff>
      <xdr:row>12</xdr:row>
      <xdr:rowOff>0</xdr:rowOff>
    </xdr:from>
    <xdr:ext cx="57150" cy="57150"/>
    <xdr:pic>
      <xdr:nvPicPr>
        <xdr:cNvPr id="0" name="image53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70</xdr:col>
      <xdr:colOff>0</xdr:colOff>
      <xdr:row>12</xdr:row>
      <xdr:rowOff>0</xdr:rowOff>
    </xdr:from>
    <xdr:ext cx="57150" cy="57150"/>
    <xdr:pic>
      <xdr:nvPicPr>
        <xdr:cNvPr id="0" name="image45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71</xdr:col>
      <xdr:colOff>0</xdr:colOff>
      <xdr:row>12</xdr:row>
      <xdr:rowOff>0</xdr:rowOff>
    </xdr:from>
    <xdr:ext cx="57150" cy="57150"/>
    <xdr:pic>
      <xdr:nvPicPr>
        <xdr:cNvPr id="0" name="image46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72</xdr:col>
      <xdr:colOff>0</xdr:colOff>
      <xdr:row>12</xdr:row>
      <xdr:rowOff>0</xdr:rowOff>
    </xdr:from>
    <xdr:ext cx="57150" cy="57150"/>
    <xdr:pic>
      <xdr:nvPicPr>
        <xdr:cNvPr id="0" name="image5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</xdr:row>
      <xdr:rowOff>0</xdr:rowOff>
    </xdr:from>
    <xdr:ext cx="57150" cy="57150"/>
    <xdr:pic>
      <xdr:nvPicPr>
        <xdr:cNvPr id="0" name="image6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8</xdr:row>
      <xdr:rowOff>0</xdr:rowOff>
    </xdr:from>
    <xdr:ext cx="133350" cy="133350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133350" cy="133350"/>
    <xdr:pic>
      <xdr:nvPicPr>
        <xdr:cNvPr id="0" name="image5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200025" cy="200025"/>
    <xdr:pic>
      <xdr:nvPicPr>
        <xdr:cNvPr id="0" name="image6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200025" cy="200025"/>
    <xdr:pic>
      <xdr:nvPicPr>
        <xdr:cNvPr id="0" name="image5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1209675</xdr:colOff>
      <xdr:row>8</xdr:row>
      <xdr:rowOff>-200025</xdr:rowOff>
    </xdr:from>
    <xdr:ext cx="2886075" cy="2609850"/>
    <xdr:pic>
      <xdr:nvPicPr>
        <xdr:cNvPr id="0" name="image65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352425</xdr:colOff>
      <xdr:row>36</xdr:row>
      <xdr:rowOff>200025</xdr:rowOff>
    </xdr:from>
    <xdr:ext cx="5715000" cy="34671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847725</xdr:colOff>
      <xdr:row>36</xdr:row>
      <xdr:rowOff>133350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523875</xdr:colOff>
      <xdr:row>0</xdr:row>
      <xdr:rowOff>133350</xdr:rowOff>
    </xdr:from>
    <xdr:ext cx="5505450" cy="2000250"/>
    <xdr:pic>
      <xdr:nvPicPr>
        <xdr:cNvPr id="0" name="image66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752475</xdr:colOff>
      <xdr:row>25</xdr:row>
      <xdr:rowOff>57150</xdr:rowOff>
    </xdr:from>
    <xdr:ext cx="6343650" cy="4048125"/>
    <xdr:pic>
      <xdr:nvPicPr>
        <xdr:cNvPr id="0" name="image62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390525</xdr:colOff>
      <xdr:row>1</xdr:row>
      <xdr:rowOff>28575</xdr:rowOff>
    </xdr:from>
    <xdr:ext cx="5200650" cy="31051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828675</xdr:colOff>
      <xdr:row>1</xdr:row>
      <xdr:rowOff>114300</xdr:rowOff>
    </xdr:from>
    <xdr:ext cx="6010275" cy="29337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371475</xdr:colOff>
      <xdr:row>1</xdr:row>
      <xdr:rowOff>114300</xdr:rowOff>
    </xdr:from>
    <xdr:ext cx="4724400" cy="293370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323850" cy="323850"/>
    <xdr:pic>
      <xdr:nvPicPr>
        <xdr:cNvPr id="0" name="image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23850" cy="3238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323850" cy="3238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323850" cy="323850"/>
    <xdr:pic>
      <xdr:nvPicPr>
        <xdr:cNvPr id="0" name="image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323850" cy="3238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323850" cy="323850"/>
    <xdr:pic>
      <xdr:nvPicPr>
        <xdr:cNvPr id="0" name="image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323850" cy="3238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323850" cy="3238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AB1018" displayName="Table_1" name="Table_1" id="1">
  <tableColumns count="2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</tableColumns>
  <tableStyleInfo name="Exchang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2F40"/>
      </a:dk1>
      <a:lt1>
        <a:srgbClr val="FFFFFF"/>
      </a:lt1>
      <a:dk2>
        <a:srgbClr val="1A2F40"/>
      </a:dk2>
      <a:lt2>
        <a:srgbClr val="FFFFFF"/>
      </a:lt2>
      <a:accent1>
        <a:srgbClr val="C93232"/>
      </a:accent1>
      <a:accent2>
        <a:srgbClr val="E27228"/>
      </a:accent2>
      <a:accent3>
        <a:srgbClr val="0D398C"/>
      </a:accent3>
      <a:accent4>
        <a:srgbClr val="FC4479"/>
      </a:accent4>
      <a:accent5>
        <a:srgbClr val="DCDC12"/>
      </a:accent5>
      <a:accent6>
        <a:srgbClr val="1F95D1"/>
      </a:accent6>
      <a:hlink>
        <a:srgbClr val="1F95D1"/>
      </a:hlink>
      <a:folHlink>
        <a:srgbClr val="1F95D1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peboard.finance/dashboard/APE-1KCAR2" TargetMode="External"/><Relationship Id="rId2" Type="http://schemas.openxmlformats.org/officeDocument/2006/relationships/hyperlink" Target="https://debank.com/profile/0x0481405dd8a41bdf57b541c4d6190c536a525719" TargetMode="External"/><Relationship Id="rId3" Type="http://schemas.openxmlformats.org/officeDocument/2006/relationships/hyperlink" Target="https://debank.com/profile/0x28b47a4fffaf0ee72f2ce05b4b6bed6b6aab234b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etherscan.io/tx/0xe6e233aa111899bed45f6c614a0f8a0e9f9d6286430339ca2a93021c1a3a0a29" TargetMode="External"/><Relationship Id="rId190" Type="http://schemas.openxmlformats.org/officeDocument/2006/relationships/hyperlink" Target="https://mempool.space/tx/bcb31afa926c072a79560b77164b82e4ab4e78e00b78c1dab48a38b2189dd863" TargetMode="External"/><Relationship Id="rId42" Type="http://schemas.openxmlformats.org/officeDocument/2006/relationships/hyperlink" Target="https://mempool.space/tx/1167a1071a6b694fed38de06a2261814f04496b0bcd643ceb4445a847233aac3" TargetMode="External"/><Relationship Id="rId41" Type="http://schemas.openxmlformats.org/officeDocument/2006/relationships/hyperlink" Target="https://mempool.space/tx/7b61ed845165aebc26a3d58485a86984368881833d038807a3b99c924ba98182" TargetMode="External"/><Relationship Id="rId44" Type="http://schemas.openxmlformats.org/officeDocument/2006/relationships/hyperlink" Target="https://etherscan.io/tx/0xc4495f5e1f2e6de6ec380b443315eeeba9d80f6e0723543a9a6f27b633c9e30a" TargetMode="External"/><Relationship Id="rId194" Type="http://schemas.openxmlformats.org/officeDocument/2006/relationships/hyperlink" Target="https://era.zksync.network/tx/0x997e2f6126a5d88c3acfab089423dc35de6aedd8c7254465823d6d8f1d715f03" TargetMode="External"/><Relationship Id="rId43" Type="http://schemas.openxmlformats.org/officeDocument/2006/relationships/hyperlink" Target="https://mempool.space/tx/09901feeae460073a9aac17e74b8f61010152e48d0e6adad812d8912cda9141b" TargetMode="External"/><Relationship Id="rId193" Type="http://schemas.openxmlformats.org/officeDocument/2006/relationships/hyperlink" Target="https://dym.fyi/tx/7176A6F47167A68BA2E6FECAAC428D03A415CFFFBDA3C9BB4FFCB814CDDCF79C" TargetMode="External"/><Relationship Id="rId46" Type="http://schemas.openxmlformats.org/officeDocument/2006/relationships/hyperlink" Target="https://etherscan.io/tx/0x88ca4f65cd03816c7f09fe3a70ffa852d780020289b065eed1920c1e5dd7514f" TargetMode="External"/><Relationship Id="rId192" Type="http://schemas.openxmlformats.org/officeDocument/2006/relationships/hyperlink" Target="https://arbiscan.io/tx/0xc8d8960301a99ce8cabf0b6d5693c1b62458a1007c8e17842ef7d9a7a36be9e4" TargetMode="External"/><Relationship Id="rId45" Type="http://schemas.openxmlformats.org/officeDocument/2006/relationships/hyperlink" Target="https://mempool.space/tx/eb48dbf69284f26c1d87b9726b8acf2fa47f5d334638e9c224fb26bb0560abe5" TargetMode="External"/><Relationship Id="rId191" Type="http://schemas.openxmlformats.org/officeDocument/2006/relationships/hyperlink" Target="https://arbiscan.io/tx/0x6604a39a31b03f31784ccdaca9e94fe1b16922a8cc27ec8855eaacf9861cf620" TargetMode="External"/><Relationship Id="rId48" Type="http://schemas.openxmlformats.org/officeDocument/2006/relationships/hyperlink" Target="https://etherscan.io/tx/0x792a71bc0df54e189aba9a022364015289b0a2185d35392ac7f1cc2672b99a84" TargetMode="External"/><Relationship Id="rId187" Type="http://schemas.openxmlformats.org/officeDocument/2006/relationships/hyperlink" Target="https://mempool.space/tx/b510109b604a5d50dd44448dae74454c7a8d6f9595555e10601536117bbdf2af" TargetMode="External"/><Relationship Id="rId47" Type="http://schemas.openxmlformats.org/officeDocument/2006/relationships/hyperlink" Target="https://etherscan.io/tx/0xf81fbd8dda3a43980136a1095d19f6c256dff34ca60ffae2dd2d4e152cceb892" TargetMode="External"/><Relationship Id="rId186" Type="http://schemas.openxmlformats.org/officeDocument/2006/relationships/hyperlink" Target="https://www.blockchain.com/en/explorer/transactions/btc/80b44e0a1ca177ef12fb360fa4bcbd8914f5f917c692a21f83ac2b34a6ad2639" TargetMode="External"/><Relationship Id="rId185" Type="http://schemas.openxmlformats.org/officeDocument/2006/relationships/hyperlink" Target="https://mempool.space/address/34CUhAPEop6sHMFqNfkrMi3sapmMcD3Frc" TargetMode="External"/><Relationship Id="rId49" Type="http://schemas.openxmlformats.org/officeDocument/2006/relationships/hyperlink" Target="https://mempool.space/tx/e1f4771cb8c8bc05ba99973a93390040b8e16b30765d9880ff0a064082a2c8f1" TargetMode="External"/><Relationship Id="rId184" Type="http://schemas.openxmlformats.org/officeDocument/2006/relationships/hyperlink" Target="https://polygonscan.com/tx/0x6911266a8d4d41c9b7f618c255afa1410a27a8ef435b9d2c64b5cd1e62fc6069" TargetMode="External"/><Relationship Id="rId189" Type="http://schemas.openxmlformats.org/officeDocument/2006/relationships/hyperlink" Target="https://arbiscan.io/tx/0x4a34d7914431480ff3369d0d53b9598190be1a5ba4c8c7dad8731f9be9066d18" TargetMode="External"/><Relationship Id="rId188" Type="http://schemas.openxmlformats.org/officeDocument/2006/relationships/hyperlink" Target="https://arbiscan.io/tx/0x510355a6feb13d5defa1495732c735dd41a61bf534802ceb33945f9838d002ee" TargetMode="External"/><Relationship Id="rId31" Type="http://schemas.openxmlformats.org/officeDocument/2006/relationships/hyperlink" Target="https://mempool.space/tx/1753a89b03a9e72e97cc484799fd21fdec67eca485c770f3655b7f75213f5f2a" TargetMode="External"/><Relationship Id="rId30" Type="http://schemas.openxmlformats.org/officeDocument/2006/relationships/hyperlink" Target="https://etherscan.io/tx/0x63790e7ea0dff35254f9a9b7bd8ce32dfcd4be35ddc39e7194c4437c55dd5939" TargetMode="External"/><Relationship Id="rId33" Type="http://schemas.openxmlformats.org/officeDocument/2006/relationships/hyperlink" Target="https://mempool.space/tx/071ae8f0d518a958c5e6ee4d04bd4239c85941f0ec05e7a8cf6caec6872a583d" TargetMode="External"/><Relationship Id="rId183" Type="http://schemas.openxmlformats.org/officeDocument/2006/relationships/hyperlink" Target="https://polygonscan.com/tx/0x9c0ae7bb1de8af4eeb7c668a63eabddcc6ba52c1ae60d21b1ff01f3a556745c9" TargetMode="External"/><Relationship Id="rId32" Type="http://schemas.openxmlformats.org/officeDocument/2006/relationships/hyperlink" Target="https://mempool.space/tx/4067739aca991ae291b1c08594259018f263d38ab37b62dc45249748cfeb6940" TargetMode="External"/><Relationship Id="rId182" Type="http://schemas.openxmlformats.org/officeDocument/2006/relationships/hyperlink" Target="https://polygonscan.com/tx/0x00009905fc136a19a3ab3fbe2f5cc198db4bab180478d8f8ebe8fd00cdede4d4" TargetMode="External"/><Relationship Id="rId35" Type="http://schemas.openxmlformats.org/officeDocument/2006/relationships/hyperlink" Target="https://mempool.space/tx/e2e1ed976004779ba15effa5278ed2e72be418c0c213d67a62aea7ef680e8ed5" TargetMode="External"/><Relationship Id="rId181" Type="http://schemas.openxmlformats.org/officeDocument/2006/relationships/hyperlink" Target="https://polygonscan.com/tx/0xf8cfb4c3dbc18c93f2dd0c288f32199c3204e8e7d60a947aed48e4e748b28ff3" TargetMode="External"/><Relationship Id="rId34" Type="http://schemas.openxmlformats.org/officeDocument/2006/relationships/hyperlink" Target="https://mempool.space/tx/8d9d8391e08c052c1a1a631042d8ef7ef8f76100ffdd9331acf194a9086e5e11" TargetMode="External"/><Relationship Id="rId180" Type="http://schemas.openxmlformats.org/officeDocument/2006/relationships/hyperlink" Target="https://polygonscan.com/tx/0x3f87a8d96e280f41b5d4fdaf28e5a777bf07fee669cb3af90aa63bb8c4e3b404" TargetMode="External"/><Relationship Id="rId37" Type="http://schemas.openxmlformats.org/officeDocument/2006/relationships/hyperlink" Target="https://blockstream.info/tx/934a38edc8e8e345ab6bb825b991fb2d7fb153910c9ad8c37bee3f9df9d91ba6" TargetMode="External"/><Relationship Id="rId176" Type="http://schemas.openxmlformats.org/officeDocument/2006/relationships/hyperlink" Target="https://polygonscan.com/tx/0x8c381be2ad407d56971575721db88ba9f3593d74955e3421aadd7bc271e23373" TargetMode="External"/><Relationship Id="rId36" Type="http://schemas.openxmlformats.org/officeDocument/2006/relationships/hyperlink" Target="https://mempool.space/tx/f53f371e3d4d900203c7f21820d982f9ab4d77e06703358eb14e21d603c1ab33" TargetMode="External"/><Relationship Id="rId175" Type="http://schemas.openxmlformats.org/officeDocument/2006/relationships/hyperlink" Target="https://polygonscan.com/tx/0x71acab4048b6f8ce5ca09b680fd564cf65f5ea1011a6f4e9d2ab46925cc9fc4a" TargetMode="External"/><Relationship Id="rId39" Type="http://schemas.openxmlformats.org/officeDocument/2006/relationships/hyperlink" Target="https://etherscan.io/tx/0x899be47d68cbed565d74913b58fc54714ddbee4b96cd38db80de6d1e208d05c8" TargetMode="External"/><Relationship Id="rId174" Type="http://schemas.openxmlformats.org/officeDocument/2006/relationships/hyperlink" Target="https://polygonscan.com/tx/0x909d9016afbd1407b45c01e4978a98a068b91aaf6e5b5146a7e4eeeb858c7422" TargetMode="External"/><Relationship Id="rId38" Type="http://schemas.openxmlformats.org/officeDocument/2006/relationships/hyperlink" Target="https://etherscan.io/tx/0x899be47d68cbed565d74913b58fc54714ddbee4b96cd38db80de6d1e208d05c8" TargetMode="External"/><Relationship Id="rId173" Type="http://schemas.openxmlformats.org/officeDocument/2006/relationships/hyperlink" Target="https://mempool.space/tx/fb94e30e2f9272976f0144567ad560f01859fcf64a9236b8a3d66824507b7480" TargetMode="External"/><Relationship Id="rId179" Type="http://schemas.openxmlformats.org/officeDocument/2006/relationships/hyperlink" Target="https://www.blockchain.com/explorer/addresses/btc/bc1qed3ya5cm74nt8xyhct4r4295perqxc38knecls" TargetMode="External"/><Relationship Id="rId178" Type="http://schemas.openxmlformats.org/officeDocument/2006/relationships/hyperlink" Target="https://mempool.space/tx/18761024ee5a34c34ba1125877676ffda7320556e4030e540b3f9b4b67bf1fe7" TargetMode="External"/><Relationship Id="rId177" Type="http://schemas.openxmlformats.org/officeDocument/2006/relationships/hyperlink" Target="https://mempool.space/tx/4a0f357e0f74a2301a220ab28cc4fce22f22d2a503673ad851e1f3f8c1fca91d" TargetMode="External"/><Relationship Id="rId20" Type="http://schemas.openxmlformats.org/officeDocument/2006/relationships/hyperlink" Target="https://app.ether.fi/liquid/eth" TargetMode="External"/><Relationship Id="rId22" Type="http://schemas.openxmlformats.org/officeDocument/2006/relationships/hyperlink" Target="https://www.blockchain.com/explorer/assets/btc/xpub/xpub6DTpCdMcnUqoNKAcYBV1N6J3rpULxyv9yuwut3qqsGkqpgERdfmZALYwcJRfuH99f33ZvQNSYQh6Z7aUwaEce7QbHmmXKQPsmhUBefmdjVx" TargetMode="External"/><Relationship Id="rId21" Type="http://schemas.openxmlformats.org/officeDocument/2006/relationships/hyperlink" Target="https://www.dextools.io/app/en/bnb/pair-explorer/0x3b4568933f86122e3a19814b1d42aa27fe429c3b?t=1710926240475" TargetMode="External"/><Relationship Id="rId24" Type="http://schemas.openxmlformats.org/officeDocument/2006/relationships/hyperlink" Target="http://gate.io/" TargetMode="External"/><Relationship Id="rId23" Type="http://schemas.openxmlformats.org/officeDocument/2006/relationships/hyperlink" Target="http://gate.io/" TargetMode="External"/><Relationship Id="rId26" Type="http://schemas.openxmlformats.org/officeDocument/2006/relationships/hyperlink" Target="https://blockstream.info/tx/1ce819cb49c94c105b94ca5c389ac5dbad0892372155b1d3a9ab5eb8c09207b2" TargetMode="External"/><Relationship Id="rId25" Type="http://schemas.openxmlformats.org/officeDocument/2006/relationships/hyperlink" Target="https://blockstream.info/tx/1f9b860f5b7d2cedfa82d8b140685e7bca2bde38f6d6376c89dc9faf18ff93e5" TargetMode="External"/><Relationship Id="rId28" Type="http://schemas.openxmlformats.org/officeDocument/2006/relationships/hyperlink" Target="https://mempool.space/tx/e0558bf51a1c2a2595e8fb7079dae78f9c63bcd5cad74438800b66fa3da1b47b" TargetMode="External"/><Relationship Id="rId27" Type="http://schemas.openxmlformats.org/officeDocument/2006/relationships/hyperlink" Target="https://mempool.space/tx/fd85ef3b9d4c63ee4e162285a501d85f6a4647874be478e7e5e939f428436c2a" TargetMode="External"/><Relationship Id="rId29" Type="http://schemas.openxmlformats.org/officeDocument/2006/relationships/hyperlink" Target="https://mempool.space/tx/d5624d10753b496ee75de28766455716923512f1c116bdcecff5631aea87945c" TargetMode="External"/><Relationship Id="rId11" Type="http://schemas.openxmlformats.org/officeDocument/2006/relationships/hyperlink" Target="https://www.kucoin.com/trade/METIS-USDT" TargetMode="External"/><Relationship Id="rId10" Type="http://schemas.openxmlformats.org/officeDocument/2006/relationships/hyperlink" Target="https://www.dextools.io/app/en/polygon/pair-explorer/0x36165b14423425228d7ef62b3ffa799d446347c1?t=1709558830478" TargetMode="External"/><Relationship Id="rId13" Type="http://schemas.openxmlformats.org/officeDocument/2006/relationships/hyperlink" Target="https://pancakeswap.finance/swap?outputCurrency=0x8C49A510756224E887B3D99d00D959F2d86Dda1c&amp;inputCurrency=0x55d398326f99059fF775485246999027B3197955" TargetMode="External"/><Relationship Id="rId12" Type="http://schemas.openxmlformats.org/officeDocument/2006/relationships/hyperlink" Target="https://www.dextools.io/app/en/polygon/pair-explorer/0xe6c36eed27c2e8ecb9a233bf12da06c9730b5955?t=1711471777449" TargetMode="External"/><Relationship Id="rId15" Type="http://schemas.openxmlformats.org/officeDocument/2006/relationships/hyperlink" Target="https://www.sushi.com/swap?chainId=8453&amp;token0=NATIVE&amp;token1=0xF6e932Ca12afa26665dC4dDE7e27be02A7c02e50&amp;swapAmount=" TargetMode="External"/><Relationship Id="rId198" Type="http://schemas.openxmlformats.org/officeDocument/2006/relationships/hyperlink" Target="https://mempool.space/tx/cb9d500399a787698f56912a95b65dcbf188f46fd89cc032264b62a41c6851ea" TargetMode="External"/><Relationship Id="rId14" Type="http://schemas.openxmlformats.org/officeDocument/2006/relationships/hyperlink" Target="https://staking.pyth.network/" TargetMode="External"/><Relationship Id="rId197" Type="http://schemas.openxmlformats.org/officeDocument/2006/relationships/hyperlink" Target="https://etherscan.io/tx/0x41b6b586526d17dbac33bda7a8a612f5896be37387b2ddecc82ef4f418033779" TargetMode="External"/><Relationship Id="rId17" Type="http://schemas.openxmlformats.org/officeDocument/2006/relationships/hyperlink" Target="https://debank.com/profile/0x28b47a4fFfAf0ee72f2ce05b4b6bed6B6aaB234b" TargetMode="External"/><Relationship Id="rId196" Type="http://schemas.openxmlformats.org/officeDocument/2006/relationships/hyperlink" Target="https://etherscan.io/tx/0x9566bcaeae6f6406768fc45872f661b27f617fa66aa1663a7e1003aa8fe4fafd" TargetMode="External"/><Relationship Id="rId16" Type="http://schemas.openxmlformats.org/officeDocument/2006/relationships/hyperlink" Target="https://app.aave.com/?marketName=proto_optimism_v3" TargetMode="External"/><Relationship Id="rId195" Type="http://schemas.openxmlformats.org/officeDocument/2006/relationships/hyperlink" Target="https://etherscan.io/tx/0xe24356d6373d907f4e4727e1240859f34a55c6e78ef37ced5aa68705f9de6d7c" TargetMode="External"/><Relationship Id="rId19" Type="http://schemas.openxmlformats.org/officeDocument/2006/relationships/hyperlink" Target="https://app.1inch.io/" TargetMode="External"/><Relationship Id="rId18" Type="http://schemas.openxmlformats.org/officeDocument/2006/relationships/hyperlink" Target="https://debank.com/profile/0x0481405dD8a41BdF57B541c4d6190C536a525719" TargetMode="External"/><Relationship Id="rId199" Type="http://schemas.openxmlformats.org/officeDocument/2006/relationships/hyperlink" Target="https://polygonscan.com/tx/0x717071777b191e75a0ca4c4d687f7aa8669f20b393dc1944fcdf9c1e5612b868" TargetMode="External"/><Relationship Id="rId84" Type="http://schemas.openxmlformats.org/officeDocument/2006/relationships/hyperlink" Target="https://polygonscan.com/tx/0x6fef6843b0fd346b50f0dd07503bd6f94f34bc22eaee6d868442d55683cf6384" TargetMode="External"/><Relationship Id="rId83" Type="http://schemas.openxmlformats.org/officeDocument/2006/relationships/hyperlink" Target="https://polygonscan.com/tx/0x88e10aa2989995007a14a6c19b1cdf4f8e6de9c22bedf8a25f04ba9b7a0a6c10" TargetMode="External"/><Relationship Id="rId86" Type="http://schemas.openxmlformats.org/officeDocument/2006/relationships/hyperlink" Target="https://etherscan.io/tx/0xb501a8848508a1134814f84057f4999d0383f6794e8119f92270d90a7da878f8" TargetMode="External"/><Relationship Id="rId85" Type="http://schemas.openxmlformats.org/officeDocument/2006/relationships/hyperlink" Target="https://www.mintscan.io/cosmos/txs/E8A500AAF633B2E3CB11F545990C36CA533AB73362C7E247861BD2E483493197" TargetMode="External"/><Relationship Id="rId88" Type="http://schemas.openxmlformats.org/officeDocument/2006/relationships/hyperlink" Target="https://polygonscan.com/tx/0x2ea81e1fe7fac808db20624d47defdaae6fa46cbc2156e262dda23398dedcfc7" TargetMode="External"/><Relationship Id="rId150" Type="http://schemas.openxmlformats.org/officeDocument/2006/relationships/hyperlink" Target="https://polygonscan.com/tx/0xd47762be8fe285c15ef044c43584c201fd62bd41c3758c28739ce328d9be8552" TargetMode="External"/><Relationship Id="rId271" Type="http://schemas.openxmlformats.org/officeDocument/2006/relationships/hyperlink" Target="https://etherscan.io/tx/0x5c9392d888caf796ec5398f662d47895a6373991a58913b0266b7ce39f4ecddd" TargetMode="External"/><Relationship Id="rId87" Type="http://schemas.openxmlformats.org/officeDocument/2006/relationships/hyperlink" Target="https://etherscan.io/tx/0x2d02762bdecbe515956a6c0a1198db4a0f02774e8ab2cb05f8a8600530148721" TargetMode="External"/><Relationship Id="rId270" Type="http://schemas.openxmlformats.org/officeDocument/2006/relationships/hyperlink" Target="https://etherscan.io/tx/0xe9142d18723b8e362db9f52a07fa6369050d08465c670ea125e3c1767721c9fc" TargetMode="External"/><Relationship Id="rId89" Type="http://schemas.openxmlformats.org/officeDocument/2006/relationships/hyperlink" Target="https://polygonscan.com/tx/0x274fb9b8fbfb2229532509c1c7a8d6f564d92114215dba1afa705d87dc3fdfc7" TargetMode="External"/><Relationship Id="rId80" Type="http://schemas.openxmlformats.org/officeDocument/2006/relationships/hyperlink" Target="http://gate.io/" TargetMode="External"/><Relationship Id="rId82" Type="http://schemas.openxmlformats.org/officeDocument/2006/relationships/hyperlink" Target="https://etherscan.io/tx/0x126173953af6bf47e9aa164feebfc769a6a92a2f3ac5f775469e84ef26229002" TargetMode="External"/><Relationship Id="rId81" Type="http://schemas.openxmlformats.org/officeDocument/2006/relationships/hyperlink" Target="https://etherscan.io/tx/0x3e0ae7495ee53ef5538cc2d8126b52cf6fa3b68b9873f8014819900ea6f86caf" TargetMode="External"/><Relationship Id="rId1" Type="http://schemas.openxmlformats.org/officeDocument/2006/relationships/hyperlink" Target="https://app.karak.network/pool/ethereum/WeETH" TargetMode="External"/><Relationship Id="rId2" Type="http://schemas.openxmlformats.org/officeDocument/2006/relationships/hyperlink" Target="https://curve.fi/" TargetMode="External"/><Relationship Id="rId3" Type="http://schemas.openxmlformats.org/officeDocument/2006/relationships/hyperlink" Target="https://app.pendle.finance/earn/fixed-yield?showDetails=true" TargetMode="External"/><Relationship Id="rId149" Type="http://schemas.openxmlformats.org/officeDocument/2006/relationships/hyperlink" Target="https://polygonscan.com/tx/0xb4eee98b016015751517047defc55c9adf859cc1cdada6c96152e32cafd5de98" TargetMode="External"/><Relationship Id="rId4" Type="http://schemas.openxmlformats.org/officeDocument/2006/relationships/hyperlink" Target="https://app.aave.com/?marketName=proto_polygon_v3" TargetMode="External"/><Relationship Id="rId148" Type="http://schemas.openxmlformats.org/officeDocument/2006/relationships/hyperlink" Target="https://etherscan.io/tx/0x6ac01ea58857b4abf9b320d5de1887edf5b80a9081674b0501b471fce790f9fc" TargetMode="External"/><Relationship Id="rId269" Type="http://schemas.openxmlformats.org/officeDocument/2006/relationships/hyperlink" Target="https://etherscan.io/tx/0x4dd208e5107c80e1dcf52432950fe0cccc17cba676fdda31b03397861967e93a" TargetMode="External"/><Relationship Id="rId9" Type="http://schemas.openxmlformats.org/officeDocument/2006/relationships/hyperlink" Target="https://www.dextools.io/app/en/ether/pair-explorer/0x9628105808292699874f20d77d50a09bc26850c5?t=1709799919936" TargetMode="External"/><Relationship Id="rId143" Type="http://schemas.openxmlformats.org/officeDocument/2006/relationships/hyperlink" Target="https://mempool.space/tx/2fd33f8fcd1ad6ed86ad27f6242cab5aaf70e2326083fb9b04c19cfcef82814f" TargetMode="External"/><Relationship Id="rId264" Type="http://schemas.openxmlformats.org/officeDocument/2006/relationships/hyperlink" Target="https://arbiscan.io/tx/0x9a4ef6938536773af83668a8afaa9ac6340949bba28866409ac8e63c04630ecf" TargetMode="External"/><Relationship Id="rId142" Type="http://schemas.openxmlformats.org/officeDocument/2006/relationships/hyperlink" Target="https://mempool.space/tx/f0da70db41f1a8bc84e3965e956855b5afd06b894481bb36b6aaf9a571f75ea3" TargetMode="External"/><Relationship Id="rId263" Type="http://schemas.openxmlformats.org/officeDocument/2006/relationships/hyperlink" Target="https://arbiscan.io/tx/0xd4c5d8348fd53418de2f03b61a47023b2dce2da5fa3e50ec1600af74188ada31" TargetMode="External"/><Relationship Id="rId141" Type="http://schemas.openxmlformats.org/officeDocument/2006/relationships/hyperlink" Target="https://mempool.space/tx/96cc2c19cb0bb2f62513cd7728f75c664a403c06ceb633ec167cc439a09cf3ba" TargetMode="External"/><Relationship Id="rId262" Type="http://schemas.openxmlformats.org/officeDocument/2006/relationships/hyperlink" Target="https://arbiscan.io/tx/0x9931fe47e034064ef71dbe882690d4ec5f56d712797362facd2b3ce784cc6a78" TargetMode="External"/><Relationship Id="rId140" Type="http://schemas.openxmlformats.org/officeDocument/2006/relationships/hyperlink" Target="https://etherscan.io/tx/0x39a571ed5cb4fee546112ff30c515c9728be482118610005d7d0559e9dea86d1" TargetMode="External"/><Relationship Id="rId261" Type="http://schemas.openxmlformats.org/officeDocument/2006/relationships/hyperlink" Target="https://arbiscan.io/tx/0x099c354e5e0f4ac66637f2d3d0ba6ccbc5162f263bd865447e75bd7e5b79a44f" TargetMode="External"/><Relationship Id="rId5" Type="http://schemas.openxmlformats.org/officeDocument/2006/relationships/hyperlink" Target="https://app.abracadabra.money/" TargetMode="External"/><Relationship Id="rId147" Type="http://schemas.openxmlformats.org/officeDocument/2006/relationships/hyperlink" Target="https://etherscan.io/tx/0x31f20fcd9120dc8d687479d1386a2e152b48219b9944d623e7ddb68c81f4303e" TargetMode="External"/><Relationship Id="rId268" Type="http://schemas.openxmlformats.org/officeDocument/2006/relationships/hyperlink" Target="https://etherscan.io/tx/0x7769e929aec220c0004e5b8975954e56b582230af9b96fa7d92d840838318cf7" TargetMode="External"/><Relationship Id="rId6" Type="http://schemas.openxmlformats.org/officeDocument/2006/relationships/hyperlink" Target="https://app.pendle.finance/earn/fixed-yield" TargetMode="External"/><Relationship Id="rId146" Type="http://schemas.openxmlformats.org/officeDocument/2006/relationships/hyperlink" Target="https://mempool.space/tx/8e7a495b76f359a274aa88af739295c0e286a871260fce342753392d07a31e93" TargetMode="External"/><Relationship Id="rId267" Type="http://schemas.openxmlformats.org/officeDocument/2006/relationships/hyperlink" Target="https://etherscan.io/tx/0xb8744195d9edb79eacb53f9ec4fd2760978e6125a89032cd2c2dc9fa860a6a5f" TargetMode="External"/><Relationship Id="rId7" Type="http://schemas.openxmlformats.org/officeDocument/2006/relationships/hyperlink" Target="https://portal.dymension.xyz/dymension/staking" TargetMode="External"/><Relationship Id="rId145" Type="http://schemas.openxmlformats.org/officeDocument/2006/relationships/hyperlink" Target="https://mempool.space/tx/43da29ad84f5e05b6d0dd7c3ca694bb6481ed6e2f02c2ff0ef4c635f47725ab7" TargetMode="External"/><Relationship Id="rId266" Type="http://schemas.openxmlformats.org/officeDocument/2006/relationships/hyperlink" Target="https://etherscan.io/tx/0x5dac939bd910ab46417145e7d3a68214d0b16d15fb48127b8b655607990fc18f" TargetMode="External"/><Relationship Id="rId8" Type="http://schemas.openxmlformats.org/officeDocument/2006/relationships/hyperlink" Target="https://www.dextools.io/app/en/ether/pair-explorer/0x95d17be5a7e189e073cf4d6509ac264dcde025a5?t=1709995804601" TargetMode="External"/><Relationship Id="rId144" Type="http://schemas.openxmlformats.org/officeDocument/2006/relationships/hyperlink" Target="https://mempool.space/tx/d45b67f20838987bf13ec9e93a900028fbce10ce3cf3547890ed5dd486297b2a" TargetMode="External"/><Relationship Id="rId265" Type="http://schemas.openxmlformats.org/officeDocument/2006/relationships/hyperlink" Target="https://arbiscan.io/tx/0xf00bae30ad2aa0878cb2564b8e6b09a1415945991d9ff75df7b14d1967bbdcc8" TargetMode="External"/><Relationship Id="rId73" Type="http://schemas.openxmlformats.org/officeDocument/2006/relationships/hyperlink" Target="https://bscscan.com/tx/0x92241c2f5f5b2002d4b91df7e887e4b501f9971a9ab304836951f48d51f57b23" TargetMode="External"/><Relationship Id="rId72" Type="http://schemas.openxmlformats.org/officeDocument/2006/relationships/hyperlink" Target="https://polygonscan.com/tx/0x1059e3aacd2fd2ea8507e05091378b43e825b04f4e3a9b83e37e49d8ce17d352" TargetMode="External"/><Relationship Id="rId75" Type="http://schemas.openxmlformats.org/officeDocument/2006/relationships/hyperlink" Target="https://www.mintscan.io/cosmos/txs/4E02407CF1E4E37A8EB7DED5BFE13EF7C240FF3C4D7ED613C2B702BB9D282E7B" TargetMode="External"/><Relationship Id="rId74" Type="http://schemas.openxmlformats.org/officeDocument/2006/relationships/hyperlink" Target="https://polygonscan.com/tx/0x441754e1df571c0a94ea69bc5cf6c3564c587dae9dfea949c21a49d2acb46b70" TargetMode="External"/><Relationship Id="rId77" Type="http://schemas.openxmlformats.org/officeDocument/2006/relationships/hyperlink" Target="https://www.mintscan.io/osmosis/tx/2186CCAE6F4D74DC9CCBFF860CFAB4CB075FD69855E5BF6399191D453BE45085" TargetMode="External"/><Relationship Id="rId260" Type="http://schemas.openxmlformats.org/officeDocument/2006/relationships/hyperlink" Target="https://arbiscan.io/tx/0xbe8531e1a9ff6b4b45c2050a9a68d0dc83ea67a343e0ad959fc38c02f9bab15c" TargetMode="External"/><Relationship Id="rId76" Type="http://schemas.openxmlformats.org/officeDocument/2006/relationships/hyperlink" Target="https://www.mintscan.io/osmosis/txs/E9BF44E2F3085AB5E0104B5A1BB8D028BB7976D2451C0CF9D9D166356E0C8039" TargetMode="External"/><Relationship Id="rId79" Type="http://schemas.openxmlformats.org/officeDocument/2006/relationships/hyperlink" Target="https://bscscan.com/tx/0xacad85cd0a85182baf3fddeacd421e3152e755a8f19fc03971b89200562fec30" TargetMode="External"/><Relationship Id="rId78" Type="http://schemas.openxmlformats.org/officeDocument/2006/relationships/hyperlink" Target="https://www.mintscan.io/osmosis/tx/F07FBCA2BE3FD358DE51F8CE74208BF56B95FA94031E4509BE15376A33D9EDD5" TargetMode="External"/><Relationship Id="rId71" Type="http://schemas.openxmlformats.org/officeDocument/2006/relationships/hyperlink" Target="https://polygonscan.com/tx/0xfc99b59fd20de1bc2eac21c6bb132ad16e01c0e7b6a43f0ffcb491c087bd7efa" TargetMode="External"/><Relationship Id="rId70" Type="http://schemas.openxmlformats.org/officeDocument/2006/relationships/hyperlink" Target="https://mempool.space/tx/188c4f021055ec1ba0335858753e0bff5062f783deeb86213d91179b621f43f9" TargetMode="External"/><Relationship Id="rId139" Type="http://schemas.openxmlformats.org/officeDocument/2006/relationships/hyperlink" Target="https://mempool.space/tx/892347e20a2b23cab4732f73df7c7bf7a6faddf5d289a3f2b6c38d55aae74bf4" TargetMode="External"/><Relationship Id="rId138" Type="http://schemas.openxmlformats.org/officeDocument/2006/relationships/hyperlink" Target="https://www.mintscan.io/osmosis/tx/9685880EFAC7A82A015C8B4C93A24A88383A9FD4F5C752E9491DB87D8B05ACAA" TargetMode="External"/><Relationship Id="rId259" Type="http://schemas.openxmlformats.org/officeDocument/2006/relationships/hyperlink" Target="https://arbiscan.io/tx/0x48f1d72267c1fb0c336c3c25a0beb41295aa8410a616d63123cdba256eff3fe7" TargetMode="External"/><Relationship Id="rId137" Type="http://schemas.openxmlformats.org/officeDocument/2006/relationships/hyperlink" Target="https://polygonscan.com/tx/0x64ce4e0599f9d063b90cef6cadd678ba8037adc6cc9a1fc07435acdb9fc0f756" TargetMode="External"/><Relationship Id="rId258" Type="http://schemas.openxmlformats.org/officeDocument/2006/relationships/hyperlink" Target="https://arbiscan.io/tx/0xd84d48410322249e65052862a992ac2e091e337cb1d12d09921f2fe0ac0e1971" TargetMode="External"/><Relationship Id="rId132" Type="http://schemas.openxmlformats.org/officeDocument/2006/relationships/hyperlink" Target="https://mempool.space/tx/fa56f3229d7de501c35513ee848d53b7fa181254ab83633a606f05b38a2e492c" TargetMode="External"/><Relationship Id="rId253" Type="http://schemas.openxmlformats.org/officeDocument/2006/relationships/hyperlink" Target="https://arbiscan.io/tx/0x136da5c02b3fc3fe12c0edb5f43b3dd0465ac4aa2e7a187e3a7cc946b139af18" TargetMode="External"/><Relationship Id="rId131" Type="http://schemas.openxmlformats.org/officeDocument/2006/relationships/hyperlink" Target="https://mempool.space/tx/be09b7d5ca47c8cfd8ef7665884a32f409166f4475f55370dadf5f29a46e40af" TargetMode="External"/><Relationship Id="rId252" Type="http://schemas.openxmlformats.org/officeDocument/2006/relationships/hyperlink" Target="https://etherscan.io/tx/0x2eb5fe97dd460abc5736d9c83cae1ff23c0267e01be6cee986bdfb07c9adc921" TargetMode="External"/><Relationship Id="rId130" Type="http://schemas.openxmlformats.org/officeDocument/2006/relationships/hyperlink" Target="https://polygonscan.com/tx/0x7431657dd5bdfff96ac6da9ecf4bdff822e5e6cd92de14958a508ced6a930797" TargetMode="External"/><Relationship Id="rId251" Type="http://schemas.openxmlformats.org/officeDocument/2006/relationships/hyperlink" Target="https://etherscan.io/tx/0x86cd88be7f4d057d8c6930ef4fe4c4d8b518781638640cbef65f4144b0d93c0d" TargetMode="External"/><Relationship Id="rId250" Type="http://schemas.openxmlformats.org/officeDocument/2006/relationships/hyperlink" Target="https://etherscan.io/tx/0x1fda623afab7f5cf866e74815d9183dcf2677137bf21f2de844ce7675e1b99ea" TargetMode="External"/><Relationship Id="rId136" Type="http://schemas.openxmlformats.org/officeDocument/2006/relationships/hyperlink" Target="https://mempool.space/tx/1467c5ec4a17a3f71f2609f5080700cc70ec523449accd7e7f44e1db0ab2d869" TargetMode="External"/><Relationship Id="rId257" Type="http://schemas.openxmlformats.org/officeDocument/2006/relationships/hyperlink" Target="https://arbiscan.io/tx/0x2c0be9f1438721bc29098551c1688b3687a9ea29476e0b5e7035140791b5da28" TargetMode="External"/><Relationship Id="rId135" Type="http://schemas.openxmlformats.org/officeDocument/2006/relationships/hyperlink" Target="https://mempool.space/tx/ed1bc8ec67b071ed8894fba1b5b9831d5fb3ec3bf3085cb957869d57b5e92165" TargetMode="External"/><Relationship Id="rId256" Type="http://schemas.openxmlformats.org/officeDocument/2006/relationships/hyperlink" Target="https://arbiscan.io/tx/0x83d92c63452f2a14702191757443ff8c646dbdfcaa1c01c522ff4fa316abee91" TargetMode="External"/><Relationship Id="rId134" Type="http://schemas.openxmlformats.org/officeDocument/2006/relationships/hyperlink" Target="https://arbiscan.io/tx/0x746e5ef5b9bafb46bfd2db273b1ac0aeabdeec3c3444966e94e06543c444dbb7" TargetMode="External"/><Relationship Id="rId255" Type="http://schemas.openxmlformats.org/officeDocument/2006/relationships/hyperlink" Target="https://arbiscan.io/tx/0xece2c56f4eca5c058c225069b5171d8b7526abeee0ef10a325b8a658619b324a" TargetMode="External"/><Relationship Id="rId133" Type="http://schemas.openxmlformats.org/officeDocument/2006/relationships/hyperlink" Target="https://basescan.org/tx/0x5b77251f3137644607d5d5f2581d45b592a87c355e91c4e8b75d6cea3dd32266" TargetMode="External"/><Relationship Id="rId254" Type="http://schemas.openxmlformats.org/officeDocument/2006/relationships/hyperlink" Target="https://arbiscan.io/tx/0x560f29087c18ec7926b1cc68e904d3508051e83e9054a11c4d853ebbeb07b613" TargetMode="External"/><Relationship Id="rId62" Type="http://schemas.openxmlformats.org/officeDocument/2006/relationships/hyperlink" Target="https://mempool.space/tx/271d900abc69681c16c4d4add64048d6bfb797dc561151d93e541715ee8bd737" TargetMode="External"/><Relationship Id="rId61" Type="http://schemas.openxmlformats.org/officeDocument/2006/relationships/hyperlink" Target="https://mempool.space/tx/61baf4d44ea3990e050611c76db0070091092ea41d21b01a31e14b0d4dfe4dc4" TargetMode="External"/><Relationship Id="rId64" Type="http://schemas.openxmlformats.org/officeDocument/2006/relationships/hyperlink" Target="https://www.mintscan.io/osmosis/txs/E05CC68613C1644BD0B2BB3CDA260CC30D5A03CD0E629B2FF389009880BDA544" TargetMode="External"/><Relationship Id="rId63" Type="http://schemas.openxmlformats.org/officeDocument/2006/relationships/hyperlink" Target="https://bscscan.com/tx/0x56e22e32515294483ce85828a1fbdcac41b41e62db95c9391930286a33ff6e65" TargetMode="External"/><Relationship Id="rId66" Type="http://schemas.openxmlformats.org/officeDocument/2006/relationships/hyperlink" Target="https://www.mintscan.io/osmosis/tx/6AEC23A1554AE9677FA3E00C3D42D885BAE981F10A912CF4C6C4A9EE15BBDD80?height=14085798" TargetMode="External"/><Relationship Id="rId172" Type="http://schemas.openxmlformats.org/officeDocument/2006/relationships/hyperlink" Target="https://www.mintscan.io/osmosis/tx/A3FBF5B7DD07F6777C800F9506A5A283817395DF28BB8B2D476C91391CBCDC01" TargetMode="External"/><Relationship Id="rId65" Type="http://schemas.openxmlformats.org/officeDocument/2006/relationships/hyperlink" Target="https://www.mintscan.io/osmosis/tx/2FF4E6C4B49D787FF8AAC35AA9E448523128A9D87D99BA2DE025E2575C44500C?height=14085669" TargetMode="External"/><Relationship Id="rId171" Type="http://schemas.openxmlformats.org/officeDocument/2006/relationships/hyperlink" Target="https://bscscan.com/tx/0xaf55975290c4d93f474da370bca1662fade5fb06e431a8d82f673540dce0a9c4" TargetMode="External"/><Relationship Id="rId68" Type="http://schemas.openxmlformats.org/officeDocument/2006/relationships/hyperlink" Target="https://etherscan.io/tx/0xc7eadb81806b450a73d6140677c16fce6ea5d3915383582c39c3e54afc0d17e6" TargetMode="External"/><Relationship Id="rId170" Type="http://schemas.openxmlformats.org/officeDocument/2006/relationships/hyperlink" Target="https://bscscan.com/tx/0xe908d0a4d3c912f5df8e2bfbab4ffb773ea72a25acb1efb7e912be14c8a344bd" TargetMode="External"/><Relationship Id="rId67" Type="http://schemas.openxmlformats.org/officeDocument/2006/relationships/hyperlink" Target="https://mempool.space/tx/238a112e267aa850fc37367da293d107309029c3c3f04681b578ebb2da379be8" TargetMode="External"/><Relationship Id="rId60" Type="http://schemas.openxmlformats.org/officeDocument/2006/relationships/hyperlink" Target="https://www.mintscan.io/dymension/txs/2EC723C207CC0FEFD2EEEA717CC8F9B81CBD68D21E6582397D6D25FFCCCD1920" TargetMode="External"/><Relationship Id="rId165" Type="http://schemas.openxmlformats.org/officeDocument/2006/relationships/hyperlink" Target="https://polygonscan.com/tx/0x34f389ceaa3157ddb16f40cab495ddc133992af11ec77b43e6b629da7c4b972b" TargetMode="External"/><Relationship Id="rId69" Type="http://schemas.openxmlformats.org/officeDocument/2006/relationships/hyperlink" Target="https://etherscan.io/tx/0x052b8147e0700a934394e21568061d21648a0c5cabd89ec0c78ea34465c8e8a7" TargetMode="External"/><Relationship Id="rId164" Type="http://schemas.openxmlformats.org/officeDocument/2006/relationships/hyperlink" Target="https://polygonscan.com/tx/0x8b11a9ed506d78c181b008cb36b05efa74715b4cf2674c73be5c257e6a1eb487" TargetMode="External"/><Relationship Id="rId163" Type="http://schemas.openxmlformats.org/officeDocument/2006/relationships/hyperlink" Target="https://polygonscan.com/tx/0x06bdb38f3cbc96e3e4d464f97dcc52ef277cf496fe54de2b27506e3204076777" TargetMode="External"/><Relationship Id="rId162" Type="http://schemas.openxmlformats.org/officeDocument/2006/relationships/hyperlink" Target="https://polygonscan.com/tx/0xb22be55ec52b70745dcc4f100ede163eadf71c6d0a42d32c05863f81348ba28f" TargetMode="External"/><Relationship Id="rId283" Type="http://schemas.openxmlformats.org/officeDocument/2006/relationships/drawing" Target="../drawings/drawing2.xml"/><Relationship Id="rId169" Type="http://schemas.openxmlformats.org/officeDocument/2006/relationships/hyperlink" Target="https://polygonscan.com/tx/0x3593f233b8712262d2494ff27c1378206d0030e3cc3df538ac96215720c05265" TargetMode="External"/><Relationship Id="rId168" Type="http://schemas.openxmlformats.org/officeDocument/2006/relationships/hyperlink" Target="https://polygonscan.com/tx/0xeb2bc547d9e8752c7c06aaacfef90e414751dba4c08554183948175e629ff785" TargetMode="External"/><Relationship Id="rId167" Type="http://schemas.openxmlformats.org/officeDocument/2006/relationships/hyperlink" Target="https://basescan.org/tx/0x27fe7a14b40e429b48f871e9fa8e9b4821f419534af86dcefee5f14cf9482088" TargetMode="External"/><Relationship Id="rId166" Type="http://schemas.openxmlformats.org/officeDocument/2006/relationships/hyperlink" Target="https://etherscan.io/tx/0x4eb7691ea2203c241593d2314eb63403140ca450a25cfca50aa33e31ff5ebe12" TargetMode="External"/><Relationship Id="rId51" Type="http://schemas.openxmlformats.org/officeDocument/2006/relationships/hyperlink" Target="https://mempool.space/tx/0b13255e21a7e6cb8df422bbf55f142d58f1015b731f5f9b07ffd221833f976c" TargetMode="External"/><Relationship Id="rId50" Type="http://schemas.openxmlformats.org/officeDocument/2006/relationships/hyperlink" Target="https://mempool.space/tx/a0a8c2b35bbd07bed93cf1b1ec618568d951e68eb0db5d2fe0e80123ef6839c7" TargetMode="External"/><Relationship Id="rId53" Type="http://schemas.openxmlformats.org/officeDocument/2006/relationships/hyperlink" Target="https://etherscan.io/tx/0xd1233a93cb19cc87795f371a82368f305855b0dec2198acaf85718c120feb83f" TargetMode="External"/><Relationship Id="rId52" Type="http://schemas.openxmlformats.org/officeDocument/2006/relationships/hyperlink" Target="https://etherscan.io/tx/0x1e88faee360816612c60ece96fd45d2760e00c54276625c90dee377b03d9b591" TargetMode="External"/><Relationship Id="rId55" Type="http://schemas.openxmlformats.org/officeDocument/2006/relationships/hyperlink" Target="https://bscscan.com/tx/0xc17bccf3aa08b29b993e26b34e67f58ba8cee6e5418da3a3138d076402e9a254" TargetMode="External"/><Relationship Id="rId161" Type="http://schemas.openxmlformats.org/officeDocument/2006/relationships/hyperlink" Target="https://mempool.space/tx/1ce8a0f0c8b7458e2e32b1f920c46ec4ebb4722fe090f4e53b37f98f845d48dd" TargetMode="External"/><Relationship Id="rId282" Type="http://schemas.openxmlformats.org/officeDocument/2006/relationships/hyperlink" Target="https://optimistic.etherscan.io/tx/0x61158447c4f9a9e6fa80a6dd451365da00f77d5b81d86f038c96557fd234149a" TargetMode="External"/><Relationship Id="rId54" Type="http://schemas.openxmlformats.org/officeDocument/2006/relationships/hyperlink" Target="https://bscscan.com/tx/0x902abeba54195b175a54ba5bfaa1ad2eb7e787bf12dd9332db8a619b827e839c" TargetMode="External"/><Relationship Id="rId160" Type="http://schemas.openxmlformats.org/officeDocument/2006/relationships/hyperlink" Target="https://arbiscan.io/tx/0x065b850d20c6d7ac1d3c4cb0a1cff88d526183f6bf6a0950988f8d12bdf564e1" TargetMode="External"/><Relationship Id="rId281" Type="http://schemas.openxmlformats.org/officeDocument/2006/relationships/hyperlink" Target="https://etherscan.io/tx/0xab3651ec87cb74052eefd51c374e9d5aacdc132e56dca4880d6e8fe2d7dfa5f1" TargetMode="External"/><Relationship Id="rId57" Type="http://schemas.openxmlformats.org/officeDocument/2006/relationships/hyperlink" Target="https://www.mintscan.io/osmosis/txs/AAC73A93745BD3C104E9BE17EDAF2656F1B2DEA3AF8031EDBA9FC8D3B6B3E255" TargetMode="External"/><Relationship Id="rId280" Type="http://schemas.openxmlformats.org/officeDocument/2006/relationships/hyperlink" Target="https://etherscan.io/tx/0x6e3dcc4a036ea02ef8d598ecf054cabe75a55f59e5b65a7815f027acd5942784" TargetMode="External"/><Relationship Id="rId56" Type="http://schemas.openxmlformats.org/officeDocument/2006/relationships/hyperlink" Target="https://bscscan.com/tx/0x7de32d3e18517c0411e04fb3a024e7d29d7e8971363a62183d21495d507138a4" TargetMode="External"/><Relationship Id="rId159" Type="http://schemas.openxmlformats.org/officeDocument/2006/relationships/hyperlink" Target="https://arbiscan.io//tx/0x5693e53a7939c9eb6b2a0c5e0a7392ed2a15c5663b2b503d82c1ca02d13c4d2a" TargetMode="External"/><Relationship Id="rId59" Type="http://schemas.openxmlformats.org/officeDocument/2006/relationships/hyperlink" Target="https://www.mintscan.io/osmosis/tx/3670E3E2A2EFD85EF734C1D68A939F1DA23D09E962C85595F31C2B74F6D4BA31" TargetMode="External"/><Relationship Id="rId154" Type="http://schemas.openxmlformats.org/officeDocument/2006/relationships/hyperlink" Target="https://bscscan.com/tx/0xc19628c9accbe88b2e3e155eb3078d1af2d00e1df280be08118ae954f88a56a0" TargetMode="External"/><Relationship Id="rId275" Type="http://schemas.openxmlformats.org/officeDocument/2006/relationships/hyperlink" Target="https://etherscan.io/tx/0x83209f9e2677db6c9b0ea2fcc4fc4dc44a4093174b22141eef72cfc05456004f" TargetMode="External"/><Relationship Id="rId58" Type="http://schemas.openxmlformats.org/officeDocument/2006/relationships/hyperlink" Target="https://www.mintscan.io/osmosis/txs/1D8EF7A518EB35E5582C026DDAAE7F1BEAA9C72A3D77A11F3005BEB090BC30F1" TargetMode="External"/><Relationship Id="rId153" Type="http://schemas.openxmlformats.org/officeDocument/2006/relationships/hyperlink" Target="https://bscscan.com/tx/0xc4df831eee4dc9f2e3e7f6332fef7f8d84e2368ac1eec192248870dced494059" TargetMode="External"/><Relationship Id="rId274" Type="http://schemas.openxmlformats.org/officeDocument/2006/relationships/hyperlink" Target="https://mempool.space/tx/f7301635dcf02ecbf41b0809fef9c2a2209c064b20f2f6fed958929109e1c724" TargetMode="External"/><Relationship Id="rId152" Type="http://schemas.openxmlformats.org/officeDocument/2006/relationships/hyperlink" Target="https://bscscan.com/tx/0xf103c34f973315174193d766170343ae6df869a5002e7a4c14d0a46bbdbe8fbd" TargetMode="External"/><Relationship Id="rId273" Type="http://schemas.openxmlformats.org/officeDocument/2006/relationships/hyperlink" Target="https://etherscan.io/tx/0x1a5a19777986eb076cdc47d3131f3021e831174fcfa801eba89cb213b0e839f2" TargetMode="External"/><Relationship Id="rId151" Type="http://schemas.openxmlformats.org/officeDocument/2006/relationships/hyperlink" Target="https://polygonscan.com/tx/0x905d15fbd9fe0212f4eef076b4dd4550fa0baa7ad8cf760b3927dc12e6a49b53" TargetMode="External"/><Relationship Id="rId272" Type="http://schemas.openxmlformats.org/officeDocument/2006/relationships/hyperlink" Target="https://etherscan.io/tx/0x4b630c0ba1b6c6c1206b0008e0128ee78ee486eee9b45a64feae9b00e975225e" TargetMode="External"/><Relationship Id="rId158" Type="http://schemas.openxmlformats.org/officeDocument/2006/relationships/hyperlink" Target="https://arbiscan.io/tx/0xdc1e028d7cf75729573bd503e49cd7378ddd507283fbb0b3d0225b68a157e68d" TargetMode="External"/><Relationship Id="rId279" Type="http://schemas.openxmlformats.org/officeDocument/2006/relationships/hyperlink" Target="https://etherscan.io/tx/0x95848f5542794b124f592c9f2d1ea1383ea6339f5083d68fbd87f2c54a50a231" TargetMode="External"/><Relationship Id="rId157" Type="http://schemas.openxmlformats.org/officeDocument/2006/relationships/hyperlink" Target="https://arbiscan.io/tx/0x713ff65ce171eb47b2c41ddadb556638d1e3de10c000722f0c645666beb936b0" TargetMode="External"/><Relationship Id="rId278" Type="http://schemas.openxmlformats.org/officeDocument/2006/relationships/hyperlink" Target="https://etherscan.io/tx/0x1e16fb787edbfe313a6c8855ae5512a1c024fff69dccde8e532887db5b951689" TargetMode="External"/><Relationship Id="rId156" Type="http://schemas.openxmlformats.org/officeDocument/2006/relationships/hyperlink" Target="https://arbiscan.io//tx/0xcc24a49c76b43b62224174bdc29379013524bb983372c5ecbd210a89240f55bd" TargetMode="External"/><Relationship Id="rId277" Type="http://schemas.openxmlformats.org/officeDocument/2006/relationships/hyperlink" Target="https://optimistic.etherscan.io/tx/0xc21887214abe368cc573379e2d7d91307cb7860b79d6a6abaf2103c0f060ca2e" TargetMode="External"/><Relationship Id="rId155" Type="http://schemas.openxmlformats.org/officeDocument/2006/relationships/hyperlink" Target="https://bscscan.com/tx/0x9ab0371aa4eeac4d1a6edde38a86a40a4734819e8ae495bcf8ce5f8dae1f9d5e" TargetMode="External"/><Relationship Id="rId276" Type="http://schemas.openxmlformats.org/officeDocument/2006/relationships/hyperlink" Target="https://etherscan.io/tx/0x9f9153a9a76a7d3c235de96de17ea493187a20296f0faf985a981f17864f8ec0" TargetMode="External"/><Relationship Id="rId107" Type="http://schemas.openxmlformats.org/officeDocument/2006/relationships/hyperlink" Target="https://mempool.space/tx/00c3873a0afe24561fd5c539e0cfc5ac49b3f91d3cd6215a7d7607cf902a21d0" TargetMode="External"/><Relationship Id="rId228" Type="http://schemas.openxmlformats.org/officeDocument/2006/relationships/hyperlink" Target="https://arbiscan.io/tx/0xf6ba4cfcd1bbfb5403241292e61ef20a4f20d7a9cd90c4cb42773795a439a8c9" TargetMode="External"/><Relationship Id="rId106" Type="http://schemas.openxmlformats.org/officeDocument/2006/relationships/hyperlink" Target="https://mempool.space/tx/5c06126e25d458dd13bcfc0b85e8f72de74061df7d1c3cd76e4cabf1532a3f99" TargetMode="External"/><Relationship Id="rId227" Type="http://schemas.openxmlformats.org/officeDocument/2006/relationships/hyperlink" Target="https://polygonscan.com/tx/0x9baa5415321096baf0d953d4765a69ed8089cb76883b5a33419147cd34f73941" TargetMode="External"/><Relationship Id="rId105" Type="http://schemas.openxmlformats.org/officeDocument/2006/relationships/hyperlink" Target="https://mempool.space/tx/e40376cba3e08cb0c473ee06b97246dbff0bdbc6060fda401b630d496f7a40dd" TargetMode="External"/><Relationship Id="rId226" Type="http://schemas.openxmlformats.org/officeDocument/2006/relationships/hyperlink" Target="https://polygonscan.com/tx/0x1de6915788c8d91b6d53491f52b5e7ae58ce5277425b30f4b73f1bb71dad11ee" TargetMode="External"/><Relationship Id="rId104" Type="http://schemas.openxmlformats.org/officeDocument/2006/relationships/hyperlink" Target="https://www.mintscan.io/osmosis/txs/753D29F96B6551474F9AB676BE5131D0FF6EA8CC99FAAEB73AB6A69FF2FECF0B" TargetMode="External"/><Relationship Id="rId225" Type="http://schemas.openxmlformats.org/officeDocument/2006/relationships/hyperlink" Target="https://etherscan.io/tx/0x0bd30f311909f087e258e5d5cfae67b8684203dee89cfe05d88a2dd890f1447a" TargetMode="External"/><Relationship Id="rId109" Type="http://schemas.openxmlformats.org/officeDocument/2006/relationships/hyperlink" Target="https://bscscan.com/tx/0x920e6f76533eed7d0c539887b2f6e50d61efb10ac49b7c8e4b28519352b17715" TargetMode="External"/><Relationship Id="rId108" Type="http://schemas.openxmlformats.org/officeDocument/2006/relationships/hyperlink" Target="https://etherscan.io/tx/0x740368678c8f5906bccb1b50be596e01cf1c214f540af7dd9125b0b75f94e26b" TargetMode="External"/><Relationship Id="rId229" Type="http://schemas.openxmlformats.org/officeDocument/2006/relationships/hyperlink" Target="https://arbiscan.io/tx/0xb6d63a603efc61cc1b9ce336e22cbc6c8f24aa494103ee7c275b25d4c9091b81" TargetMode="External"/><Relationship Id="rId220" Type="http://schemas.openxmlformats.org/officeDocument/2006/relationships/hyperlink" Target="https://polygonscan.com/tx/0x1994a378d92776f3a079e2c8f6a8051e5914d87108f969034e0a82f5b0d65191" TargetMode="External"/><Relationship Id="rId103" Type="http://schemas.openxmlformats.org/officeDocument/2006/relationships/hyperlink" Target="https://mempool.space/tx/4a4e26c4be8ff9a0e9177aded08e0fbde6be5d5258a0d68a75d0bdddc6b66f40" TargetMode="External"/><Relationship Id="rId224" Type="http://schemas.openxmlformats.org/officeDocument/2006/relationships/hyperlink" Target="https://polygonscan.com/tx/0x2388424aeb39c46e70a69cb133568389f80c719e61afa022da6d1be27bddbc1f" TargetMode="External"/><Relationship Id="rId102" Type="http://schemas.openxmlformats.org/officeDocument/2006/relationships/hyperlink" Target="https://mempool.space/tx/0034faa5f5224cd4b0a1678853f3e62d30e2cabd89d1a8aa55bf5859ea819fc6" TargetMode="External"/><Relationship Id="rId223" Type="http://schemas.openxmlformats.org/officeDocument/2006/relationships/hyperlink" Target="https://polygonscan.com/tx/0xa268c56c08c47e7435cafb76e28b83e00a1d61f6bb7356e2ff6dbe3cbd01d230" TargetMode="External"/><Relationship Id="rId101" Type="http://schemas.openxmlformats.org/officeDocument/2006/relationships/hyperlink" Target="https://etherscan.io/tx/0x8dfa2819863474ad77c6dfc98b0df5d84f095da661c292d1e330b3b52d6beeb8" TargetMode="External"/><Relationship Id="rId222" Type="http://schemas.openxmlformats.org/officeDocument/2006/relationships/hyperlink" Target="https://polygonscan.com/tx/0x60537dbeea405d5ecc4500fd28ce672f4f47f7cf27db4903d14514b17e056b78" TargetMode="External"/><Relationship Id="rId100" Type="http://schemas.openxmlformats.org/officeDocument/2006/relationships/hyperlink" Target="https://mempool.space/tx/467a5c7f6dd9d165ef90500eacea53cc6bd07ea56be5ab848ddc00e0069dfce7" TargetMode="External"/><Relationship Id="rId221" Type="http://schemas.openxmlformats.org/officeDocument/2006/relationships/hyperlink" Target="https://polygonscan.com/tx/0x4d23c7a23cdb8c6f615269b5c20747c90d78e07bfb11f13a3b9a6709f6f8c696" TargetMode="External"/><Relationship Id="rId217" Type="http://schemas.openxmlformats.org/officeDocument/2006/relationships/hyperlink" Target="https://arbiscan.io/tx/0x7cf3df2c6311584f4158d7b002073483f4f071bf14fd0f5398622086f40e9764" TargetMode="External"/><Relationship Id="rId216" Type="http://schemas.openxmlformats.org/officeDocument/2006/relationships/hyperlink" Target="https://etherscan.io/tx/0x5510a11dfcaee8e6ea9b856e4d71cca26f01b00a797369f44c62c4ebb4a677f7" TargetMode="External"/><Relationship Id="rId215" Type="http://schemas.openxmlformats.org/officeDocument/2006/relationships/hyperlink" Target="https://etherscan.io/tx/0xc8ad4ac8a84b01f32c80911c396e168aa5cc902183bfaa32ff7b2d72a9323c11" TargetMode="External"/><Relationship Id="rId214" Type="http://schemas.openxmlformats.org/officeDocument/2006/relationships/hyperlink" Target="https://etherscan.io/tx/0xa4631fa4cc48765de6891ca97c6d8a9f008b19e8a8ef385a7002c05d87f902f8" TargetMode="External"/><Relationship Id="rId219" Type="http://schemas.openxmlformats.org/officeDocument/2006/relationships/hyperlink" Target="https://etherscan.io/tx/0x2e020d6be891b25dfc9c8429bb228089a4fb456a33aedf516a3aba67b646124d" TargetMode="External"/><Relationship Id="rId218" Type="http://schemas.openxmlformats.org/officeDocument/2006/relationships/hyperlink" Target="https://etherscan.io/tx/0x950851dae8c975525e68ffbaa44f974e5656ecabfbcd307f4478e7f79341d1d8" TargetMode="External"/><Relationship Id="rId213" Type="http://schemas.openxmlformats.org/officeDocument/2006/relationships/hyperlink" Target="https://etherscan.io/tx/0x0ff345f747ea9b0101b26ce10e931b1ef0f43127798f88d9ec4358d40fdf7332" TargetMode="External"/><Relationship Id="rId212" Type="http://schemas.openxmlformats.org/officeDocument/2006/relationships/hyperlink" Target="https://arbiscan.io/tx/0x49327657174ed22d3648d9ff6b2c3466c38b6baca1f3ef5b5b98f2df09613cba" TargetMode="External"/><Relationship Id="rId211" Type="http://schemas.openxmlformats.org/officeDocument/2006/relationships/hyperlink" Target="https://arbiscan.io/tx/0x760d5019000aaeef2268529cb5157edc07f420df136df389ba109136889553be" TargetMode="External"/><Relationship Id="rId210" Type="http://schemas.openxmlformats.org/officeDocument/2006/relationships/hyperlink" Target="https://arbiscan.io/tx/0xab4a22fd65c4400d39a52c0494b3fc96a052946d1c33b6d56386b6c9705186b2" TargetMode="External"/><Relationship Id="rId129" Type="http://schemas.openxmlformats.org/officeDocument/2006/relationships/hyperlink" Target="https://andromeda-explorer.metis.io/tx/0x456679a12afb995cedfd4b7b1d09797daa7fe4a55d4688eef7e241e777429a7b" TargetMode="External"/><Relationship Id="rId128" Type="http://schemas.openxmlformats.org/officeDocument/2006/relationships/hyperlink" Target="https://andromeda-explorer.metis.io/tx/0xd507c52deaa0a4a14e67bee47edd1bb3a04f897fa5b52787536fd39448a3718f" TargetMode="External"/><Relationship Id="rId249" Type="http://schemas.openxmlformats.org/officeDocument/2006/relationships/hyperlink" Target="https://arbiscan.io/tx/0x3dc90c3a7963ca2e5c32cecb44eac20773d6bb20aaa9f6d67fb6d6d5bb206411" TargetMode="External"/><Relationship Id="rId127" Type="http://schemas.openxmlformats.org/officeDocument/2006/relationships/hyperlink" Target="https://arbiscan.io//tx/0xe453e573151538a8425fd8a0fa53a04741214f2eda922077d10fb208db322250" TargetMode="External"/><Relationship Id="rId248" Type="http://schemas.openxmlformats.org/officeDocument/2006/relationships/hyperlink" Target="https://arbiscan.io/tx/0x67d91490661a78ba0a63443ca14229363b8f76d46f26825573d8b8dfb25533da" TargetMode="External"/><Relationship Id="rId126" Type="http://schemas.openxmlformats.org/officeDocument/2006/relationships/hyperlink" Target="https://basescan.org/tx/0x15aa1378a8bbb53e5c7795adfa3813c9185fcc8d0ca481ec957d7a2932f80564" TargetMode="External"/><Relationship Id="rId247" Type="http://schemas.openxmlformats.org/officeDocument/2006/relationships/hyperlink" Target="https://arbiscan.io/tx/0x67d91490661a78ba0a63443ca14229363b8f76d46f26825573d8b8dfb25533da" TargetMode="External"/><Relationship Id="rId121" Type="http://schemas.openxmlformats.org/officeDocument/2006/relationships/hyperlink" Target="https://etherscan.io/tx/0xd925bd0e781bd079d432af5d3192275d1c592f8813a3c17583936b61f38fef68" TargetMode="External"/><Relationship Id="rId242" Type="http://schemas.openxmlformats.org/officeDocument/2006/relationships/hyperlink" Target="https://etherscan.io/tx/0xaba8ea594e3794877b3ceeea04e2a27345e808f9a57912975aa6067529bf4116" TargetMode="External"/><Relationship Id="rId120" Type="http://schemas.openxmlformats.org/officeDocument/2006/relationships/hyperlink" Target="https://bscscan.com/tx/0x573cf8b520f851c7ef5015fe1fd2ac41fa64cec7db70a07b172d0204c26aff8e" TargetMode="External"/><Relationship Id="rId241" Type="http://schemas.openxmlformats.org/officeDocument/2006/relationships/hyperlink" Target="https://etherscan.io/tx/0xf7a2f62792fb035711353244204c476fb7f9e9b40fb6fbc6e5e9857c0a42c09b" TargetMode="External"/><Relationship Id="rId240" Type="http://schemas.openxmlformats.org/officeDocument/2006/relationships/hyperlink" Target="https://arbiscan.io/tx/0x1b7a38a75d3488ea2601032d306b9e53e49d43c39abb107860ca42a71d6ac3d8" TargetMode="External"/><Relationship Id="rId125" Type="http://schemas.openxmlformats.org/officeDocument/2006/relationships/hyperlink" Target="https://basescan.org/tx/0xba7ea1dfd9b1159cf5a62484a1bf53fdee25961caf67a0391d5f49682c3237a1" TargetMode="External"/><Relationship Id="rId246" Type="http://schemas.openxmlformats.org/officeDocument/2006/relationships/hyperlink" Target="https://arbiscan.io/tx/0xefcce7e359e6956f2da41acb97df036863014bfdbbf0bb2b0a96fd63027579b7" TargetMode="External"/><Relationship Id="rId124" Type="http://schemas.openxmlformats.org/officeDocument/2006/relationships/hyperlink" Target="https://etherscan.io/tx/0x5fa9e12eb8cae103526a35e882c2385cef09e410857da0eceec2adb97083e56d" TargetMode="External"/><Relationship Id="rId245" Type="http://schemas.openxmlformats.org/officeDocument/2006/relationships/hyperlink" Target="https://arbiscan.io/tx/0x1374dbc7587d0a643824aed43e0d58d3bc80c0745466024e5dbc880ad0a2ba81" TargetMode="External"/><Relationship Id="rId123" Type="http://schemas.openxmlformats.org/officeDocument/2006/relationships/hyperlink" Target="https://arbiscan.io/tx/0x6d87fb24024a81f0343d71b0e017d3d130e9969972f737783a12b62220eb0bac" TargetMode="External"/><Relationship Id="rId244" Type="http://schemas.openxmlformats.org/officeDocument/2006/relationships/hyperlink" Target="https://magiceden.io/runes/LIQUIDIUM%E2%80%A2TOKEN" TargetMode="External"/><Relationship Id="rId122" Type="http://schemas.openxmlformats.org/officeDocument/2006/relationships/hyperlink" Target="https://arbiscan.io/tx/0x1a807c5dc1e3aae7bd5c5cb979278a24e9b2edccaabf5ec37430077bfc3736f0" TargetMode="External"/><Relationship Id="rId243" Type="http://schemas.openxmlformats.org/officeDocument/2006/relationships/hyperlink" Target="https://mempool.space/tx/f0c8ac346f55d1034b1c72921e1fbae620446eb8c11a1ada352e8a075159d5c4" TargetMode="External"/><Relationship Id="rId95" Type="http://schemas.openxmlformats.org/officeDocument/2006/relationships/hyperlink" Target="https://mempool.space/tx/9061363244d3953304f72b4062762cff5d5424b5339a486f08ba79edfa5c5e05" TargetMode="External"/><Relationship Id="rId94" Type="http://schemas.openxmlformats.org/officeDocument/2006/relationships/hyperlink" Target="https://mempool.space/tx/da377adcff108ed978a6862fc08c9590f090e5f3e0b59d9e7c05b169270daaf2" TargetMode="External"/><Relationship Id="rId97" Type="http://schemas.openxmlformats.org/officeDocument/2006/relationships/hyperlink" Target="https://mempool.space/tx/85e718954f7ce8ae82407e5e37bd6f234df481aa4d057bbd6243c7d322eba594" TargetMode="External"/><Relationship Id="rId96" Type="http://schemas.openxmlformats.org/officeDocument/2006/relationships/hyperlink" Target="https://etherscan.io/tx/0x81acc1a12d33057fe0bb4243473d6bb1dba6f6ee78456c9ef332b414e33a0c13" TargetMode="External"/><Relationship Id="rId99" Type="http://schemas.openxmlformats.org/officeDocument/2006/relationships/hyperlink" Target="https://mempool.space/tx/a3ae454df53f090397cce8e09a2582ce619fea67af2600bdb3f1f61cd31bc00f" TargetMode="External"/><Relationship Id="rId98" Type="http://schemas.openxmlformats.org/officeDocument/2006/relationships/hyperlink" Target="https://mempool.space/tx/69ae976d783273fdfb8a7680268f69272f71e202de56a99f42f2ccf4bef1f728" TargetMode="External"/><Relationship Id="rId91" Type="http://schemas.openxmlformats.org/officeDocument/2006/relationships/hyperlink" Target="https://www.mintscan.io/osmosis/tx/456F680B7F0CF70F261A07CE495AB5BE0ECF78BE0AF0B3ADC0FEE677B762E22D" TargetMode="External"/><Relationship Id="rId90" Type="http://schemas.openxmlformats.org/officeDocument/2006/relationships/hyperlink" Target="https://www.mintscan.io/osmosis/txs/E876F409F6196E5C832E1A82BA6ECA3C299E17F9CB42F1A806BFC15F367F9767" TargetMode="External"/><Relationship Id="rId93" Type="http://schemas.openxmlformats.org/officeDocument/2006/relationships/hyperlink" Target="https://etherscan.io/tx/0x1344bd8d7769a9c459947065ce077d3b466462b987f0f2454c6fb5a06c6a8420" TargetMode="External"/><Relationship Id="rId92" Type="http://schemas.openxmlformats.org/officeDocument/2006/relationships/hyperlink" Target="https://mempool.space/tx/4060847e6eea8ac3545b701c4cde5e71cf6eff6f39e8cb083eaad2d4564b3a1b" TargetMode="External"/><Relationship Id="rId118" Type="http://schemas.openxmlformats.org/officeDocument/2006/relationships/hyperlink" Target="https://mempool.space/tx/e895cb6f1b12410b3c974da525fdb5839eea64558be9050ce070399bdf797a11" TargetMode="External"/><Relationship Id="rId239" Type="http://schemas.openxmlformats.org/officeDocument/2006/relationships/hyperlink" Target="https://arbiscan.io/tx/0x402cbaaee054e9353c4971ec09585a89e87009a31b32f2e1ad58a1048c86d144" TargetMode="External"/><Relationship Id="rId117" Type="http://schemas.openxmlformats.org/officeDocument/2006/relationships/hyperlink" Target="https://mempool.space/tx/92e29dc7c476f7265d7256ab92684ae3e730f7debfd9e141374a0e3f5a290fc6" TargetMode="External"/><Relationship Id="rId238" Type="http://schemas.openxmlformats.org/officeDocument/2006/relationships/hyperlink" Target="https://arbiscan.io/tx/0xe87d8e0cc99cbf0f5de04ec0bb8996b06060ba68a8d42cf511eb090c6df6fcfd" TargetMode="External"/><Relationship Id="rId116" Type="http://schemas.openxmlformats.org/officeDocument/2006/relationships/hyperlink" Target="https://mempool.space/tx/ca768e6e50f7b97ba2122ee2c8290582a3dd9759731fc7d88ada1e128937a296" TargetMode="External"/><Relationship Id="rId237" Type="http://schemas.openxmlformats.org/officeDocument/2006/relationships/hyperlink" Target="https://arbiscan.io/tx/0x27c21cf4ca2e398d21a320ff064a4f7a67ad6d87f292399a482dc44fa4e12455" TargetMode="External"/><Relationship Id="rId115" Type="http://schemas.openxmlformats.org/officeDocument/2006/relationships/hyperlink" Target="https://mempool.space/tx/08a22e499262943247171341aa9fcb09d99177db713ec2cac9d87b79151fa122" TargetMode="External"/><Relationship Id="rId236" Type="http://schemas.openxmlformats.org/officeDocument/2006/relationships/hyperlink" Target="https://arbiscan.io/tx/0x317d68be15ca992f0a20d26beb74d9457d09fa3b8e868114dca58c876c467438" TargetMode="External"/><Relationship Id="rId119" Type="http://schemas.openxmlformats.org/officeDocument/2006/relationships/hyperlink" Target="https://www.mintscan.io/osmosis/txs/2AF71D019D959E0E9A1D8AA4B0A99DB38F6E9F5E15898D0A0B3612462478BD74" TargetMode="External"/><Relationship Id="rId110" Type="http://schemas.openxmlformats.org/officeDocument/2006/relationships/hyperlink" Target="https://bscscan.com/tx/0x8fb27bd3e5b13ca526da83d3b7a88293d310b459d5814c72a3d71dcf0a5ed0f3" TargetMode="External"/><Relationship Id="rId231" Type="http://schemas.openxmlformats.org/officeDocument/2006/relationships/hyperlink" Target="https://arbiscan.io/tx/0x8c14fcbc76c3074a3478c7635dd4541e82d876ddb52d794345f119cbe3fdc2ba" TargetMode="External"/><Relationship Id="rId230" Type="http://schemas.openxmlformats.org/officeDocument/2006/relationships/hyperlink" Target="https://arbiscan.io/tx/0x9c7aa8dc5d5db13e1e398de302b8b5ef6a9d75f8094b6e6745b0b38330c9382e" TargetMode="External"/><Relationship Id="rId114" Type="http://schemas.openxmlformats.org/officeDocument/2006/relationships/hyperlink" Target="https://mempool.space/tx/f0c8b1f69b20151611ea49f3fef5a0126fe4af7661208fcdbf0df7e7cc9a61c3" TargetMode="External"/><Relationship Id="rId235" Type="http://schemas.openxmlformats.org/officeDocument/2006/relationships/hyperlink" Target="https://etherscan.io/tx/0x9c7dd2b46066920681c7420982270239a94aa193a3d65f62ab0f5b14b5d2eeae" TargetMode="External"/><Relationship Id="rId113" Type="http://schemas.openxmlformats.org/officeDocument/2006/relationships/hyperlink" Target="https://www.blockchain.com/explorer/transactions/btc/ed0b01764f2b910c4a64cd4afa0a3e4090cfd69b902054b554c4950d5eb153cb" TargetMode="External"/><Relationship Id="rId234" Type="http://schemas.openxmlformats.org/officeDocument/2006/relationships/hyperlink" Target="https://arbiscan.io/tx/0x77d87f6ade22a835c660ec37de06a597478686baf4c57e98cca367eae6e2abc3" TargetMode="External"/><Relationship Id="rId112" Type="http://schemas.openxmlformats.org/officeDocument/2006/relationships/hyperlink" Target="https://bscscan.com/tx/0xae5c591ee9764b3e22b6c6936a022daa7cf66875dd77b4428fdd89132624aa6d" TargetMode="External"/><Relationship Id="rId233" Type="http://schemas.openxmlformats.org/officeDocument/2006/relationships/hyperlink" Target="https://arbiscan.io/tx/0x73d7c5446d2311405d33bf6e05d6388e3221b8e6a9a759c9fe76f6b7b0cc6fbe" TargetMode="External"/><Relationship Id="rId111" Type="http://schemas.openxmlformats.org/officeDocument/2006/relationships/hyperlink" Target="https://bscscan.com/tx/0x7a11dfc205983d2d2ac395fa3bc5aa1feb6aead5e0c1944eed3c15540fffd0c5" TargetMode="External"/><Relationship Id="rId232" Type="http://schemas.openxmlformats.org/officeDocument/2006/relationships/hyperlink" Target="https://arbiscan.io/tx/0xad7bbda5368f2bf273478d740654235b7f4866458f0e089dae14f0d3e7bef459" TargetMode="External"/><Relationship Id="rId206" Type="http://schemas.openxmlformats.org/officeDocument/2006/relationships/hyperlink" Target="https://etherscan.io/tx/0xa337d7217639704d89e4c3bdc82e358e89e94c95361dcf371807fd664ab050fd" TargetMode="External"/><Relationship Id="rId205" Type="http://schemas.openxmlformats.org/officeDocument/2006/relationships/hyperlink" Target="https://polygonscan.com/tx/0x47ab805910a253b32d8bdf48d54854f613b150e37d90e88f453f8b46911800ee" TargetMode="External"/><Relationship Id="rId204" Type="http://schemas.openxmlformats.org/officeDocument/2006/relationships/hyperlink" Target="https://polygonscan.com/tx/0x19ff74cb9a0470f17ba16a885fc84368aca0f9d65f7d7e1462395b3ea67fd2cb" TargetMode="External"/><Relationship Id="rId203" Type="http://schemas.openxmlformats.org/officeDocument/2006/relationships/hyperlink" Target="https://arbiscan.io/tx/0xc948084a8dd3e293da8779a68334062ff10623e908a31ccd970de2a60e1f99df" TargetMode="External"/><Relationship Id="rId209" Type="http://schemas.openxmlformats.org/officeDocument/2006/relationships/hyperlink" Target="https://arbiscan.io/tx/0xdbcedf7f29695ac6b4473f24a4863e34e8264cddb3c106b8a466055a521d1e4e" TargetMode="External"/><Relationship Id="rId208" Type="http://schemas.openxmlformats.org/officeDocument/2006/relationships/hyperlink" Target="https://etherscan.io/tx/0x453cadfc3efa194d8374cd2236f92755daa23d54439774c47f505e541131c093" TargetMode="External"/><Relationship Id="rId207" Type="http://schemas.openxmlformats.org/officeDocument/2006/relationships/hyperlink" Target="https://etherscan.io/tx/0xf5fd49a3d33a02a66e99ebef15415c18ce51fdd8467a7d417520ee57ce555415" TargetMode="External"/><Relationship Id="rId202" Type="http://schemas.openxmlformats.org/officeDocument/2006/relationships/hyperlink" Target="https://etherscan.io/tx/0x4487004a0ec92c0a00c1092c76b9be0e030fde41a362db02da748354dbe0242f" TargetMode="External"/><Relationship Id="rId201" Type="http://schemas.openxmlformats.org/officeDocument/2006/relationships/hyperlink" Target="https://etherscan.io/tx/0xea98b4fad3b58135902aafaeb2c2ff8ae172f2df377ba2575af98e64db4a455a" TargetMode="External"/><Relationship Id="rId200" Type="http://schemas.openxmlformats.org/officeDocument/2006/relationships/hyperlink" Target="https://polygonscan.com/tx/0x6eb33b2d114fb14cb87d69c54f78b6c716a91d87b4562457ecb58e99fb07bdd7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app.hyperliquid.xyz/trade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crypto.com/boost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hyperlink" Target="https://mercatox.com" TargetMode="External"/><Relationship Id="rId10" Type="http://schemas.openxmlformats.org/officeDocument/2006/relationships/hyperlink" Target="https://tidex.com" TargetMode="External"/><Relationship Id="rId13" Type="http://schemas.openxmlformats.org/officeDocument/2006/relationships/drawing" Target="../drawings/drawing7.xml"/><Relationship Id="rId12" Type="http://schemas.openxmlformats.org/officeDocument/2006/relationships/hyperlink" Target="http://gate.io/" TargetMode="External"/><Relationship Id="rId15" Type="http://schemas.openxmlformats.org/officeDocument/2006/relationships/table" Target="../tables/table1.xml"/><Relationship Id="rId1" Type="http://schemas.openxmlformats.org/officeDocument/2006/relationships/hyperlink" Target="mailto:alberto.pizzinelli@gmail.com" TargetMode="External"/><Relationship Id="rId2" Type="http://schemas.openxmlformats.org/officeDocument/2006/relationships/hyperlink" Target="http://kucoin.com" TargetMode="External"/><Relationship Id="rId3" Type="http://schemas.openxmlformats.org/officeDocument/2006/relationships/hyperlink" Target="http://creypto.com/" TargetMode="External"/><Relationship Id="rId4" Type="http://schemas.openxmlformats.org/officeDocument/2006/relationships/hyperlink" Target="https://pro.coinbase.com/" TargetMode="External"/><Relationship Id="rId9" Type="http://schemas.openxmlformats.org/officeDocument/2006/relationships/hyperlink" Target="http://coinexchange.io" TargetMode="External"/><Relationship Id="rId5" Type="http://schemas.openxmlformats.org/officeDocument/2006/relationships/hyperlink" Target="http://qtrade.io/" TargetMode="External"/><Relationship Id="rId6" Type="http://schemas.openxmlformats.org/officeDocument/2006/relationships/hyperlink" Target="http://huobi.pro" TargetMode="External"/><Relationship Id="rId7" Type="http://schemas.openxmlformats.org/officeDocument/2006/relationships/hyperlink" Target="mailto:alberto.pizzinelli@gmail.com" TargetMode="External"/><Relationship Id="rId8" Type="http://schemas.openxmlformats.org/officeDocument/2006/relationships/hyperlink" Target="mailto:alberto.pizzinelli@gmail.com" TargetMode="External"/></Relationships>
</file>

<file path=xl/worksheets/_rels/sheet8.xml.rels><?xml version="1.0" encoding="UTF-8" standalone="yes"?><Relationships xmlns="http://schemas.openxmlformats.org/package/2006/relationships"><Relationship Id="rId10" Type="http://schemas.openxmlformats.org/officeDocument/2006/relationships/drawing" Target="../drawings/drawing8.xml"/><Relationship Id="rId1" Type="http://schemas.openxmlformats.org/officeDocument/2006/relationships/hyperlink" Target="https://www.google.com/url?q=https://bscscan.com/tx/0x054ed22823c06da7ca671743535da274babafa63fef721cc3fc280f4a419345e&amp;sa=D&amp;source=editors&amp;ust=1701855755721112&amp;usg=AOvVaw1LuCUboOUPLchMic-WpkIe" TargetMode="External"/><Relationship Id="rId2" Type="http://schemas.openxmlformats.org/officeDocument/2006/relationships/hyperlink" Target="https://www.google.com/url?q=https://twitter.com/thewinkies1&amp;sa=D&amp;source=editors&amp;ust=1701855755721328&amp;usg=AOvVaw12MFlDFUVBQXeFkJfavuAd" TargetMode="External"/><Relationship Id="rId3" Type="http://schemas.openxmlformats.org/officeDocument/2006/relationships/hyperlink" Target="https://www.google.com/url?q=https://bscscan.com/tx/0x633a756933498c3547dc40be74bd3f16e75617dfe0e177720e11ca7b46e1e564&amp;sa=D&amp;source=editors&amp;ust=1701855755722391&amp;usg=AOvVaw3u3BnL988lDAMIs-AbPKaS" TargetMode="External"/><Relationship Id="rId4" Type="http://schemas.openxmlformats.org/officeDocument/2006/relationships/hyperlink" Target="https://www.google.com/url?q=https://docsend.com/view/s/3y24gmfcbcdnvmmg&amp;sa=D&amp;source=editors&amp;ust=1701855755722516&amp;usg=AOvVaw2c_Pbid8_yyn5QUmEj3MHU" TargetMode="External"/><Relationship Id="rId9" Type="http://schemas.openxmlformats.org/officeDocument/2006/relationships/hyperlink" Target="https://www.google.com/url?q=https://bscscan.com/tx/0xe63b1234f13113350ae0f30bfa6f0ecb465f352dc36366d4163bef2257cc9775&amp;sa=D&amp;source=editors&amp;ust=1701855755727663&amp;usg=AOvVaw1yGmZR8dqm326pRDrkYtIG" TargetMode="External"/><Relationship Id="rId5" Type="http://schemas.openxmlformats.org/officeDocument/2006/relationships/hyperlink" Target="https://www.google.com/url?q=https://bscscan.com/tx/0x61d7db66059bfd0554fe0df9e8b8e3bddd7a84ed0f89ca9622d3a89669169af9&amp;sa=D&amp;source=editors&amp;ust=1701855755723323&amp;usg=AOvVaw0NgQBO4wyup6Sk7CuSnvcK" TargetMode="External"/><Relationship Id="rId6" Type="http://schemas.openxmlformats.org/officeDocument/2006/relationships/hyperlink" Target="https://www.google.com/url?q=https://bscscan.com/tx/0xfd0b4ef5e2b628d5ad98c029986c4b3d05e59120fad36bec3b14f4b6b62a1644&amp;sa=D&amp;source=editors&amp;ust=1701855755724218&amp;usg=AOvVaw26O1MmeGO2aB27LqbPGREM" TargetMode="External"/><Relationship Id="rId7" Type="http://schemas.openxmlformats.org/officeDocument/2006/relationships/hyperlink" Target="https://www.google.com/url?q=https://bscscan.com/tx/0x6ff7d93bb953640e94d88fd31b2694d4c018545c19175dfd9c855632c56e9540&amp;sa=D&amp;source=editors&amp;ust=1701855755726669&amp;usg=AOvVaw32K6YIor2sk8uKxK0OYWum" TargetMode="External"/><Relationship Id="rId8" Type="http://schemas.openxmlformats.org/officeDocument/2006/relationships/hyperlink" Target="https://www.coingecko.com/it/monete/visiongame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crypto.com" TargetMode="External"/><Relationship Id="rId2" Type="http://schemas.openxmlformats.org/officeDocument/2006/relationships/hyperlink" Target="http://crypto.com" TargetMode="External"/><Relationship Id="rId3" Type="http://schemas.openxmlformats.org/officeDocument/2006/relationships/hyperlink" Target="http://crypto.com" TargetMode="External"/><Relationship Id="rId4" Type="http://schemas.openxmlformats.org/officeDocument/2006/relationships/hyperlink" Target="http://crypto.com" TargetMode="External"/><Relationship Id="rId5" Type="http://schemas.openxmlformats.org/officeDocument/2006/relationships/hyperlink" Target="http://crypto.com" TargetMode="External"/><Relationship Id="rId6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://crypto.com" TargetMode="External"/><Relationship Id="rId2" Type="http://schemas.openxmlformats.org/officeDocument/2006/relationships/hyperlink" Target="http://crypto.com" TargetMode="External"/><Relationship Id="rId3" Type="http://schemas.openxmlformats.org/officeDocument/2006/relationships/hyperlink" Target="http://crypto.com" TargetMode="External"/><Relationship Id="rId4" Type="http://schemas.openxmlformats.org/officeDocument/2006/relationships/hyperlink" Target="http://crypto.com" TargetMode="External"/><Relationship Id="rId5" Type="http://schemas.openxmlformats.org/officeDocument/2006/relationships/hyperlink" Target="http://crypto.com" TargetMode="External"/><Relationship Id="rId6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1" Type="http://schemas.openxmlformats.org/officeDocument/2006/relationships/drawing" Target="../drawings/drawing12.xml"/><Relationship Id="rId10" Type="http://schemas.openxmlformats.org/officeDocument/2006/relationships/hyperlink" Target="https://blockstream.info/tx/cfc446b227dc2309bc0d2c8cf812cfc46b2700a77cab0250b167094da7a5bc14" TargetMode="External"/><Relationship Id="rId1" Type="http://schemas.openxmlformats.org/officeDocument/2006/relationships/hyperlink" Target="https://arbiscan.io/tx/0x32b541e4edbe53cb4e0217c32ada66093caeab15b3c014b4465a5cec78b837a5" TargetMode="External"/><Relationship Id="rId2" Type="http://schemas.openxmlformats.org/officeDocument/2006/relationships/hyperlink" Target="https://arbiscan.io/tx/0xb1d671e9df3a86474a3fc50caea841c93e2f69bdaa666828a92579728cc2441c" TargetMode="External"/><Relationship Id="rId3" Type="http://schemas.openxmlformats.org/officeDocument/2006/relationships/hyperlink" Target="https://arbiscan.io/tx/0xdab255defd94ec1bf25961c9ecad78cd2c581c85acb3c45bb762fef48a5ca60d" TargetMode="External"/><Relationship Id="rId4" Type="http://schemas.openxmlformats.org/officeDocument/2006/relationships/hyperlink" Target="https://arbiscan.io/tx/0x1b41fdc6ec9e277a759e9c4e0fc7d79de83243de192c19add655374935df306b" TargetMode="External"/><Relationship Id="rId9" Type="http://schemas.openxmlformats.org/officeDocument/2006/relationships/hyperlink" Target="https://arbiscan.io/tx/0xec2a6970b6b636ab92f7cfe685ff4c6cda371cda6c28ada31a75cd47b257cd46" TargetMode="External"/><Relationship Id="rId5" Type="http://schemas.openxmlformats.org/officeDocument/2006/relationships/hyperlink" Target="https://arbiscan.io/tx/0xc6b7eec78c5aacbb51dafd0779ebaaaba7bbbeddebd4a566cbed63b33d6c316e" TargetMode="External"/><Relationship Id="rId6" Type="http://schemas.openxmlformats.org/officeDocument/2006/relationships/hyperlink" Target="https://finder.terra.money/mainnet/tx/D7385320E3A2DABFD438D42CDBBAED53B3C19D60D070EC8A6D68F5947364C556" TargetMode="External"/><Relationship Id="rId7" Type="http://schemas.openxmlformats.org/officeDocument/2006/relationships/hyperlink" Target="https://explorer.zksync.io/tx/0x31b11382ec189416bcb14dc02d787e75d89594bb533ff4b662b1e16ff1f03cd5" TargetMode="External"/><Relationship Id="rId8" Type="http://schemas.openxmlformats.org/officeDocument/2006/relationships/hyperlink" Target="https://etherscan.io/tx/0xa80dcd765cb6e95db45e7c3e55c5b1cea737aa4d1033ecc76410937edf43d3a1" TargetMode="External"/></Relationships>
</file>

<file path=xl/worksheets/_rels/sheet13.xml.rels><?xml version="1.0" encoding="UTF-8" standalone="yes"?><Relationships xmlns="http://schemas.openxmlformats.org/package/2006/relationships"><Relationship Id="rId31" Type="http://schemas.openxmlformats.org/officeDocument/2006/relationships/hyperlink" Target="https://arbiscan.io/tx/0xa25b9433961b649a5be4d5fd6cf4842445138a815e6d60139cf9bd0f7fb5fd37" TargetMode="External"/><Relationship Id="rId30" Type="http://schemas.openxmlformats.org/officeDocument/2006/relationships/hyperlink" Target="https://arbiscan.io/tx/0x2c2b488f8fb4fd964e155bf9e047166ad4329e401210d933fe85d0bf4b19906e" TargetMode="External"/><Relationship Id="rId33" Type="http://schemas.openxmlformats.org/officeDocument/2006/relationships/hyperlink" Target="https://arbiscan.io/tx/0x47991717c3aeaf7f72164f6fb6dd0a943e182136bc7811b8a479d1fe9b34db4f" TargetMode="External"/><Relationship Id="rId32" Type="http://schemas.openxmlformats.org/officeDocument/2006/relationships/hyperlink" Target="https://arbiscan.io/tx/0x54f1351bb91342b51a40d94497d898a1eb74e362eeb15d174e9353f51ab302e5" TargetMode="External"/><Relationship Id="rId35" Type="http://schemas.openxmlformats.org/officeDocument/2006/relationships/hyperlink" Target="http://gate.io/" TargetMode="External"/><Relationship Id="rId34" Type="http://schemas.openxmlformats.org/officeDocument/2006/relationships/hyperlink" Target="https://arbiscan.io/tx/0xa42eeaa94c76ff74a7d408f45c2a32639c1be3a2f30a9b478367cdd95907d092" TargetMode="External"/><Relationship Id="rId37" Type="http://schemas.openxmlformats.org/officeDocument/2006/relationships/hyperlink" Target="https://arbiscan.io/tx/0x6d422d075f1d661b227c9202d4cddffa376ee50d58b20498b6c17d20d4e34a19" TargetMode="External"/><Relationship Id="rId36" Type="http://schemas.openxmlformats.org/officeDocument/2006/relationships/hyperlink" Target="https://arbiscan.io/tx/0xb9014ded444cb19352a9a5aae712d50374448526b377d46a152667d58314726a" TargetMode="External"/><Relationship Id="rId38" Type="http://schemas.openxmlformats.org/officeDocument/2006/relationships/drawing" Target="../drawings/drawing13.xml"/><Relationship Id="rId20" Type="http://schemas.openxmlformats.org/officeDocument/2006/relationships/hyperlink" Target="https://polygonscan.com/tx/0x6fc596a95a3bd6ad1a725867b163a2811bf0ddd0df3813c6ebacc625256454a6" TargetMode="External"/><Relationship Id="rId22" Type="http://schemas.openxmlformats.org/officeDocument/2006/relationships/hyperlink" Target="https://etherscan.io/tx/0xa385cb39483df418e0116db27552ecd264d1546d8bbe4c8cc8db0d5207f07c73" TargetMode="External"/><Relationship Id="rId21" Type="http://schemas.openxmlformats.org/officeDocument/2006/relationships/hyperlink" Target="https://polygonscan.com/tx/0x05704b7d533b84bcbf3122701d43fb3287948457e78b148468c24bc203345b49" TargetMode="External"/><Relationship Id="rId24" Type="http://schemas.openxmlformats.org/officeDocument/2006/relationships/hyperlink" Target="https://etherscan.io/tx/0xda418632d633f78e63578aa10d514f0111de38b88b87c57a585c6acd23a6d40d" TargetMode="External"/><Relationship Id="rId23" Type="http://schemas.openxmlformats.org/officeDocument/2006/relationships/hyperlink" Target="https://arbiscan.io/tx/0x36ff81bcc3b8d00441c18f2b0e9499b2a9d6c56a237709a48725ff54f2fd22a9" TargetMode="External"/><Relationship Id="rId26" Type="http://schemas.openxmlformats.org/officeDocument/2006/relationships/hyperlink" Target="https://etherscan.io/tx/0x668888329d14a267c93b5ff27bf1bafce251782282a9601a8437a59e30d7204a" TargetMode="External"/><Relationship Id="rId25" Type="http://schemas.openxmlformats.org/officeDocument/2006/relationships/hyperlink" Target="https://arbiscan.io/tx/0xc09ddc3bda3fc23b23657f767e55187b77f0ea663721098184e891bfcbfc76fd" TargetMode="External"/><Relationship Id="rId28" Type="http://schemas.openxmlformats.org/officeDocument/2006/relationships/hyperlink" Target="https://arbiscan.io/tx/0x9d26778e33fa564f457872c77f3d2700d1483f5aadfdf494cde102850dab3e93" TargetMode="External"/><Relationship Id="rId27" Type="http://schemas.openxmlformats.org/officeDocument/2006/relationships/hyperlink" Target="https://arbiscan.io/tx/0xf86a93e63750d67bf4203b02152f84c711232edeb184142c17606c8498a9fdd1" TargetMode="External"/><Relationship Id="rId29" Type="http://schemas.openxmlformats.org/officeDocument/2006/relationships/hyperlink" Target="https://arbiscan.io/tx/0x4338262e976755421686a9b2324e99ebd6f85152d0f80494e5db48865080cb24" TargetMode="External"/><Relationship Id="rId11" Type="http://schemas.openxmlformats.org/officeDocument/2006/relationships/hyperlink" Target="https://etherscan.io/tx/0x4c572504e1c24617ca69cd5326c21cfeb311a7a5369c0002dc7937dfd910c853" TargetMode="External"/><Relationship Id="rId10" Type="http://schemas.openxmlformats.org/officeDocument/2006/relationships/hyperlink" Target="https://etherscan.io/tx/0xfa78bfb29e4a1435f8cecfd61a2b1fb4face5e1e70eef74caf20bc59eea8c181" TargetMode="External"/><Relationship Id="rId13" Type="http://schemas.openxmlformats.org/officeDocument/2006/relationships/hyperlink" Target="https://etherscan.io/tx/0xf51504f4ac50455296b74e9ba4dcc302f1d264fb20c11bf2368cb1db0d894088" TargetMode="External"/><Relationship Id="rId12" Type="http://schemas.openxmlformats.org/officeDocument/2006/relationships/hyperlink" Target="https://etherscan.io/tx/0xbd2a02e4483430245c3643ae4096874c87338b4fda642fe1d645a38c1cb4f6d4" TargetMode="External"/><Relationship Id="rId15" Type="http://schemas.openxmlformats.org/officeDocument/2006/relationships/hyperlink" Target="https://etherscan.io/tx/0x9a3ef07199236c9d88bb25da7ff4145872b722886f67f868b6a508c1ba768c46" TargetMode="External"/><Relationship Id="rId14" Type="http://schemas.openxmlformats.org/officeDocument/2006/relationships/hyperlink" Target="https://etherscan.io/tx/0xd3008d9ac0501a941d21ef09af08f22eaca67c962e137dac2e067488dc11d453" TargetMode="External"/><Relationship Id="rId17" Type="http://schemas.openxmlformats.org/officeDocument/2006/relationships/hyperlink" Target="https://etherscan.io/tx/0x8cc7588100d4b19b0bc90b849c588460640eeed14ca9e7ff70e9dd6e514cdd6e" TargetMode="External"/><Relationship Id="rId16" Type="http://schemas.openxmlformats.org/officeDocument/2006/relationships/hyperlink" Target="https://etherscan.io/tx/0x98177dcf7e0d9a92af9a58688056ffd7271f8587d8e64412e8f9a0ed7b52b567" TargetMode="External"/><Relationship Id="rId19" Type="http://schemas.openxmlformats.org/officeDocument/2006/relationships/hyperlink" Target="https://etherscan.io/tx/0xc7fe53262dc3de9fe87b5c576860903079b32e9a7d1c1e7349dc71b8681f3cec" TargetMode="External"/><Relationship Id="rId18" Type="http://schemas.openxmlformats.org/officeDocument/2006/relationships/hyperlink" Target="https://etherscan.io/tx/0xfab28408de043777e38aff0a81b07e90031c696568d12b4629b0bcba09b3bb0f" TargetMode="External"/><Relationship Id="rId1" Type="http://schemas.openxmlformats.org/officeDocument/2006/relationships/hyperlink" Target="https://etherscan.io/tx/0xc0a5a2ac37f3034cad1aa43ed3d7a311a76ce1ad42825dd5e762753de1320dee" TargetMode="External"/><Relationship Id="rId2" Type="http://schemas.openxmlformats.org/officeDocument/2006/relationships/hyperlink" Target="https://etherscan.io/tx/0x6c9a775d18984efbf2dac2bc43a58c3045325a1f4cf9bae2e6e9560165b83149" TargetMode="External"/><Relationship Id="rId3" Type="http://schemas.openxmlformats.org/officeDocument/2006/relationships/hyperlink" Target="https://etherscan.io/tx/0x13b11621609950ea721242e73c9ef8a6b7a94c2c890bd26b11db8adaabaa2c6f" TargetMode="External"/><Relationship Id="rId4" Type="http://schemas.openxmlformats.org/officeDocument/2006/relationships/hyperlink" Target="https://etherscan.io/tx/0x24969fb3157fcae88bd2d4050579e8cef8439f795cbb8e71f02e4df561a0df1e" TargetMode="External"/><Relationship Id="rId9" Type="http://schemas.openxmlformats.org/officeDocument/2006/relationships/hyperlink" Target="https://etherscan.io/tx/0x01da789dc55300110b95a6b6d35e6c4079dc31cd3e53ae41e6becb4cd54f4c18" TargetMode="External"/><Relationship Id="rId5" Type="http://schemas.openxmlformats.org/officeDocument/2006/relationships/hyperlink" Target="https://etherscan.io/tx/0x81eda885b9945985e242a3efe53e87e0d67c52558e328eed3b277257c7b4e179" TargetMode="External"/><Relationship Id="rId6" Type="http://schemas.openxmlformats.org/officeDocument/2006/relationships/hyperlink" Target="https://etherscan.io/tx/0x15bbb5f993950db0cf1848578afdfccced9c3d101957b47a2c861a382f605551" TargetMode="External"/><Relationship Id="rId7" Type="http://schemas.openxmlformats.org/officeDocument/2006/relationships/hyperlink" Target="https://etherscan.io/tx/0x1eac0d02e400465a6704bc2dff85285993636df92ae6069e9e5b91a85c49ac64" TargetMode="External"/><Relationship Id="rId8" Type="http://schemas.openxmlformats.org/officeDocument/2006/relationships/hyperlink" Target="https://etherscan.io/tx/0x2fd783040b7cfacc41a350169655d8dd37340791eb4b1afeea7302dfd942f129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arbiscan.io/tx/0x36ff81bcc3b8d00441c18f2b0e9499b2a9d6c56a237709a48725ff54f2fd22a9" TargetMode="External"/><Relationship Id="rId2" Type="http://schemas.openxmlformats.org/officeDocument/2006/relationships/hyperlink" Target="https://arbiscan.io/tx/0x68d0c2f11eacf7ad1a5d46a351103df1520265aba274ac337aa1e68e8c60ca43" TargetMode="External"/><Relationship Id="rId3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C1130"/>
    <outlinePr summaryBelow="0" summaryRight="0"/>
  </sheetPr>
  <sheetViews>
    <sheetView workbookViewId="0"/>
  </sheetViews>
  <sheetFormatPr customHeight="1" defaultColWidth="11.22" defaultRowHeight="15.75"/>
  <cols>
    <col customWidth="1" min="1" max="1" width="4.89"/>
    <col customWidth="1" min="2" max="2" width="12.56"/>
    <col customWidth="1" min="3" max="3" width="11.56"/>
    <col customWidth="1" min="4" max="4" width="19.33"/>
    <col customWidth="1" min="5" max="5" width="3.67"/>
    <col customWidth="1" min="6" max="6" width="15.44"/>
    <col customWidth="1" min="7" max="7" width="5.0"/>
    <col customWidth="1" min="8" max="8" width="11.89"/>
    <col customWidth="1" min="9" max="9" width="14.56"/>
    <col customWidth="1" min="10" max="10" width="3.78"/>
    <col customWidth="1" min="11" max="11" width="16.89"/>
    <col customWidth="1" min="12" max="12" width="2.22"/>
    <col customWidth="1" min="13" max="22" width="11.56"/>
    <col customWidth="1" min="23" max="23" width="47.78"/>
    <col customWidth="1" min="24" max="28" width="11.56"/>
  </cols>
  <sheetData>
    <row r="1" ht="20.25" customHeight="1">
      <c r="A1" s="1"/>
      <c r="B1" s="2">
        <v>340000.0</v>
      </c>
      <c r="C1" s="3">
        <f>B1*N2</f>
        <v>351884.5487</v>
      </c>
      <c r="D1" s="4">
        <f>C1+C2</f>
        <v>1319764.542</v>
      </c>
      <c r="E1" s="5" t="s">
        <v>0</v>
      </c>
      <c r="F1" s="6" t="s">
        <v>1</v>
      </c>
      <c r="G1" s="7"/>
      <c r="I1" s="7"/>
      <c r="J1" s="8"/>
      <c r="K1" s="9"/>
      <c r="L1" s="10"/>
      <c r="M1" s="11" t="s">
        <v>2</v>
      </c>
      <c r="N1" s="12">
        <f>IntelligentData!C5/IntelligentData!C4</f>
        <v>0.03510056992</v>
      </c>
      <c r="O1" s="13"/>
      <c r="P1" s="14"/>
      <c r="Q1" s="15"/>
      <c r="R1" s="16"/>
      <c r="S1" s="17"/>
      <c r="T1" s="18"/>
      <c r="U1" s="19"/>
      <c r="V1" s="18"/>
      <c r="W1" s="20"/>
      <c r="X1" s="21"/>
      <c r="Y1" s="21"/>
      <c r="Z1" s="21"/>
      <c r="AA1" s="21"/>
      <c r="AB1" s="21"/>
    </row>
    <row r="2" ht="20.25" customHeight="1">
      <c r="A2" s="10"/>
      <c r="B2" s="22" t="s">
        <v>3</v>
      </c>
      <c r="C2" s="23">
        <f>C16</f>
        <v>967879.9936</v>
      </c>
      <c r="D2" s="24"/>
      <c r="E2" s="5" t="s">
        <v>4</v>
      </c>
      <c r="F2" s="25" t="s">
        <v>5</v>
      </c>
      <c r="G2" s="7"/>
      <c r="I2" s="7" t="s">
        <v>6</v>
      </c>
      <c r="J2" s="8" t="s">
        <v>7</v>
      </c>
      <c r="K2" s="9" t="s">
        <v>8</v>
      </c>
      <c r="L2" s="10"/>
      <c r="M2" s="11" t="s">
        <v>9</v>
      </c>
      <c r="N2" s="12">
        <f>IntelligentData!I1</f>
        <v>1.034954555</v>
      </c>
      <c r="O2" s="13" t="s">
        <v>10</v>
      </c>
      <c r="P2" s="14">
        <f>IntelligentData!I2</f>
        <v>45664.88907</v>
      </c>
      <c r="Q2" s="15" t="s">
        <v>11</v>
      </c>
      <c r="R2" s="16"/>
      <c r="S2" s="26" t="s">
        <v>12</v>
      </c>
      <c r="T2" s="27">
        <f>I24/I18</f>
        <v>0.03510056992</v>
      </c>
      <c r="U2" s="28"/>
      <c r="V2" s="18"/>
      <c r="W2" s="29"/>
      <c r="X2" s="21"/>
      <c r="Y2" s="21"/>
      <c r="Z2" s="21"/>
      <c r="AA2" s="21"/>
      <c r="AB2" s="21"/>
    </row>
    <row r="3" ht="20.25" customHeight="1">
      <c r="A3" s="10"/>
      <c r="B3" s="22" t="s">
        <v>13</v>
      </c>
      <c r="C3" s="30">
        <f>(C2/I18)</f>
        <v>10.06082288</v>
      </c>
      <c r="D3" s="31"/>
      <c r="E3" s="32">
        <v>2024.0</v>
      </c>
      <c r="F3" s="33" t="s">
        <v>14</v>
      </c>
      <c r="G3" s="34"/>
      <c r="H3" s="35"/>
      <c r="I3" s="36"/>
      <c r="J3" s="8" t="s">
        <v>15</v>
      </c>
      <c r="K3" s="9" t="s">
        <v>16</v>
      </c>
      <c r="L3" s="37"/>
      <c r="M3" s="38" t="s">
        <v>17</v>
      </c>
      <c r="N3" s="39">
        <f>1/N2</f>
        <v>0.966226</v>
      </c>
      <c r="O3" s="40" t="s">
        <v>18</v>
      </c>
      <c r="P3" s="41">
        <f>IntelligentData!C2</f>
        <v>45664.8961</v>
      </c>
      <c r="Q3" s="42">
        <v>1.0</v>
      </c>
      <c r="R3" s="16"/>
      <c r="S3" s="17"/>
      <c r="T3" s="16"/>
      <c r="U3" s="43"/>
      <c r="V3" s="18"/>
      <c r="W3" s="44"/>
      <c r="X3" s="21"/>
      <c r="Y3" s="21"/>
      <c r="Z3" s="21"/>
      <c r="AA3" s="21"/>
      <c r="AB3" s="21"/>
    </row>
    <row r="4" ht="20.25" customHeight="1">
      <c r="A4" s="45"/>
      <c r="B4" s="46" t="s">
        <v>19</v>
      </c>
      <c r="C4" s="47">
        <f>C2/N2</f>
        <v>935190.8147</v>
      </c>
      <c r="D4" s="48"/>
      <c r="E4" s="49">
        <v>2020.0</v>
      </c>
      <c r="F4" s="50" t="s">
        <v>20</v>
      </c>
      <c r="G4" s="51"/>
      <c r="H4" s="52"/>
      <c r="I4" s="53">
        <v>0.0</v>
      </c>
      <c r="J4" s="8" t="s">
        <v>21</v>
      </c>
      <c r="K4" s="9" t="s">
        <v>22</v>
      </c>
      <c r="L4" s="54"/>
      <c r="M4" s="55"/>
      <c r="N4" s="56"/>
      <c r="O4" s="16"/>
      <c r="P4" s="57"/>
      <c r="Q4" s="55"/>
      <c r="R4" s="16"/>
      <c r="S4" s="17"/>
      <c r="T4" s="16"/>
      <c r="U4" s="16"/>
      <c r="V4" s="16"/>
      <c r="W4" s="20"/>
      <c r="X4" s="21"/>
      <c r="Y4" s="21"/>
      <c r="Z4" s="21"/>
      <c r="AA4" s="21"/>
      <c r="AB4" s="21"/>
    </row>
    <row r="5" ht="9.75" customHeight="1">
      <c r="A5" s="10"/>
      <c r="B5" s="10"/>
      <c r="C5" s="10"/>
      <c r="D5" s="10"/>
      <c r="E5" s="10"/>
      <c r="F5" s="1"/>
      <c r="J5" s="10"/>
      <c r="K5" s="10"/>
      <c r="L5" s="10"/>
      <c r="M5" s="20"/>
      <c r="N5" s="20"/>
      <c r="O5" s="58"/>
      <c r="P5" s="58"/>
      <c r="Q5" s="55"/>
      <c r="R5" s="20"/>
      <c r="S5" s="17"/>
      <c r="T5" s="20"/>
      <c r="U5" s="20"/>
      <c r="V5" s="20"/>
      <c r="W5" s="20"/>
      <c r="X5" s="10"/>
      <c r="Y5" s="10"/>
      <c r="Z5" s="10"/>
      <c r="AA5" s="10"/>
      <c r="AB5" s="21"/>
    </row>
    <row r="6" ht="20.25" customHeight="1">
      <c r="A6" s="10"/>
      <c r="B6" s="59" t="s">
        <v>23</v>
      </c>
      <c r="C6" s="60"/>
      <c r="D6" s="61"/>
      <c r="E6" s="10"/>
      <c r="F6" s="62" t="s">
        <v>24</v>
      </c>
      <c r="G6" s="63"/>
      <c r="H6" s="63" t="s">
        <v>25</v>
      </c>
      <c r="I6" s="64"/>
      <c r="J6" s="65"/>
      <c r="K6" s="61"/>
      <c r="L6" s="10"/>
      <c r="M6" s="66"/>
      <c r="N6" s="67">
        <v>45627.0</v>
      </c>
      <c r="O6" s="58"/>
      <c r="P6" s="68"/>
      <c r="Q6" s="55"/>
      <c r="R6" s="20"/>
      <c r="S6" s="17"/>
      <c r="T6" s="20"/>
      <c r="U6" s="20"/>
      <c r="V6" s="20"/>
      <c r="W6" s="20"/>
      <c r="X6" s="10"/>
      <c r="Y6" s="10"/>
      <c r="Z6" s="10"/>
      <c r="AA6" s="10"/>
      <c r="AB6" s="21"/>
    </row>
    <row r="7" ht="20.25" customHeight="1">
      <c r="A7" s="10"/>
      <c r="B7" s="69" t="s">
        <v>26</v>
      </c>
      <c r="C7" s="70" t="s">
        <v>27</v>
      </c>
      <c r="D7" s="71" t="s">
        <v>28</v>
      </c>
      <c r="E7" s="10"/>
      <c r="F7" s="72"/>
      <c r="G7" s="73"/>
      <c r="H7" s="73" t="s">
        <v>29</v>
      </c>
      <c r="I7" s="73"/>
      <c r="J7" s="2" t="s">
        <v>28</v>
      </c>
      <c r="K7" s="74"/>
      <c r="L7" s="10"/>
      <c r="M7" s="20"/>
      <c r="N7" s="20"/>
      <c r="O7" s="58"/>
      <c r="P7" s="68"/>
      <c r="Q7" s="75"/>
      <c r="R7" s="20"/>
      <c r="S7" s="17"/>
      <c r="T7" s="20"/>
      <c r="U7" s="20"/>
      <c r="V7" s="20"/>
      <c r="W7" s="20"/>
      <c r="X7" s="1"/>
      <c r="Y7" s="10"/>
      <c r="Z7" s="10"/>
      <c r="AA7" s="10"/>
      <c r="AB7" s="76"/>
    </row>
    <row r="8" ht="20.25" customHeight="1">
      <c r="A8" s="10"/>
      <c r="B8" s="77" t="s">
        <v>30</v>
      </c>
      <c r="C8" s="78">
        <f>I9</f>
        <v>29887.60202</v>
      </c>
      <c r="D8" s="79"/>
      <c r="E8" s="10"/>
      <c r="F8" s="80"/>
      <c r="G8" s="81"/>
      <c r="H8" s="82"/>
      <c r="I8" s="83">
        <f>'2024 Transazioni'!C10 + THe!E6</f>
        <v>3701.99754</v>
      </c>
      <c r="J8" s="84"/>
      <c r="K8" s="85"/>
      <c r="L8" s="10"/>
      <c r="M8" s="20"/>
      <c r="N8" s="20"/>
      <c r="O8" s="58"/>
      <c r="P8" s="68"/>
      <c r="Q8" s="55"/>
      <c r="R8" s="20"/>
      <c r="S8" s="17"/>
      <c r="T8" s="20"/>
      <c r="U8" s="20"/>
      <c r="V8" s="20"/>
      <c r="W8" s="20"/>
      <c r="X8" s="1"/>
      <c r="Y8" s="10"/>
      <c r="Z8" s="10"/>
      <c r="AA8" s="10"/>
      <c r="AB8" s="21"/>
    </row>
    <row r="9" ht="20.25" customHeight="1">
      <c r="A9" s="10"/>
      <c r="B9" s="86" t="s">
        <v>31</v>
      </c>
      <c r="C9" s="87">
        <f>I8</f>
        <v>3701.99754</v>
      </c>
      <c r="D9" s="88"/>
      <c r="E9" s="10"/>
      <c r="F9" s="89"/>
      <c r="G9" s="90"/>
      <c r="H9" s="91"/>
      <c r="I9" s="92">
        <f>'2024 Transazioni'!C11</f>
        <v>29887.60202</v>
      </c>
      <c r="J9" s="93"/>
      <c r="K9" s="94"/>
      <c r="L9" s="10"/>
      <c r="M9" s="20"/>
      <c r="N9" s="20"/>
      <c r="O9" s="58"/>
      <c r="P9" s="68"/>
      <c r="Q9" s="55"/>
      <c r="R9" s="66"/>
      <c r="S9" s="17"/>
      <c r="T9" s="66"/>
      <c r="U9" s="66"/>
      <c r="V9" s="66"/>
      <c r="W9" s="66"/>
      <c r="X9" s="1"/>
      <c r="Y9" s="95"/>
      <c r="Z9" s="96"/>
      <c r="AA9" s="96"/>
      <c r="AB9" s="21"/>
    </row>
    <row r="10" ht="20.25" customHeight="1">
      <c r="A10" s="10"/>
      <c r="B10" s="97" t="s">
        <v>32</v>
      </c>
      <c r="C10" s="98">
        <f>I22</f>
        <v>482511.6577</v>
      </c>
      <c r="D10" s="88"/>
      <c r="E10" s="10"/>
      <c r="F10" s="89"/>
      <c r="G10" s="99"/>
      <c r="H10" s="100"/>
      <c r="I10" s="101"/>
      <c r="J10" s="102"/>
      <c r="K10" s="103"/>
      <c r="L10" s="10"/>
      <c r="M10" s="20"/>
      <c r="N10" s="20"/>
      <c r="O10" s="58"/>
      <c r="P10" s="68"/>
      <c r="Q10" s="55"/>
      <c r="R10" s="20"/>
      <c r="S10" s="17"/>
      <c r="T10" s="20"/>
      <c r="U10" s="66"/>
      <c r="V10" s="66"/>
      <c r="W10" s="66"/>
      <c r="X10" s="1"/>
      <c r="Y10" s="10"/>
      <c r="Z10" s="10"/>
      <c r="AA10" s="10"/>
      <c r="AB10" s="21"/>
    </row>
    <row r="11" ht="20.25" customHeight="1">
      <c r="A11" s="10"/>
      <c r="B11" s="104" t="s">
        <v>33</v>
      </c>
      <c r="C11" s="105">
        <f>'2024 Transazioni'!C9*I24</f>
        <v>332803.5179</v>
      </c>
      <c r="D11" s="106"/>
      <c r="E11" s="10"/>
      <c r="F11" s="89"/>
      <c r="G11" s="90"/>
      <c r="H11" s="100"/>
      <c r="I11" s="101"/>
      <c r="J11" s="107"/>
      <c r="K11" s="103"/>
      <c r="L11" s="10"/>
      <c r="M11" s="20"/>
      <c r="N11" s="20"/>
      <c r="O11" s="58"/>
      <c r="P11" s="68"/>
      <c r="Q11" s="55"/>
      <c r="R11" s="20"/>
      <c r="S11" s="17"/>
      <c r="T11" s="108"/>
      <c r="U11" s="109"/>
      <c r="V11" s="109"/>
      <c r="W11" s="110"/>
      <c r="X11" s="111"/>
      <c r="Y11" s="1"/>
      <c r="Z11" s="4"/>
      <c r="AA11" s="24"/>
      <c r="AB11" s="21"/>
    </row>
    <row r="12" ht="20.25" customHeight="1">
      <c r="A12" s="10"/>
      <c r="B12" s="89" t="s">
        <v>34</v>
      </c>
      <c r="C12" s="92">
        <f>I39</f>
        <v>99734.64527</v>
      </c>
      <c r="D12" s="88"/>
      <c r="E12" s="10"/>
      <c r="F12" s="89"/>
      <c r="G12" s="112"/>
      <c r="H12" s="100"/>
      <c r="I12" s="113"/>
      <c r="J12" s="114" t="s">
        <v>35</v>
      </c>
      <c r="K12" s="94"/>
      <c r="L12" s="10"/>
      <c r="M12" s="20"/>
      <c r="N12" s="20"/>
      <c r="O12" s="58"/>
      <c r="P12" s="68"/>
      <c r="Q12" s="55"/>
      <c r="R12" s="66"/>
      <c r="S12" s="17"/>
      <c r="T12" s="109"/>
      <c r="U12" s="109"/>
      <c r="V12" s="109"/>
      <c r="W12" s="109"/>
      <c r="X12" s="111"/>
      <c r="Y12" s="115"/>
      <c r="Z12" s="24"/>
      <c r="AA12" s="24"/>
      <c r="AB12" s="21"/>
    </row>
    <row r="13" ht="20.25" customHeight="1">
      <c r="A13" s="10"/>
      <c r="B13" s="116" t="s">
        <v>36</v>
      </c>
      <c r="C13" s="92">
        <f>D13*I18</f>
        <v>19240.57317</v>
      </c>
      <c r="D13" s="117">
        <f>Ordinals!F1</f>
        <v>0.2</v>
      </c>
      <c r="E13" s="10"/>
      <c r="F13" s="89"/>
      <c r="G13" s="118"/>
      <c r="H13" s="119"/>
      <c r="I13" s="120"/>
      <c r="J13" s="121"/>
      <c r="K13" s="103"/>
      <c r="L13" s="10"/>
      <c r="M13" s="20"/>
      <c r="N13" s="20"/>
      <c r="O13" s="58"/>
      <c r="P13" s="68"/>
      <c r="Q13" s="55"/>
      <c r="R13" s="66"/>
      <c r="S13" s="17"/>
      <c r="T13" s="109"/>
      <c r="U13" s="109"/>
      <c r="V13" s="109"/>
      <c r="W13" s="109"/>
      <c r="X13" s="122"/>
      <c r="Y13" s="4"/>
      <c r="Z13" s="24"/>
      <c r="AA13" s="24"/>
      <c r="AB13" s="21"/>
    </row>
    <row r="14" ht="20.25" customHeight="1">
      <c r="A14" s="10"/>
      <c r="B14" s="116"/>
      <c r="C14" s="92"/>
      <c r="D14" s="88"/>
      <c r="E14" s="10"/>
      <c r="F14" s="89"/>
      <c r="G14" s="123"/>
      <c r="H14" s="124"/>
      <c r="I14" s="124"/>
      <c r="J14" s="125"/>
      <c r="K14" s="103"/>
      <c r="L14" s="10"/>
      <c r="M14" s="20"/>
      <c r="N14" s="20"/>
      <c r="O14" s="58"/>
      <c r="P14" s="68"/>
      <c r="Q14" s="55"/>
      <c r="R14" s="20"/>
      <c r="S14" s="17"/>
      <c r="T14" s="110"/>
      <c r="U14" s="109"/>
      <c r="V14" s="110"/>
      <c r="W14" s="109"/>
      <c r="X14" s="126"/>
      <c r="Y14" s="10"/>
      <c r="Z14" s="24"/>
      <c r="AA14" s="24"/>
      <c r="AB14" s="21"/>
    </row>
    <row r="15" ht="20.25" customHeight="1">
      <c r="A15" s="10"/>
      <c r="B15" s="127"/>
      <c r="C15" s="128"/>
      <c r="D15" s="129"/>
      <c r="E15" s="10"/>
      <c r="F15" s="130"/>
      <c r="G15" s="131"/>
      <c r="H15" s="132"/>
      <c r="I15" s="133"/>
      <c r="J15" s="134"/>
      <c r="K15" s="135"/>
      <c r="L15" s="10"/>
      <c r="M15" s="55"/>
      <c r="N15" s="56"/>
      <c r="O15" s="16"/>
      <c r="P15" s="57"/>
      <c r="Q15" s="55"/>
      <c r="R15" s="20"/>
      <c r="S15" s="17"/>
      <c r="T15" s="110"/>
      <c r="U15" s="109"/>
      <c r="V15" s="110"/>
      <c r="W15" s="109"/>
      <c r="X15" s="126"/>
      <c r="Y15" s="10"/>
      <c r="Z15" s="24"/>
      <c r="AA15" s="24"/>
      <c r="AB15" s="21"/>
    </row>
    <row r="16" ht="20.25" customHeight="1">
      <c r="A16" s="21"/>
      <c r="B16" s="73" t="s">
        <v>37</v>
      </c>
      <c r="C16" s="136">
        <f>SUM(C8:C15)</f>
        <v>967879.9936</v>
      </c>
      <c r="D16" s="137"/>
      <c r="E16" s="21"/>
      <c r="F16" s="73" t="s">
        <v>37</v>
      </c>
      <c r="G16" s="136"/>
      <c r="H16" s="136"/>
      <c r="I16" s="136">
        <f>SUM(I8:I15)</f>
        <v>33589.59956</v>
      </c>
      <c r="J16" s="138"/>
      <c r="K16" s="139">
        <f>I16/N2</f>
        <v>32455.14443</v>
      </c>
      <c r="L16" s="54"/>
      <c r="M16" s="55"/>
      <c r="N16" s="56"/>
      <c r="O16" s="16"/>
      <c r="P16" s="57"/>
      <c r="Q16" s="55"/>
      <c r="R16" s="66"/>
      <c r="S16" s="17"/>
      <c r="T16" s="109"/>
      <c r="U16" s="109"/>
      <c r="V16" s="109"/>
      <c r="W16" s="109"/>
      <c r="X16" s="111"/>
      <c r="Y16" s="1"/>
      <c r="Z16" s="24"/>
      <c r="AA16" s="24"/>
      <c r="AB16" s="21"/>
    </row>
    <row r="17" ht="20.25" customHeight="1">
      <c r="A17" s="21"/>
      <c r="B17" s="73"/>
      <c r="C17" s="136"/>
      <c r="D17" s="137"/>
      <c r="E17" s="21"/>
      <c r="F17" s="1" t="s">
        <v>38</v>
      </c>
      <c r="G17" s="1" t="s">
        <v>39</v>
      </c>
      <c r="H17" s="10"/>
      <c r="I17" s="10"/>
      <c r="J17" s="10"/>
      <c r="K17" s="10"/>
      <c r="L17" s="54"/>
      <c r="M17" s="55"/>
      <c r="N17" s="56"/>
      <c r="O17" s="16"/>
      <c r="P17" s="57"/>
      <c r="Q17" s="55"/>
      <c r="R17" s="20"/>
      <c r="S17" s="17"/>
      <c r="T17" s="109"/>
      <c r="U17" s="109"/>
      <c r="V17" s="109"/>
      <c r="W17" s="109"/>
      <c r="X17" s="111"/>
      <c r="Y17" s="10"/>
      <c r="Z17" s="24"/>
      <c r="AA17" s="24"/>
      <c r="AB17" s="21"/>
    </row>
    <row r="18" ht="20.25" customHeight="1">
      <c r="A18" s="21"/>
      <c r="B18" s="73"/>
      <c r="C18" s="136"/>
      <c r="D18" s="137"/>
      <c r="E18" s="2"/>
      <c r="F18" s="140"/>
      <c r="G18" s="63"/>
      <c r="H18" s="63"/>
      <c r="I18" s="64">
        <f>IntelligentData!C4</f>
        <v>96202.86587</v>
      </c>
      <c r="J18" s="65"/>
      <c r="K18" s="61"/>
      <c r="L18" s="21"/>
      <c r="M18" s="20"/>
      <c r="N18" s="56"/>
      <c r="O18" s="16"/>
      <c r="P18" s="57"/>
      <c r="Q18" s="55"/>
      <c r="R18" s="20"/>
      <c r="S18" s="17"/>
      <c r="T18" s="109"/>
      <c r="U18" s="109"/>
      <c r="V18" s="109"/>
      <c r="W18" s="109"/>
      <c r="X18" s="111"/>
      <c r="Y18" s="10"/>
      <c r="Z18" s="24"/>
      <c r="AA18" s="24"/>
      <c r="AB18" s="21"/>
    </row>
    <row r="19" ht="20.25" customHeight="1">
      <c r="A19" s="141"/>
      <c r="B19" s="73"/>
      <c r="C19" s="136"/>
      <c r="D19" s="137"/>
      <c r="E19" s="136"/>
      <c r="F19" s="72"/>
      <c r="G19" s="73"/>
      <c r="H19" s="73" t="s">
        <v>40</v>
      </c>
      <c r="I19" s="73" t="s">
        <v>41</v>
      </c>
      <c r="J19" s="2" t="s">
        <v>28</v>
      </c>
      <c r="K19" s="74"/>
      <c r="L19" s="21"/>
      <c r="M19" s="20"/>
      <c r="N19" s="56"/>
      <c r="O19" s="16"/>
      <c r="P19" s="57"/>
      <c r="Q19" s="55"/>
      <c r="R19" s="20"/>
      <c r="S19" s="17"/>
      <c r="T19" s="20"/>
      <c r="U19" s="20"/>
      <c r="V19" s="20"/>
      <c r="W19" s="20"/>
      <c r="X19" s="10"/>
      <c r="Y19" s="10"/>
      <c r="Z19" s="10"/>
      <c r="AA19" s="10"/>
      <c r="AB19" s="21"/>
    </row>
    <row r="20" ht="20.25" customHeight="1">
      <c r="A20" s="141"/>
      <c r="B20" s="73"/>
      <c r="C20" s="136"/>
      <c r="D20" s="137"/>
      <c r="E20" s="136"/>
      <c r="F20" s="80"/>
      <c r="G20" s="142"/>
      <c r="H20" s="143">
        <f>'2024 Transazioni'!C8</f>
        <v>5.01556428</v>
      </c>
      <c r="I20" s="144">
        <f>H20*$I$18</f>
        <v>482511.6577</v>
      </c>
      <c r="J20" s="145"/>
      <c r="K20" s="85"/>
      <c r="L20" s="21"/>
      <c r="M20" s="20"/>
      <c r="N20" s="146" t="s">
        <v>42</v>
      </c>
      <c r="O20" s="16"/>
      <c r="P20" s="57"/>
      <c r="Q20" s="55"/>
      <c r="R20" s="16"/>
      <c r="S20" s="17"/>
      <c r="T20" s="16"/>
      <c r="U20" s="16"/>
      <c r="V20" s="16"/>
      <c r="W20" s="20"/>
      <c r="X20" s="21"/>
      <c r="Y20" s="21"/>
      <c r="Z20" s="21"/>
      <c r="AA20" s="21"/>
      <c r="AB20" s="21"/>
    </row>
    <row r="21" ht="20.25" customHeight="1">
      <c r="A21" s="141"/>
      <c r="B21" s="73"/>
      <c r="C21" s="136"/>
      <c r="D21" s="137"/>
      <c r="E21" s="139"/>
      <c r="F21" s="127"/>
      <c r="G21" s="147"/>
      <c r="H21" s="148"/>
      <c r="I21" s="149"/>
      <c r="J21" s="150"/>
      <c r="K21" s="135"/>
      <c r="L21" s="21"/>
      <c r="M21" s="151" t="s">
        <v>43</v>
      </c>
      <c r="N21" s="56">
        <f>N2</f>
        <v>1.034954555</v>
      </c>
      <c r="O21" s="16">
        <f>C2</f>
        <v>967879.9936</v>
      </c>
      <c r="P21" s="57">
        <f>C4</f>
        <v>935190.8147</v>
      </c>
      <c r="Q21" s="55">
        <f>C3</f>
        <v>10.06082288</v>
      </c>
      <c r="R21" s="16">
        <f>I22</f>
        <v>482511.6577</v>
      </c>
      <c r="S21" s="17">
        <f>I28</f>
        <v>332803.5179</v>
      </c>
      <c r="T21" s="16" t="str">
        <f>I52</f>
        <v/>
      </c>
      <c r="U21" s="16">
        <f>C16</f>
        <v>967879.9936</v>
      </c>
      <c r="V21" s="16">
        <f>I16</f>
        <v>33589.59956</v>
      </c>
      <c r="W21" s="152" t="s">
        <v>28</v>
      </c>
      <c r="X21" s="10"/>
      <c r="Y21" s="10"/>
      <c r="Z21" s="10"/>
      <c r="AA21" s="10"/>
      <c r="AB21" s="21"/>
    </row>
    <row r="22" ht="20.25" customHeight="1">
      <c r="A22" s="141"/>
      <c r="B22" s="73"/>
      <c r="C22" s="136"/>
      <c r="D22" s="137"/>
      <c r="E22" s="139"/>
      <c r="F22" s="73" t="s">
        <v>37</v>
      </c>
      <c r="G22" s="138"/>
      <c r="H22" s="138">
        <f t="shared" ref="H22:I22" si="1">SUM(H20:H21)</f>
        <v>5.01556428</v>
      </c>
      <c r="I22" s="136">
        <f t="shared" si="1"/>
        <v>482511.6577</v>
      </c>
      <c r="J22" s="136"/>
      <c r="L22" s="21"/>
      <c r="M22" s="153" t="s">
        <v>44</v>
      </c>
      <c r="N22" s="146" t="s">
        <v>9</v>
      </c>
      <c r="O22" s="154" t="s">
        <v>45</v>
      </c>
      <c r="P22" s="155" t="s">
        <v>46</v>
      </c>
      <c r="Q22" s="156" t="s">
        <v>47</v>
      </c>
      <c r="R22" s="154" t="s">
        <v>32</v>
      </c>
      <c r="S22" s="157" t="s">
        <v>33</v>
      </c>
      <c r="T22" s="154"/>
      <c r="U22" s="154" t="s">
        <v>48</v>
      </c>
      <c r="V22" s="154" t="s">
        <v>25</v>
      </c>
      <c r="W22" s="20"/>
      <c r="X22" s="10"/>
      <c r="Y22" s="10"/>
      <c r="Z22" s="10"/>
      <c r="AA22" s="10"/>
      <c r="AB22" s="21"/>
    </row>
    <row r="23" ht="20.25" customHeight="1">
      <c r="A23" s="141"/>
      <c r="B23" s="73"/>
      <c r="C23" s="136"/>
      <c r="D23" s="137"/>
      <c r="E23" s="139"/>
      <c r="F23" s="73"/>
      <c r="G23" s="138"/>
      <c r="H23" s="158"/>
      <c r="I23" s="9"/>
      <c r="J23" s="136"/>
      <c r="L23" s="21"/>
      <c r="M23" s="159">
        <v>45006.64959592593</v>
      </c>
      <c r="N23" s="160">
        <v>1.07696880667548</v>
      </c>
      <c r="O23" s="160">
        <v>309978.1956534079</v>
      </c>
      <c r="P23" s="160">
        <v>287824.6739664511</v>
      </c>
      <c r="Q23" s="160">
        <v>11.13143577942295</v>
      </c>
      <c r="R23" s="160">
        <v>0.0</v>
      </c>
      <c r="S23" s="161">
        <v>30669.278099794457</v>
      </c>
      <c r="T23" s="160"/>
      <c r="U23" s="160">
        <v>309978.1956534079</v>
      </c>
      <c r="V23" s="160">
        <v>279308.9175536134</v>
      </c>
      <c r="W23" s="20"/>
      <c r="X23" s="10"/>
      <c r="Y23" s="10"/>
      <c r="Z23" s="10"/>
      <c r="AA23" s="10"/>
      <c r="AB23" s="21"/>
    </row>
    <row r="24" ht="20.25" customHeight="1">
      <c r="A24" s="141"/>
      <c r="B24" s="73"/>
      <c r="C24" s="136"/>
      <c r="D24" s="137"/>
      <c r="E24" s="139"/>
      <c r="F24" s="140"/>
      <c r="G24" s="63"/>
      <c r="H24" s="63" t="s">
        <v>49</v>
      </c>
      <c r="I24" s="162">
        <f>I18*N1</f>
        <v>3376.77542</v>
      </c>
      <c r="J24" s="65"/>
      <c r="K24" s="61"/>
      <c r="L24" s="21"/>
      <c r="M24" s="159">
        <v>45007.50874858796</v>
      </c>
      <c r="N24" s="160">
        <v>1.07883826380401</v>
      </c>
      <c r="O24" s="160">
        <v>310363.873683658</v>
      </c>
      <c r="P24" s="160">
        <v>287683.4128864761</v>
      </c>
      <c r="Q24" s="160">
        <v>11.000943605180716</v>
      </c>
      <c r="R24" s="160">
        <v>0.0</v>
      </c>
      <c r="S24" s="161">
        <v>30469.30938062172</v>
      </c>
      <c r="T24" s="160"/>
      <c r="U24" s="160">
        <v>310363.873683658</v>
      </c>
      <c r="V24" s="160">
        <v>279894.5643030363</v>
      </c>
      <c r="W24" s="20"/>
      <c r="X24" s="10"/>
      <c r="Y24" s="10"/>
      <c r="Z24" s="10"/>
      <c r="AA24" s="10"/>
      <c r="AB24" s="21"/>
    </row>
    <row r="25" ht="20.25" customHeight="1">
      <c r="A25" s="21"/>
      <c r="B25" s="73"/>
      <c r="C25" s="136"/>
      <c r="D25" s="137"/>
      <c r="E25" s="21"/>
      <c r="F25" s="72"/>
      <c r="G25" s="73"/>
      <c r="H25" s="73" t="s">
        <v>40</v>
      </c>
      <c r="I25" s="73" t="s">
        <v>41</v>
      </c>
      <c r="J25" s="2" t="s">
        <v>28</v>
      </c>
      <c r="K25" s="74"/>
      <c r="L25" s="21"/>
      <c r="M25" s="159">
        <v>45008.78657892361</v>
      </c>
      <c r="N25" s="160">
        <v>1.0880102360003</v>
      </c>
      <c r="O25" s="160">
        <v>315639.7615191806</v>
      </c>
      <c r="P25" s="160">
        <v>290107.34557013266</v>
      </c>
      <c r="Q25" s="160">
        <v>11.148818083017122</v>
      </c>
      <c r="R25" s="160">
        <v>0.0</v>
      </c>
      <c r="S25" s="161">
        <v>294.3966610106777</v>
      </c>
      <c r="T25" s="160"/>
      <c r="U25" s="160">
        <v>315639.7615191806</v>
      </c>
      <c r="V25" s="160">
        <v>315345.3648581699</v>
      </c>
      <c r="W25" s="163" t="s">
        <v>50</v>
      </c>
      <c r="X25" s="10"/>
      <c r="Y25" s="10"/>
      <c r="Z25" s="10"/>
      <c r="AA25" s="10"/>
      <c r="AB25" s="21"/>
    </row>
    <row r="26" ht="20.25" customHeight="1">
      <c r="A26" s="139"/>
      <c r="B26" s="73"/>
      <c r="C26" s="9"/>
      <c r="D26" s="137"/>
      <c r="E26" s="21"/>
      <c r="F26" s="80" t="s">
        <v>33</v>
      </c>
      <c r="G26" s="164"/>
      <c r="H26" s="165">
        <f>'2024 Transazioni'!C9</f>
        <v>98.55660401</v>
      </c>
      <c r="I26" s="144">
        <f>$I$24*H26</f>
        <v>332803.5179</v>
      </c>
      <c r="J26" s="166"/>
      <c r="K26" s="85"/>
      <c r="L26" s="21"/>
      <c r="M26" s="159">
        <v>45009.50875378472</v>
      </c>
      <c r="N26" s="160">
        <v>1.0726241642917</v>
      </c>
      <c r="O26" s="160">
        <v>314508.891512571</v>
      </c>
      <c r="P26" s="160">
        <v>293214.4379949288</v>
      </c>
      <c r="Q26" s="160">
        <v>11.222737117125352</v>
      </c>
      <c r="R26" s="160">
        <v>0.0</v>
      </c>
      <c r="S26" s="161">
        <v>287.3714902123748</v>
      </c>
      <c r="T26" s="160"/>
      <c r="U26" s="160">
        <v>314508.891512571</v>
      </c>
      <c r="V26" s="160">
        <v>314221.5200223586</v>
      </c>
      <c r="W26" s="20"/>
      <c r="X26" s="167"/>
      <c r="Y26" s="10"/>
      <c r="Z26" s="10"/>
      <c r="AA26" s="10"/>
      <c r="AB26" s="21"/>
    </row>
    <row r="27" ht="20.25" customHeight="1">
      <c r="A27" s="139"/>
      <c r="D27" s="139"/>
      <c r="E27" s="21"/>
      <c r="F27" s="127"/>
      <c r="G27" s="168"/>
      <c r="H27" s="169"/>
      <c r="I27" s="128"/>
      <c r="J27" s="170"/>
      <c r="K27" s="135"/>
      <c r="L27" s="21"/>
      <c r="M27" s="159">
        <v>45010.508746782405</v>
      </c>
      <c r="N27" s="160">
        <v>1.0776442696266</v>
      </c>
      <c r="O27" s="160">
        <v>314630.68447500886</v>
      </c>
      <c r="P27" s="160">
        <v>291961.5436585835</v>
      </c>
      <c r="Q27" s="160">
        <v>11.436759455818475</v>
      </c>
      <c r="R27" s="160">
        <v>0.0</v>
      </c>
      <c r="S27" s="161">
        <v>272.73637607956687</v>
      </c>
      <c r="T27" s="160"/>
      <c r="U27" s="160">
        <v>314630.68447500886</v>
      </c>
      <c r="V27" s="160">
        <v>314357.9480989293</v>
      </c>
      <c r="W27" s="20"/>
      <c r="X27" s="10"/>
      <c r="Y27" s="10"/>
      <c r="Z27" s="10"/>
      <c r="AA27" s="10"/>
      <c r="AB27" s="21"/>
    </row>
    <row r="28" ht="20.25" customHeight="1">
      <c r="A28" s="139"/>
      <c r="E28" s="21"/>
      <c r="F28" s="73" t="s">
        <v>37</v>
      </c>
      <c r="G28" s="171"/>
      <c r="H28" s="171">
        <f>I28/I24</f>
        <v>98.55660401</v>
      </c>
      <c r="I28" s="136">
        <f>SUM(I26:I27)</f>
        <v>332803.5179</v>
      </c>
      <c r="J28" s="172"/>
      <c r="L28" s="21"/>
      <c r="M28" s="159">
        <v>45011.50875070602</v>
      </c>
      <c r="N28" s="160">
        <v>1.07820896552319</v>
      </c>
      <c r="O28" s="160">
        <v>314663.27080619556</v>
      </c>
      <c r="P28" s="160">
        <v>291838.8557949974</v>
      </c>
      <c r="Q28" s="160">
        <v>11.35858904094808</v>
      </c>
      <c r="R28" s="160">
        <v>0.0</v>
      </c>
      <c r="S28" s="161">
        <v>276.6349183013909</v>
      </c>
      <c r="T28" s="160"/>
      <c r="U28" s="160">
        <v>314663.27080619556</v>
      </c>
      <c r="V28" s="160">
        <v>314386.6358878942</v>
      </c>
      <c r="W28" s="20"/>
      <c r="X28" s="10"/>
      <c r="Y28" s="10"/>
      <c r="Z28" s="10"/>
      <c r="AA28" s="10"/>
      <c r="AB28" s="21"/>
    </row>
    <row r="29" ht="20.25" customHeight="1">
      <c r="A29" s="139"/>
      <c r="B29" s="10"/>
      <c r="C29" s="10"/>
      <c r="D29" s="10"/>
      <c r="E29" s="21"/>
      <c r="F29" s="73"/>
      <c r="G29" s="173"/>
      <c r="H29" s="174"/>
      <c r="I29" s="9"/>
      <c r="J29" s="175"/>
      <c r="L29" s="21"/>
      <c r="M29" s="159">
        <v>45012.84532541667</v>
      </c>
      <c r="N29" s="160">
        <v>1.07869977843507</v>
      </c>
      <c r="O29" s="160">
        <v>314553.3834161226</v>
      </c>
      <c r="P29" s="160">
        <v>291604.19766884786</v>
      </c>
      <c r="Q29" s="160">
        <v>11.65206737626841</v>
      </c>
      <c r="R29" s="160">
        <v>0.0</v>
      </c>
      <c r="S29" s="161">
        <v>3576.3709167865172</v>
      </c>
      <c r="T29" s="160"/>
      <c r="U29" s="160">
        <v>314553.3834161226</v>
      </c>
      <c r="V29" s="160">
        <v>310977.01249933604</v>
      </c>
      <c r="W29" s="20"/>
      <c r="X29" s="10"/>
      <c r="Y29" s="10"/>
      <c r="Z29" s="10"/>
      <c r="AA29" s="10"/>
      <c r="AB29" s="21"/>
    </row>
    <row r="30" ht="20.25" customHeight="1">
      <c r="A30" s="139"/>
      <c r="B30" s="10"/>
      <c r="C30" s="10"/>
      <c r="D30" s="10"/>
      <c r="E30" s="21"/>
      <c r="F30" s="80" t="s">
        <v>51</v>
      </c>
      <c r="G30" s="176"/>
      <c r="H30" s="176"/>
      <c r="I30" s="177">
        <f>'2024 Transazioni'!AP11</f>
        <v>21534.96231</v>
      </c>
      <c r="J30" s="178"/>
      <c r="K30" s="85"/>
      <c r="L30" s="21"/>
      <c r="M30" s="159">
        <v>45013.50875471065</v>
      </c>
      <c r="N30" s="160">
        <v>1.0815195349466</v>
      </c>
      <c r="O30" s="160">
        <v>314910.58960981993</v>
      </c>
      <c r="P30" s="160">
        <v>291174.2039179797</v>
      </c>
      <c r="Q30" s="160">
        <v>11.701529275760723</v>
      </c>
      <c r="R30" s="160">
        <v>0.0</v>
      </c>
      <c r="S30" s="161">
        <v>3790.3273007657144</v>
      </c>
      <c r="T30" s="160"/>
      <c r="U30" s="160">
        <v>314910.58960981993</v>
      </c>
      <c r="V30" s="160">
        <v>311120.2623090542</v>
      </c>
      <c r="W30" s="20"/>
      <c r="X30" s="10"/>
      <c r="Y30" s="10"/>
      <c r="Z30" s="10"/>
      <c r="AA30" s="10"/>
      <c r="AB30" s="21"/>
    </row>
    <row r="31" ht="20.25" customHeight="1">
      <c r="A31" s="139"/>
      <c r="B31" s="10"/>
      <c r="C31" s="10"/>
      <c r="D31" s="10"/>
      <c r="E31" s="21"/>
      <c r="F31" s="116" t="s">
        <v>52</v>
      </c>
      <c r="G31" s="179"/>
      <c r="H31" s="179"/>
      <c r="I31" s="92">
        <f>'2024 Transazioni'!AO11</f>
        <v>10633.66035</v>
      </c>
      <c r="J31" s="180"/>
      <c r="K31" s="103"/>
      <c r="L31" s="21"/>
      <c r="M31" s="159">
        <v>45014.50875216435</v>
      </c>
      <c r="N31" s="160">
        <v>1.08436347863804</v>
      </c>
      <c r="O31" s="160">
        <v>315260.2066465904</v>
      </c>
      <c r="P31" s="160">
        <v>290732.9625694855</v>
      </c>
      <c r="Q31" s="160">
        <v>11.123479029867827</v>
      </c>
      <c r="R31" s="160">
        <v>0.0</v>
      </c>
      <c r="S31" s="161">
        <v>3995.465766077155</v>
      </c>
      <c r="T31" s="160"/>
      <c r="U31" s="160">
        <v>315260.2066465904</v>
      </c>
      <c r="V31" s="160">
        <v>311264.7408805132</v>
      </c>
      <c r="W31" s="20"/>
      <c r="X31" s="21"/>
      <c r="Y31" s="21"/>
      <c r="Z31" s="21"/>
      <c r="AA31" s="21"/>
      <c r="AB31" s="21"/>
    </row>
    <row r="32" ht="20.25" customHeight="1">
      <c r="A32" s="139"/>
      <c r="B32" s="10"/>
      <c r="C32" s="10"/>
      <c r="D32" s="10"/>
      <c r="E32" s="21"/>
      <c r="F32" s="116" t="s">
        <v>53</v>
      </c>
      <c r="G32" s="179"/>
      <c r="H32" s="179"/>
      <c r="I32" s="181">
        <f>THe!G6</f>
        <v>-0.0000007007316385</v>
      </c>
      <c r="J32" s="121"/>
      <c r="K32" s="103"/>
      <c r="L32" s="21"/>
      <c r="M32" s="159">
        <v>45015.508753472226</v>
      </c>
      <c r="N32" s="160">
        <v>1.08717159264115</v>
      </c>
      <c r="O32" s="160">
        <v>315372.417916059</v>
      </c>
      <c r="P32" s="160">
        <v>290085.22670271434</v>
      </c>
      <c r="Q32" s="160">
        <v>11.035640963325267</v>
      </c>
      <c r="R32" s="160">
        <v>0.0</v>
      </c>
      <c r="S32" s="161">
        <v>3965.0186907676384</v>
      </c>
      <c r="T32" s="160"/>
      <c r="U32" s="160">
        <v>315372.417916059</v>
      </c>
      <c r="V32" s="160">
        <v>311407.3992252914</v>
      </c>
      <c r="W32" s="20"/>
      <c r="X32" s="21"/>
      <c r="Y32" s="21"/>
      <c r="Z32" s="21"/>
      <c r="AA32" s="21"/>
      <c r="AB32" s="21"/>
    </row>
    <row r="33" ht="20.25" customHeight="1">
      <c r="A33" s="139"/>
      <c r="B33" s="10"/>
      <c r="C33" s="10"/>
      <c r="D33" s="10"/>
      <c r="E33" s="21"/>
      <c r="F33" s="116" t="s">
        <v>54</v>
      </c>
      <c r="G33" s="179"/>
      <c r="H33" s="179"/>
      <c r="I33" s="181">
        <f>'2024 Transazioni'!AS11</f>
        <v>12012.82591</v>
      </c>
      <c r="J33" s="121"/>
      <c r="K33" s="103"/>
      <c r="L33" s="54"/>
      <c r="M33" s="159">
        <v>45016.508758344906</v>
      </c>
      <c r="N33" s="160">
        <v>1.08833231574262</v>
      </c>
      <c r="O33" s="160">
        <v>315408.43926912796</v>
      </c>
      <c r="P33" s="160">
        <v>289808.94411272724</v>
      </c>
      <c r="Q33" s="160">
        <v>11.339318351859923</v>
      </c>
      <c r="R33" s="160">
        <v>0.0</v>
      </c>
      <c r="S33" s="161">
        <v>3942.072766789329</v>
      </c>
      <c r="T33" s="160"/>
      <c r="U33" s="160">
        <v>315408.43926912796</v>
      </c>
      <c r="V33" s="160">
        <v>311466.3665023386</v>
      </c>
      <c r="W33" s="20"/>
      <c r="X33" s="21"/>
      <c r="Y33" s="21"/>
      <c r="Z33" s="21"/>
      <c r="AA33" s="21"/>
      <c r="AB33" s="21"/>
    </row>
    <row r="34" ht="20.25" customHeight="1">
      <c r="A34" s="139"/>
      <c r="B34" s="10"/>
      <c r="C34" s="10"/>
      <c r="D34" s="10"/>
      <c r="E34" s="21"/>
      <c r="F34" s="116" t="s">
        <v>55</v>
      </c>
      <c r="G34" s="182"/>
      <c r="H34" s="182"/>
      <c r="I34" s="181">
        <f>THe!I6</f>
        <v>25756.08</v>
      </c>
      <c r="J34" s="121"/>
      <c r="K34" s="103"/>
      <c r="L34" s="54"/>
      <c r="M34" s="159">
        <v>45017.508745706014</v>
      </c>
      <c r="N34" s="160">
        <v>1.0867498030266</v>
      </c>
      <c r="O34" s="160">
        <v>315405.320567365</v>
      </c>
      <c r="P34" s="160">
        <v>290228.09085307457</v>
      </c>
      <c r="Q34" s="160">
        <v>11.092072586646935</v>
      </c>
      <c r="R34" s="160">
        <v>0.0</v>
      </c>
      <c r="S34" s="161">
        <v>4019.3491787603148</v>
      </c>
      <c r="T34" s="160"/>
      <c r="U34" s="160">
        <v>315405.320567365</v>
      </c>
      <c r="V34" s="160">
        <v>311385.97138860467</v>
      </c>
      <c r="W34" s="20"/>
      <c r="X34" s="21"/>
      <c r="Y34" s="21"/>
      <c r="Z34" s="21"/>
      <c r="AA34" s="21"/>
      <c r="AB34" s="21"/>
    </row>
    <row r="35" ht="20.25" customHeight="1">
      <c r="A35" s="139"/>
      <c r="B35" s="21"/>
      <c r="C35" s="21"/>
      <c r="D35" s="21"/>
      <c r="E35" s="21"/>
      <c r="F35" s="116" t="s">
        <v>56</v>
      </c>
      <c r="G35" s="183"/>
      <c r="H35" s="183"/>
      <c r="I35" s="181">
        <f>'2024 Transazioni'!AT11</f>
        <v>18032.81097</v>
      </c>
      <c r="J35" s="121"/>
      <c r="K35" s="103"/>
      <c r="L35" s="54"/>
      <c r="M35" s="159">
        <v>45018.508766597224</v>
      </c>
      <c r="N35" s="160">
        <v>1.08711249874982</v>
      </c>
      <c r="O35" s="160">
        <v>315414.3044608664</v>
      </c>
      <c r="P35" s="160">
        <v>290139.5254158084</v>
      </c>
      <c r="Q35" s="160">
        <v>11.106133965366903</v>
      </c>
      <c r="R35" s="160">
        <v>0.0</v>
      </c>
      <c r="S35" s="161">
        <v>4009.9073347469484</v>
      </c>
      <c r="T35" s="160"/>
      <c r="U35" s="160">
        <v>315414.3044608664</v>
      </c>
      <c r="V35" s="160">
        <v>311404.3971261194</v>
      </c>
      <c r="W35" s="20"/>
      <c r="X35" s="21"/>
      <c r="Y35" s="21"/>
      <c r="Z35" s="21"/>
      <c r="AA35" s="21"/>
      <c r="AB35" s="21"/>
    </row>
    <row r="36" ht="20.25" customHeight="1">
      <c r="A36" s="139"/>
      <c r="B36" s="21"/>
      <c r="C36" s="21"/>
      <c r="D36" s="21"/>
      <c r="E36" s="21"/>
      <c r="F36" s="116" t="s">
        <v>57</v>
      </c>
      <c r="G36" s="184"/>
      <c r="H36" s="183"/>
      <c r="I36" s="181">
        <f>'2024 Transazioni'!AQ11</f>
        <v>11764.30573</v>
      </c>
      <c r="J36" s="121"/>
      <c r="K36" s="103"/>
      <c r="L36" s="54"/>
      <c r="M36" s="159">
        <v>45019.50874996527</v>
      </c>
      <c r="N36" s="160">
        <v>1.08483166667028</v>
      </c>
      <c r="O36" s="160">
        <v>314980.35409493634</v>
      </c>
      <c r="P36" s="160">
        <v>290349.52036542125</v>
      </c>
      <c r="Q36" s="160">
        <v>11.11836086303495</v>
      </c>
      <c r="R36" s="160">
        <v>0.0</v>
      </c>
      <c r="S36" s="161">
        <v>332.82823644491754</v>
      </c>
      <c r="T36" s="160"/>
      <c r="U36" s="160">
        <v>314980.35409493634</v>
      </c>
      <c r="V36" s="160">
        <v>314647.5258584914</v>
      </c>
      <c r="W36" s="20"/>
      <c r="X36" s="21"/>
      <c r="Y36" s="21"/>
      <c r="Z36" s="21"/>
      <c r="AA36" s="21"/>
      <c r="AB36" s="21"/>
    </row>
    <row r="37" ht="20.25" customHeight="1">
      <c r="A37" s="10"/>
      <c r="B37" s="10"/>
      <c r="C37" s="10"/>
      <c r="D37" s="10"/>
      <c r="E37" s="21"/>
      <c r="F37" s="185"/>
      <c r="G37" s="183"/>
      <c r="H37" s="183"/>
      <c r="I37" s="183"/>
      <c r="J37" s="121"/>
      <c r="K37" s="103"/>
      <c r="L37" s="54"/>
      <c r="M37" s="159">
        <v>45020.50874923611</v>
      </c>
      <c r="N37" s="160">
        <v>1.09289975814128</v>
      </c>
      <c r="O37" s="160">
        <v>315394.3881715536</v>
      </c>
      <c r="P37" s="160">
        <v>288584.918993808</v>
      </c>
      <c r="Q37" s="160">
        <v>11.1712258101553</v>
      </c>
      <c r="R37" s="160">
        <v>0.0</v>
      </c>
      <c r="S37" s="161">
        <v>336.98558672655355</v>
      </c>
      <c r="T37" s="160"/>
      <c r="U37" s="160">
        <v>315394.3881715536</v>
      </c>
      <c r="V37" s="160">
        <v>315057.40258482704</v>
      </c>
      <c r="W37" s="20"/>
      <c r="X37" s="21"/>
      <c r="Y37" s="21"/>
      <c r="Z37" s="21"/>
      <c r="AA37" s="21"/>
      <c r="AB37" s="21"/>
    </row>
    <row r="38" ht="20.25" customHeight="1">
      <c r="A38" s="139"/>
      <c r="B38" s="10"/>
      <c r="C38" s="10"/>
      <c r="D38" s="10"/>
      <c r="E38" s="21"/>
      <c r="F38" s="186"/>
      <c r="G38" s="187"/>
      <c r="H38" s="187"/>
      <c r="I38" s="187"/>
      <c r="J38" s="188"/>
      <c r="K38" s="135"/>
      <c r="L38" s="54"/>
      <c r="M38" s="159">
        <v>45021.50874658565</v>
      </c>
      <c r="N38" s="160">
        <v>1.0957931405541</v>
      </c>
      <c r="O38" s="160">
        <v>315555.91218891076</v>
      </c>
      <c r="P38" s="160">
        <v>287970.32990126807</v>
      </c>
      <c r="Q38" s="160">
        <v>11.06228609188269</v>
      </c>
      <c r="R38" s="160">
        <v>0.0</v>
      </c>
      <c r="S38" s="161">
        <v>351.5194372435605</v>
      </c>
      <c r="T38" s="160"/>
      <c r="U38" s="160">
        <v>315555.91218891076</v>
      </c>
      <c r="V38" s="160">
        <v>315204.3927516672</v>
      </c>
      <c r="W38" s="20"/>
      <c r="X38" s="21"/>
      <c r="Y38" s="21"/>
      <c r="Z38" s="21"/>
      <c r="AA38" s="21"/>
      <c r="AB38" s="21"/>
    </row>
    <row r="39" ht="20.25" customHeight="1">
      <c r="A39" s="139"/>
      <c r="B39" s="10"/>
      <c r="C39" s="10"/>
      <c r="D39" s="10"/>
      <c r="E39" s="21"/>
      <c r="I39" s="189">
        <f>SUM(I30:I38)</f>
        <v>99734.64527</v>
      </c>
      <c r="L39" s="54"/>
      <c r="M39" s="159">
        <v>45022.50874719907</v>
      </c>
      <c r="N39" s="160">
        <v>1.08978878803499</v>
      </c>
      <c r="O39" s="160">
        <v>315242.54140090337</v>
      </c>
      <c r="P39" s="160">
        <v>289269.3931723418</v>
      </c>
      <c r="Q39" s="160">
        <v>11.311678303974736</v>
      </c>
      <c r="R39" s="160">
        <v>0.0</v>
      </c>
      <c r="S39" s="161">
        <v>343.18291454465225</v>
      </c>
      <c r="T39" s="160"/>
      <c r="U39" s="160">
        <v>315242.54140090337</v>
      </c>
      <c r="V39" s="160">
        <v>314899.3584863587</v>
      </c>
      <c r="W39" s="20"/>
      <c r="X39" s="21"/>
      <c r="Y39" s="21"/>
      <c r="Z39" s="21"/>
      <c r="AA39" s="21"/>
      <c r="AB39" s="21"/>
    </row>
    <row r="40" ht="20.25" customHeight="1">
      <c r="A40" s="139"/>
      <c r="B40" s="1"/>
      <c r="C40" s="1"/>
      <c r="D40" s="10"/>
      <c r="E40" s="21"/>
      <c r="L40" s="54"/>
      <c r="M40" s="159">
        <v>45023.508751898145</v>
      </c>
      <c r="N40" s="160">
        <v>1.09153027086324</v>
      </c>
      <c r="O40" s="160">
        <v>315329.19656374055</v>
      </c>
      <c r="P40" s="160">
        <v>288887.26678588724</v>
      </c>
      <c r="Q40" s="160">
        <v>11.306020644214236</v>
      </c>
      <c r="R40" s="160">
        <v>0.0</v>
      </c>
      <c r="S40" s="161">
        <v>341.3669335953878</v>
      </c>
      <c r="T40" s="160"/>
      <c r="U40" s="160">
        <v>315329.19656374055</v>
      </c>
      <c r="V40" s="160">
        <v>314987.82963014516</v>
      </c>
      <c r="W40" s="20"/>
      <c r="X40" s="21"/>
      <c r="Y40" s="21"/>
      <c r="Z40" s="21"/>
      <c r="AA40" s="21"/>
      <c r="AB40" s="21"/>
    </row>
    <row r="41" ht="20.25" customHeight="1">
      <c r="L41" s="190"/>
      <c r="M41" s="159">
        <v>45024.508746817126</v>
      </c>
      <c r="N41" s="160">
        <v>1.09944961552247</v>
      </c>
      <c r="O41" s="160">
        <v>315734.30993605044</v>
      </c>
      <c r="P41" s="160">
        <v>287174.8786650948</v>
      </c>
      <c r="Q41" s="160">
        <v>11.258580853051818</v>
      </c>
      <c r="R41" s="160">
        <v>0.0</v>
      </c>
      <c r="S41" s="161">
        <v>344.1602435564417</v>
      </c>
      <c r="T41" s="160"/>
      <c r="U41" s="160">
        <v>315734.30993605044</v>
      </c>
      <c r="V41" s="160">
        <v>315390.149692494</v>
      </c>
      <c r="W41" s="20"/>
      <c r="X41" s="21"/>
      <c r="Y41" s="21"/>
      <c r="Z41" s="21"/>
      <c r="AA41" s="21"/>
      <c r="AB41" s="21"/>
    </row>
    <row r="42" ht="20.25" customHeight="1">
      <c r="G42" s="36"/>
      <c r="H42" s="36"/>
      <c r="I42" s="191"/>
      <c r="J42" s="36"/>
      <c r="K42" s="36"/>
      <c r="L42" s="190"/>
      <c r="M42" s="159">
        <v>45025.50874752315</v>
      </c>
      <c r="N42" s="160">
        <v>1.09944961552247</v>
      </c>
      <c r="O42" s="160">
        <v>315728.0955528449</v>
      </c>
      <c r="P42" s="160">
        <v>287169.22639770777</v>
      </c>
      <c r="Q42" s="160">
        <v>11.31021866797198</v>
      </c>
      <c r="R42" s="160">
        <v>0.0</v>
      </c>
      <c r="S42" s="161">
        <v>337.94586035091936</v>
      </c>
      <c r="T42" s="160"/>
      <c r="U42" s="160">
        <v>315728.0955528449</v>
      </c>
      <c r="V42" s="160">
        <v>315390.149692494</v>
      </c>
      <c r="W42" s="20"/>
      <c r="X42" s="21"/>
      <c r="Y42" s="21"/>
      <c r="Z42" s="21"/>
      <c r="AA42" s="21"/>
      <c r="AB42" s="21"/>
    </row>
    <row r="43" ht="20.25" customHeight="1">
      <c r="G43" s="36"/>
      <c r="H43" s="53" t="s">
        <v>58</v>
      </c>
      <c r="I43" s="192">
        <v>0.1</v>
      </c>
      <c r="J43" s="36"/>
      <c r="K43" s="36"/>
      <c r="L43" s="190"/>
      <c r="M43" s="159">
        <v>45026.508751643516</v>
      </c>
      <c r="N43" s="160">
        <v>1.09127059909665</v>
      </c>
      <c r="O43" s="160">
        <v>315316.6228413954</v>
      </c>
      <c r="P43" s="160">
        <v>288944.4864568086</v>
      </c>
      <c r="Q43" s="160">
        <v>11.128589632283447</v>
      </c>
      <c r="R43" s="160">
        <v>0.0</v>
      </c>
      <c r="S43" s="161">
        <v>341.98510601173183</v>
      </c>
      <c r="T43" s="160"/>
      <c r="U43" s="160">
        <v>315316.6228413954</v>
      </c>
      <c r="V43" s="160">
        <v>314974.63773538364</v>
      </c>
      <c r="W43" s="193"/>
      <c r="X43" s="194"/>
      <c r="Y43" s="194"/>
      <c r="Z43" s="194"/>
      <c r="AA43" s="194"/>
      <c r="AB43" s="21"/>
    </row>
    <row r="44" ht="20.25" customHeight="1">
      <c r="A44" s="53" t="s">
        <v>59</v>
      </c>
      <c r="D44" s="53" t="s">
        <v>60</v>
      </c>
      <c r="F44" s="36"/>
      <c r="G44" s="195"/>
      <c r="H44" s="53" t="s">
        <v>61</v>
      </c>
      <c r="I44" s="189">
        <f>C2*I43</f>
        <v>96787.99936</v>
      </c>
      <c r="J44" s="189"/>
      <c r="K44" s="189"/>
      <c r="L44" s="190"/>
      <c r="M44" s="159">
        <v>45027.50874684028</v>
      </c>
      <c r="N44" s="160">
        <v>1.09123963731559</v>
      </c>
      <c r="O44" s="160">
        <v>315325.92600108276</v>
      </c>
      <c r="P44" s="160">
        <v>288961.2100022073</v>
      </c>
      <c r="Q44" s="160">
        <v>10.493751560892708</v>
      </c>
      <c r="R44" s="160">
        <v>0.0</v>
      </c>
      <c r="S44" s="161">
        <v>352.8611920235148</v>
      </c>
      <c r="T44" s="160"/>
      <c r="U44" s="160">
        <v>315325.92600108276</v>
      </c>
      <c r="V44" s="160">
        <v>314973.06480905926</v>
      </c>
      <c r="W44" s="20"/>
      <c r="X44" s="21"/>
      <c r="Y44" s="21"/>
      <c r="Z44" s="21"/>
      <c r="AA44" s="21"/>
      <c r="AB44" s="21"/>
    </row>
    <row r="45" ht="20.25" customHeight="1">
      <c r="A45" s="53" t="s">
        <v>62</v>
      </c>
      <c r="B45" s="196">
        <v>0.83</v>
      </c>
      <c r="C45" s="197" t="s">
        <v>63</v>
      </c>
      <c r="D45" s="198">
        <f>($B$45-$B$46)</f>
        <v>0.386</v>
      </c>
      <c r="F45" s="36"/>
      <c r="G45" s="195"/>
      <c r="H45" s="53" t="s">
        <v>64</v>
      </c>
      <c r="I45" s="189">
        <f>I44*0.4</f>
        <v>38715.19974</v>
      </c>
      <c r="J45" s="36"/>
      <c r="K45" s="199">
        <f>I45/I24</f>
        <v>11.46513905</v>
      </c>
      <c r="L45" s="190"/>
      <c r="M45" s="159">
        <v>45028.50875903935</v>
      </c>
      <c r="N45" s="160">
        <v>1.09247351297968</v>
      </c>
      <c r="O45" s="160">
        <v>315380.14302790444</v>
      </c>
      <c r="P45" s="160">
        <v>288684.4754411638</v>
      </c>
      <c r="Q45" s="160">
        <v>10.509394865641438</v>
      </c>
      <c r="R45" s="160">
        <v>0.0</v>
      </c>
      <c r="S45" s="161">
        <v>344.39463131768383</v>
      </c>
      <c r="T45" s="160"/>
      <c r="U45" s="160">
        <v>315380.14302790444</v>
      </c>
      <c r="V45" s="160">
        <v>315035.74839658674</v>
      </c>
      <c r="W45" s="20"/>
      <c r="X45" s="21"/>
      <c r="Y45" s="21"/>
      <c r="Z45" s="21"/>
      <c r="AA45" s="21"/>
      <c r="AB45" s="21"/>
    </row>
    <row r="46" ht="20.25" customHeight="1">
      <c r="A46" s="53" t="s">
        <v>65</v>
      </c>
      <c r="B46" s="196">
        <v>0.444</v>
      </c>
      <c r="C46" s="53">
        <v>0.236</v>
      </c>
      <c r="D46" s="200">
        <f t="shared" ref="D46:D50" si="2">$B$45-($D$45*C46)</f>
        <v>0.738904</v>
      </c>
      <c r="F46" s="36"/>
      <c r="G46" s="195"/>
      <c r="H46" s="53" t="s">
        <v>66</v>
      </c>
      <c r="I46" s="189">
        <f>I44*0.6</f>
        <v>58072.79961</v>
      </c>
      <c r="J46" s="189"/>
      <c r="K46" s="200">
        <f>I46/I18</f>
        <v>0.6036493725</v>
      </c>
      <c r="L46" s="190"/>
      <c r="M46" s="159">
        <v>45029.50875891204</v>
      </c>
      <c r="N46" s="160">
        <v>1.10169164752477</v>
      </c>
      <c r="O46" s="160">
        <v>315869.0470599004</v>
      </c>
      <c r="P46" s="160">
        <v>286712.75467103743</v>
      </c>
      <c r="Q46" s="160">
        <v>10.44798151713241</v>
      </c>
      <c r="R46" s="160">
        <v>0.0</v>
      </c>
      <c r="S46" s="161">
        <v>364.9972287248714</v>
      </c>
      <c r="T46" s="160"/>
      <c r="U46" s="160">
        <v>315869.0470599004</v>
      </c>
      <c r="V46" s="160">
        <v>315504.04983117554</v>
      </c>
      <c r="W46" s="20"/>
      <c r="X46" s="21"/>
      <c r="Y46" s="21"/>
      <c r="Z46" s="21"/>
      <c r="AA46" s="21"/>
      <c r="AB46" s="21"/>
    </row>
    <row r="47" ht="20.25" customHeight="1">
      <c r="C47" s="53">
        <v>0.382</v>
      </c>
      <c r="D47" s="200">
        <f t="shared" si="2"/>
        <v>0.682548</v>
      </c>
      <c r="F47" s="36"/>
      <c r="G47" s="195"/>
      <c r="H47" s="36"/>
      <c r="I47" s="189"/>
      <c r="J47" s="189"/>
      <c r="K47" s="189"/>
      <c r="L47" s="190"/>
      <c r="M47" s="159">
        <v>45030.508757523145</v>
      </c>
      <c r="N47" s="160">
        <v>1.10620570337537</v>
      </c>
      <c r="O47" s="160">
        <v>316122.31527534977</v>
      </c>
      <c r="P47" s="160">
        <v>285771.72790807753</v>
      </c>
      <c r="Q47" s="160">
        <v>10.248933004474159</v>
      </c>
      <c r="R47" s="160">
        <v>0.0</v>
      </c>
      <c r="S47" s="161">
        <v>388.94151531318556</v>
      </c>
      <c r="T47" s="160"/>
      <c r="U47" s="160">
        <v>316122.31527534977</v>
      </c>
      <c r="V47" s="160">
        <v>315733.3737600366</v>
      </c>
      <c r="W47" s="20"/>
      <c r="X47" s="21"/>
      <c r="Y47" s="21"/>
      <c r="Z47" s="21"/>
      <c r="AA47" s="21"/>
      <c r="AB47" s="21"/>
    </row>
    <row r="48" ht="20.25" customHeight="1">
      <c r="C48" s="53">
        <v>0.5</v>
      </c>
      <c r="D48" s="200">
        <f t="shared" si="2"/>
        <v>0.637</v>
      </c>
      <c r="F48" s="36"/>
      <c r="G48" s="36"/>
      <c r="H48" s="36"/>
      <c r="I48" s="189"/>
      <c r="J48" s="189"/>
      <c r="K48" s="189"/>
      <c r="L48" s="190"/>
      <c r="M48" s="159">
        <v>45031.50875998843</v>
      </c>
      <c r="N48" s="160">
        <v>1.11034990456543</v>
      </c>
      <c r="O48" s="160">
        <v>316331.50076734734</v>
      </c>
      <c r="P48" s="160">
        <v>284893.52722658496</v>
      </c>
      <c r="Q48" s="160">
        <v>10.380396112405663</v>
      </c>
      <c r="R48" s="160">
        <v>0.0</v>
      </c>
      <c r="S48" s="161">
        <v>387.5925056675699</v>
      </c>
      <c r="T48" s="160"/>
      <c r="U48" s="160">
        <v>316331.50076734734</v>
      </c>
      <c r="V48" s="160">
        <v>315943.90826167975</v>
      </c>
      <c r="W48" s="20"/>
      <c r="X48" s="21"/>
      <c r="Y48" s="21"/>
      <c r="Z48" s="21"/>
      <c r="AA48" s="21"/>
      <c r="AB48" s="21"/>
    </row>
    <row r="49" ht="20.25" customHeight="1">
      <c r="C49" s="53">
        <v>0.618</v>
      </c>
      <c r="D49" s="200">
        <f t="shared" si="2"/>
        <v>0.591452</v>
      </c>
      <c r="F49" s="36"/>
      <c r="G49" s="36"/>
      <c r="H49" s="36"/>
      <c r="I49" s="189"/>
      <c r="J49" s="189"/>
      <c r="K49" s="189"/>
      <c r="L49" s="190"/>
      <c r="M49" s="159">
        <v>45032.923082291665</v>
      </c>
      <c r="N49" s="160">
        <v>1.09892042057882</v>
      </c>
      <c r="O49" s="160">
        <v>315642.4488210587</v>
      </c>
      <c r="P49" s="160">
        <v>287229.5781479832</v>
      </c>
      <c r="Q49" s="160">
        <v>10.414676575574903</v>
      </c>
      <c r="R49" s="160">
        <v>15153.732645011822</v>
      </c>
      <c r="S49" s="161">
        <v>388.1421782524051</v>
      </c>
      <c r="T49" s="160"/>
      <c r="U49" s="160">
        <v>315642.4488210587</v>
      </c>
      <c r="V49" s="160">
        <v>300100.5739977945</v>
      </c>
      <c r="W49" s="20"/>
      <c r="X49" s="21"/>
      <c r="Y49" s="21"/>
      <c r="Z49" s="21"/>
      <c r="AA49" s="21"/>
      <c r="AB49" s="21"/>
    </row>
    <row r="50" ht="20.25" customHeight="1">
      <c r="C50" s="53">
        <v>0.66</v>
      </c>
      <c r="D50" s="200">
        <f t="shared" si="2"/>
        <v>0.57524</v>
      </c>
      <c r="F50" s="36"/>
      <c r="G50" s="36"/>
      <c r="H50" s="36"/>
      <c r="I50" s="189"/>
      <c r="J50" s="189"/>
      <c r="K50" s="189"/>
      <c r="L50" s="190"/>
      <c r="M50" s="159">
        <v>45033.5087459375</v>
      </c>
      <c r="N50" s="160">
        <v>1.09668002057372</v>
      </c>
      <c r="O50" s="160">
        <v>315338.37488359073</v>
      </c>
      <c r="P50" s="160">
        <v>287539.0897689773</v>
      </c>
      <c r="Q50" s="160">
        <v>10.556100159031955</v>
      </c>
      <c r="R50" s="160">
        <v>14936.310291342896</v>
      </c>
      <c r="S50" s="161">
        <v>384.1913453081358</v>
      </c>
      <c r="T50" s="160"/>
      <c r="U50" s="160">
        <v>315338.37488359073</v>
      </c>
      <c r="V50" s="160">
        <v>300017.8732469397</v>
      </c>
      <c r="W50" s="20"/>
      <c r="X50" s="21"/>
      <c r="Y50" s="21"/>
      <c r="Z50" s="21"/>
      <c r="AA50" s="21"/>
      <c r="AB50" s="21"/>
    </row>
    <row r="51" ht="20.25" customHeight="1">
      <c r="F51" s="36"/>
      <c r="G51" s="36"/>
      <c r="H51" s="36"/>
      <c r="I51" s="189"/>
      <c r="J51" s="189"/>
      <c r="K51" s="189"/>
      <c r="L51" s="190"/>
      <c r="M51" s="159">
        <v>45034.50875163195</v>
      </c>
      <c r="N51" s="160">
        <v>1.09811552394935</v>
      </c>
      <c r="O51" s="160">
        <v>315400.78931293054</v>
      </c>
      <c r="P51" s="160">
        <v>287220.04418860964</v>
      </c>
      <c r="Q51" s="160">
        <v>10.553631516795837</v>
      </c>
      <c r="R51" s="160">
        <v>14942.761115497457</v>
      </c>
      <c r="S51" s="161">
        <v>387.16565985383176</v>
      </c>
      <c r="T51" s="160"/>
      <c r="U51" s="160">
        <v>315400.78931293054</v>
      </c>
      <c r="V51" s="160">
        <v>300070.86253757926</v>
      </c>
      <c r="W51" s="20"/>
      <c r="X51" s="21"/>
      <c r="Y51" s="21"/>
      <c r="Z51" s="21"/>
      <c r="AA51" s="21"/>
      <c r="AB51" s="21"/>
    </row>
    <row r="52" ht="20.25" customHeight="1">
      <c r="F52" s="36"/>
      <c r="G52" s="201"/>
      <c r="H52" s="201"/>
      <c r="I52" s="189"/>
      <c r="J52" s="200"/>
      <c r="L52" s="190"/>
      <c r="M52" s="159">
        <v>45035.50875498843</v>
      </c>
      <c r="N52" s="160">
        <v>1.09526026121957</v>
      </c>
      <c r="O52" s="160">
        <v>314775.04352617625</v>
      </c>
      <c r="P52" s="160">
        <v>287397.48411548766</v>
      </c>
      <c r="Q52" s="160">
        <v>10.773653282518753</v>
      </c>
      <c r="R52" s="160">
        <v>29217.11282809962</v>
      </c>
      <c r="S52" s="161">
        <v>365.06216489393097</v>
      </c>
      <c r="T52" s="160"/>
      <c r="U52" s="160">
        <v>314775.04352617625</v>
      </c>
      <c r="V52" s="160">
        <v>285192.86853318266</v>
      </c>
      <c r="W52" s="20"/>
      <c r="X52" s="21"/>
      <c r="Y52" s="21"/>
      <c r="Z52" s="21"/>
      <c r="AA52" s="21"/>
      <c r="AB52" s="21"/>
    </row>
    <row r="53" ht="20.25" customHeight="1">
      <c r="A53" s="139"/>
      <c r="B53" s="10"/>
      <c r="C53" s="10"/>
      <c r="D53" s="10"/>
      <c r="E53" s="21"/>
      <c r="L53" s="54"/>
      <c r="M53" s="159">
        <v>45036.50875017361</v>
      </c>
      <c r="N53" s="160">
        <v>1.09581475470735</v>
      </c>
      <c r="O53" s="160">
        <v>314528.6519834573</v>
      </c>
      <c r="P53" s="160">
        <v>287027.2102399788</v>
      </c>
      <c r="Q53" s="160">
        <v>10.883281884418473</v>
      </c>
      <c r="R53" s="160">
        <v>43350.24884824945</v>
      </c>
      <c r="S53" s="161">
        <v>360.5929685572734</v>
      </c>
      <c r="T53" s="160"/>
      <c r="U53" s="160">
        <v>314528.6519834573</v>
      </c>
      <c r="V53" s="160">
        <v>270817.8101666506</v>
      </c>
      <c r="W53" s="20"/>
      <c r="X53" s="21"/>
      <c r="Y53" s="21"/>
      <c r="Z53" s="21"/>
      <c r="AA53" s="21"/>
      <c r="AB53" s="21"/>
    </row>
    <row r="54" ht="20.25" customHeight="1">
      <c r="L54" s="54"/>
      <c r="M54" s="159">
        <v>45037.50874469907</v>
      </c>
      <c r="N54" s="160">
        <v>1.09552303556287</v>
      </c>
      <c r="O54" s="160">
        <v>313265.9298120267</v>
      </c>
      <c r="P54" s="160">
        <v>285951.0203279965</v>
      </c>
      <c r="Q54" s="160">
        <v>11.162162352150014</v>
      </c>
      <c r="R54" s="160">
        <v>42097.478955547514</v>
      </c>
      <c r="S54" s="161">
        <v>353.6441240419141</v>
      </c>
      <c r="T54" s="160"/>
      <c r="U54" s="160">
        <v>313265.9298120267</v>
      </c>
      <c r="V54" s="160">
        <v>270814.8067324373</v>
      </c>
      <c r="W54" s="20"/>
      <c r="X54" s="21"/>
      <c r="Y54" s="21"/>
      <c r="Z54" s="21"/>
      <c r="AA54" s="21"/>
      <c r="AB54" s="21"/>
    </row>
    <row r="55" ht="20.25" customHeight="1">
      <c r="G55" s="36"/>
      <c r="H55" s="36"/>
      <c r="I55" s="191"/>
      <c r="J55" s="36"/>
      <c r="K55" s="36"/>
      <c r="L55" s="54"/>
      <c r="M55" s="159">
        <v>45038.50875508101</v>
      </c>
      <c r="N55" s="160">
        <v>1.10965007184984</v>
      </c>
      <c r="O55" s="160">
        <v>311719.36707658996</v>
      </c>
      <c r="P55" s="160">
        <v>280916.8178189172</v>
      </c>
      <c r="Q55" s="160">
        <v>11.443870098348636</v>
      </c>
      <c r="R55" s="160">
        <v>51844.77085452941</v>
      </c>
      <c r="S55" s="161">
        <v>339.9784304761269</v>
      </c>
      <c r="T55" s="160"/>
      <c r="U55" s="160">
        <v>311719.36707658996</v>
      </c>
      <c r="V55" s="160">
        <v>259534.61779158443</v>
      </c>
      <c r="W55" s="20"/>
      <c r="X55" s="21"/>
      <c r="Y55" s="21"/>
      <c r="Z55" s="21"/>
      <c r="AA55" s="21"/>
      <c r="AB55" s="21"/>
    </row>
    <row r="56" ht="20.25" customHeight="1">
      <c r="G56" s="36"/>
      <c r="H56" s="36"/>
      <c r="I56" s="36"/>
      <c r="J56" s="36"/>
      <c r="K56" s="36"/>
      <c r="L56" s="54"/>
      <c r="M56" s="159">
        <v>45039.508752256945</v>
      </c>
      <c r="N56" s="160">
        <v>1.10965007184984</v>
      </c>
      <c r="O56" s="160">
        <v>312482.2057088901</v>
      </c>
      <c r="P56" s="160">
        <v>281604.27655176667</v>
      </c>
      <c r="Q56" s="160">
        <v>11.30649259225079</v>
      </c>
      <c r="R56" s="160">
        <v>52603.117345120314</v>
      </c>
      <c r="S56" s="161">
        <v>344.4705721853554</v>
      </c>
      <c r="T56" s="160"/>
      <c r="U56" s="160">
        <v>312482.2057088901</v>
      </c>
      <c r="V56" s="160">
        <v>259534.61779158443</v>
      </c>
      <c r="W56" s="20"/>
      <c r="X56" s="21"/>
      <c r="Y56" s="21"/>
      <c r="Z56" s="21"/>
      <c r="AA56" s="21"/>
      <c r="AB56" s="21"/>
    </row>
    <row r="57" ht="20.25" customHeight="1">
      <c r="F57" s="36"/>
      <c r="G57" s="195"/>
      <c r="H57" s="36"/>
      <c r="I57" s="189"/>
      <c r="J57" s="189"/>
      <c r="K57" s="189"/>
      <c r="L57" s="54"/>
      <c r="M57" s="159">
        <v>45040.50875188658</v>
      </c>
      <c r="N57" s="160">
        <v>1.10161033398622</v>
      </c>
      <c r="O57" s="160">
        <v>311899.6644169892</v>
      </c>
      <c r="P57" s="160">
        <v>283130.66317049525</v>
      </c>
      <c r="Q57" s="160">
        <v>11.391651591041736</v>
      </c>
      <c r="R57" s="160">
        <v>65802.38295496658</v>
      </c>
      <c r="S57" s="161">
        <v>339.6658295230507</v>
      </c>
      <c r="T57" s="160"/>
      <c r="U57" s="160">
        <v>311899.6644169892</v>
      </c>
      <c r="V57" s="160">
        <v>245757.61563249957</v>
      </c>
      <c r="W57" s="20"/>
      <c r="X57" s="21"/>
      <c r="Y57" s="21"/>
      <c r="Z57" s="21"/>
      <c r="AA57" s="21"/>
      <c r="AB57" s="21"/>
    </row>
    <row r="58" ht="20.25" customHeight="1">
      <c r="F58" s="36"/>
      <c r="G58" s="195"/>
      <c r="H58" s="36"/>
      <c r="I58" s="189"/>
      <c r="J58" s="189"/>
      <c r="K58" s="189"/>
      <c r="L58" s="54"/>
      <c r="M58" s="159">
        <v>45041.5087731713</v>
      </c>
      <c r="N58" s="160">
        <v>1.10399768602085</v>
      </c>
      <c r="O58" s="160">
        <v>311765.2828653464</v>
      </c>
      <c r="P58" s="160">
        <v>282396.6814541479</v>
      </c>
      <c r="Q58" s="160">
        <v>11.409103197115233</v>
      </c>
      <c r="R58" s="160">
        <v>65673.42273301774</v>
      </c>
      <c r="S58" s="161">
        <v>334.2468281418517</v>
      </c>
      <c r="T58" s="160"/>
      <c r="U58" s="160">
        <v>311765.2828653464</v>
      </c>
      <c r="V58" s="160">
        <v>245757.6133041868</v>
      </c>
      <c r="W58" s="20"/>
      <c r="X58" s="21"/>
      <c r="Y58" s="21"/>
      <c r="Z58" s="21"/>
      <c r="AA58" s="21"/>
      <c r="AB58" s="21"/>
    </row>
    <row r="59" ht="20.25" customHeight="1">
      <c r="F59" s="36"/>
      <c r="G59" s="195"/>
      <c r="H59" s="201"/>
      <c r="I59" s="189"/>
      <c r="J59" s="189"/>
      <c r="K59" s="189"/>
      <c r="L59" s="54"/>
      <c r="M59" s="159">
        <v>45042.5087519213</v>
      </c>
      <c r="N59" s="160">
        <v>1.10462451051326</v>
      </c>
      <c r="O59" s="160">
        <v>315403.6174558824</v>
      </c>
      <c r="P59" s="160">
        <v>285530.1638285495</v>
      </c>
      <c r="Q59" s="160">
        <v>10.938685258817607</v>
      </c>
      <c r="R59" s="160">
        <v>69297.08260224522</v>
      </c>
      <c r="S59" s="161">
        <v>348.922160773609</v>
      </c>
      <c r="T59" s="160"/>
      <c r="U59" s="160">
        <v>315403.6174558824</v>
      </c>
      <c r="V59" s="160">
        <v>245757.61269286362</v>
      </c>
      <c r="W59" s="20"/>
      <c r="X59" s="21"/>
      <c r="Y59" s="21"/>
      <c r="Z59" s="21"/>
      <c r="AA59" s="21"/>
      <c r="AB59" s="21"/>
    </row>
    <row r="60" ht="20.25" customHeight="1">
      <c r="F60" s="36"/>
      <c r="G60" s="36"/>
      <c r="H60" s="36"/>
      <c r="I60" s="189"/>
      <c r="J60" s="189"/>
      <c r="K60" s="189"/>
      <c r="L60" s="54"/>
      <c r="M60" s="159">
        <v>45043.508765335646</v>
      </c>
      <c r="N60" s="160">
        <v>1.10534489524094</v>
      </c>
      <c r="O60" s="160">
        <v>316106.4796462407</v>
      </c>
      <c r="P60" s="160">
        <v>285979.9516035551</v>
      </c>
      <c r="Q60" s="160">
        <v>10.924186484123926</v>
      </c>
      <c r="R60" s="160">
        <v>69543.68518262485</v>
      </c>
      <c r="S60" s="161">
        <v>346.3131408589698</v>
      </c>
      <c r="T60" s="160"/>
      <c r="U60" s="160">
        <v>316106.4796462407</v>
      </c>
      <c r="V60" s="160">
        <v>240749.611990294</v>
      </c>
      <c r="W60" s="20"/>
      <c r="X60" s="21"/>
      <c r="Y60" s="21"/>
      <c r="Z60" s="21"/>
      <c r="AA60" s="21"/>
      <c r="AB60" s="21"/>
    </row>
    <row r="61" ht="20.25" customHeight="1">
      <c r="F61" s="36"/>
      <c r="G61" s="36"/>
      <c r="H61" s="36"/>
      <c r="I61" s="189"/>
      <c r="J61" s="189"/>
      <c r="K61" s="189"/>
      <c r="L61" s="54"/>
      <c r="M61" s="159">
        <v>45044.62310340277</v>
      </c>
      <c r="N61" s="160">
        <v>1.09719742860811</v>
      </c>
      <c r="O61" s="160">
        <v>316869.273108894</v>
      </c>
      <c r="P61" s="160">
        <v>288798.7748119954</v>
      </c>
      <c r="Q61" s="160">
        <v>10.820447454034511</v>
      </c>
      <c r="R61" s="160">
        <v>87950.4288569229</v>
      </c>
      <c r="S61" s="161">
        <v>350.2902642077034</v>
      </c>
      <c r="T61" s="160"/>
      <c r="U61" s="160">
        <v>316869.273108894</v>
      </c>
      <c r="V61" s="160">
        <v>217533.7199362738</v>
      </c>
      <c r="W61" s="20"/>
      <c r="X61" s="21"/>
      <c r="Y61" s="21"/>
      <c r="Z61" s="21"/>
      <c r="AA61" s="21"/>
      <c r="AB61" s="21"/>
    </row>
    <row r="62" ht="20.25" customHeight="1">
      <c r="F62" s="36"/>
      <c r="G62" s="36"/>
      <c r="H62" s="36"/>
      <c r="I62" s="189"/>
      <c r="J62" s="189"/>
      <c r="K62" s="189"/>
      <c r="L62" s="54"/>
      <c r="M62" s="159">
        <v>45045.50875039352</v>
      </c>
      <c r="N62" s="160">
        <v>1.1127183709803</v>
      </c>
      <c r="O62" s="160">
        <v>316744.8259470261</v>
      </c>
      <c r="P62" s="160">
        <v>284658.5750785936</v>
      </c>
      <c r="Q62" s="160">
        <v>10.801837557197329</v>
      </c>
      <c r="R62" s="160">
        <v>88067.35271422705</v>
      </c>
      <c r="S62" s="161">
        <v>349.8941119566771</v>
      </c>
      <c r="T62" s="160"/>
      <c r="U62" s="160">
        <v>316744.8259470261</v>
      </c>
      <c r="V62" s="160">
        <v>217533.70479916432</v>
      </c>
      <c r="W62" s="20"/>
      <c r="X62" s="21"/>
      <c r="Y62" s="21"/>
      <c r="Z62" s="21"/>
      <c r="AA62" s="21"/>
      <c r="AB62" s="21"/>
    </row>
    <row r="63" ht="20.25" customHeight="1">
      <c r="I63" s="189"/>
      <c r="J63" s="189"/>
      <c r="K63" s="189"/>
      <c r="L63" s="54"/>
      <c r="M63" s="159">
        <v>45046.508744293984</v>
      </c>
      <c r="N63" s="160">
        <v>1.11275056360816</v>
      </c>
      <c r="O63" s="160">
        <v>316254.18882784736</v>
      </c>
      <c r="P63" s="160">
        <v>284209.416890677</v>
      </c>
      <c r="Q63" s="160">
        <v>10.789816403439177</v>
      </c>
      <c r="R63" s="160">
        <v>88028.90219981797</v>
      </c>
      <c r="S63" s="161">
        <v>351.70386096238667</v>
      </c>
      <c r="T63" s="160"/>
      <c r="U63" s="160">
        <v>316254.18882784736</v>
      </c>
      <c r="V63" s="160">
        <v>217174.70476776783</v>
      </c>
      <c r="W63" s="20"/>
      <c r="X63" s="21"/>
      <c r="Y63" s="21"/>
      <c r="Z63" s="21"/>
      <c r="AA63" s="21"/>
      <c r="AB63" s="21"/>
    </row>
    <row r="64" ht="20.25" customHeight="1">
      <c r="I64" s="189"/>
      <c r="J64" s="189"/>
      <c r="K64" s="189"/>
      <c r="L64" s="54"/>
      <c r="M64" s="159">
        <v>45047.50875197917</v>
      </c>
      <c r="N64" s="160">
        <v>1.09965031120104</v>
      </c>
      <c r="O64" s="160">
        <v>313858.49372301623</v>
      </c>
      <c r="P64" s="160">
        <v>285416.637021836</v>
      </c>
      <c r="Q64" s="160">
        <v>10.992882464322893</v>
      </c>
      <c r="R64" s="160">
        <v>100015.23466068083</v>
      </c>
      <c r="S64" s="161">
        <v>340.1944794497833</v>
      </c>
      <c r="T64" s="160"/>
      <c r="U64" s="160">
        <v>313858.49372301623</v>
      </c>
      <c r="V64" s="160">
        <v>202997.23754405102</v>
      </c>
      <c r="W64" s="20"/>
      <c r="X64" s="21"/>
      <c r="Y64" s="21"/>
      <c r="Z64" s="21"/>
      <c r="AA64" s="21"/>
      <c r="AB64" s="21"/>
    </row>
    <row r="65" ht="20.25" customHeight="1">
      <c r="I65" s="189"/>
      <c r="J65" s="189"/>
      <c r="K65" s="189"/>
      <c r="L65" s="54"/>
      <c r="M65" s="159">
        <v>45048.50874909722</v>
      </c>
      <c r="N65" s="160">
        <v>1.09691339539669</v>
      </c>
      <c r="O65" s="160">
        <v>311637.2307987612</v>
      </c>
      <c r="P65" s="160">
        <v>284103.76982046064</v>
      </c>
      <c r="Q65" s="160">
        <v>11.137449531212091</v>
      </c>
      <c r="R65" s="160">
        <v>98018.36278096042</v>
      </c>
      <c r="S65" s="161">
        <v>336.43425458859696</v>
      </c>
      <c r="T65" s="160"/>
      <c r="U65" s="160">
        <v>311637.2307987612</v>
      </c>
      <c r="V65" s="160">
        <v>202997.2402132829</v>
      </c>
      <c r="W65" s="20"/>
      <c r="X65" s="21"/>
      <c r="Y65" s="21"/>
      <c r="Z65" s="21"/>
      <c r="AA65" s="21"/>
      <c r="AB65" s="21"/>
    </row>
    <row r="66" ht="20.25" customHeight="1">
      <c r="G66" s="201"/>
      <c r="H66" s="202"/>
      <c r="I66" s="189"/>
      <c r="J66" s="200"/>
      <c r="L66" s="54"/>
      <c r="M66" s="159">
        <v>45049.50874826389</v>
      </c>
      <c r="N66" s="160">
        <v>1.1044805462319</v>
      </c>
      <c r="O66" s="160">
        <v>314124.37984800787</v>
      </c>
      <c r="P66" s="160">
        <v>284409.1558875256</v>
      </c>
      <c r="Q66" s="160">
        <v>10.962821857997382</v>
      </c>
      <c r="R66" s="160">
        <v>100374.44196324637</v>
      </c>
      <c r="S66" s="161">
        <v>343.73946131669885</v>
      </c>
      <c r="T66" s="160"/>
      <c r="U66" s="160">
        <v>314124.37984800787</v>
      </c>
      <c r="V66" s="160">
        <v>202997.23283326768</v>
      </c>
      <c r="W66" s="20"/>
      <c r="X66" s="21"/>
      <c r="Y66" s="21"/>
      <c r="Z66" s="21"/>
      <c r="AA66" s="21"/>
      <c r="AB66" s="21"/>
    </row>
    <row r="67" ht="20.25" customHeight="1">
      <c r="A67" s="139"/>
      <c r="B67" s="21"/>
      <c r="C67" s="203"/>
      <c r="D67" s="203"/>
      <c r="E67" s="21"/>
      <c r="F67" s="21"/>
      <c r="G67" s="21"/>
      <c r="H67" s="21"/>
      <c r="I67" s="21"/>
      <c r="J67" s="21"/>
      <c r="K67" s="204"/>
      <c r="L67" s="54"/>
      <c r="M67" s="159">
        <v>45050.50874942129</v>
      </c>
      <c r="N67" s="160">
        <v>1.10451348390061</v>
      </c>
      <c r="O67" s="160">
        <v>315740.59736228</v>
      </c>
      <c r="P67" s="160">
        <v>285863.959077472</v>
      </c>
      <c r="Q67" s="160">
        <v>10.855542050277815</v>
      </c>
      <c r="R67" s="160">
        <v>101887.93702380634</v>
      </c>
      <c r="S67" s="161">
        <v>350.08205723829076</v>
      </c>
      <c r="T67" s="160"/>
      <c r="U67" s="160">
        <v>315740.59736228</v>
      </c>
      <c r="V67" s="160">
        <v>202997.23280114456</v>
      </c>
      <c r="W67" s="20"/>
      <c r="X67" s="21"/>
      <c r="Y67" s="21"/>
      <c r="Z67" s="21"/>
      <c r="AA67" s="21"/>
      <c r="AB67" s="21"/>
    </row>
    <row r="68" ht="20.25" customHeight="1">
      <c r="A68" s="139"/>
      <c r="B68" s="203"/>
      <c r="C68" s="203"/>
      <c r="D68" s="205"/>
      <c r="E68" s="21"/>
      <c r="F68" s="21"/>
      <c r="G68" s="21"/>
      <c r="H68" s="21"/>
      <c r="I68" s="21"/>
      <c r="J68" s="21"/>
      <c r="K68" s="204"/>
      <c r="L68" s="54"/>
      <c r="M68" s="159">
        <v>45055.50874868056</v>
      </c>
      <c r="N68" s="160">
        <v>1.09808176097176</v>
      </c>
      <c r="O68" s="160">
        <v>305169.1142527914</v>
      </c>
      <c r="P68" s="160">
        <v>277911.10379861743</v>
      </c>
      <c r="Q68" s="160">
        <v>11.066445210886705</v>
      </c>
      <c r="R68" s="160">
        <v>96599.8152007568</v>
      </c>
      <c r="S68" s="161">
        <v>308.4460566286412</v>
      </c>
      <c r="T68" s="160"/>
      <c r="U68" s="160">
        <v>305169.1142527914</v>
      </c>
      <c r="V68" s="160">
        <v>195000.0</v>
      </c>
      <c r="W68" s="20"/>
      <c r="X68" s="21"/>
      <c r="Y68" s="21"/>
      <c r="Z68" s="21"/>
      <c r="AA68" s="21"/>
      <c r="AB68" s="21"/>
    </row>
    <row r="69" ht="20.25" customHeight="1">
      <c r="A69" s="139"/>
      <c r="B69" s="203"/>
      <c r="C69" s="203"/>
      <c r="D69" s="205"/>
      <c r="E69" s="21"/>
      <c r="F69" s="21"/>
      <c r="G69" s="21"/>
      <c r="H69" s="21"/>
      <c r="I69" s="21"/>
      <c r="J69" s="21"/>
      <c r="K69" s="204"/>
      <c r="L69" s="54"/>
      <c r="M69" s="159">
        <v>45056.50875302083</v>
      </c>
      <c r="N69" s="160">
        <v>1.09534183975806</v>
      </c>
      <c r="O69" s="160">
        <v>305585.6490941553</v>
      </c>
      <c r="P69" s="160">
        <v>278986.5574400529</v>
      </c>
      <c r="Q69" s="160">
        <v>11.074923780611451</v>
      </c>
      <c r="R69" s="160">
        <v>96657.6129598607</v>
      </c>
      <c r="S69" s="161">
        <v>308.493909138568</v>
      </c>
      <c r="T69" s="160"/>
      <c r="U69" s="160">
        <v>305585.6490941553</v>
      </c>
      <c r="V69" s="160">
        <v>195000.0</v>
      </c>
      <c r="W69" s="20"/>
      <c r="X69" s="21"/>
      <c r="Y69" s="21"/>
      <c r="Z69" s="21"/>
      <c r="AA69" s="21"/>
      <c r="AB69" s="21"/>
    </row>
    <row r="70" ht="20.25" customHeight="1">
      <c r="A70" s="139"/>
      <c r="B70" s="203"/>
      <c r="C70" s="203"/>
      <c r="D70" s="206"/>
      <c r="E70" s="21"/>
      <c r="F70" s="21"/>
      <c r="G70" s="21"/>
      <c r="H70" s="21"/>
      <c r="I70" s="21"/>
      <c r="J70" s="21"/>
      <c r="K70" s="204"/>
      <c r="L70" s="54"/>
      <c r="M70" s="159">
        <v>45057.50875570602</v>
      </c>
      <c r="N70" s="160">
        <v>1.09290692476757</v>
      </c>
      <c r="O70" s="160">
        <v>305003.86120637145</v>
      </c>
      <c r="P70" s="160">
        <v>279075.787969078</v>
      </c>
      <c r="Q70" s="160">
        <v>11.11810211336008</v>
      </c>
      <c r="R70" s="160">
        <v>96098.92633004926</v>
      </c>
      <c r="S70" s="161">
        <v>305.16386589405886</v>
      </c>
      <c r="T70" s="160"/>
      <c r="U70" s="160">
        <v>305003.86120637145</v>
      </c>
      <c r="V70" s="160">
        <v>195000.0</v>
      </c>
      <c r="W70" s="20"/>
      <c r="X70" s="21"/>
      <c r="Y70" s="21"/>
      <c r="Z70" s="21"/>
      <c r="AA70" s="21"/>
      <c r="AB70" s="21"/>
    </row>
    <row r="71" ht="20.25" customHeight="1">
      <c r="A71" s="139"/>
      <c r="B71" s="21"/>
      <c r="C71" s="203"/>
      <c r="D71" s="205"/>
      <c r="E71" s="21"/>
      <c r="F71" s="21"/>
      <c r="G71" s="21"/>
      <c r="H71" s="21"/>
      <c r="I71" s="21"/>
      <c r="J71" s="21"/>
      <c r="K71" s="204"/>
      <c r="L71" s="54"/>
      <c r="M71" s="159">
        <v>45058.50874939815</v>
      </c>
      <c r="N71" s="160">
        <v>1.09045308325609</v>
      </c>
      <c r="O71" s="160">
        <v>301281.08690323913</v>
      </c>
      <c r="P71" s="160">
        <v>276289.8207446162</v>
      </c>
      <c r="Q71" s="160">
        <v>11.420613270013432</v>
      </c>
      <c r="R71" s="160">
        <v>92411.55977374344</v>
      </c>
      <c r="S71" s="161">
        <v>295.98168763705627</v>
      </c>
      <c r="T71" s="160"/>
      <c r="U71" s="160">
        <v>301281.08690323913</v>
      </c>
      <c r="V71" s="160">
        <v>195000.0</v>
      </c>
      <c r="W71" s="20"/>
      <c r="X71" s="21"/>
      <c r="Y71" s="21"/>
      <c r="Z71" s="21"/>
      <c r="AA71" s="21"/>
      <c r="AB71" s="21"/>
    </row>
    <row r="72" ht="20.25" customHeight="1">
      <c r="A72" s="139"/>
      <c r="B72" s="21"/>
      <c r="C72" s="21"/>
      <c r="D72" s="206"/>
      <c r="E72" s="21"/>
      <c r="F72" s="21"/>
      <c r="G72" s="21"/>
      <c r="H72" s="21"/>
      <c r="I72" s="21"/>
      <c r="J72" s="21"/>
      <c r="K72" s="204"/>
      <c r="L72" s="54"/>
      <c r="M72" s="159">
        <v>45059.50875813657</v>
      </c>
      <c r="N72" s="160">
        <v>1.09397221310579</v>
      </c>
      <c r="O72" s="160">
        <v>304000.92373354174</v>
      </c>
      <c r="P72" s="160">
        <v>277887.24438482977</v>
      </c>
      <c r="Q72" s="160">
        <v>11.340339707489578</v>
      </c>
      <c r="R72" s="160">
        <v>107309.3795355511</v>
      </c>
      <c r="S72" s="161">
        <v>297.7018934426599</v>
      </c>
      <c r="T72" s="160"/>
      <c r="U72" s="160">
        <v>304000.92373354174</v>
      </c>
      <c r="V72" s="160">
        <v>182046.0</v>
      </c>
      <c r="W72" s="20"/>
      <c r="X72" s="21"/>
      <c r="Y72" s="21"/>
      <c r="Z72" s="21"/>
      <c r="AA72" s="21"/>
      <c r="AB72" s="21"/>
    </row>
    <row r="73" ht="20.25" customHeight="1">
      <c r="A73" s="139"/>
      <c r="B73" s="203"/>
      <c r="C73" s="203"/>
      <c r="D73" s="207"/>
      <c r="E73" s="21"/>
      <c r="F73" s="21"/>
      <c r="G73" s="21"/>
      <c r="H73" s="21"/>
      <c r="I73" s="21"/>
      <c r="J73" s="21"/>
      <c r="K73" s="204"/>
      <c r="L73" s="54"/>
      <c r="M73" s="159">
        <v>45060.508744583334</v>
      </c>
      <c r="N73" s="160">
        <v>1.09374965820323</v>
      </c>
      <c r="O73" s="160">
        <v>304062.43005078146</v>
      </c>
      <c r="P73" s="160">
        <v>278000.0229214092</v>
      </c>
      <c r="Q73" s="160">
        <v>11.32732713106454</v>
      </c>
      <c r="R73" s="160">
        <v>107454.39019132401</v>
      </c>
      <c r="S73" s="161">
        <v>297.45271354091443</v>
      </c>
      <c r="T73" s="160"/>
      <c r="U73" s="160">
        <v>304062.43005078146</v>
      </c>
      <c r="V73" s="160">
        <v>182046.0</v>
      </c>
      <c r="W73" s="20"/>
      <c r="X73" s="21"/>
      <c r="Y73" s="21"/>
      <c r="Z73" s="21"/>
      <c r="AA73" s="21"/>
      <c r="AB73" s="21"/>
    </row>
    <row r="74" ht="20.25" customHeight="1">
      <c r="A74" s="139"/>
      <c r="B74" s="21"/>
      <c r="C74" s="21"/>
      <c r="D74" s="21"/>
      <c r="E74" s="21"/>
      <c r="F74" s="21"/>
      <c r="G74" s="21"/>
      <c r="H74" s="21"/>
      <c r="I74" s="21"/>
      <c r="J74" s="21"/>
      <c r="K74" s="204"/>
      <c r="L74" s="54"/>
      <c r="M74" s="159">
        <v>45061.508753194445</v>
      </c>
      <c r="N74" s="160">
        <v>1.0861053457019</v>
      </c>
      <c r="O74" s="160">
        <v>306978.68754413555</v>
      </c>
      <c r="P74" s="160">
        <v>282641.72417432425</v>
      </c>
      <c r="Q74" s="160">
        <v>11.205251554695922</v>
      </c>
      <c r="R74" s="160">
        <v>109666.87268032049</v>
      </c>
      <c r="S74" s="161">
        <v>301.5481095391683</v>
      </c>
      <c r="T74" s="160"/>
      <c r="U74" s="160">
        <v>306978.68754413555</v>
      </c>
      <c r="V74" s="160">
        <v>178796.0</v>
      </c>
      <c r="W74" s="20"/>
      <c r="X74" s="21"/>
      <c r="Y74" s="21"/>
      <c r="Z74" s="21"/>
      <c r="AA74" s="21"/>
      <c r="AB74" s="21"/>
    </row>
    <row r="75" ht="20.25" customHeight="1">
      <c r="A75" s="139"/>
      <c r="B75" s="21"/>
      <c r="C75" s="21"/>
      <c r="D75" s="21"/>
      <c r="E75" s="21"/>
      <c r="F75" s="21"/>
      <c r="G75" s="21"/>
      <c r="H75" s="21"/>
      <c r="I75" s="21"/>
      <c r="J75" s="21"/>
      <c r="K75" s="204"/>
      <c r="L75" s="54"/>
      <c r="M75" s="159">
        <v>45062.508751076384</v>
      </c>
      <c r="N75" s="160">
        <v>1.08989806183428</v>
      </c>
      <c r="O75" s="160">
        <v>304998.6905835799</v>
      </c>
      <c r="P75" s="160">
        <v>279841.48358817364</v>
      </c>
      <c r="Q75" s="160">
        <v>11.261384731192424</v>
      </c>
      <c r="R75" s="160">
        <v>108416.41037136553</v>
      </c>
      <c r="S75" s="161">
        <v>299.56898093680627</v>
      </c>
      <c r="T75" s="160"/>
      <c r="U75" s="160">
        <v>304998.6905835799</v>
      </c>
      <c r="V75" s="160">
        <v>178796.0</v>
      </c>
      <c r="W75" s="20"/>
      <c r="X75" s="21"/>
      <c r="Y75" s="21"/>
      <c r="Z75" s="21"/>
      <c r="AA75" s="21"/>
      <c r="AB75" s="21"/>
    </row>
    <row r="76" ht="20.25" customHeight="1">
      <c r="A76" s="139"/>
      <c r="B76" s="21"/>
      <c r="C76" s="21"/>
      <c r="D76" s="21"/>
      <c r="E76" s="21"/>
      <c r="F76" s="21"/>
      <c r="G76" s="21"/>
      <c r="H76" s="21"/>
      <c r="I76" s="21"/>
      <c r="J76" s="21"/>
      <c r="K76" s="204"/>
      <c r="L76" s="54"/>
      <c r="M76" s="159">
        <v>45063.50875491898</v>
      </c>
      <c r="N76" s="160">
        <v>1.08238345165588</v>
      </c>
      <c r="O76" s="160">
        <v>303617.8228668408</v>
      </c>
      <c r="P76" s="160">
        <v>280508.5595149781</v>
      </c>
      <c r="Q76" s="160">
        <v>11.305377418631236</v>
      </c>
      <c r="R76" s="160">
        <v>107505.58857660848</v>
      </c>
      <c r="S76" s="161">
        <v>297.5494229017852</v>
      </c>
      <c r="T76" s="160"/>
      <c r="U76" s="160">
        <v>303617.8228668408</v>
      </c>
      <c r="V76" s="160">
        <v>178796.0</v>
      </c>
      <c r="W76" s="20"/>
      <c r="X76" s="21"/>
      <c r="Y76" s="21"/>
      <c r="Z76" s="21"/>
      <c r="AA76" s="21"/>
      <c r="AB76" s="21"/>
    </row>
    <row r="77" ht="20.25" customHeight="1">
      <c r="A77" s="139"/>
      <c r="B77" s="203"/>
      <c r="C77" s="21"/>
      <c r="D77" s="21"/>
      <c r="E77" s="21"/>
      <c r="F77" s="21"/>
      <c r="G77" s="21"/>
      <c r="H77" s="21"/>
      <c r="I77" s="21"/>
      <c r="J77" s="21"/>
      <c r="K77" s="204"/>
      <c r="L77" s="54"/>
      <c r="M77" s="159">
        <v>45064.50875</v>
      </c>
      <c r="N77" s="160">
        <v>1.08099460151296</v>
      </c>
      <c r="O77" s="160">
        <v>306484.8605865917</v>
      </c>
      <c r="P77" s="160">
        <v>283521.17592228076</v>
      </c>
      <c r="Q77" s="160">
        <v>11.182991079633139</v>
      </c>
      <c r="R77" s="160">
        <v>109708.40294314103</v>
      </c>
      <c r="S77" s="161">
        <v>301.2812671927814</v>
      </c>
      <c r="T77" s="160"/>
      <c r="U77" s="160">
        <v>306484.8605865917</v>
      </c>
      <c r="V77" s="160">
        <v>178796.0</v>
      </c>
      <c r="W77" s="20"/>
      <c r="X77" s="21"/>
      <c r="Y77" s="21"/>
      <c r="Z77" s="21"/>
      <c r="AA77" s="21"/>
      <c r="AB77" s="21"/>
    </row>
    <row r="78" ht="20.25" customHeight="1">
      <c r="A78" s="139"/>
      <c r="B78" s="21"/>
      <c r="C78" s="21"/>
      <c r="D78" s="21"/>
      <c r="E78" s="21"/>
      <c r="F78" s="21"/>
      <c r="G78" s="21"/>
      <c r="H78" s="21"/>
      <c r="I78" s="21"/>
      <c r="J78" s="21"/>
      <c r="K78" s="204"/>
      <c r="L78" s="54"/>
      <c r="M78" s="159">
        <v>45068.67910591435</v>
      </c>
      <c r="N78" s="160">
        <v>1.0812575890767</v>
      </c>
      <c r="O78" s="160">
        <v>302445.11179435544</v>
      </c>
      <c r="P78" s="160">
        <v>279716.0591978987</v>
      </c>
      <c r="Q78" s="160">
        <v>11.251384919271937</v>
      </c>
      <c r="R78" s="160">
        <v>121037.88202577207</v>
      </c>
      <c r="S78" s="161">
        <v>299.5094058785241</v>
      </c>
      <c r="T78" s="160"/>
      <c r="U78" s="160">
        <v>302445.11179435544</v>
      </c>
      <c r="V78" s="160">
        <v>160318.0</v>
      </c>
      <c r="W78" s="20"/>
      <c r="X78" s="21"/>
      <c r="Y78" s="21"/>
      <c r="Z78" s="21"/>
      <c r="AA78" s="21"/>
      <c r="AB78" s="21"/>
    </row>
    <row r="79" ht="20.25" customHeight="1">
      <c r="A79" s="139"/>
      <c r="B79" s="21"/>
      <c r="C79" s="21"/>
      <c r="D79" s="21"/>
      <c r="E79" s="21"/>
      <c r="F79" s="21"/>
      <c r="G79" s="21"/>
      <c r="H79" s="21"/>
      <c r="I79" s="21"/>
      <c r="J79" s="21"/>
      <c r="K79" s="204"/>
      <c r="L79" s="54"/>
      <c r="M79" s="159">
        <v>45069.50926694444</v>
      </c>
      <c r="N79" s="160">
        <v>1.07952539745426</v>
      </c>
      <c r="O79" s="160">
        <v>304991.0814930032</v>
      </c>
      <c r="P79" s="160">
        <v>282523.30349265895</v>
      </c>
      <c r="Q79" s="160">
        <v>11.185096347539757</v>
      </c>
      <c r="R79" s="160">
        <v>122780.14415379924</v>
      </c>
      <c r="S79" s="161">
        <v>305.7649699768879</v>
      </c>
      <c r="T79" s="160"/>
      <c r="U79" s="160">
        <v>304991.0814930032</v>
      </c>
      <c r="V79" s="160">
        <v>160318.0</v>
      </c>
      <c r="W79" s="20"/>
      <c r="X79" s="21"/>
      <c r="Y79" s="21"/>
      <c r="Z79" s="21"/>
      <c r="AA79" s="21"/>
      <c r="AB79" s="21"/>
    </row>
    <row r="80" ht="20.25" customHeight="1">
      <c r="A80" s="139"/>
      <c r="B80" s="21"/>
      <c r="C80" s="21"/>
      <c r="D80" s="21"/>
      <c r="E80" s="21"/>
      <c r="F80" s="21"/>
      <c r="G80" s="21"/>
      <c r="H80" s="21"/>
      <c r="I80" s="21"/>
      <c r="J80" s="21"/>
      <c r="K80" s="204"/>
      <c r="L80" s="54"/>
      <c r="M80" s="159">
        <v>45070.508751180554</v>
      </c>
      <c r="N80" s="160">
        <v>1.07763846307202</v>
      </c>
      <c r="O80" s="160">
        <v>302126.1995918225</v>
      </c>
      <c r="P80" s="160">
        <v>280359.5175422307</v>
      </c>
      <c r="Q80" s="160">
        <v>11.294717653619838</v>
      </c>
      <c r="R80" s="160">
        <v>120446.37597134356</v>
      </c>
      <c r="S80" s="161">
        <v>299.54306500523404</v>
      </c>
      <c r="T80" s="160"/>
      <c r="U80" s="160">
        <v>302126.1995918225</v>
      </c>
      <c r="V80" s="160">
        <v>160318.0</v>
      </c>
      <c r="W80" s="20"/>
      <c r="X80" s="21"/>
      <c r="Y80" s="21"/>
      <c r="Z80" s="21"/>
      <c r="AA80" s="21"/>
      <c r="AB80" s="21"/>
    </row>
    <row r="81" ht="20.25" customHeight="1">
      <c r="A81" s="139"/>
      <c r="B81" s="21"/>
      <c r="C81" s="21"/>
      <c r="D81" s="21"/>
      <c r="E81" s="21"/>
      <c r="F81" s="21"/>
      <c r="G81" s="21"/>
      <c r="H81" s="21"/>
      <c r="I81" s="21"/>
      <c r="J81" s="21"/>
      <c r="K81" s="204"/>
      <c r="L81" s="54"/>
      <c r="M81" s="159">
        <v>45071.5087496412</v>
      </c>
      <c r="N81" s="160">
        <v>1.07289000087977</v>
      </c>
      <c r="O81" s="160">
        <v>299247.0018399601</v>
      </c>
      <c r="P81" s="160">
        <v>278916.7590289569</v>
      </c>
      <c r="Q81" s="160">
        <v>11.401170279981189</v>
      </c>
      <c r="R81" s="160">
        <v>118184.65840395805</v>
      </c>
      <c r="S81" s="161">
        <v>294.47639913350935</v>
      </c>
      <c r="T81" s="160"/>
      <c r="U81" s="160">
        <v>299247.0018399601</v>
      </c>
      <c r="V81" s="160">
        <v>160318.0</v>
      </c>
      <c r="W81" s="20"/>
      <c r="X81" s="21"/>
      <c r="Y81" s="21"/>
      <c r="Z81" s="21"/>
      <c r="AA81" s="21"/>
      <c r="AB81" s="21"/>
    </row>
    <row r="82" ht="20.25" customHeight="1">
      <c r="A82" s="139"/>
      <c r="B82" s="21"/>
      <c r="C82" s="21"/>
      <c r="D82" s="21"/>
      <c r="E82" s="21"/>
      <c r="F82" s="21"/>
      <c r="G82" s="21"/>
      <c r="H82" s="21"/>
      <c r="I82" s="21"/>
      <c r="J82" s="21"/>
      <c r="K82" s="204"/>
      <c r="L82" s="54"/>
      <c r="M82" s="159">
        <v>45072.50874950232</v>
      </c>
      <c r="N82" s="160">
        <v>1.07310529845741</v>
      </c>
      <c r="O82" s="160">
        <v>301156.59787587984</v>
      </c>
      <c r="P82" s="160">
        <v>280640.3046455858</v>
      </c>
      <c r="Q82" s="160">
        <v>11.389860825555044</v>
      </c>
      <c r="R82" s="160">
        <v>119056.93375471709</v>
      </c>
      <c r="S82" s="161">
        <v>298.9228455722725</v>
      </c>
      <c r="T82" s="160"/>
      <c r="U82" s="160">
        <v>301156.59787587984</v>
      </c>
      <c r="V82" s="160">
        <v>160318.0</v>
      </c>
      <c r="W82" s="20"/>
      <c r="X82" s="21"/>
      <c r="Y82" s="21"/>
      <c r="Z82" s="21"/>
      <c r="AA82" s="21"/>
      <c r="AB82" s="21"/>
    </row>
    <row r="83" ht="20.25" customHeight="1">
      <c r="A83" s="139"/>
      <c r="B83" s="21"/>
      <c r="C83" s="21"/>
      <c r="D83" s="21"/>
      <c r="E83" s="21"/>
      <c r="F83" s="21"/>
      <c r="G83" s="21"/>
      <c r="H83" s="21"/>
      <c r="I83" s="21"/>
      <c r="J83" s="21"/>
      <c r="K83" s="204"/>
      <c r="L83" s="54"/>
      <c r="M83" s="159">
        <v>45073.50875047454</v>
      </c>
      <c r="N83" s="160">
        <v>1.07313408810431</v>
      </c>
      <c r="O83" s="160">
        <v>302639.65075650025</v>
      </c>
      <c r="P83" s="160">
        <v>282014.7585574444</v>
      </c>
      <c r="Q83" s="160">
        <v>11.328605199848749</v>
      </c>
      <c r="R83" s="160">
        <v>120290.16305127731</v>
      </c>
      <c r="S83" s="161">
        <v>301.24208720645225</v>
      </c>
      <c r="T83" s="160"/>
      <c r="U83" s="160">
        <v>302639.65075650025</v>
      </c>
      <c r="V83" s="160">
        <v>160318.0</v>
      </c>
      <c r="W83" s="20"/>
      <c r="X83" s="21"/>
      <c r="Y83" s="21"/>
      <c r="Z83" s="21"/>
      <c r="AA83" s="21"/>
      <c r="AB83" s="21"/>
    </row>
    <row r="84" ht="20.25" customHeight="1">
      <c r="A84" s="139"/>
      <c r="B84" s="21"/>
      <c r="C84" s="21"/>
      <c r="D84" s="21"/>
      <c r="E84" s="21"/>
      <c r="F84" s="21"/>
      <c r="G84" s="21"/>
      <c r="H84" s="21"/>
      <c r="I84" s="21"/>
      <c r="J84" s="21"/>
      <c r="K84" s="204"/>
      <c r="L84" s="54"/>
      <c r="M84" s="159">
        <v>45075.50875034722</v>
      </c>
      <c r="N84" s="160">
        <v>1.07165170462278</v>
      </c>
      <c r="O84" s="160">
        <v>309677.4421199045</v>
      </c>
      <c r="P84" s="160">
        <v>288972.09866232664</v>
      </c>
      <c r="Q84" s="160">
        <v>11.077189061393083</v>
      </c>
      <c r="R84" s="160">
        <v>125881.1585773639</v>
      </c>
      <c r="S84" s="161">
        <v>0.0</v>
      </c>
      <c r="T84" s="160"/>
      <c r="U84" s="160">
        <v>309677.4421199045</v>
      </c>
      <c r="V84" s="160">
        <v>160318.0</v>
      </c>
      <c r="W84" s="20"/>
      <c r="X84" s="21"/>
      <c r="Y84" s="21"/>
      <c r="Z84" s="21"/>
      <c r="AA84" s="21"/>
      <c r="AB84" s="21"/>
    </row>
    <row r="85" ht="20.25" customHeight="1">
      <c r="A85" s="139"/>
      <c r="B85" s="21"/>
      <c r="C85" s="21"/>
      <c r="D85" s="21"/>
      <c r="E85" s="21"/>
      <c r="F85" s="21"/>
      <c r="G85" s="21"/>
      <c r="H85" s="21"/>
      <c r="I85" s="21"/>
      <c r="J85" s="21"/>
      <c r="K85" s="204"/>
      <c r="L85" s="54"/>
      <c r="M85" s="159">
        <v>45076.50876195602</v>
      </c>
      <c r="N85" s="160">
        <v>1.07045980530477</v>
      </c>
      <c r="O85" s="160">
        <v>308771.6066789414</v>
      </c>
      <c r="P85" s="160">
        <v>288447.6419841203</v>
      </c>
      <c r="Q85" s="160">
        <v>11.077320958933623</v>
      </c>
      <c r="R85" s="160">
        <v>125511.44995040806</v>
      </c>
      <c r="S85" s="161">
        <v>0.0</v>
      </c>
      <c r="T85" s="160"/>
      <c r="U85" s="160">
        <v>308771.6066789414</v>
      </c>
      <c r="V85" s="160">
        <v>160318.0</v>
      </c>
      <c r="W85" s="20"/>
      <c r="X85" s="21"/>
      <c r="Y85" s="21"/>
      <c r="Z85" s="21"/>
      <c r="AA85" s="21"/>
      <c r="AB85" s="21"/>
    </row>
    <row r="86" ht="20.25" customHeight="1">
      <c r="A86" s="139"/>
      <c r="B86" s="21"/>
      <c r="C86" s="21"/>
      <c r="D86" s="21"/>
      <c r="E86" s="21"/>
      <c r="F86" s="21"/>
      <c r="G86" s="21"/>
      <c r="H86" s="21"/>
      <c r="I86" s="21"/>
      <c r="J86" s="21"/>
      <c r="K86" s="204"/>
      <c r="L86" s="54"/>
      <c r="M86" s="159">
        <v>45077.508749016204</v>
      </c>
      <c r="N86" s="160">
        <v>1.06620038169974</v>
      </c>
      <c r="O86" s="160">
        <v>304259.0349028117</v>
      </c>
      <c r="P86" s="160">
        <v>285367.5914256952</v>
      </c>
      <c r="Q86" s="160">
        <v>11.208275139401195</v>
      </c>
      <c r="R86" s="160">
        <v>122232.14367423848</v>
      </c>
      <c r="S86" s="161">
        <v>0.0</v>
      </c>
      <c r="T86" s="160"/>
      <c r="U86" s="160">
        <v>304259.0349028117</v>
      </c>
      <c r="V86" s="160">
        <v>160318.0</v>
      </c>
      <c r="W86" s="20"/>
      <c r="X86" s="21"/>
      <c r="Y86" s="21"/>
      <c r="Z86" s="21"/>
      <c r="AA86" s="21"/>
      <c r="AB86" s="21"/>
    </row>
    <row r="87" ht="20.25" customHeight="1">
      <c r="A87" s="139"/>
      <c r="B87" s="21"/>
      <c r="C87" s="21"/>
      <c r="D87" s="21"/>
      <c r="E87" s="21"/>
      <c r="F87" s="21"/>
      <c r="G87" s="21"/>
      <c r="H87" s="21"/>
      <c r="I87" s="21"/>
      <c r="J87" s="21"/>
      <c r="K87" s="204"/>
      <c r="L87" s="54"/>
      <c r="M87" s="159">
        <v>45078.50875359954</v>
      </c>
      <c r="N87" s="160">
        <v>1.0694615261216</v>
      </c>
      <c r="O87" s="160">
        <v>302573.12621642154</v>
      </c>
      <c r="P87" s="160">
        <v>282921.00166866434</v>
      </c>
      <c r="Q87" s="160">
        <v>11.248162664022821</v>
      </c>
      <c r="R87" s="160">
        <v>121123.8014562566</v>
      </c>
      <c r="S87" s="161">
        <v>0.0</v>
      </c>
      <c r="T87" s="160"/>
      <c r="U87" s="160">
        <v>302573.12621642154</v>
      </c>
      <c r="V87" s="160">
        <v>160318.0</v>
      </c>
      <c r="W87" s="20"/>
      <c r="X87" s="21"/>
      <c r="Y87" s="21"/>
      <c r="Z87" s="21"/>
      <c r="AA87" s="21"/>
      <c r="AB87" s="21"/>
    </row>
    <row r="88" ht="20.25" customHeight="1">
      <c r="A88" s="139"/>
      <c r="B88" s="21"/>
      <c r="C88" s="21"/>
      <c r="D88" s="21"/>
      <c r="E88" s="21"/>
      <c r="F88" s="21"/>
      <c r="G88" s="21"/>
      <c r="H88" s="21"/>
      <c r="I88" s="21"/>
      <c r="J88" s="21"/>
      <c r="K88" s="204"/>
      <c r="L88" s="54"/>
      <c r="M88" s="159">
        <v>45079.508755787036</v>
      </c>
      <c r="N88" s="160">
        <v>1.07735982202016</v>
      </c>
      <c r="O88" s="160">
        <v>304920.1214519356</v>
      </c>
      <c r="P88" s="160">
        <v>283025.3321310787</v>
      </c>
      <c r="Q88" s="160">
        <v>11.256462013061103</v>
      </c>
      <c r="R88" s="160">
        <v>121973.33610491824</v>
      </c>
      <c r="S88" s="161">
        <v>0.0</v>
      </c>
      <c r="T88" s="160"/>
      <c r="U88" s="160">
        <v>304920.1214519356</v>
      </c>
      <c r="V88" s="160">
        <v>160318.0</v>
      </c>
      <c r="W88" s="20"/>
      <c r="X88" s="21"/>
      <c r="Y88" s="21"/>
      <c r="Z88" s="21"/>
      <c r="AA88" s="21"/>
      <c r="AB88" s="21"/>
    </row>
    <row r="89" ht="20.25" customHeight="1">
      <c r="A89" s="139"/>
      <c r="B89" s="21"/>
      <c r="C89" s="21"/>
      <c r="D89" s="21"/>
      <c r="E89" s="21"/>
      <c r="F89" s="21"/>
      <c r="G89" s="21"/>
      <c r="H89" s="21"/>
      <c r="I89" s="21"/>
      <c r="J89" s="21"/>
      <c r="K89" s="204"/>
      <c r="L89" s="54"/>
      <c r="M89" s="159">
        <v>45080.50875020833</v>
      </c>
      <c r="N89" s="160">
        <v>1.07135204628241</v>
      </c>
      <c r="O89" s="160">
        <v>305250.3970608376</v>
      </c>
      <c r="P89" s="160">
        <v>284920.7206165854</v>
      </c>
      <c r="Q89" s="160">
        <v>11.241390778797113</v>
      </c>
      <c r="R89" s="160">
        <v>122269.15778695793</v>
      </c>
      <c r="S89" s="161">
        <v>0.0</v>
      </c>
      <c r="T89" s="160"/>
      <c r="U89" s="160">
        <v>305250.3970608376</v>
      </c>
      <c r="V89" s="160">
        <v>160318.0</v>
      </c>
      <c r="W89" s="20"/>
      <c r="X89" s="21"/>
      <c r="Y89" s="21"/>
      <c r="Z89" s="21"/>
      <c r="AA89" s="21"/>
      <c r="AB89" s="21"/>
    </row>
    <row r="90" ht="20.25" customHeight="1">
      <c r="A90" s="139"/>
      <c r="B90" s="21"/>
      <c r="C90" s="21"/>
      <c r="D90" s="21"/>
      <c r="E90" s="21"/>
      <c r="F90" s="21"/>
      <c r="G90" s="21"/>
      <c r="H90" s="21"/>
      <c r="I90" s="21"/>
      <c r="J90" s="21"/>
      <c r="K90" s="204"/>
      <c r="L90" s="54"/>
      <c r="M90" s="159">
        <v>45081.508750497684</v>
      </c>
      <c r="N90" s="160">
        <v>1.07255628775398</v>
      </c>
      <c r="O90" s="160">
        <v>305201.6701236458</v>
      </c>
      <c r="P90" s="160">
        <v>284555.38754312176</v>
      </c>
      <c r="Q90" s="160">
        <v>11.216641033596332</v>
      </c>
      <c r="R90" s="160">
        <v>122519.38633706362</v>
      </c>
      <c r="S90" s="161">
        <v>0.0</v>
      </c>
      <c r="T90" s="160"/>
      <c r="U90" s="160">
        <v>305201.6701236458</v>
      </c>
      <c r="V90" s="160">
        <v>160318.0</v>
      </c>
      <c r="W90" s="20"/>
      <c r="X90" s="21"/>
      <c r="Y90" s="21"/>
      <c r="Z90" s="21"/>
      <c r="AA90" s="21"/>
      <c r="AB90" s="21"/>
    </row>
    <row r="91" ht="20.25" customHeight="1">
      <c r="A91" s="139"/>
      <c r="B91" s="21"/>
      <c r="C91" s="21"/>
      <c r="D91" s="21"/>
      <c r="E91" s="21"/>
      <c r="F91" s="21"/>
      <c r="G91" s="21"/>
      <c r="H91" s="21"/>
      <c r="I91" s="21"/>
      <c r="J91" s="21"/>
      <c r="K91" s="204"/>
      <c r="L91" s="54"/>
      <c r="M91" s="159">
        <v>45082.508758449076</v>
      </c>
      <c r="N91" s="160">
        <v>1.06942378377107</v>
      </c>
      <c r="O91" s="160">
        <v>302242.43357852084</v>
      </c>
      <c r="P91" s="160">
        <v>282621.761517903</v>
      </c>
      <c r="Q91" s="160">
        <v>11.283798646452203</v>
      </c>
      <c r="R91" s="160">
        <v>120609.31143047198</v>
      </c>
      <c r="S91" s="161">
        <v>0.0</v>
      </c>
      <c r="T91" s="160"/>
      <c r="U91" s="160">
        <v>302242.43357852084</v>
      </c>
      <c r="V91" s="160">
        <v>160318.0</v>
      </c>
      <c r="W91" s="20"/>
      <c r="X91" s="21"/>
      <c r="Y91" s="21"/>
      <c r="Z91" s="21"/>
      <c r="AA91" s="21"/>
      <c r="AB91" s="21"/>
    </row>
    <row r="92" ht="20.25" customHeight="1">
      <c r="A92" s="139"/>
      <c r="B92" s="21"/>
      <c r="C92" s="21"/>
      <c r="D92" s="21"/>
      <c r="E92" s="21"/>
      <c r="F92" s="21"/>
      <c r="G92" s="21"/>
      <c r="H92" s="21"/>
      <c r="I92" s="21"/>
      <c r="J92" s="21"/>
      <c r="K92" s="204"/>
      <c r="L92" s="54"/>
      <c r="M92" s="159">
        <v>45083.50876481482</v>
      </c>
      <c r="N92" s="160">
        <v>1.06947868261616</v>
      </c>
      <c r="O92" s="160">
        <v>297072.9044806245</v>
      </c>
      <c r="P92" s="160">
        <v>277773.5632410404</v>
      </c>
      <c r="Q92" s="160">
        <v>11.526961704441016</v>
      </c>
      <c r="R92" s="160">
        <v>116045.66468906593</v>
      </c>
      <c r="S92" s="161">
        <v>0.0</v>
      </c>
      <c r="T92" s="160"/>
      <c r="U92" s="160">
        <v>297072.9044806245</v>
      </c>
      <c r="V92" s="160">
        <v>160318.0</v>
      </c>
      <c r="W92" s="20"/>
      <c r="X92" s="21"/>
      <c r="Y92" s="21"/>
      <c r="Z92" s="21"/>
      <c r="AA92" s="21"/>
      <c r="AB92" s="21"/>
    </row>
    <row r="93" ht="20.25" customHeight="1">
      <c r="A93" s="139"/>
      <c r="B93" s="21"/>
      <c r="C93" s="21"/>
      <c r="D93" s="21"/>
      <c r="E93" s="21"/>
      <c r="F93" s="21"/>
      <c r="G93" s="21"/>
      <c r="H93" s="21"/>
      <c r="I93" s="21"/>
      <c r="J93" s="21"/>
      <c r="K93" s="204"/>
      <c r="L93" s="54"/>
      <c r="M93" s="159">
        <v>45084.50874748843</v>
      </c>
      <c r="N93" s="160">
        <v>1.0695152849777</v>
      </c>
      <c r="O93" s="160">
        <v>300667.425472711</v>
      </c>
      <c r="P93" s="160">
        <v>281124.9448192599</v>
      </c>
      <c r="Q93" s="160">
        <v>11.332506613306201</v>
      </c>
      <c r="R93" s="160">
        <v>119465.12067157203</v>
      </c>
      <c r="S93" s="161">
        <v>0.0</v>
      </c>
      <c r="T93" s="160"/>
      <c r="U93" s="160">
        <v>300667.425472711</v>
      </c>
      <c r="V93" s="160">
        <v>160318.0</v>
      </c>
      <c r="W93" s="20"/>
      <c r="X93" s="21"/>
      <c r="Y93" s="21"/>
      <c r="Z93" s="21"/>
      <c r="AA93" s="21"/>
      <c r="AB93" s="21"/>
    </row>
    <row r="94" ht="20.25" customHeight="1">
      <c r="A94" s="139"/>
      <c r="B94" s="21"/>
      <c r="C94" s="21"/>
      <c r="D94" s="21"/>
      <c r="E94" s="21"/>
      <c r="F94" s="21"/>
      <c r="G94" s="21"/>
      <c r="H94" s="21"/>
      <c r="I94" s="21"/>
      <c r="J94" s="21"/>
      <c r="K94" s="204"/>
      <c r="L94" s="54"/>
      <c r="M94" s="159">
        <v>45085.50875194445</v>
      </c>
      <c r="N94" s="160">
        <v>1.07251487578133</v>
      </c>
      <c r="O94" s="160">
        <v>299875.5918023675</v>
      </c>
      <c r="P94" s="160">
        <v>279600.403289425</v>
      </c>
      <c r="Q94" s="160">
        <v>11.361566721247929</v>
      </c>
      <c r="R94" s="160">
        <v>118845.7411186644</v>
      </c>
      <c r="S94" s="161">
        <v>0.0</v>
      </c>
      <c r="T94" s="160"/>
      <c r="U94" s="160">
        <v>299875.5918023675</v>
      </c>
      <c r="V94" s="160">
        <v>160318.0</v>
      </c>
      <c r="W94" s="20"/>
      <c r="X94" s="21"/>
      <c r="Y94" s="21"/>
      <c r="Z94" s="21"/>
      <c r="AA94" s="21"/>
      <c r="AB94" s="21"/>
    </row>
    <row r="95" ht="20.25" customHeight="1">
      <c r="A95" s="139"/>
      <c r="B95" s="21"/>
      <c r="C95" s="21"/>
      <c r="D95" s="21"/>
      <c r="E95" s="21"/>
      <c r="F95" s="21"/>
      <c r="G95" s="21"/>
      <c r="H95" s="21"/>
      <c r="I95" s="21"/>
      <c r="J95" s="21"/>
      <c r="K95" s="204"/>
      <c r="L95" s="54"/>
      <c r="M95" s="159">
        <v>45086.50875620371</v>
      </c>
      <c r="N95" s="160">
        <v>1.07644943916984</v>
      </c>
      <c r="O95" s="160">
        <v>301284.895934414</v>
      </c>
      <c r="P95" s="160">
        <v>279887.6426251525</v>
      </c>
      <c r="Q95" s="160">
        <v>11.300721933684704</v>
      </c>
      <c r="R95" s="160">
        <v>120047.16262169123</v>
      </c>
      <c r="S95" s="161">
        <v>0.0</v>
      </c>
      <c r="T95" s="160"/>
      <c r="U95" s="160">
        <v>301284.895934414</v>
      </c>
      <c r="V95" s="160">
        <v>160318.0</v>
      </c>
      <c r="W95" s="20"/>
      <c r="X95" s="21"/>
      <c r="Y95" s="21"/>
      <c r="Z95" s="21"/>
      <c r="AA95" s="21"/>
      <c r="AB95" s="21"/>
    </row>
    <row r="96" ht="20.25" customHeight="1">
      <c r="A96" s="139"/>
      <c r="B96" s="21"/>
      <c r="C96" s="21"/>
      <c r="D96" s="21"/>
      <c r="E96" s="21"/>
      <c r="F96" s="21"/>
      <c r="G96" s="21"/>
      <c r="H96" s="21"/>
      <c r="I96" s="21"/>
      <c r="J96" s="21"/>
      <c r="K96" s="204"/>
      <c r="L96" s="54"/>
      <c r="M96" s="159">
        <v>45087.50875209491</v>
      </c>
      <c r="N96" s="160">
        <v>1.07490011490682</v>
      </c>
      <c r="O96" s="160">
        <v>294363.217711852</v>
      </c>
      <c r="P96" s="160">
        <v>273851.694338473</v>
      </c>
      <c r="Q96" s="160">
        <v>11.468283707129583</v>
      </c>
      <c r="R96" s="160">
        <v>128848.22760433955</v>
      </c>
      <c r="S96" s="161">
        <v>0.0</v>
      </c>
      <c r="T96" s="160"/>
      <c r="U96" s="160">
        <v>294363.217711852</v>
      </c>
      <c r="V96" s="160">
        <v>146750.0</v>
      </c>
      <c r="W96" s="20"/>
      <c r="X96" s="21"/>
      <c r="Y96" s="21"/>
      <c r="Z96" s="21"/>
      <c r="AA96" s="21"/>
      <c r="AB96" s="21"/>
    </row>
    <row r="97" ht="20.25" customHeight="1">
      <c r="A97" s="139"/>
      <c r="B97" s="21"/>
      <c r="C97" s="21"/>
      <c r="D97" s="21"/>
      <c r="E97" s="21"/>
      <c r="F97" s="21"/>
      <c r="G97" s="21"/>
      <c r="H97" s="21"/>
      <c r="I97" s="21"/>
      <c r="J97" s="21"/>
      <c r="K97" s="204"/>
      <c r="L97" s="54"/>
      <c r="M97" s="159">
        <v>45088.50875893519</v>
      </c>
      <c r="N97" s="160">
        <v>1.07534975750863</v>
      </c>
      <c r="O97" s="160">
        <v>294364.2531478521</v>
      </c>
      <c r="P97" s="160">
        <v>273738.149929782</v>
      </c>
      <c r="Q97" s="160">
        <v>11.446129661735542</v>
      </c>
      <c r="R97" s="160">
        <v>129098.0681471491</v>
      </c>
      <c r="S97" s="161">
        <v>0.0</v>
      </c>
      <c r="T97" s="160"/>
      <c r="U97" s="160">
        <v>294364.2531478521</v>
      </c>
      <c r="V97" s="160">
        <v>146750.0</v>
      </c>
      <c r="W97" s="20"/>
      <c r="X97" s="21"/>
      <c r="Y97" s="21"/>
      <c r="Z97" s="21"/>
      <c r="AA97" s="21"/>
      <c r="AB97" s="21"/>
    </row>
    <row r="98" ht="20.25" customHeight="1">
      <c r="A98" s="139"/>
      <c r="B98" s="21"/>
      <c r="C98" s="21"/>
      <c r="D98" s="21"/>
      <c r="E98" s="21"/>
      <c r="F98" s="21"/>
      <c r="G98" s="21"/>
      <c r="H98" s="21"/>
      <c r="I98" s="21"/>
      <c r="J98" s="21"/>
      <c r="K98" s="204"/>
      <c r="L98" s="54"/>
      <c r="M98" s="159">
        <v>45089.508756863426</v>
      </c>
      <c r="N98" s="160">
        <v>1.0776442696266</v>
      </c>
      <c r="O98" s="160">
        <v>295050.6766647799</v>
      </c>
      <c r="P98" s="160">
        <v>273792.27541108156</v>
      </c>
      <c r="Q98" s="160">
        <v>11.357550885081785</v>
      </c>
      <c r="R98" s="160">
        <v>130408.30772076525</v>
      </c>
      <c r="S98" s="161">
        <v>0.0</v>
      </c>
      <c r="T98" s="160"/>
      <c r="U98" s="160">
        <v>295050.6766647799</v>
      </c>
      <c r="V98" s="160">
        <v>146750.0</v>
      </c>
      <c r="W98" s="20"/>
      <c r="X98" s="21"/>
      <c r="Y98" s="21"/>
      <c r="Z98" s="21"/>
      <c r="AA98" s="21"/>
      <c r="AB98" s="21"/>
    </row>
    <row r="99" ht="20.25" customHeight="1">
      <c r="A99" s="139"/>
      <c r="B99" s="21"/>
      <c r="C99" s="21"/>
      <c r="D99" s="21"/>
      <c r="E99" s="21"/>
      <c r="F99" s="21"/>
      <c r="G99" s="21"/>
      <c r="H99" s="21"/>
      <c r="I99" s="21"/>
      <c r="J99" s="21"/>
      <c r="K99" s="204"/>
      <c r="L99" s="54"/>
      <c r="M99" s="159">
        <v>45090.50874971064</v>
      </c>
      <c r="N99" s="160">
        <v>1.08055073509867</v>
      </c>
      <c r="O99" s="160">
        <v>297792.60668168</v>
      </c>
      <c r="P99" s="160">
        <v>275593.3590239862</v>
      </c>
      <c r="Q99" s="160">
        <v>11.397062627384026</v>
      </c>
      <c r="R99" s="160">
        <v>131163.89716394435</v>
      </c>
      <c r="S99" s="161">
        <v>0.0</v>
      </c>
      <c r="T99" s="160"/>
      <c r="U99" s="160">
        <v>297792.60668168</v>
      </c>
      <c r="V99" s="160">
        <v>148762.0</v>
      </c>
      <c r="W99" s="20"/>
      <c r="X99" s="21"/>
      <c r="Y99" s="21"/>
      <c r="Z99" s="21"/>
      <c r="AA99" s="21"/>
      <c r="AB99" s="21"/>
    </row>
    <row r="100" ht="20.25" customHeight="1">
      <c r="A100" s="139"/>
      <c r="B100" s="21"/>
      <c r="C100" s="21"/>
      <c r="D100" s="21"/>
      <c r="E100" s="21"/>
      <c r="F100" s="21"/>
      <c r="G100" s="21"/>
      <c r="H100" s="21"/>
      <c r="I100" s="21"/>
      <c r="J100" s="21"/>
      <c r="K100" s="204"/>
      <c r="L100" s="54"/>
      <c r="M100" s="159">
        <v>45091.50874899306</v>
      </c>
      <c r="N100" s="160">
        <v>1.07997541975945</v>
      </c>
      <c r="O100" s="160">
        <v>296780.480224908</v>
      </c>
      <c r="P100" s="160">
        <v>274802.99532281194</v>
      </c>
      <c r="Q100" s="160">
        <v>11.421222689417908</v>
      </c>
      <c r="R100" s="160">
        <v>130441.58559763971</v>
      </c>
      <c r="S100" s="161">
        <v>0.0</v>
      </c>
      <c r="T100" s="160"/>
      <c r="U100" s="160">
        <v>296780.480224908</v>
      </c>
      <c r="V100" s="160">
        <v>148762.0</v>
      </c>
      <c r="W100" s="20"/>
      <c r="X100" s="21"/>
      <c r="Y100" s="21"/>
      <c r="Z100" s="21"/>
      <c r="AA100" s="21"/>
      <c r="AB100" s="21"/>
    </row>
    <row r="101" ht="20.25" customHeight="1">
      <c r="A101" s="139"/>
      <c r="B101" s="21"/>
      <c r="C101" s="21"/>
      <c r="D101" s="21"/>
      <c r="E101" s="21"/>
      <c r="F101" s="21"/>
      <c r="G101" s="21"/>
      <c r="H101" s="21"/>
      <c r="I101" s="21"/>
      <c r="J101" s="21"/>
      <c r="K101" s="204"/>
      <c r="L101" s="54"/>
      <c r="M101" s="159">
        <v>45092.50875353009</v>
      </c>
      <c r="N101" s="160">
        <v>1.0843176226553</v>
      </c>
      <c r="O101" s="160">
        <v>290817.9073502323</v>
      </c>
      <c r="P101" s="160">
        <v>268203.61605677055</v>
      </c>
      <c r="Q101" s="160">
        <v>11.685570392520109</v>
      </c>
      <c r="R101" s="160">
        <v>124929.37423779862</v>
      </c>
      <c r="S101" s="161">
        <v>0.0</v>
      </c>
      <c r="T101" s="160"/>
      <c r="U101" s="160">
        <v>290817.9073502323</v>
      </c>
      <c r="V101" s="160">
        <v>149623.73</v>
      </c>
      <c r="W101" s="20"/>
      <c r="X101" s="21"/>
      <c r="Y101" s="21"/>
      <c r="Z101" s="21"/>
      <c r="AA101" s="21"/>
      <c r="AB101" s="21"/>
    </row>
    <row r="102" ht="20.25" customHeight="1">
      <c r="A102" s="139"/>
      <c r="B102" s="21"/>
      <c r="C102" s="21"/>
      <c r="D102" s="21"/>
      <c r="E102" s="21"/>
      <c r="F102" s="21"/>
      <c r="G102" s="21"/>
      <c r="H102" s="21"/>
      <c r="I102" s="21"/>
      <c r="J102" s="21"/>
      <c r="K102" s="204"/>
      <c r="L102" s="54"/>
      <c r="M102" s="159">
        <v>45093.50874884259</v>
      </c>
      <c r="N102" s="160">
        <v>1.09438765180525</v>
      </c>
      <c r="O102" s="160">
        <v>294771.813142732</v>
      </c>
      <c r="P102" s="160">
        <v>269348.6285746101</v>
      </c>
      <c r="Q102" s="160">
        <v>11.527130084334662</v>
      </c>
      <c r="R102" s="160">
        <v>128368.38992299323</v>
      </c>
      <c r="S102" s="161">
        <v>0.0</v>
      </c>
      <c r="T102" s="160"/>
      <c r="U102" s="160">
        <v>294771.813142732</v>
      </c>
      <c r="V102" s="160">
        <v>149623.73</v>
      </c>
      <c r="W102" s="20"/>
      <c r="X102" s="21"/>
      <c r="Y102" s="21"/>
      <c r="Z102" s="21"/>
      <c r="AA102" s="21"/>
      <c r="AB102" s="21"/>
    </row>
    <row r="103" ht="20.25" customHeight="1">
      <c r="A103" s="139"/>
      <c r="B103" s="21"/>
      <c r="C103" s="21"/>
      <c r="D103" s="21"/>
      <c r="E103" s="21"/>
      <c r="F103" s="21"/>
      <c r="G103" s="21"/>
      <c r="H103" s="21"/>
      <c r="I103" s="21"/>
      <c r="J103" s="21"/>
      <c r="K103" s="204"/>
      <c r="L103" s="54"/>
      <c r="M103" s="159">
        <v>45094.50874547454</v>
      </c>
      <c r="N103" s="160">
        <v>1.09565026843432</v>
      </c>
      <c r="O103" s="160">
        <v>300427.2742969751</v>
      </c>
      <c r="P103" s="160">
        <v>274199.9732508481</v>
      </c>
      <c r="Q103" s="160">
        <v>11.303550161416647</v>
      </c>
      <c r="R103" s="160">
        <v>133419.04482767312</v>
      </c>
      <c r="S103" s="161">
        <v>0.0</v>
      </c>
      <c r="T103" s="160"/>
      <c r="U103" s="160">
        <v>300427.2742969751</v>
      </c>
      <c r="V103" s="160">
        <v>149623.73</v>
      </c>
      <c r="W103" s="20"/>
      <c r="X103" s="21"/>
      <c r="Y103" s="21"/>
      <c r="Z103" s="21"/>
      <c r="AA103" s="21"/>
      <c r="AB103" s="21"/>
    </row>
    <row r="104" ht="20.25" customHeight="1">
      <c r="A104" s="139"/>
      <c r="B104" s="21"/>
      <c r="C104" s="21"/>
      <c r="D104" s="21"/>
      <c r="E104" s="21"/>
      <c r="F104" s="21"/>
      <c r="G104" s="21"/>
      <c r="H104" s="21"/>
      <c r="I104" s="21"/>
      <c r="J104" s="21"/>
      <c r="K104" s="204"/>
      <c r="L104" s="54"/>
      <c r="M104" s="159">
        <v>45095.50876123842</v>
      </c>
      <c r="N104" s="160">
        <v>1.09645035163163</v>
      </c>
      <c r="O104" s="160">
        <v>300286.17442911974</v>
      </c>
      <c r="P104" s="160">
        <v>273871.20080928726</v>
      </c>
      <c r="Q104" s="160">
        <v>11.321629364848027</v>
      </c>
      <c r="R104" s="160">
        <v>133143.4295114362</v>
      </c>
      <c r="S104" s="161">
        <v>0.0</v>
      </c>
      <c r="T104" s="160"/>
      <c r="U104" s="160">
        <v>300286.17442911974</v>
      </c>
      <c r="V104" s="160">
        <v>149623.73</v>
      </c>
      <c r="W104" s="20"/>
      <c r="X104" s="21"/>
      <c r="Y104" s="21"/>
      <c r="Z104" s="21"/>
      <c r="AA104" s="21"/>
      <c r="AB104" s="21"/>
    </row>
    <row r="105" ht="20.25" customHeight="1">
      <c r="A105" s="139"/>
      <c r="B105" s="21"/>
      <c r="C105" s="21"/>
      <c r="D105" s="21"/>
      <c r="E105" s="21"/>
      <c r="F105" s="21"/>
      <c r="G105" s="21"/>
      <c r="H105" s="21"/>
      <c r="I105" s="21"/>
      <c r="J105" s="21"/>
      <c r="K105" s="204"/>
      <c r="L105" s="54"/>
      <c r="M105" s="159">
        <v>45096.50875033565</v>
      </c>
      <c r="N105" s="160">
        <v>1.09251648061111</v>
      </c>
      <c r="O105" s="160">
        <v>299442.17358509166</v>
      </c>
      <c r="P105" s="160">
        <v>274084.81144155894</v>
      </c>
      <c r="Q105" s="160">
        <v>11.345390334349805</v>
      </c>
      <c r="R105" s="160">
        <v>132491.146980222</v>
      </c>
      <c r="S105" s="161">
        <v>0.0</v>
      </c>
      <c r="T105" s="160"/>
      <c r="U105" s="160">
        <v>299442.17358509166</v>
      </c>
      <c r="V105" s="160">
        <v>150361.17940000002</v>
      </c>
      <c r="W105" s="20"/>
      <c r="X105" s="21"/>
      <c r="Y105" s="21"/>
      <c r="Z105" s="21"/>
      <c r="AA105" s="21"/>
      <c r="AB105" s="21"/>
    </row>
    <row r="106" ht="20.25" customHeight="1">
      <c r="A106" s="139"/>
      <c r="B106" s="21"/>
      <c r="C106" s="21"/>
      <c r="D106" s="21"/>
      <c r="E106" s="21"/>
      <c r="F106" s="21"/>
      <c r="G106" s="21"/>
      <c r="H106" s="21"/>
      <c r="I106" s="21"/>
      <c r="J106" s="21"/>
      <c r="K106" s="204"/>
      <c r="L106" s="54"/>
      <c r="M106" s="159">
        <v>45097.508756041665</v>
      </c>
      <c r="N106" s="160">
        <v>1.09296545573381</v>
      </c>
      <c r="O106" s="160">
        <v>301278.3585182926</v>
      </c>
      <c r="P106" s="160">
        <v>275652.2238994427</v>
      </c>
      <c r="Q106" s="160">
        <v>11.263443067365602</v>
      </c>
      <c r="R106" s="160">
        <v>134273.43640069876</v>
      </c>
      <c r="S106" s="161">
        <v>0.0</v>
      </c>
      <c r="T106" s="160"/>
      <c r="U106" s="160">
        <v>301278.3585182926</v>
      </c>
      <c r="V106" s="160">
        <v>150361.17940000002</v>
      </c>
      <c r="W106" s="20"/>
      <c r="X106" s="21"/>
      <c r="Y106" s="21"/>
      <c r="Z106" s="21"/>
      <c r="AA106" s="21"/>
      <c r="AB106" s="21"/>
    </row>
    <row r="107" ht="20.25" customHeight="1">
      <c r="A107" s="139"/>
      <c r="B107" s="21"/>
      <c r="C107" s="21"/>
      <c r="D107" s="21"/>
      <c r="E107" s="21"/>
      <c r="F107" s="21"/>
      <c r="G107" s="21"/>
      <c r="H107" s="21"/>
      <c r="I107" s="21"/>
      <c r="J107" s="21"/>
      <c r="K107" s="204"/>
      <c r="L107" s="54"/>
      <c r="M107" s="159">
        <v>45098.50875409722</v>
      </c>
      <c r="N107" s="160">
        <v>1.09205952598064</v>
      </c>
      <c r="O107" s="160">
        <v>313934.54331202124</v>
      </c>
      <c r="P107" s="160">
        <v>287470.1752453617</v>
      </c>
      <c r="Q107" s="160">
        <v>10.849013373675954</v>
      </c>
      <c r="R107" s="160">
        <v>145258.71441037636</v>
      </c>
      <c r="S107" s="161">
        <v>0.0</v>
      </c>
      <c r="T107" s="160"/>
      <c r="U107" s="160">
        <v>313934.54331202124</v>
      </c>
      <c r="V107" s="160">
        <v>150361.17940000002</v>
      </c>
      <c r="W107" s="20"/>
      <c r="X107" s="21"/>
      <c r="Y107" s="21"/>
      <c r="Z107" s="21"/>
      <c r="AA107" s="21"/>
      <c r="AB107" s="21"/>
    </row>
    <row r="108" ht="20.25" customHeight="1">
      <c r="A108" s="139"/>
      <c r="B108" s="21"/>
      <c r="C108" s="21"/>
      <c r="D108" s="21"/>
      <c r="E108" s="21"/>
      <c r="F108" s="21"/>
      <c r="G108" s="21"/>
      <c r="H108" s="21"/>
      <c r="I108" s="21"/>
      <c r="J108" s="21"/>
      <c r="K108" s="204"/>
      <c r="L108" s="54"/>
      <c r="M108" s="159">
        <v>45099.50875450231</v>
      </c>
      <c r="N108" s="160">
        <v>1.09974101099191</v>
      </c>
      <c r="O108" s="160">
        <v>320648.37297107675</v>
      </c>
      <c r="P108" s="160">
        <v>291567.16878446535</v>
      </c>
      <c r="Q108" s="160">
        <v>10.641598366764908</v>
      </c>
      <c r="R108" s="160">
        <v>151257.01036952206</v>
      </c>
      <c r="S108" s="161">
        <v>0.0</v>
      </c>
      <c r="T108" s="160"/>
      <c r="U108" s="160">
        <v>320648.37297107675</v>
      </c>
      <c r="V108" s="160">
        <v>150361.17940000002</v>
      </c>
      <c r="W108" s="20"/>
      <c r="X108" s="21"/>
      <c r="Y108" s="21"/>
      <c r="Z108" s="21"/>
      <c r="AA108" s="21"/>
      <c r="AB108" s="21"/>
    </row>
    <row r="109" ht="20.25" customHeight="1">
      <c r="A109" s="139"/>
      <c r="B109" s="21"/>
      <c r="C109" s="21"/>
      <c r="D109" s="21"/>
      <c r="E109" s="21"/>
      <c r="F109" s="21"/>
      <c r="G109" s="21"/>
      <c r="H109" s="21"/>
      <c r="I109" s="21"/>
      <c r="J109" s="21"/>
      <c r="K109" s="204"/>
      <c r="L109" s="54"/>
      <c r="M109" s="159">
        <v>45100.50875008102</v>
      </c>
      <c r="N109" s="160">
        <v>1.08522605801401</v>
      </c>
      <c r="O109" s="160">
        <v>320084.7028295106</v>
      </c>
      <c r="P109" s="160">
        <v>294947.4908622019</v>
      </c>
      <c r="Q109" s="160">
        <v>10.629015019495991</v>
      </c>
      <c r="R109" s="160">
        <v>151169.86805386926</v>
      </c>
      <c r="S109" s="161">
        <v>0.0</v>
      </c>
      <c r="T109" s="160"/>
      <c r="U109" s="160">
        <v>320084.7028295106</v>
      </c>
      <c r="V109" s="160">
        <v>150361.17940000002</v>
      </c>
      <c r="W109" s="20"/>
      <c r="X109" s="21"/>
      <c r="Y109" s="21"/>
      <c r="Z109" s="21"/>
      <c r="AA109" s="21"/>
      <c r="AB109" s="21"/>
    </row>
    <row r="110" ht="20.25" customHeight="1">
      <c r="A110" s="139"/>
      <c r="B110" s="21"/>
      <c r="C110" s="21"/>
      <c r="D110" s="21"/>
      <c r="E110" s="21"/>
      <c r="F110" s="21"/>
      <c r="G110" s="21"/>
      <c r="H110" s="21"/>
      <c r="I110" s="21"/>
      <c r="J110" s="21"/>
      <c r="K110" s="204"/>
      <c r="L110" s="54"/>
      <c r="M110" s="159">
        <v>45101.50874965278</v>
      </c>
      <c r="N110" s="160">
        <v>1.09164346924295</v>
      </c>
      <c r="O110" s="160">
        <v>322901.4089594893</v>
      </c>
      <c r="P110" s="160">
        <v>295793.83567733894</v>
      </c>
      <c r="Q110" s="160">
        <v>10.540376672589757</v>
      </c>
      <c r="R110" s="160">
        <v>167059.66495768126</v>
      </c>
      <c r="S110" s="161">
        <v>0.0</v>
      </c>
      <c r="T110" s="160"/>
      <c r="U110" s="160">
        <v>322901.4089594893</v>
      </c>
      <c r="V110" s="160">
        <v>137373.17940000002</v>
      </c>
      <c r="W110" s="20"/>
      <c r="X110" s="21"/>
      <c r="Y110" s="21"/>
      <c r="Z110" s="21"/>
      <c r="AA110" s="21"/>
      <c r="AB110" s="21"/>
    </row>
    <row r="111" ht="20.25" customHeight="1">
      <c r="A111" s="139"/>
      <c r="B111" s="21"/>
      <c r="C111" s="21"/>
      <c r="D111" s="21"/>
      <c r="E111" s="21"/>
      <c r="F111" s="21"/>
      <c r="G111" s="21"/>
      <c r="H111" s="21"/>
      <c r="I111" s="21"/>
      <c r="J111" s="21"/>
      <c r="K111" s="204"/>
      <c r="L111" s="54"/>
      <c r="M111" s="159">
        <v>45102.50876490741</v>
      </c>
      <c r="N111" s="160">
        <v>1.09332514068361</v>
      </c>
      <c r="O111" s="160">
        <v>323368.6279508872</v>
      </c>
      <c r="P111" s="160">
        <v>295766.2052376281</v>
      </c>
      <c r="Q111" s="160">
        <v>10.538179787926953</v>
      </c>
      <c r="R111" s="160">
        <v>167336.26745031175</v>
      </c>
      <c r="S111" s="161">
        <v>0.0</v>
      </c>
      <c r="T111" s="160"/>
      <c r="U111" s="160">
        <v>323368.6279508872</v>
      </c>
      <c r="V111" s="160">
        <v>137373.17940000002</v>
      </c>
      <c r="W111" s="20"/>
      <c r="X111" s="21"/>
      <c r="Y111" s="21"/>
      <c r="Z111" s="21"/>
      <c r="AA111" s="21"/>
      <c r="AB111" s="21"/>
    </row>
    <row r="112" ht="20.25" customHeight="1">
      <c r="A112" s="139"/>
      <c r="B112" s="21"/>
      <c r="C112" s="21"/>
      <c r="D112" s="21"/>
      <c r="E112" s="21"/>
      <c r="F112" s="21"/>
      <c r="G112" s="21"/>
      <c r="H112" s="21"/>
      <c r="I112" s="21"/>
      <c r="J112" s="21"/>
      <c r="K112" s="204"/>
      <c r="L112" s="54"/>
      <c r="M112" s="159">
        <v>45103.508774166665</v>
      </c>
      <c r="N112" s="160">
        <v>1.08962848027337</v>
      </c>
      <c r="O112" s="160">
        <v>320829.05459515896</v>
      </c>
      <c r="P112" s="160">
        <v>294438.9398803785</v>
      </c>
      <c r="Q112" s="160">
        <v>10.623191036981668</v>
      </c>
      <c r="R112" s="160">
        <v>199794.41470620094</v>
      </c>
      <c r="S112" s="161">
        <v>0.0</v>
      </c>
      <c r="T112" s="160"/>
      <c r="U112" s="160">
        <v>320829.05459515896</v>
      </c>
      <c r="V112" s="160">
        <v>102012.00000000001</v>
      </c>
      <c r="W112" s="20"/>
      <c r="X112" s="21"/>
      <c r="Y112" s="21"/>
      <c r="Z112" s="21"/>
      <c r="AA112" s="21"/>
      <c r="AB112" s="21"/>
    </row>
    <row r="113" ht="20.25" customHeight="1">
      <c r="A113" s="139"/>
      <c r="B113" s="21"/>
      <c r="C113" s="21"/>
      <c r="D113" s="21"/>
      <c r="E113" s="21"/>
      <c r="F113" s="21"/>
      <c r="G113" s="21"/>
      <c r="H113" s="21"/>
      <c r="I113" s="21"/>
      <c r="J113" s="21"/>
      <c r="K113" s="204"/>
      <c r="L113" s="54"/>
      <c r="M113" s="159">
        <v>45104.50875256944</v>
      </c>
      <c r="N113" s="160">
        <v>1.09311240802825</v>
      </c>
      <c r="O113" s="160">
        <v>324346.759793777</v>
      </c>
      <c r="P113" s="160">
        <v>296718.5784477846</v>
      </c>
      <c r="Q113" s="160">
        <v>10.613754696502077</v>
      </c>
      <c r="R113" s="160">
        <v>202164.62328130516</v>
      </c>
      <c r="S113" s="161">
        <v>0.0</v>
      </c>
      <c r="T113" s="160"/>
      <c r="U113" s="160">
        <v>324346.759793777</v>
      </c>
      <c r="V113" s="160">
        <v>102012.00000000001</v>
      </c>
      <c r="W113" s="20"/>
      <c r="X113" s="21"/>
      <c r="Y113" s="21"/>
      <c r="Z113" s="21"/>
      <c r="AA113" s="21"/>
      <c r="AB113" s="21"/>
    </row>
    <row r="114" ht="20.25" customHeight="1">
      <c r="A114" s="139"/>
      <c r="B114" s="21"/>
      <c r="C114" s="21"/>
      <c r="D114" s="21"/>
      <c r="E114" s="21"/>
      <c r="F114" s="21"/>
      <c r="G114" s="21"/>
      <c r="H114" s="21"/>
      <c r="I114" s="21"/>
      <c r="J114" s="21"/>
      <c r="K114" s="204"/>
      <c r="L114" s="54"/>
      <c r="M114" s="159">
        <v>45105.50876008102</v>
      </c>
      <c r="N114" s="160">
        <v>1.09584957930335</v>
      </c>
      <c r="O114" s="160">
        <v>321650.57011172577</v>
      </c>
      <c r="P114" s="160">
        <v>293517.0813463326</v>
      </c>
      <c r="Q114" s="160">
        <v>10.611073215036136</v>
      </c>
      <c r="R114" s="160">
        <v>200534.75769783187</v>
      </c>
      <c r="S114" s="161">
        <v>0.0</v>
      </c>
      <c r="T114" s="160"/>
      <c r="U114" s="160">
        <v>321650.57011172577</v>
      </c>
      <c r="V114" s="160">
        <v>102012.00000000001</v>
      </c>
      <c r="W114" s="20"/>
      <c r="X114" s="21"/>
      <c r="Y114" s="21"/>
      <c r="Z114" s="21"/>
      <c r="AA114" s="21"/>
      <c r="AB114" s="21"/>
    </row>
    <row r="115" ht="20.25" customHeight="1">
      <c r="A115" s="139"/>
      <c r="B115" s="21"/>
      <c r="C115" s="21"/>
      <c r="D115" s="21"/>
      <c r="E115" s="21"/>
      <c r="F115" s="21"/>
      <c r="G115" s="21"/>
      <c r="H115" s="21"/>
      <c r="I115" s="21"/>
      <c r="J115" s="21"/>
      <c r="K115" s="204"/>
      <c r="L115" s="54"/>
      <c r="M115" s="159">
        <v>45106.50876193287</v>
      </c>
      <c r="N115" s="160">
        <v>1.09166015309442</v>
      </c>
      <c r="O115" s="160">
        <v>322025.69545480557</v>
      </c>
      <c r="P115" s="160">
        <v>294987.1299616382</v>
      </c>
      <c r="Q115" s="160">
        <v>10.585141112823466</v>
      </c>
      <c r="R115" s="160">
        <v>201260.48640686265</v>
      </c>
      <c r="S115" s="161">
        <v>0.0</v>
      </c>
      <c r="T115" s="160"/>
      <c r="U115" s="160">
        <v>322025.69545480557</v>
      </c>
      <c r="V115" s="160">
        <v>101843.00000000001</v>
      </c>
      <c r="W115" s="20"/>
      <c r="X115" s="21"/>
      <c r="Y115" s="21"/>
      <c r="Z115" s="21"/>
      <c r="AA115" s="21"/>
      <c r="AB115" s="21"/>
    </row>
    <row r="116" ht="20.25" customHeight="1">
      <c r="A116" s="139"/>
      <c r="B116" s="21"/>
      <c r="C116" s="21"/>
      <c r="D116" s="21"/>
      <c r="E116" s="21"/>
      <c r="F116" s="21"/>
      <c r="G116" s="21"/>
      <c r="H116" s="21"/>
      <c r="I116" s="21"/>
      <c r="J116" s="21"/>
      <c r="K116" s="204"/>
      <c r="L116" s="54"/>
      <c r="M116" s="159">
        <v>45107.5087509838</v>
      </c>
      <c r="N116" s="160">
        <v>1.08405079428402</v>
      </c>
      <c r="O116" s="160">
        <v>325417.2075555947</v>
      </c>
      <c r="P116" s="160">
        <v>300186.30978497834</v>
      </c>
      <c r="Q116" s="160">
        <v>10.567927025681444</v>
      </c>
      <c r="R116" s="160">
        <v>203711.40847856543</v>
      </c>
      <c r="S116" s="161">
        <v>0.0</v>
      </c>
      <c r="T116" s="160"/>
      <c r="U116" s="160">
        <v>325417.2075555947</v>
      </c>
      <c r="V116" s="160">
        <v>102274.00000000001</v>
      </c>
      <c r="W116" s="20"/>
      <c r="X116" s="21"/>
      <c r="Y116" s="21"/>
      <c r="Z116" s="21"/>
      <c r="AA116" s="21"/>
      <c r="AB116" s="21"/>
    </row>
    <row r="117" ht="20.25" customHeight="1">
      <c r="A117" s="139"/>
      <c r="B117" s="21"/>
      <c r="C117" s="21"/>
      <c r="D117" s="21"/>
      <c r="E117" s="21"/>
      <c r="F117" s="21"/>
      <c r="G117" s="21"/>
      <c r="H117" s="21"/>
      <c r="I117" s="21"/>
      <c r="J117" s="21"/>
      <c r="K117" s="204"/>
      <c r="L117" s="54"/>
      <c r="M117" s="159">
        <v>45108.508753877315</v>
      </c>
      <c r="N117" s="160">
        <v>1.09164346924295</v>
      </c>
      <c r="O117" s="160">
        <v>322850.17047299026</v>
      </c>
      <c r="P117" s="160">
        <v>295746.89866178145</v>
      </c>
      <c r="Q117" s="160">
        <v>10.603967762271111</v>
      </c>
      <c r="R117" s="160">
        <v>201417.52937692255</v>
      </c>
      <c r="S117" s="161">
        <v>0.0</v>
      </c>
      <c r="T117" s="160"/>
      <c r="U117" s="160">
        <v>322850.17047299026</v>
      </c>
      <c r="V117" s="160">
        <v>102274.00000000001</v>
      </c>
      <c r="W117" s="20"/>
      <c r="X117" s="21"/>
      <c r="Y117" s="21"/>
      <c r="Z117" s="21"/>
      <c r="AA117" s="21"/>
      <c r="AB117" s="21"/>
    </row>
    <row r="118" ht="20.25" customHeight="1">
      <c r="A118" s="139"/>
      <c r="B118" s="21"/>
      <c r="C118" s="21"/>
      <c r="D118" s="21"/>
      <c r="E118" s="21"/>
      <c r="F118" s="21"/>
      <c r="G118" s="21"/>
      <c r="H118" s="21"/>
      <c r="I118" s="21"/>
      <c r="J118" s="21"/>
      <c r="K118" s="204"/>
      <c r="L118" s="54"/>
      <c r="M118" s="159">
        <v>45109.508753738424</v>
      </c>
      <c r="N118" s="160">
        <v>1.09225037436882</v>
      </c>
      <c r="O118" s="160">
        <v>323215.16726848506</v>
      </c>
      <c r="P118" s="160">
        <v>295916.7374561549</v>
      </c>
      <c r="Q118" s="160">
        <v>10.585028072042258</v>
      </c>
      <c r="R118" s="160">
        <v>202006.0429662264</v>
      </c>
      <c r="S118" s="161">
        <v>0.0</v>
      </c>
      <c r="T118" s="160"/>
      <c r="U118" s="160">
        <v>323215.16726848506</v>
      </c>
      <c r="V118" s="160">
        <v>102274.00000000001</v>
      </c>
      <c r="W118" s="20"/>
      <c r="X118" s="21"/>
      <c r="Y118" s="21"/>
      <c r="Z118" s="21"/>
      <c r="AA118" s="21"/>
      <c r="AB118" s="21"/>
    </row>
    <row r="119" ht="20.25" customHeight="1">
      <c r="A119" s="139"/>
      <c r="B119" s="21"/>
      <c r="C119" s="21"/>
      <c r="D119" s="21"/>
      <c r="E119" s="21"/>
      <c r="F119" s="21"/>
      <c r="G119" s="21"/>
      <c r="H119" s="21"/>
      <c r="I119" s="21"/>
      <c r="J119" s="21"/>
      <c r="K119" s="204"/>
      <c r="L119" s="54"/>
      <c r="M119" s="159">
        <v>45110.508748437496</v>
      </c>
      <c r="N119" s="160">
        <v>1.08889167161205</v>
      </c>
      <c r="O119" s="160">
        <v>324293.15005478763</v>
      </c>
      <c r="P119" s="160">
        <v>297819.47875006497</v>
      </c>
      <c r="Q119" s="160">
        <v>10.591054571976606</v>
      </c>
      <c r="R119" s="160">
        <v>202564.44232272136</v>
      </c>
      <c r="S119" s="161">
        <v>0.0</v>
      </c>
      <c r="T119" s="160"/>
      <c r="U119" s="160">
        <v>324293.15005478763</v>
      </c>
      <c r="V119" s="160">
        <v>102274.00000000001</v>
      </c>
      <c r="W119" s="20"/>
      <c r="X119" s="21"/>
      <c r="Y119" s="21"/>
      <c r="Z119" s="21"/>
      <c r="AA119" s="21"/>
      <c r="AB119" s="21"/>
    </row>
    <row r="120" ht="20.25" customHeight="1">
      <c r="A120" s="139"/>
      <c r="B120" s="21"/>
      <c r="C120" s="21"/>
      <c r="D120" s="21"/>
      <c r="E120" s="21"/>
      <c r="F120" s="21"/>
      <c r="G120" s="21"/>
      <c r="H120" s="21"/>
      <c r="I120" s="21"/>
      <c r="J120" s="21"/>
      <c r="K120" s="204"/>
      <c r="L120" s="54"/>
      <c r="M120" s="159">
        <v>45111.50877266204</v>
      </c>
      <c r="N120" s="160">
        <v>1.09010003848053</v>
      </c>
      <c r="O120" s="160">
        <v>327061.34864983015</v>
      </c>
      <c r="P120" s="160">
        <v>300028.7469998761</v>
      </c>
      <c r="Q120" s="160">
        <v>10.538710616822748</v>
      </c>
      <c r="R120" s="160">
        <v>220848.6615482668</v>
      </c>
      <c r="S120" s="161">
        <v>0.0</v>
      </c>
      <c r="T120" s="160"/>
      <c r="U120" s="160">
        <v>327061.34864983015</v>
      </c>
      <c r="V120" s="160">
        <v>86757.0</v>
      </c>
      <c r="W120" s="20"/>
      <c r="X120" s="21"/>
      <c r="Y120" s="21"/>
      <c r="Z120" s="21"/>
      <c r="AA120" s="21"/>
      <c r="AB120" s="21"/>
    </row>
    <row r="121" ht="20.25" customHeight="1">
      <c r="A121" s="139"/>
      <c r="B121" s="21"/>
      <c r="C121" s="21"/>
      <c r="D121" s="21"/>
      <c r="E121" s="21"/>
      <c r="F121" s="21"/>
      <c r="G121" s="21"/>
      <c r="H121" s="21"/>
      <c r="I121" s="21"/>
      <c r="J121" s="21"/>
      <c r="K121" s="204"/>
      <c r="L121" s="54"/>
      <c r="M121" s="159">
        <v>45112.50875525463</v>
      </c>
      <c r="N121" s="160">
        <v>1.0879001568752</v>
      </c>
      <c r="O121" s="160">
        <v>323856.68844811455</v>
      </c>
      <c r="P121" s="160">
        <v>297689.7157348845</v>
      </c>
      <c r="Q121" s="160">
        <v>10.561014741579834</v>
      </c>
      <c r="R121" s="160">
        <v>218222.86316824067</v>
      </c>
      <c r="S121" s="161">
        <v>0.0</v>
      </c>
      <c r="T121" s="160"/>
      <c r="U121" s="160">
        <v>323856.68844811455</v>
      </c>
      <c r="V121" s="160">
        <v>86757.0</v>
      </c>
      <c r="W121" s="20"/>
      <c r="X121" s="21"/>
      <c r="Y121" s="21"/>
      <c r="Z121" s="21"/>
      <c r="AA121" s="21"/>
      <c r="AB121" s="21"/>
    </row>
    <row r="122" ht="20.25" customHeight="1">
      <c r="A122" s="139"/>
      <c r="B122" s="21"/>
      <c r="C122" s="21"/>
      <c r="D122" s="21"/>
      <c r="E122" s="21"/>
      <c r="F122" s="21"/>
      <c r="G122" s="21"/>
      <c r="H122" s="21"/>
      <c r="I122" s="21"/>
      <c r="J122" s="21"/>
      <c r="K122" s="204"/>
      <c r="L122" s="54"/>
      <c r="M122" s="159">
        <v>45113.50874803241</v>
      </c>
      <c r="N122" s="160">
        <v>1.08667540353691</v>
      </c>
      <c r="O122" s="160">
        <v>326981.76114032255</v>
      </c>
      <c r="P122" s="160">
        <v>300901.04190824844</v>
      </c>
      <c r="Q122" s="160">
        <v>10.508658407758634</v>
      </c>
      <c r="R122" s="160">
        <v>221426.33977422735</v>
      </c>
      <c r="S122" s="161">
        <v>0.0</v>
      </c>
      <c r="T122" s="160"/>
      <c r="U122" s="160">
        <v>326981.76114032255</v>
      </c>
      <c r="V122" s="160">
        <v>86757.0</v>
      </c>
      <c r="W122" s="20"/>
      <c r="X122" s="21"/>
      <c r="Y122" s="21"/>
      <c r="Z122" s="21"/>
      <c r="AA122" s="21"/>
      <c r="AB122" s="21"/>
    </row>
    <row r="123" ht="20.25" customHeight="1">
      <c r="A123" s="139"/>
      <c r="B123" s="21"/>
      <c r="C123" s="21"/>
      <c r="D123" s="21"/>
      <c r="E123" s="21"/>
      <c r="F123" s="21"/>
      <c r="G123" s="21"/>
      <c r="H123" s="21"/>
      <c r="I123" s="21"/>
      <c r="J123" s="21"/>
      <c r="K123" s="204"/>
      <c r="L123" s="54"/>
      <c r="M123" s="159">
        <v>45114.5087687037</v>
      </c>
      <c r="N123" s="160">
        <v>1.08824940935263</v>
      </c>
      <c r="O123" s="160">
        <v>318765.8084719582</v>
      </c>
      <c r="P123" s="160">
        <v>292916.13276554254</v>
      </c>
      <c r="Q123" s="160">
        <v>10.575830911834434</v>
      </c>
      <c r="R123" s="160">
        <v>260848.39895234193</v>
      </c>
      <c r="S123" s="161">
        <v>0.0</v>
      </c>
      <c r="T123" s="160"/>
      <c r="U123" s="160">
        <v>318765.8084719582</v>
      </c>
      <c r="V123" s="160">
        <v>39773.99999999999</v>
      </c>
      <c r="W123" s="20"/>
      <c r="X123" s="21"/>
      <c r="Y123" s="21"/>
      <c r="Z123" s="21"/>
      <c r="AA123" s="21"/>
      <c r="AB123" s="21"/>
    </row>
    <row r="124" ht="20.25" customHeight="1">
      <c r="A124" s="139"/>
      <c r="B124" s="21"/>
      <c r="C124" s="21"/>
      <c r="D124" s="21"/>
      <c r="E124" s="21"/>
      <c r="F124" s="21"/>
      <c r="G124" s="21"/>
      <c r="H124" s="21"/>
      <c r="I124" s="21"/>
      <c r="J124" s="21"/>
      <c r="K124" s="204"/>
      <c r="L124" s="54"/>
      <c r="M124" s="159">
        <v>45115.50875412037</v>
      </c>
      <c r="N124" s="160">
        <v>1.097000034007</v>
      </c>
      <c r="O124" s="160">
        <v>320502.75574902276</v>
      </c>
      <c r="P124" s="160">
        <v>292162.94057742716</v>
      </c>
      <c r="Q124" s="160">
        <v>10.596023206680561</v>
      </c>
      <c r="R124" s="160">
        <v>261769.96170364012</v>
      </c>
      <c r="S124" s="161">
        <v>0.0</v>
      </c>
      <c r="T124" s="160"/>
      <c r="U124" s="160">
        <v>320502.75574902276</v>
      </c>
      <c r="V124" s="160">
        <v>39773.99999999999</v>
      </c>
      <c r="W124" s="20"/>
      <c r="X124" s="21"/>
      <c r="Y124" s="21"/>
      <c r="Z124" s="21"/>
      <c r="AA124" s="21"/>
      <c r="AB124" s="21"/>
    </row>
    <row r="125" ht="20.25" customHeight="1">
      <c r="A125" s="139"/>
      <c r="B125" s="21"/>
      <c r="C125" s="21"/>
      <c r="D125" s="21"/>
      <c r="E125" s="21"/>
      <c r="F125" s="21"/>
      <c r="G125" s="21"/>
      <c r="H125" s="21"/>
      <c r="I125" s="21"/>
      <c r="J125" s="21"/>
      <c r="K125" s="204"/>
      <c r="L125" s="54"/>
      <c r="M125" s="159">
        <v>45116.508752141206</v>
      </c>
      <c r="N125" s="160">
        <v>1.097000034007</v>
      </c>
      <c r="O125" s="160">
        <v>321346.5216053078</v>
      </c>
      <c r="P125" s="160">
        <v>292932.09812540194</v>
      </c>
      <c r="Q125" s="160">
        <v>10.61054182656469</v>
      </c>
      <c r="R125" s="160">
        <v>262099.9775935833</v>
      </c>
      <c r="S125" s="161">
        <v>0.0</v>
      </c>
      <c r="T125" s="160"/>
      <c r="U125" s="160">
        <v>321346.5216053078</v>
      </c>
      <c r="V125" s="160">
        <v>40378.99999999999</v>
      </c>
      <c r="W125" s="20"/>
      <c r="X125" s="21"/>
      <c r="Y125" s="21"/>
      <c r="Z125" s="21"/>
      <c r="AA125" s="21"/>
      <c r="AB125" s="21"/>
    </row>
    <row r="126" ht="20.25" customHeight="1">
      <c r="A126" s="139"/>
      <c r="B126" s="21"/>
      <c r="C126" s="21"/>
      <c r="D126" s="21"/>
      <c r="E126" s="21"/>
      <c r="F126" s="21"/>
      <c r="G126" s="21"/>
      <c r="H126" s="21"/>
      <c r="I126" s="21"/>
      <c r="J126" s="21"/>
      <c r="K126" s="204"/>
      <c r="L126" s="54"/>
      <c r="M126" s="159">
        <v>45117.508752696755</v>
      </c>
      <c r="N126" s="160">
        <v>1.09661988851762</v>
      </c>
      <c r="O126" s="160">
        <v>319818.7064922726</v>
      </c>
      <c r="P126" s="160">
        <v>291640.4397193585</v>
      </c>
      <c r="Q126" s="160">
        <v>10.60216906450037</v>
      </c>
      <c r="R126" s="160">
        <v>280055.0016356538</v>
      </c>
      <c r="S126" s="161">
        <v>0.0</v>
      </c>
      <c r="T126" s="160"/>
      <c r="U126" s="160">
        <v>319818.7064922726</v>
      </c>
      <c r="V126" s="160">
        <v>21327.429999999993</v>
      </c>
      <c r="W126" s="20"/>
      <c r="X126" s="21"/>
      <c r="Y126" s="21"/>
      <c r="Z126" s="21"/>
      <c r="AA126" s="21"/>
      <c r="AB126" s="21"/>
    </row>
    <row r="127" ht="20.25" customHeight="1">
      <c r="A127" s="139"/>
      <c r="B127" s="21"/>
      <c r="C127" s="21"/>
      <c r="D127" s="21"/>
      <c r="E127" s="21"/>
      <c r="F127" s="21"/>
      <c r="G127" s="21"/>
      <c r="H127" s="21"/>
      <c r="I127" s="21"/>
      <c r="J127" s="21"/>
      <c r="K127" s="204"/>
      <c r="L127" s="54"/>
      <c r="M127" s="159">
        <v>45118.508748865745</v>
      </c>
      <c r="N127" s="160">
        <v>1.09988979104294</v>
      </c>
      <c r="O127" s="160">
        <v>322480.0461998101</v>
      </c>
      <c r="P127" s="160">
        <v>293193.0533640351</v>
      </c>
      <c r="Q127" s="160">
        <v>10.597192110779613</v>
      </c>
      <c r="R127" s="160">
        <v>282518.0734689784</v>
      </c>
      <c r="S127" s="161">
        <v>0.0</v>
      </c>
      <c r="T127" s="160"/>
      <c r="U127" s="160">
        <v>322480.0461998101</v>
      </c>
      <c r="V127" s="160">
        <v>21327.429999999993</v>
      </c>
      <c r="W127" s="20"/>
      <c r="X127" s="21"/>
      <c r="Y127" s="21"/>
      <c r="Z127" s="21"/>
      <c r="AA127" s="21"/>
      <c r="AB127" s="21"/>
    </row>
    <row r="128" ht="20.25" customHeight="1">
      <c r="A128" s="139"/>
      <c r="B128" s="21"/>
      <c r="C128" s="21"/>
      <c r="D128" s="21"/>
      <c r="E128" s="21"/>
      <c r="F128" s="21"/>
      <c r="G128" s="21"/>
      <c r="H128" s="21"/>
      <c r="I128" s="21"/>
      <c r="J128" s="21"/>
      <c r="K128" s="204"/>
      <c r="L128" s="54"/>
      <c r="M128" s="159">
        <v>45119.50875704861</v>
      </c>
      <c r="N128" s="160">
        <v>1.10219192908938</v>
      </c>
      <c r="O128" s="160">
        <v>325201.8278525504</v>
      </c>
      <c r="P128" s="160">
        <v>295050.0899795455</v>
      </c>
      <c r="Q128" s="160">
        <v>10.588939578131388</v>
      </c>
      <c r="R128" s="160">
        <v>285124.60983173427</v>
      </c>
      <c r="S128" s="161">
        <v>0.0</v>
      </c>
      <c r="T128" s="160"/>
      <c r="U128" s="160">
        <v>325201.8278525504</v>
      </c>
      <c r="V128" s="160">
        <v>21327.429999999993</v>
      </c>
      <c r="W128" s="20"/>
      <c r="X128" s="21"/>
      <c r="Y128" s="21"/>
      <c r="Z128" s="21"/>
      <c r="AA128" s="21"/>
      <c r="AB128" s="21"/>
    </row>
    <row r="129" ht="20.25" customHeight="1">
      <c r="A129" s="139"/>
      <c r="B129" s="21"/>
      <c r="C129" s="21"/>
      <c r="D129" s="21"/>
      <c r="E129" s="21"/>
      <c r="F129" s="21"/>
      <c r="G129" s="21"/>
      <c r="H129" s="21"/>
      <c r="I129" s="21"/>
      <c r="J129" s="21"/>
      <c r="K129" s="204"/>
      <c r="L129" s="54"/>
      <c r="M129" s="159">
        <v>45121.00297340278</v>
      </c>
      <c r="N129" s="160">
        <v>1.12245161391705</v>
      </c>
      <c r="O129" s="160">
        <v>332046.25536547403</v>
      </c>
      <c r="P129" s="160">
        <v>295822.3332288892</v>
      </c>
      <c r="Q129" s="160">
        <v>10.616728703250365</v>
      </c>
      <c r="R129" s="160">
        <v>309641.9054853293</v>
      </c>
      <c r="S129" s="161">
        <v>0.0</v>
      </c>
      <c r="T129" s="160"/>
      <c r="U129" s="160">
        <v>332046.25536547403</v>
      </c>
      <c r="V129" s="160">
        <v>2273.269999999994</v>
      </c>
      <c r="W129" s="20"/>
      <c r="X129" s="21"/>
      <c r="Y129" s="21"/>
      <c r="Z129" s="21"/>
      <c r="AA129" s="21"/>
      <c r="AB129" s="21"/>
    </row>
    <row r="130" ht="20.25" customHeight="1">
      <c r="A130" s="139"/>
      <c r="B130" s="21"/>
      <c r="C130" s="21"/>
      <c r="D130" s="21"/>
      <c r="E130" s="21"/>
      <c r="F130" s="21"/>
      <c r="G130" s="21"/>
      <c r="H130" s="21"/>
      <c r="I130" s="21"/>
      <c r="J130" s="21"/>
      <c r="K130" s="204"/>
      <c r="L130" s="54"/>
      <c r="M130" s="159">
        <v>45121.508751354166</v>
      </c>
      <c r="N130" s="160">
        <v>1.12427638761002</v>
      </c>
      <c r="O130" s="160">
        <v>331597.52165717335</v>
      </c>
      <c r="P130" s="160">
        <v>294943.0632107123</v>
      </c>
      <c r="Q130" s="160">
        <v>10.632112677840126</v>
      </c>
      <c r="R130" s="160">
        <v>308776.02325516014</v>
      </c>
      <c r="S130" s="161">
        <v>0.0</v>
      </c>
      <c r="T130" s="160"/>
      <c r="U130" s="160">
        <v>331597.52165717335</v>
      </c>
      <c r="V130" s="160">
        <v>2273.9999999999936</v>
      </c>
      <c r="W130" s="20"/>
      <c r="X130" s="21"/>
      <c r="Y130" s="21"/>
      <c r="Z130" s="21"/>
      <c r="AA130" s="21"/>
      <c r="AB130" s="21"/>
    </row>
    <row r="131" ht="20.25" customHeight="1">
      <c r="A131" s="139"/>
      <c r="B131" s="21"/>
      <c r="C131" s="21"/>
      <c r="D131" s="21"/>
      <c r="E131" s="21"/>
      <c r="F131" s="21"/>
      <c r="G131" s="21"/>
      <c r="H131" s="21"/>
      <c r="I131" s="21"/>
      <c r="J131" s="21"/>
      <c r="K131" s="204"/>
      <c r="L131" s="54"/>
      <c r="M131" s="159">
        <v>45122.50875486111</v>
      </c>
      <c r="N131" s="160">
        <v>1.12435349673937</v>
      </c>
      <c r="O131" s="160">
        <v>325283.1164489702</v>
      </c>
      <c r="P131" s="160">
        <v>289306.80376971536</v>
      </c>
      <c r="Q131" s="160">
        <v>10.71330219245581</v>
      </c>
      <c r="R131" s="160">
        <v>300600.730062188</v>
      </c>
      <c r="S131" s="161">
        <v>0.0</v>
      </c>
      <c r="T131" s="160"/>
      <c r="U131" s="160">
        <v>325283.1164489702</v>
      </c>
      <c r="V131" s="160">
        <v>2766.699999999994</v>
      </c>
      <c r="W131" s="20"/>
      <c r="X131" s="21"/>
      <c r="Y131" s="21"/>
      <c r="Z131" s="21"/>
      <c r="AA131" s="21"/>
      <c r="AB131" s="21"/>
    </row>
    <row r="132" ht="20.25" customHeight="1">
      <c r="A132" s="139"/>
      <c r="B132" s="21"/>
      <c r="C132" s="21"/>
      <c r="D132" s="21"/>
      <c r="E132" s="21"/>
      <c r="F132" s="21"/>
      <c r="G132" s="21"/>
      <c r="H132" s="21"/>
      <c r="I132" s="21"/>
      <c r="J132" s="21"/>
      <c r="K132" s="204"/>
      <c r="L132" s="54"/>
      <c r="M132" s="159">
        <v>45123.50876351852</v>
      </c>
      <c r="N132" s="160">
        <v>1.12364979431591</v>
      </c>
      <c r="O132" s="160">
        <v>324437.22627277253</v>
      </c>
      <c r="P132" s="160">
        <v>288735.18058203656</v>
      </c>
      <c r="Q132" s="160">
        <v>10.69706720589591</v>
      </c>
      <c r="R132" s="160">
        <v>300274.06245293503</v>
      </c>
      <c r="S132" s="161">
        <v>0.0</v>
      </c>
      <c r="T132" s="160"/>
      <c r="U132" s="160">
        <v>324437.22627277253</v>
      </c>
      <c r="V132" s="160">
        <v>2766.699999999994</v>
      </c>
      <c r="W132" s="20"/>
      <c r="X132" s="21"/>
      <c r="Y132" s="21"/>
      <c r="Z132" s="21"/>
      <c r="AA132" s="21"/>
      <c r="AB132" s="21"/>
    </row>
    <row r="133" ht="20.25" customHeight="1">
      <c r="A133" s="139"/>
      <c r="B133" s="21"/>
      <c r="C133" s="21"/>
      <c r="D133" s="21"/>
      <c r="E133" s="21"/>
      <c r="F133" s="21"/>
      <c r="G133" s="21"/>
      <c r="H133" s="21"/>
      <c r="I133" s="21"/>
      <c r="J133" s="21"/>
      <c r="K133" s="204"/>
      <c r="L133" s="54"/>
      <c r="M133" s="159">
        <v>45124.5087668287</v>
      </c>
      <c r="N133" s="160">
        <v>1.12389984254163</v>
      </c>
      <c r="O133" s="160">
        <v>323476.2641565958</v>
      </c>
      <c r="P133" s="160">
        <v>287815.917319709</v>
      </c>
      <c r="Q133" s="160">
        <v>10.71152134284374</v>
      </c>
      <c r="R133" s="160">
        <v>301952.4521255685</v>
      </c>
      <c r="S133" s="161">
        <v>0.0</v>
      </c>
      <c r="T133" s="160"/>
      <c r="U133" s="160">
        <v>323476.2641565958</v>
      </c>
      <c r="V133" s="160">
        <v>-6.204814440025075E-12</v>
      </c>
      <c r="W133" s="20"/>
      <c r="X133" s="21"/>
      <c r="Y133" s="21"/>
      <c r="Z133" s="21"/>
      <c r="AA133" s="21"/>
      <c r="AB133" s="21"/>
    </row>
    <row r="134" ht="20.25" customHeight="1">
      <c r="A134" s="139"/>
      <c r="B134" s="21"/>
      <c r="C134" s="21"/>
      <c r="D134" s="21"/>
      <c r="E134" s="21"/>
      <c r="F134" s="21"/>
      <c r="G134" s="21"/>
      <c r="H134" s="21"/>
      <c r="I134" s="21"/>
      <c r="J134" s="21"/>
      <c r="K134" s="204"/>
      <c r="L134" s="54"/>
      <c r="M134" s="159">
        <v>45125.50875925926</v>
      </c>
      <c r="N134" s="160">
        <v>1.12402869870074</v>
      </c>
      <c r="O134" s="160">
        <v>320998.5044606408</v>
      </c>
      <c r="P134" s="160">
        <v>285578.5664829391</v>
      </c>
      <c r="Q134" s="160">
        <v>10.708799209192112</v>
      </c>
      <c r="R134" s="160">
        <v>299715.72744272527</v>
      </c>
      <c r="S134" s="161">
        <v>0.0</v>
      </c>
      <c r="T134" s="160"/>
      <c r="U134" s="160">
        <v>320998.5044606408</v>
      </c>
      <c r="V134" s="160">
        <v>-6.204814440025075E-12</v>
      </c>
      <c r="W134" s="20"/>
      <c r="X134" s="21"/>
      <c r="Y134" s="21"/>
      <c r="Z134" s="21"/>
      <c r="AA134" s="21"/>
      <c r="AB134" s="21"/>
    </row>
    <row r="135" ht="20.25" customHeight="1">
      <c r="A135" s="139"/>
      <c r="B135" s="21"/>
      <c r="C135" s="21"/>
      <c r="D135" s="21"/>
      <c r="E135" s="21"/>
      <c r="F135" s="21"/>
      <c r="G135" s="21"/>
      <c r="H135" s="21"/>
      <c r="I135" s="21"/>
      <c r="J135" s="21"/>
      <c r="K135" s="204"/>
      <c r="L135" s="54"/>
      <c r="M135" s="159">
        <v>45126.50875057871</v>
      </c>
      <c r="N135" s="160">
        <v>1.12389984254163</v>
      </c>
      <c r="O135" s="160">
        <v>321097.2171001955</v>
      </c>
      <c r="P135" s="160">
        <v>285699.1387898534</v>
      </c>
      <c r="Q135" s="160">
        <v>10.693373617208682</v>
      </c>
      <c r="R135" s="160">
        <v>300240.37937587674</v>
      </c>
      <c r="S135" s="161">
        <v>0.0</v>
      </c>
      <c r="T135" s="160"/>
      <c r="U135" s="160">
        <v>321097.2171001955</v>
      </c>
      <c r="V135" s="160">
        <v>-6.204814440025075E-12</v>
      </c>
      <c r="W135" s="20"/>
      <c r="X135" s="21"/>
      <c r="Y135" s="21"/>
      <c r="Z135" s="21"/>
      <c r="AA135" s="21"/>
      <c r="AB135" s="21"/>
    </row>
    <row r="136" ht="20.25" customHeight="1">
      <c r="A136" s="139"/>
      <c r="B136" s="21"/>
      <c r="C136" s="21"/>
      <c r="D136" s="21"/>
      <c r="E136" s="21"/>
      <c r="F136" s="21"/>
      <c r="G136" s="21"/>
      <c r="H136" s="21"/>
      <c r="I136" s="21"/>
      <c r="J136" s="21"/>
      <c r="K136" s="204"/>
      <c r="L136" s="54"/>
      <c r="M136" s="159">
        <v>45127.50875037037</v>
      </c>
      <c r="N136" s="160">
        <v>1.12106869236306</v>
      </c>
      <c r="O136" s="160">
        <v>325362.9231970012</v>
      </c>
      <c r="P136" s="160">
        <v>290225.6796692632</v>
      </c>
      <c r="Q136" s="160">
        <v>10.710406902152084</v>
      </c>
      <c r="R136" s="160">
        <v>303745.1766604049</v>
      </c>
      <c r="S136" s="161">
        <v>0.0</v>
      </c>
      <c r="T136" s="160"/>
      <c r="U136" s="160">
        <v>325362.9231970012</v>
      </c>
      <c r="V136" s="160">
        <v>-6.204814440025075E-12</v>
      </c>
      <c r="W136" s="20"/>
      <c r="X136" s="21"/>
      <c r="Y136" s="21"/>
      <c r="Z136" s="21"/>
      <c r="AA136" s="21"/>
      <c r="AB136" s="21"/>
    </row>
    <row r="137" ht="20.25" customHeight="1">
      <c r="A137" s="139"/>
      <c r="B137" s="21"/>
      <c r="C137" s="21"/>
      <c r="D137" s="21"/>
      <c r="E137" s="21"/>
      <c r="F137" s="21"/>
      <c r="G137" s="21"/>
      <c r="H137" s="21"/>
      <c r="I137" s="21"/>
      <c r="J137" s="21"/>
      <c r="K137" s="204"/>
      <c r="L137" s="54"/>
      <c r="M137" s="159">
        <v>45128.50875818287</v>
      </c>
      <c r="N137" s="160">
        <v>1.11277409016808</v>
      </c>
      <c r="O137" s="160">
        <v>318667.28657575295</v>
      </c>
      <c r="P137" s="160">
        <v>286371.95041773445</v>
      </c>
      <c r="Q137" s="160">
        <v>10.698826007204813</v>
      </c>
      <c r="R137" s="160">
        <v>297816.4326372152</v>
      </c>
      <c r="S137" s="161">
        <v>0.0</v>
      </c>
      <c r="T137" s="160"/>
      <c r="U137" s="160">
        <v>318667.28657575295</v>
      </c>
      <c r="V137" s="160">
        <v>-6.204814440025075E-12</v>
      </c>
      <c r="W137" s="20"/>
      <c r="X137" s="21"/>
      <c r="Y137" s="21"/>
      <c r="Z137" s="21"/>
      <c r="AA137" s="21"/>
      <c r="AB137" s="21"/>
    </row>
    <row r="138" ht="20.25" customHeight="1">
      <c r="A138" s="139"/>
      <c r="B138" s="21"/>
      <c r="C138" s="21"/>
      <c r="D138" s="21"/>
      <c r="E138" s="21"/>
      <c r="F138" s="21"/>
      <c r="G138" s="21"/>
      <c r="H138" s="21"/>
      <c r="I138" s="21"/>
      <c r="J138" s="21"/>
      <c r="K138" s="204"/>
      <c r="L138" s="54"/>
      <c r="M138" s="159">
        <v>45129.508756111114</v>
      </c>
      <c r="N138" s="160">
        <v>1.11284962953236</v>
      </c>
      <c r="O138" s="160">
        <v>319664.7790104688</v>
      </c>
      <c r="P138" s="160">
        <v>287248.8524301328</v>
      </c>
      <c r="Q138" s="160">
        <v>10.686828811577072</v>
      </c>
      <c r="R138" s="160">
        <v>299084.0374835348</v>
      </c>
      <c r="S138" s="161">
        <v>0.0</v>
      </c>
      <c r="T138" s="160"/>
      <c r="U138" s="160">
        <v>319664.7790104688</v>
      </c>
      <c r="V138" s="160">
        <v>-6.204814440025075E-12</v>
      </c>
      <c r="W138" s="20"/>
      <c r="X138" s="21"/>
      <c r="Y138" s="21"/>
      <c r="Z138" s="21"/>
      <c r="AA138" s="21"/>
      <c r="AB138" s="21"/>
    </row>
    <row r="139" ht="20.25" customHeight="1">
      <c r="A139" s="139"/>
      <c r="B139" s="21"/>
      <c r="C139" s="21"/>
      <c r="D139" s="21"/>
      <c r="E139" s="21"/>
      <c r="F139" s="21"/>
      <c r="G139" s="21"/>
      <c r="H139" s="21"/>
      <c r="I139" s="21"/>
      <c r="J139" s="21"/>
      <c r="K139" s="204"/>
      <c r="L139" s="54"/>
      <c r="M139" s="159">
        <v>45130.50874924769</v>
      </c>
      <c r="N139" s="160">
        <v>1.11284962953236</v>
      </c>
      <c r="O139" s="160">
        <v>319638.69945798797</v>
      </c>
      <c r="P139" s="160">
        <v>287225.4175007508</v>
      </c>
      <c r="Q139" s="160">
        <v>10.68684586185642</v>
      </c>
      <c r="R139" s="160">
        <v>299059.1598583024</v>
      </c>
      <c r="S139" s="161">
        <v>0.0</v>
      </c>
      <c r="T139" s="160"/>
      <c r="U139" s="160">
        <v>319638.69945798797</v>
      </c>
      <c r="V139" s="160">
        <v>-6.204814440025075E-12</v>
      </c>
      <c r="W139" s="20"/>
      <c r="X139" s="21"/>
      <c r="Y139" s="21"/>
      <c r="Z139" s="21"/>
      <c r="AA139" s="21"/>
      <c r="AB139" s="21"/>
    </row>
    <row r="140" ht="20.25" customHeight="1">
      <c r="A140" s="139"/>
      <c r="B140" s="21"/>
      <c r="C140" s="21"/>
      <c r="D140" s="21"/>
      <c r="E140" s="21"/>
      <c r="F140" s="21"/>
      <c r="G140" s="21"/>
      <c r="H140" s="21"/>
      <c r="I140" s="21"/>
      <c r="J140" s="21"/>
      <c r="K140" s="204"/>
      <c r="L140" s="54"/>
      <c r="M140" s="159">
        <v>45131.50876244213</v>
      </c>
      <c r="N140" s="160">
        <v>1.10883553418706</v>
      </c>
      <c r="O140" s="160">
        <v>312818.34100009006</v>
      </c>
      <c r="P140" s="160">
        <v>282114.2823759089</v>
      </c>
      <c r="Q140" s="160">
        <v>10.678655371693777</v>
      </c>
      <c r="R140" s="160">
        <v>292902.4045964524</v>
      </c>
      <c r="S140" s="161">
        <v>0.0</v>
      </c>
      <c r="T140" s="160"/>
      <c r="U140" s="160">
        <v>312818.34100009006</v>
      </c>
      <c r="V140" s="160">
        <v>-6.204814440025075E-12</v>
      </c>
      <c r="W140" s="20"/>
      <c r="X140" s="21"/>
      <c r="Y140" s="21"/>
      <c r="Z140" s="21"/>
      <c r="AA140" s="21"/>
      <c r="AB140" s="21"/>
    </row>
    <row r="141" ht="20.25" customHeight="1">
      <c r="A141" s="139"/>
      <c r="B141" s="21"/>
      <c r="C141" s="21"/>
      <c r="D141" s="21"/>
      <c r="E141" s="21"/>
      <c r="F141" s="21"/>
      <c r="G141" s="21"/>
      <c r="H141" s="21"/>
      <c r="I141" s="21"/>
      <c r="J141" s="21"/>
      <c r="K141" s="204"/>
      <c r="L141" s="54"/>
      <c r="M141" s="159">
        <v>45132.508755937495</v>
      </c>
      <c r="N141" s="160">
        <v>1.10575434561458</v>
      </c>
      <c r="O141" s="160">
        <v>311451.0668409313</v>
      </c>
      <c r="P141" s="160">
        <v>281663.8868082642</v>
      </c>
      <c r="Q141" s="160">
        <v>10.673571102636345</v>
      </c>
      <c r="R141" s="160">
        <v>291761.09136665845</v>
      </c>
      <c r="S141" s="161">
        <v>0.0</v>
      </c>
      <c r="T141" s="160"/>
      <c r="U141" s="160">
        <v>311451.0668409313</v>
      </c>
      <c r="V141" s="160">
        <v>-6.204814440025075E-12</v>
      </c>
      <c r="W141" s="20"/>
      <c r="X141" s="21"/>
      <c r="Y141" s="21"/>
      <c r="Z141" s="21"/>
      <c r="AA141" s="21"/>
      <c r="AB141" s="21"/>
    </row>
    <row r="142" ht="20.25" customHeight="1">
      <c r="A142" s="139"/>
      <c r="B142" s="21"/>
      <c r="C142" s="21"/>
      <c r="D142" s="21"/>
      <c r="E142" s="21"/>
      <c r="F142" s="21"/>
      <c r="G142" s="21"/>
      <c r="H142" s="21"/>
      <c r="I142" s="21"/>
      <c r="J142" s="21"/>
      <c r="K142" s="204"/>
      <c r="L142" s="54"/>
      <c r="M142" s="159">
        <v>45133.50875260417</v>
      </c>
      <c r="N142" s="160">
        <v>1.10728482687602</v>
      </c>
      <c r="O142" s="160">
        <v>310957.18643264606</v>
      </c>
      <c r="P142" s="160">
        <v>280828.5446391863</v>
      </c>
      <c r="Q142" s="160">
        <v>10.660141164556823</v>
      </c>
      <c r="R142" s="160">
        <v>291665.4198927489</v>
      </c>
      <c r="S142" s="161">
        <v>0.0</v>
      </c>
      <c r="T142" s="160"/>
      <c r="U142" s="160">
        <v>310957.18643264606</v>
      </c>
      <c r="V142" s="160">
        <v>-6.204814440025075E-12</v>
      </c>
      <c r="W142" s="20"/>
      <c r="X142" s="21"/>
      <c r="Y142" s="21"/>
      <c r="Z142" s="21"/>
      <c r="AA142" s="21"/>
      <c r="AB142" s="21"/>
    </row>
    <row r="143" ht="20.25" customHeight="1">
      <c r="A143" s="139"/>
      <c r="B143" s="21"/>
      <c r="C143" s="21"/>
      <c r="D143" s="21"/>
      <c r="E143" s="21"/>
      <c r="F143" s="21"/>
      <c r="G143" s="21"/>
      <c r="H143" s="21"/>
      <c r="I143" s="21"/>
      <c r="J143" s="21"/>
      <c r="K143" s="204"/>
      <c r="L143" s="54"/>
      <c r="M143" s="159">
        <v>45134.50875202546</v>
      </c>
      <c r="N143" s="160">
        <v>1.11404600341567</v>
      </c>
      <c r="O143" s="160">
        <v>315959.41621859657</v>
      </c>
      <c r="P143" s="160">
        <v>283614.33482088137</v>
      </c>
      <c r="Q143" s="160">
        <v>10.69659898156874</v>
      </c>
      <c r="R143" s="160">
        <v>295955.96029679285</v>
      </c>
      <c r="S143" s="161">
        <v>0.0</v>
      </c>
      <c r="T143" s="160"/>
      <c r="U143" s="160">
        <v>315959.41621859657</v>
      </c>
      <c r="V143" s="160">
        <v>-6.204814440025075E-12</v>
      </c>
      <c r="W143" s="20"/>
      <c r="X143" s="21"/>
      <c r="Y143" s="21"/>
      <c r="Z143" s="21"/>
      <c r="AA143" s="21"/>
      <c r="AB143" s="21"/>
    </row>
    <row r="144" ht="20.25" customHeight="1">
      <c r="A144" s="139"/>
      <c r="B144" s="21"/>
      <c r="C144" s="21"/>
      <c r="D144" s="21"/>
      <c r="E144" s="21"/>
      <c r="F144" s="21"/>
      <c r="G144" s="21"/>
      <c r="H144" s="21"/>
      <c r="I144" s="21"/>
      <c r="J144" s="21"/>
      <c r="K144" s="204"/>
      <c r="L144" s="54"/>
      <c r="M144" s="159">
        <v>45135.508752905094</v>
      </c>
      <c r="N144" s="160">
        <v>1.09626524356821</v>
      </c>
      <c r="O144" s="160">
        <v>311993.9675733295</v>
      </c>
      <c r="P144" s="160">
        <v>284597.15329278074</v>
      </c>
      <c r="Q144" s="160">
        <v>10.682867275349345</v>
      </c>
      <c r="R144" s="160">
        <v>292617.2109267933</v>
      </c>
      <c r="S144" s="161">
        <v>0.0</v>
      </c>
      <c r="T144" s="160"/>
      <c r="U144" s="160">
        <v>311993.9675733295</v>
      </c>
      <c r="V144" s="160">
        <v>-6.204814440025075E-12</v>
      </c>
      <c r="W144" s="20"/>
      <c r="X144" s="21"/>
      <c r="Y144" s="21"/>
      <c r="Z144" s="21"/>
      <c r="AA144" s="21"/>
      <c r="AB144" s="21"/>
    </row>
    <row r="145" ht="20.25" customHeight="1">
      <c r="A145" s="139"/>
      <c r="B145" s="21"/>
      <c r="C145" s="21"/>
      <c r="D145" s="21"/>
      <c r="E145" s="21"/>
      <c r="F145" s="21"/>
      <c r="G145" s="21"/>
      <c r="H145" s="21"/>
      <c r="I145" s="21"/>
      <c r="J145" s="21"/>
      <c r="K145" s="204"/>
      <c r="L145" s="54"/>
      <c r="M145" s="159">
        <v>45136.508776400464</v>
      </c>
      <c r="N145" s="160">
        <v>1.10314396028682</v>
      </c>
      <c r="O145" s="160">
        <v>312881.1016629602</v>
      </c>
      <c r="P145" s="160">
        <v>283626.71865747275</v>
      </c>
      <c r="Q145" s="160">
        <v>10.68669666639013</v>
      </c>
      <c r="R145" s="160">
        <v>293344.0960867647</v>
      </c>
      <c r="S145" s="161">
        <v>0.0</v>
      </c>
      <c r="T145" s="160"/>
      <c r="U145" s="160">
        <v>312881.1016629602</v>
      </c>
      <c r="V145" s="160">
        <v>-6.204814440025075E-12</v>
      </c>
      <c r="W145" s="20"/>
      <c r="X145" s="21"/>
      <c r="Y145" s="21"/>
      <c r="Z145" s="21"/>
      <c r="AA145" s="21"/>
      <c r="AB145" s="21"/>
    </row>
    <row r="146" ht="20.25" customHeight="1">
      <c r="A146" s="139"/>
      <c r="B146" s="21"/>
      <c r="C146" s="21"/>
      <c r="D146" s="21"/>
      <c r="E146" s="21"/>
      <c r="F146" s="21"/>
      <c r="G146" s="21"/>
      <c r="H146" s="21"/>
      <c r="I146" s="21"/>
      <c r="J146" s="21"/>
      <c r="K146" s="204"/>
      <c r="L146" s="54"/>
      <c r="M146" s="159">
        <v>45137.50874559028</v>
      </c>
      <c r="N146" s="160">
        <v>1.10365043417608</v>
      </c>
      <c r="O146" s="160">
        <v>313029.0942420247</v>
      </c>
      <c r="P146" s="160">
        <v>283630.6538271909</v>
      </c>
      <c r="Q146" s="160">
        <v>10.6880992488506</v>
      </c>
      <c r="R146" s="160">
        <v>293444.3343808745</v>
      </c>
      <c r="S146" s="161">
        <v>0.0</v>
      </c>
      <c r="T146" s="160"/>
      <c r="U146" s="160">
        <v>313029.0942420247</v>
      </c>
      <c r="V146" s="160">
        <v>-6.204814440025075E-12</v>
      </c>
      <c r="W146" s="20"/>
      <c r="X146" s="21"/>
      <c r="Y146" s="21"/>
      <c r="Z146" s="21"/>
      <c r="AA146" s="21"/>
      <c r="AB146" s="21"/>
    </row>
    <row r="147" ht="20.25" customHeight="1">
      <c r="A147" s="139"/>
      <c r="B147" s="21"/>
      <c r="C147" s="21"/>
      <c r="D147" s="21"/>
      <c r="E147" s="21"/>
      <c r="F147" s="21"/>
      <c r="G147" s="21"/>
      <c r="H147" s="21"/>
      <c r="I147" s="21"/>
      <c r="J147" s="21"/>
      <c r="K147" s="204"/>
      <c r="L147" s="54"/>
      <c r="M147" s="159">
        <v>45138.50875116898</v>
      </c>
      <c r="N147" s="160">
        <v>1.10290306143832</v>
      </c>
      <c r="O147" s="160">
        <v>313898.17410458444</v>
      </c>
      <c r="P147" s="160">
        <v>284610.846664278</v>
      </c>
      <c r="Q147" s="160">
        <v>10.68390184095287</v>
      </c>
      <c r="R147" s="160">
        <v>294374.6461922695</v>
      </c>
      <c r="S147" s="161">
        <v>0.0</v>
      </c>
      <c r="T147" s="160"/>
      <c r="U147" s="160">
        <v>313898.17410458444</v>
      </c>
      <c r="V147" s="160">
        <v>-6.204814440025075E-12</v>
      </c>
      <c r="W147" s="20"/>
      <c r="X147" s="21"/>
      <c r="Y147" s="21"/>
      <c r="Z147" s="21"/>
      <c r="AA147" s="21"/>
      <c r="AB147" s="21"/>
    </row>
    <row r="148" ht="20.25" customHeight="1">
      <c r="A148" s="139"/>
      <c r="B148" s="21"/>
      <c r="C148" s="21"/>
      <c r="D148" s="21"/>
      <c r="E148" s="21"/>
      <c r="F148" s="21"/>
      <c r="G148" s="21"/>
      <c r="H148" s="21"/>
      <c r="I148" s="21"/>
      <c r="J148" s="21"/>
      <c r="K148" s="204"/>
      <c r="L148" s="54"/>
      <c r="M148" s="159">
        <v>45139.50875605324</v>
      </c>
      <c r="N148" s="160">
        <v>1.09662229367326</v>
      </c>
      <c r="O148" s="160">
        <v>308686.37039917946</v>
      </c>
      <c r="P148" s="160">
        <v>281488.3229896774</v>
      </c>
      <c r="Q148" s="160">
        <v>10.676412149568264</v>
      </c>
      <c r="R148" s="160">
        <v>289690.0813306022</v>
      </c>
      <c r="S148" s="161">
        <v>0.0</v>
      </c>
      <c r="T148" s="160"/>
      <c r="U148" s="160">
        <v>308686.37039917946</v>
      </c>
      <c r="V148" s="160">
        <v>-6.204814440025075E-12</v>
      </c>
      <c r="W148" s="20"/>
      <c r="X148" s="21"/>
      <c r="Y148" s="21"/>
      <c r="Z148" s="21"/>
      <c r="AA148" s="21"/>
      <c r="AB148" s="21"/>
    </row>
    <row r="149" ht="20.25" customHeight="1">
      <c r="A149" s="139"/>
      <c r="B149" s="21"/>
      <c r="C149" s="21"/>
      <c r="D149" s="21"/>
      <c r="E149" s="21"/>
      <c r="F149" s="21"/>
      <c r="G149" s="21"/>
      <c r="H149" s="21"/>
      <c r="I149" s="21"/>
      <c r="J149" s="21"/>
      <c r="K149" s="204"/>
      <c r="L149" s="54"/>
      <c r="M149" s="159">
        <v>45140.50880652778</v>
      </c>
      <c r="N149" s="160">
        <v>1.09823491684165</v>
      </c>
      <c r="O149" s="160">
        <v>314005.9455210663</v>
      </c>
      <c r="P149" s="160">
        <v>285918.7417060985</v>
      </c>
      <c r="Q149" s="160">
        <v>10.667449469552464</v>
      </c>
      <c r="R149" s="160">
        <v>294929.88345194113</v>
      </c>
      <c r="S149" s="161">
        <v>0.0</v>
      </c>
      <c r="T149" s="160"/>
      <c r="U149" s="160">
        <v>314005.9455210663</v>
      </c>
      <c r="V149" s="160">
        <v>-6.204814440025075E-12</v>
      </c>
      <c r="W149" s="20"/>
      <c r="X149" s="21"/>
      <c r="Y149" s="21"/>
      <c r="Z149" s="21"/>
      <c r="AA149" s="21"/>
      <c r="AB149" s="21"/>
    </row>
    <row r="150" ht="20.25" customHeight="1">
      <c r="A150" s="139"/>
      <c r="B150" s="21"/>
      <c r="C150" s="21"/>
      <c r="D150" s="21"/>
      <c r="E150" s="21"/>
      <c r="F150" s="21"/>
      <c r="G150" s="21"/>
      <c r="H150" s="21"/>
      <c r="I150" s="21"/>
      <c r="J150" s="21"/>
      <c r="K150" s="204"/>
      <c r="L150" s="54"/>
      <c r="M150" s="159">
        <v>45141.508752222224</v>
      </c>
      <c r="N150" s="160">
        <v>1.09338132548431</v>
      </c>
      <c r="O150" s="160">
        <v>310674.75350622437</v>
      </c>
      <c r="P150" s="160">
        <v>284141.26550827257</v>
      </c>
      <c r="Q150" s="160">
        <v>10.662373965014453</v>
      </c>
      <c r="R150" s="160">
        <v>291939.9666604177</v>
      </c>
      <c r="S150" s="161">
        <v>0.0</v>
      </c>
      <c r="T150" s="160"/>
      <c r="U150" s="160">
        <v>310674.75350622437</v>
      </c>
      <c r="V150" s="160">
        <v>-6.204814440025075E-12</v>
      </c>
      <c r="W150" s="20"/>
      <c r="X150" s="21"/>
      <c r="Y150" s="21"/>
      <c r="Z150" s="21"/>
      <c r="AA150" s="21"/>
      <c r="AB150" s="21"/>
    </row>
    <row r="151" ht="20.25" customHeight="1">
      <c r="A151" s="139"/>
      <c r="B151" s="21"/>
      <c r="C151" s="21"/>
      <c r="D151" s="21"/>
      <c r="E151" s="21"/>
      <c r="F151" s="21"/>
      <c r="G151" s="21"/>
      <c r="H151" s="21"/>
      <c r="I151" s="21"/>
      <c r="J151" s="21"/>
      <c r="K151" s="204"/>
      <c r="L151" s="54"/>
      <c r="M151" s="159">
        <v>45142.50876564815</v>
      </c>
      <c r="N151" s="160">
        <v>1.09421521243641</v>
      </c>
      <c r="O151" s="160">
        <v>311241.98148111487</v>
      </c>
      <c r="P151" s="160">
        <v>284443.1131496471</v>
      </c>
      <c r="Q151" s="160">
        <v>10.672802386559214</v>
      </c>
      <c r="R151" s="160">
        <v>292187.21270254</v>
      </c>
      <c r="S151" s="161">
        <v>0.0</v>
      </c>
      <c r="T151" s="160"/>
      <c r="U151" s="160">
        <v>311241.98148111487</v>
      </c>
      <c r="V151" s="160">
        <v>-6.204814440025075E-12</v>
      </c>
      <c r="W151" s="20"/>
      <c r="X151" s="21"/>
      <c r="Y151" s="21"/>
      <c r="Z151" s="21"/>
      <c r="AA151" s="21"/>
      <c r="AB151" s="21"/>
    </row>
    <row r="152" ht="20.25" customHeight="1">
      <c r="A152" s="139"/>
      <c r="B152" s="21"/>
      <c r="C152" s="21"/>
      <c r="D152" s="21"/>
      <c r="E152" s="21"/>
      <c r="F152" s="21"/>
      <c r="G152" s="21"/>
      <c r="H152" s="21"/>
      <c r="I152" s="21"/>
      <c r="J152" s="21"/>
      <c r="K152" s="204"/>
      <c r="L152" s="54"/>
      <c r="M152" s="159">
        <v>45143.508748333334</v>
      </c>
      <c r="N152" s="160">
        <v>1.10259296788257</v>
      </c>
      <c r="O152" s="160">
        <v>309941.9295462172</v>
      </c>
      <c r="P152" s="160">
        <v>281102.76282773016</v>
      </c>
      <c r="Q152" s="160">
        <v>10.67933767293681</v>
      </c>
      <c r="R152" s="160">
        <v>290788.69328667864</v>
      </c>
      <c r="S152" s="161">
        <v>0.0</v>
      </c>
      <c r="T152" s="160"/>
      <c r="U152" s="160">
        <v>309941.9295462172</v>
      </c>
      <c r="V152" s="160">
        <v>-6.204814440025075E-12</v>
      </c>
      <c r="W152" s="20"/>
      <c r="X152" s="21"/>
      <c r="Y152" s="21"/>
      <c r="Z152" s="21"/>
      <c r="AA152" s="21"/>
      <c r="AB152" s="21"/>
    </row>
    <row r="153" ht="20.25" customHeight="1">
      <c r="A153" s="139"/>
      <c r="B153" s="21"/>
      <c r="C153" s="21"/>
      <c r="D153" s="21"/>
      <c r="E153" s="21"/>
      <c r="F153" s="21"/>
      <c r="G153" s="21"/>
      <c r="H153" s="21"/>
      <c r="I153" s="21"/>
      <c r="J153" s="21"/>
      <c r="K153" s="204"/>
      <c r="L153" s="54"/>
      <c r="M153" s="159">
        <v>45144.508757187505</v>
      </c>
      <c r="N153" s="160">
        <v>1.10259296788257</v>
      </c>
      <c r="O153" s="160">
        <v>309901.9256138425</v>
      </c>
      <c r="P153" s="160">
        <v>281066.4811412511</v>
      </c>
      <c r="Q153" s="160">
        <v>10.671475084572592</v>
      </c>
      <c r="R153" s="160">
        <v>290965.38269256894</v>
      </c>
      <c r="S153" s="161">
        <v>0.0</v>
      </c>
      <c r="T153" s="160"/>
      <c r="U153" s="160">
        <v>309901.9256138425</v>
      </c>
      <c r="V153" s="160">
        <v>-6.204814440025075E-12</v>
      </c>
      <c r="W153" s="20"/>
      <c r="X153" s="21"/>
      <c r="Y153" s="21"/>
      <c r="Z153" s="21"/>
      <c r="AA153" s="21"/>
      <c r="AB153" s="21"/>
    </row>
    <row r="154" ht="20.25" customHeight="1">
      <c r="A154" s="139"/>
      <c r="B154" s="21"/>
      <c r="C154" s="21"/>
      <c r="D154" s="21"/>
      <c r="E154" s="21"/>
      <c r="F154" s="21"/>
      <c r="G154" s="21"/>
      <c r="H154" s="21"/>
      <c r="I154" s="21"/>
      <c r="J154" s="21"/>
      <c r="K154" s="204"/>
      <c r="L154" s="54"/>
      <c r="M154" s="159">
        <v>45145.50876722222</v>
      </c>
      <c r="N154" s="160">
        <v>1.09751051689453</v>
      </c>
      <c r="O154" s="160">
        <v>309765.3416782045</v>
      </c>
      <c r="P154" s="160">
        <v>282243.62036612054</v>
      </c>
      <c r="Q154" s="160">
        <v>10.67168202480223</v>
      </c>
      <c r="R154" s="160">
        <v>290831.5049351643</v>
      </c>
      <c r="S154" s="161">
        <v>0.0</v>
      </c>
      <c r="T154" s="160"/>
      <c r="U154" s="160">
        <v>309765.3416782045</v>
      </c>
      <c r="V154" s="160">
        <v>-6.204814440025075E-12</v>
      </c>
      <c r="W154" s="20"/>
      <c r="X154" s="21"/>
      <c r="Y154" s="21"/>
      <c r="Z154" s="21"/>
      <c r="AA154" s="21"/>
      <c r="AB154" s="21"/>
    </row>
    <row r="155" ht="20.25" customHeight="1">
      <c r="A155" s="139"/>
      <c r="B155" s="21"/>
      <c r="C155" s="21"/>
      <c r="D155" s="21"/>
      <c r="E155" s="21"/>
      <c r="F155" s="21"/>
      <c r="G155" s="21"/>
      <c r="H155" s="21"/>
      <c r="I155" s="21"/>
      <c r="J155" s="21"/>
      <c r="K155" s="204"/>
      <c r="L155" s="54"/>
      <c r="M155" s="159">
        <v>45146.50875196759</v>
      </c>
      <c r="N155" s="160">
        <v>1.09753219885088</v>
      </c>
      <c r="O155" s="160">
        <v>311097.37631402723</v>
      </c>
      <c r="P155" s="160">
        <v>283451.7079678822</v>
      </c>
      <c r="Q155" s="160">
        <v>10.665754582567086</v>
      </c>
      <c r="R155" s="160">
        <v>292244.4446497315</v>
      </c>
      <c r="S155" s="161">
        <v>0.0</v>
      </c>
      <c r="T155" s="160"/>
      <c r="U155" s="160">
        <v>311097.37631402723</v>
      </c>
      <c r="V155" s="160">
        <v>-6.204814440025075E-12</v>
      </c>
      <c r="W155" s="20"/>
      <c r="X155" s="21"/>
      <c r="Y155" s="21"/>
      <c r="Z155" s="21"/>
      <c r="AA155" s="21"/>
      <c r="AB155" s="21"/>
    </row>
    <row r="156" ht="20.25" customHeight="1">
      <c r="A156" s="139"/>
      <c r="B156" s="21"/>
      <c r="C156" s="21"/>
      <c r="D156" s="21"/>
      <c r="E156" s="21"/>
      <c r="F156" s="21"/>
      <c r="G156" s="21"/>
      <c r="H156" s="21"/>
      <c r="I156" s="21"/>
      <c r="J156" s="21"/>
      <c r="K156" s="204"/>
      <c r="L156" s="54"/>
      <c r="M156" s="159">
        <v>45147.50874959491</v>
      </c>
      <c r="N156" s="160">
        <v>1.09840259310884</v>
      </c>
      <c r="O156" s="160">
        <v>317780.9737669544</v>
      </c>
      <c r="P156" s="160">
        <v>289311.92967009475</v>
      </c>
      <c r="Q156" s="160">
        <v>10.674024519893422</v>
      </c>
      <c r="R156" s="160">
        <v>298291.7195217229</v>
      </c>
      <c r="S156" s="161">
        <v>0.0</v>
      </c>
      <c r="T156" s="160"/>
      <c r="U156" s="160">
        <v>317780.9737669544</v>
      </c>
      <c r="V156" s="160">
        <v>-6.204814440025075E-12</v>
      </c>
      <c r="W156" s="20"/>
      <c r="X156" s="21"/>
      <c r="Y156" s="21"/>
      <c r="Z156" s="21"/>
      <c r="AA156" s="21"/>
      <c r="AB156" s="21"/>
    </row>
    <row r="157" ht="20.25" customHeight="1">
      <c r="A157" s="139"/>
      <c r="B157" s="21"/>
      <c r="C157" s="21"/>
      <c r="D157" s="21"/>
      <c r="E157" s="21"/>
      <c r="F157" s="21"/>
      <c r="G157" s="21"/>
      <c r="H157" s="21"/>
      <c r="I157" s="21"/>
      <c r="J157" s="21"/>
      <c r="K157" s="204"/>
      <c r="L157" s="54"/>
      <c r="M157" s="159">
        <v>45148.508757303236</v>
      </c>
      <c r="N157" s="160">
        <v>1.10221015179638</v>
      </c>
      <c r="O157" s="160">
        <v>315105.8857625217</v>
      </c>
      <c r="P157" s="160">
        <v>285885.48676399206</v>
      </c>
      <c r="Q157" s="160">
        <v>10.679577743946885</v>
      </c>
      <c r="R157" s="160">
        <v>295626.8909066723</v>
      </c>
      <c r="S157" s="161">
        <v>0.0</v>
      </c>
      <c r="T157" s="160"/>
      <c r="U157" s="160">
        <v>315105.8857625217</v>
      </c>
      <c r="V157" s="160">
        <v>-6.204814440025075E-12</v>
      </c>
      <c r="W157" s="20"/>
      <c r="X157" s="21"/>
      <c r="Y157" s="21"/>
      <c r="Z157" s="21"/>
      <c r="AA157" s="21"/>
      <c r="AB157" s="21"/>
    </row>
    <row r="158" ht="20.25" customHeight="1">
      <c r="A158" s="139"/>
      <c r="B158" s="21"/>
      <c r="C158" s="21"/>
      <c r="D158" s="21"/>
      <c r="E158" s="21"/>
      <c r="F158" s="21"/>
      <c r="G158" s="21"/>
      <c r="H158" s="21"/>
      <c r="I158" s="21"/>
      <c r="J158" s="21"/>
      <c r="K158" s="204"/>
      <c r="L158" s="54"/>
      <c r="M158" s="159">
        <v>45149.50879412037</v>
      </c>
      <c r="N158" s="160">
        <v>1.0994012660705</v>
      </c>
      <c r="O158" s="160">
        <v>313163.2308941183</v>
      </c>
      <c r="P158" s="160">
        <v>284848.890536057</v>
      </c>
      <c r="Q158" s="160">
        <v>10.673272740166073</v>
      </c>
      <c r="R158" s="160">
        <v>293977.8842323712</v>
      </c>
      <c r="S158" s="161">
        <v>0.0</v>
      </c>
      <c r="T158" s="160"/>
      <c r="U158" s="160">
        <v>313163.2308941183</v>
      </c>
      <c r="V158" s="160">
        <v>-6.204814440025075E-12</v>
      </c>
      <c r="W158" s="20"/>
      <c r="X158" s="21"/>
      <c r="Y158" s="21"/>
      <c r="Z158" s="21"/>
      <c r="AA158" s="21"/>
      <c r="AB158" s="21"/>
    </row>
    <row r="159" ht="20.25" customHeight="1">
      <c r="A159" s="139"/>
      <c r="B159" s="21"/>
      <c r="C159" s="21"/>
      <c r="D159" s="21"/>
      <c r="E159" s="21"/>
      <c r="F159" s="21"/>
      <c r="G159" s="21"/>
      <c r="H159" s="21"/>
      <c r="I159" s="21"/>
      <c r="J159" s="21"/>
      <c r="K159" s="204"/>
      <c r="L159" s="54"/>
      <c r="M159" s="159">
        <v>45150.50875476852</v>
      </c>
      <c r="N159" s="160">
        <v>1.09565026843432</v>
      </c>
      <c r="O159" s="160">
        <v>313803.92746776633</v>
      </c>
      <c r="P159" s="160">
        <v>286408.84459982923</v>
      </c>
      <c r="Q159" s="160">
        <v>10.674570076379034</v>
      </c>
      <c r="R159" s="160">
        <v>294543.527991882</v>
      </c>
      <c r="S159" s="161">
        <v>0.0</v>
      </c>
      <c r="T159" s="160"/>
      <c r="U159" s="160">
        <v>313803.92746776633</v>
      </c>
      <c r="V159" s="160">
        <v>-6.204814440025075E-12</v>
      </c>
      <c r="W159" s="20"/>
      <c r="X159" s="21"/>
      <c r="Y159" s="21"/>
      <c r="Z159" s="21"/>
      <c r="AA159" s="21"/>
      <c r="AB159" s="21"/>
    </row>
    <row r="160" ht="20.25" customHeight="1">
      <c r="A160" s="139"/>
      <c r="B160" s="21"/>
      <c r="C160" s="21"/>
      <c r="D160" s="21"/>
      <c r="E160" s="21"/>
      <c r="F160" s="21"/>
      <c r="G160" s="21"/>
      <c r="H160" s="21"/>
      <c r="I160" s="21"/>
      <c r="J160" s="21"/>
      <c r="K160" s="204"/>
      <c r="L160" s="54"/>
      <c r="M160" s="159">
        <v>45151.508754780094</v>
      </c>
      <c r="N160" s="160">
        <v>1.09641068035572</v>
      </c>
      <c r="O160" s="160">
        <v>313834.0562053656</v>
      </c>
      <c r="P160" s="160">
        <v>286237.686141059</v>
      </c>
      <c r="Q160" s="160">
        <v>10.67800977180308</v>
      </c>
      <c r="R160" s="160">
        <v>294476.9174235227</v>
      </c>
      <c r="S160" s="161">
        <v>0.0</v>
      </c>
      <c r="T160" s="160"/>
      <c r="U160" s="160">
        <v>313834.0562053656</v>
      </c>
      <c r="V160" s="160">
        <v>-6.204814440025075E-12</v>
      </c>
      <c r="W160" s="20"/>
      <c r="X160" s="21"/>
      <c r="Y160" s="21"/>
      <c r="Z160" s="21"/>
      <c r="AA160" s="21"/>
      <c r="AB160" s="21"/>
    </row>
    <row r="161" ht="20.25" customHeight="1">
      <c r="A161" s="139"/>
      <c r="B161" s="21"/>
      <c r="C161" s="21"/>
      <c r="D161" s="21"/>
      <c r="E161" s="21"/>
      <c r="F161" s="21"/>
      <c r="G161" s="21"/>
      <c r="H161" s="21"/>
      <c r="I161" s="21"/>
      <c r="J161" s="21"/>
      <c r="K161" s="204"/>
      <c r="L161" s="54"/>
      <c r="M161" s="159">
        <v>45152.50876055556</v>
      </c>
      <c r="N161" s="160">
        <v>1.09492687530863</v>
      </c>
      <c r="O161" s="160">
        <v>313355.0696337017</v>
      </c>
      <c r="P161" s="160">
        <v>286188.1251616693</v>
      </c>
      <c r="Q161" s="160">
        <v>10.665909662741957</v>
      </c>
      <c r="R161" s="160">
        <v>294361.0386165031</v>
      </c>
      <c r="S161" s="161">
        <v>0.0</v>
      </c>
      <c r="T161" s="160"/>
      <c r="U161" s="160">
        <v>313355.0696337017</v>
      </c>
      <c r="V161" s="160">
        <v>-6.204814440025075E-12</v>
      </c>
      <c r="W161" s="20"/>
      <c r="X161" s="21"/>
      <c r="Y161" s="21"/>
      <c r="Z161" s="21"/>
      <c r="AA161" s="21"/>
      <c r="AB161" s="21"/>
    </row>
    <row r="162" ht="20.25" customHeight="1">
      <c r="A162" s="139"/>
      <c r="B162" s="21"/>
      <c r="C162" s="21"/>
      <c r="D162" s="21"/>
      <c r="E162" s="21"/>
      <c r="F162" s="21"/>
      <c r="G162" s="21"/>
      <c r="H162" s="21"/>
      <c r="I162" s="21"/>
      <c r="J162" s="21"/>
      <c r="K162" s="204"/>
      <c r="L162" s="54"/>
      <c r="M162" s="159">
        <v>45153.50875395833</v>
      </c>
      <c r="N162" s="160">
        <v>1.09246635203636</v>
      </c>
      <c r="O162" s="160">
        <v>313301.99639834696</v>
      </c>
      <c r="P162" s="160">
        <v>286784.1154231902</v>
      </c>
      <c r="Q162" s="160">
        <v>10.664283245364173</v>
      </c>
      <c r="R162" s="160">
        <v>294356.0680241102</v>
      </c>
      <c r="S162" s="161">
        <v>0.0</v>
      </c>
      <c r="T162" s="160"/>
      <c r="U162" s="160">
        <v>313301.99639834696</v>
      </c>
      <c r="V162" s="160">
        <v>-6.204814440025075E-12</v>
      </c>
      <c r="W162" s="20"/>
      <c r="X162" s="21"/>
      <c r="Y162" s="21"/>
      <c r="Z162" s="21"/>
      <c r="AA162" s="21"/>
      <c r="AB162" s="21"/>
    </row>
    <row r="163" ht="20.25" customHeight="1">
      <c r="A163" s="139"/>
      <c r="B163" s="21"/>
      <c r="C163" s="21"/>
      <c r="D163" s="21"/>
      <c r="E163" s="21"/>
      <c r="F163" s="21"/>
      <c r="G163" s="21"/>
      <c r="H163" s="21"/>
      <c r="I163" s="21"/>
      <c r="J163" s="21"/>
      <c r="K163" s="204"/>
      <c r="L163" s="54"/>
      <c r="M163" s="159">
        <v>45154.50875809028</v>
      </c>
      <c r="N163" s="160">
        <v>1.09301801949507</v>
      </c>
      <c r="O163" s="160">
        <v>310249.15577471943</v>
      </c>
      <c r="P163" s="160">
        <v>283846.3321199791</v>
      </c>
      <c r="Q163" s="160">
        <v>10.649964388258507</v>
      </c>
      <c r="R163" s="160">
        <v>291879.7429475889</v>
      </c>
      <c r="S163" s="161">
        <v>0.0</v>
      </c>
      <c r="T163" s="160"/>
      <c r="U163" s="160">
        <v>310249.15577471943</v>
      </c>
      <c r="V163" s="160">
        <v>-6.204814440025075E-12</v>
      </c>
      <c r="W163" s="20"/>
      <c r="X163" s="21"/>
      <c r="Y163" s="21"/>
      <c r="Z163" s="21"/>
      <c r="AA163" s="21"/>
      <c r="AB163" s="21"/>
    </row>
    <row r="164" ht="20.25" customHeight="1">
      <c r="A164" s="139"/>
      <c r="B164" s="21"/>
      <c r="C164" s="21"/>
      <c r="D164" s="21"/>
      <c r="E164" s="21"/>
      <c r="F164" s="21"/>
      <c r="G164" s="21"/>
      <c r="H164" s="21"/>
      <c r="I164" s="21"/>
      <c r="J164" s="21"/>
      <c r="K164" s="204"/>
      <c r="L164" s="54"/>
      <c r="M164" s="159">
        <v>45155.50874711806</v>
      </c>
      <c r="N164" s="160">
        <v>1.08725788126057</v>
      </c>
      <c r="O164" s="160">
        <v>303475.85331028607</v>
      </c>
      <c r="P164" s="160">
        <v>279120.39870286826</v>
      </c>
      <c r="Q164" s="160">
        <v>10.628837792993076</v>
      </c>
      <c r="R164" s="160">
        <v>286074.9720534023</v>
      </c>
      <c r="S164" s="161">
        <v>0.0</v>
      </c>
      <c r="T164" s="160"/>
      <c r="U164" s="160">
        <v>303475.85331028607</v>
      </c>
      <c r="V164" s="160">
        <v>-6.204814440025075E-12</v>
      </c>
      <c r="W164" s="20"/>
      <c r="X164" s="21"/>
      <c r="Y164" s="21"/>
      <c r="Z164" s="21"/>
      <c r="AA164" s="21"/>
      <c r="AB164" s="21"/>
    </row>
    <row r="165" ht="20.25" customHeight="1">
      <c r="A165" s="139"/>
      <c r="B165" s="21"/>
      <c r="C165" s="21"/>
      <c r="D165" s="21"/>
      <c r="E165" s="21"/>
      <c r="F165" s="21"/>
      <c r="G165" s="21"/>
      <c r="H165" s="21"/>
      <c r="I165" s="21"/>
      <c r="J165" s="21"/>
      <c r="K165" s="204"/>
      <c r="L165" s="54"/>
      <c r="M165" s="159">
        <v>45156.50875936342</v>
      </c>
      <c r="N165" s="160">
        <v>1.08630001868436</v>
      </c>
      <c r="O165" s="160">
        <v>281638.32535910106</v>
      </c>
      <c r="P165" s="160">
        <v>259263.8502392727</v>
      </c>
      <c r="Q165" s="160">
        <v>10.657012605730381</v>
      </c>
      <c r="R165" s="160">
        <v>264787.68099997035</v>
      </c>
      <c r="S165" s="161">
        <v>0.0</v>
      </c>
      <c r="T165" s="160"/>
      <c r="U165" s="160">
        <v>281638.32535910106</v>
      </c>
      <c r="V165" s="160">
        <v>-6.204814440025075E-12</v>
      </c>
      <c r="W165" s="20"/>
      <c r="X165" s="21"/>
      <c r="Y165" s="21"/>
      <c r="Z165" s="21"/>
      <c r="AA165" s="21"/>
      <c r="AB165" s="21"/>
    </row>
    <row r="166" ht="20.25" customHeight="1">
      <c r="A166" s="139"/>
      <c r="B166" s="21"/>
      <c r="C166" s="21"/>
      <c r="D166" s="21"/>
      <c r="E166" s="21"/>
      <c r="F166" s="21"/>
      <c r="G166" s="21"/>
      <c r="H166" s="21"/>
      <c r="I166" s="21"/>
      <c r="J166" s="21"/>
      <c r="K166" s="204"/>
      <c r="L166" s="54"/>
      <c r="M166" s="159">
        <v>45157.50875706019</v>
      </c>
      <c r="N166" s="160">
        <v>1.08894977328066</v>
      </c>
      <c r="O166" s="160">
        <v>276732.53540989035</v>
      </c>
      <c r="P166" s="160">
        <v>254127.91498746825</v>
      </c>
      <c r="Q166" s="160">
        <v>10.669769991954556</v>
      </c>
      <c r="R166" s="160">
        <v>259864.3277802455</v>
      </c>
      <c r="S166" s="161">
        <v>0.0</v>
      </c>
      <c r="T166" s="160"/>
      <c r="U166" s="160">
        <v>276732.53540989035</v>
      </c>
      <c r="V166" s="160">
        <v>-6.204814440025075E-12</v>
      </c>
      <c r="W166" s="20"/>
      <c r="X166" s="21"/>
      <c r="Y166" s="21"/>
      <c r="Z166" s="21"/>
      <c r="AA166" s="21"/>
      <c r="AB166" s="21"/>
    </row>
    <row r="167" ht="20.25" customHeight="1">
      <c r="A167" s="139"/>
      <c r="B167" s="21"/>
      <c r="C167" s="21"/>
      <c r="D167" s="21"/>
      <c r="E167" s="21"/>
      <c r="F167" s="21"/>
      <c r="G167" s="21"/>
      <c r="H167" s="21"/>
      <c r="I167" s="21"/>
      <c r="J167" s="21"/>
      <c r="K167" s="204"/>
      <c r="L167" s="54"/>
      <c r="M167" s="159">
        <v>45158.50875425926</v>
      </c>
      <c r="N167" s="160">
        <v>1.08894977328066</v>
      </c>
      <c r="O167" s="160">
        <v>278998.48311861086</v>
      </c>
      <c r="P167" s="160">
        <v>256208.77102354963</v>
      </c>
      <c r="Q167" s="160">
        <v>10.67246501535056</v>
      </c>
      <c r="R167" s="160">
        <v>261925.9962769001</v>
      </c>
      <c r="S167" s="161">
        <v>0.0</v>
      </c>
      <c r="T167" s="160"/>
      <c r="U167" s="160">
        <v>278998.48311861086</v>
      </c>
      <c r="V167" s="160">
        <v>-6.204814440025075E-12</v>
      </c>
      <c r="W167" s="20"/>
      <c r="X167" s="21"/>
      <c r="Y167" s="21"/>
      <c r="Z167" s="21"/>
      <c r="AA167" s="21"/>
      <c r="AB167" s="21"/>
    </row>
    <row r="168" ht="20.25" customHeight="1">
      <c r="A168" s="139"/>
      <c r="B168" s="21"/>
      <c r="C168" s="21"/>
      <c r="D168" s="21"/>
      <c r="E168" s="21"/>
      <c r="F168" s="21"/>
      <c r="G168" s="21"/>
      <c r="H168" s="21"/>
      <c r="I168" s="21"/>
      <c r="J168" s="21"/>
      <c r="K168" s="204"/>
      <c r="L168" s="54"/>
      <c r="M168" s="159">
        <v>45159.508758310185</v>
      </c>
      <c r="N168" s="160">
        <v>1.08929376727892</v>
      </c>
      <c r="O168" s="160">
        <v>277217.9518499413</v>
      </c>
      <c r="P168" s="160">
        <v>254493.28746499473</v>
      </c>
      <c r="Q168" s="160">
        <v>10.664377454359627</v>
      </c>
      <c r="R168" s="160">
        <v>260451.78891241187</v>
      </c>
      <c r="S168" s="161">
        <v>0.0</v>
      </c>
      <c r="T168" s="160"/>
      <c r="U168" s="160">
        <v>277217.9518499413</v>
      </c>
      <c r="V168" s="160">
        <v>-6.204814440025075E-12</v>
      </c>
      <c r="W168" s="20"/>
      <c r="X168" s="21"/>
      <c r="Y168" s="21"/>
      <c r="Z168" s="21"/>
      <c r="AA168" s="21"/>
      <c r="AB168" s="21"/>
    </row>
    <row r="169" ht="20.25" customHeight="1">
      <c r="A169" s="139"/>
      <c r="B169" s="21"/>
      <c r="C169" s="21"/>
      <c r="D169" s="21"/>
      <c r="E169" s="21"/>
      <c r="F169" s="21"/>
      <c r="G169" s="21"/>
      <c r="H169" s="21"/>
      <c r="I169" s="21"/>
      <c r="J169" s="21"/>
      <c r="K169" s="204"/>
      <c r="L169" s="54"/>
      <c r="M169" s="159">
        <v>45160.50875540509</v>
      </c>
      <c r="N169" s="160">
        <v>1.09054227214482</v>
      </c>
      <c r="O169" s="160">
        <v>277661.6029075248</v>
      </c>
      <c r="P169" s="160">
        <v>254608.7483261285</v>
      </c>
      <c r="Q169" s="160">
        <v>10.657963830857193</v>
      </c>
      <c r="R169" s="160">
        <v>261025.59034762965</v>
      </c>
      <c r="S169" s="161">
        <v>0.0</v>
      </c>
      <c r="T169" s="160"/>
      <c r="U169" s="160">
        <v>277661.6029075248</v>
      </c>
      <c r="V169" s="160">
        <v>-6.204814440025075E-12</v>
      </c>
      <c r="W169" s="20"/>
      <c r="X169" s="21"/>
      <c r="Y169" s="21"/>
      <c r="Z169" s="21"/>
      <c r="AA169" s="21"/>
      <c r="AB169" s="21"/>
    </row>
    <row r="170" ht="20.25" customHeight="1">
      <c r="A170" s="139"/>
      <c r="B170" s="21"/>
      <c r="C170" s="21"/>
      <c r="D170" s="21"/>
      <c r="E170" s="21"/>
      <c r="F170" s="21"/>
      <c r="G170" s="21"/>
      <c r="H170" s="21"/>
      <c r="I170" s="21"/>
      <c r="J170" s="21"/>
      <c r="K170" s="204"/>
      <c r="L170" s="54"/>
      <c r="M170" s="159">
        <v>45161.508752951384</v>
      </c>
      <c r="N170" s="160">
        <v>1.08133358708628</v>
      </c>
      <c r="O170" s="160">
        <v>276890.20661918167</v>
      </c>
      <c r="P170" s="160">
        <v>256063.63283811373</v>
      </c>
      <c r="Q170" s="160">
        <v>10.655656821338304</v>
      </c>
      <c r="R170" s="160">
        <v>260356.76853948057</v>
      </c>
      <c r="S170" s="161">
        <v>0.0</v>
      </c>
      <c r="T170" s="160"/>
      <c r="U170" s="160">
        <v>276890.20661918167</v>
      </c>
      <c r="V170" s="160">
        <v>-6.204814440025075E-12</v>
      </c>
      <c r="W170" s="20"/>
      <c r="X170" s="21"/>
      <c r="Y170" s="21"/>
      <c r="Z170" s="21"/>
      <c r="AA170" s="21"/>
      <c r="AB170" s="21"/>
    </row>
    <row r="171" ht="20.25" customHeight="1">
      <c r="A171" s="139"/>
      <c r="B171" s="21"/>
      <c r="C171" s="21"/>
      <c r="D171" s="21"/>
      <c r="E171" s="21"/>
      <c r="F171" s="21"/>
      <c r="G171" s="21"/>
      <c r="H171" s="21"/>
      <c r="I171" s="21"/>
      <c r="J171" s="21"/>
      <c r="K171" s="204"/>
      <c r="L171" s="54"/>
      <c r="M171" s="159">
        <v>45162.50875864583</v>
      </c>
      <c r="N171" s="160">
        <v>1.08562191479822</v>
      </c>
      <c r="O171" s="160">
        <v>281569.1793105108</v>
      </c>
      <c r="P171" s="160">
        <v>259362.09970747033</v>
      </c>
      <c r="Q171" s="160">
        <v>10.65049713002071</v>
      </c>
      <c r="R171" s="160">
        <v>264884.6169562393</v>
      </c>
      <c r="S171" s="161">
        <v>0.0</v>
      </c>
      <c r="T171" s="160"/>
      <c r="U171" s="160">
        <v>281569.1793105108</v>
      </c>
      <c r="V171" s="160">
        <v>-6.204814440025075E-12</v>
      </c>
      <c r="W171" s="20"/>
      <c r="X171" s="21"/>
      <c r="Y171" s="21"/>
      <c r="Z171" s="21"/>
      <c r="AA171" s="21"/>
      <c r="AB171" s="21"/>
    </row>
    <row r="172" ht="20.25" customHeight="1">
      <c r="A172" s="139"/>
      <c r="B172" s="21"/>
      <c r="C172" s="21"/>
      <c r="D172" s="21"/>
      <c r="E172" s="21"/>
      <c r="F172" s="21"/>
      <c r="G172" s="21"/>
      <c r="H172" s="21"/>
      <c r="I172" s="21"/>
      <c r="J172" s="21"/>
      <c r="K172" s="204"/>
      <c r="L172" s="54"/>
      <c r="M172" s="159">
        <v>45163.508750775465</v>
      </c>
      <c r="N172" s="160">
        <v>1.0788161503093</v>
      </c>
      <c r="O172" s="160">
        <v>277150.2377584789</v>
      </c>
      <c r="P172" s="160">
        <v>256902.19568831916</v>
      </c>
      <c r="Q172" s="160">
        <v>10.63002214560551</v>
      </c>
      <c r="R172" s="160">
        <v>261229.72213539624</v>
      </c>
      <c r="S172" s="161">
        <v>0.0</v>
      </c>
      <c r="T172" s="160"/>
      <c r="U172" s="160">
        <v>277150.2377584789</v>
      </c>
      <c r="V172" s="160">
        <v>-6.204814440025075E-12</v>
      </c>
      <c r="W172" s="20"/>
      <c r="X172" s="21"/>
      <c r="Y172" s="21"/>
      <c r="Z172" s="21"/>
      <c r="AA172" s="21"/>
      <c r="AB172" s="21"/>
    </row>
    <row r="173" ht="20.25" customHeight="1">
      <c r="A173" s="139"/>
      <c r="B173" s="21"/>
      <c r="C173" s="21"/>
      <c r="D173" s="21"/>
      <c r="E173" s="21"/>
      <c r="F173" s="21"/>
      <c r="G173" s="21"/>
      <c r="H173" s="21"/>
      <c r="I173" s="21"/>
      <c r="J173" s="21"/>
      <c r="K173" s="204"/>
      <c r="L173" s="54"/>
      <c r="M173" s="159">
        <v>45164.508752187496</v>
      </c>
      <c r="N173" s="160">
        <v>1.07949859449283</v>
      </c>
      <c r="O173" s="160">
        <v>276224.72622553684</v>
      </c>
      <c r="P173" s="160">
        <v>255882.43248738343</v>
      </c>
      <c r="Q173" s="160">
        <v>10.62214936028186</v>
      </c>
      <c r="R173" s="160">
        <v>260550.34360835794</v>
      </c>
      <c r="S173" s="161">
        <v>0.0</v>
      </c>
      <c r="T173" s="160"/>
      <c r="U173" s="160">
        <v>276224.72622553684</v>
      </c>
      <c r="V173" s="160">
        <v>-6.204814440025075E-12</v>
      </c>
      <c r="W173" s="20"/>
      <c r="X173" s="21"/>
      <c r="Y173" s="21"/>
      <c r="Z173" s="21"/>
      <c r="AA173" s="21"/>
      <c r="AB173" s="21"/>
    </row>
    <row r="174" ht="20.25" customHeight="1">
      <c r="A174" s="139"/>
      <c r="B174" s="21"/>
      <c r="C174" s="21"/>
      <c r="D174" s="21"/>
      <c r="E174" s="21"/>
      <c r="F174" s="21"/>
      <c r="G174" s="21"/>
      <c r="H174" s="21"/>
      <c r="I174" s="21"/>
      <c r="J174" s="21"/>
      <c r="K174" s="204"/>
      <c r="L174" s="54"/>
      <c r="M174" s="159">
        <v>45165.50875179398</v>
      </c>
      <c r="N174" s="160">
        <v>1.07949859449283</v>
      </c>
      <c r="O174" s="160">
        <v>277103.475087536</v>
      </c>
      <c r="P174" s="160">
        <v>256696.46676818948</v>
      </c>
      <c r="Q174" s="160">
        <v>10.631376412924919</v>
      </c>
      <c r="R174" s="160">
        <v>261152.3748080843</v>
      </c>
      <c r="S174" s="161">
        <v>0.0</v>
      </c>
      <c r="T174" s="160"/>
      <c r="U174" s="160">
        <v>277103.475087536</v>
      </c>
      <c r="V174" s="160">
        <v>-6.204814440025075E-12</v>
      </c>
      <c r="W174" s="20"/>
      <c r="X174" s="21"/>
      <c r="Y174" s="21"/>
      <c r="Z174" s="21"/>
      <c r="AA174" s="21"/>
      <c r="AB174" s="21"/>
    </row>
    <row r="175" ht="20.25" customHeight="1">
      <c r="A175" s="139"/>
      <c r="B175" s="21"/>
      <c r="C175" s="21"/>
      <c r="D175" s="21"/>
      <c r="E175" s="21"/>
      <c r="F175" s="21"/>
      <c r="G175" s="21"/>
      <c r="H175" s="21"/>
      <c r="I175" s="21"/>
      <c r="J175" s="21"/>
      <c r="K175" s="204"/>
      <c r="L175" s="54"/>
      <c r="M175" s="159">
        <v>45166.50875180555</v>
      </c>
      <c r="N175" s="160">
        <v>1.08023791159765</v>
      </c>
      <c r="O175" s="160">
        <v>275017.66103870055</v>
      </c>
      <c r="P175" s="160">
        <v>254589.89921206803</v>
      </c>
      <c r="Q175" s="160">
        <v>10.616580781002941</v>
      </c>
      <c r="R175" s="160">
        <v>259547.83931989537</v>
      </c>
      <c r="S175" s="161">
        <v>0.0</v>
      </c>
      <c r="T175" s="160"/>
      <c r="U175" s="160">
        <v>275017.66103870055</v>
      </c>
      <c r="V175" s="160">
        <v>-6.204814440025075E-12</v>
      </c>
      <c r="W175" s="20"/>
      <c r="X175" s="21"/>
      <c r="Y175" s="21"/>
      <c r="Z175" s="21"/>
      <c r="AA175" s="21"/>
      <c r="AB175" s="21"/>
    </row>
    <row r="176" ht="20.25" customHeight="1">
      <c r="A176" s="139"/>
      <c r="B176" s="21"/>
      <c r="C176" s="21"/>
      <c r="D176" s="21"/>
      <c r="E176" s="21"/>
      <c r="F176" s="21"/>
      <c r="G176" s="21"/>
      <c r="H176" s="21"/>
      <c r="I176" s="21"/>
      <c r="J176" s="21"/>
      <c r="K176" s="204"/>
      <c r="L176" s="54"/>
      <c r="M176" s="159">
        <v>45167.50875728009</v>
      </c>
      <c r="N176" s="160">
        <v>1.08075393394432</v>
      </c>
      <c r="O176" s="160">
        <v>275838.14668202255</v>
      </c>
      <c r="P176" s="160">
        <v>255227.52036194172</v>
      </c>
      <c r="Q176" s="160">
        <v>10.621044895272446</v>
      </c>
      <c r="R176" s="160">
        <v>260212.75681931502</v>
      </c>
      <c r="S176" s="161">
        <v>0.0</v>
      </c>
      <c r="T176" s="160"/>
      <c r="U176" s="160">
        <v>275838.14668202255</v>
      </c>
      <c r="V176" s="160">
        <v>-6.204814440025075E-12</v>
      </c>
      <c r="W176" s="20"/>
      <c r="X176" s="21"/>
      <c r="Y176" s="21"/>
      <c r="Z176" s="21"/>
      <c r="AA176" s="21"/>
      <c r="AB176" s="21"/>
    </row>
    <row r="177" ht="20.25" customHeight="1">
      <c r="A177" s="139"/>
      <c r="B177" s="21"/>
      <c r="C177" s="21"/>
      <c r="D177" s="21"/>
      <c r="E177" s="21"/>
      <c r="F177" s="21"/>
      <c r="G177" s="21"/>
      <c r="H177" s="21"/>
      <c r="I177" s="21"/>
      <c r="J177" s="21"/>
      <c r="K177" s="204"/>
      <c r="L177" s="54"/>
      <c r="M177" s="159">
        <v>45168.508750243054</v>
      </c>
      <c r="N177" s="160">
        <v>1.08829796727706</v>
      </c>
      <c r="O177" s="160">
        <v>290551.37107873854</v>
      </c>
      <c r="P177" s="160">
        <v>266977.77613763534</v>
      </c>
      <c r="Q177" s="160">
        <v>10.60195544137907</v>
      </c>
      <c r="R177" s="160">
        <v>274586.04187459283</v>
      </c>
      <c r="S177" s="161">
        <v>0.0</v>
      </c>
      <c r="T177" s="160"/>
      <c r="U177" s="160">
        <v>290551.37107873854</v>
      </c>
      <c r="V177" s="160">
        <v>-6.204814440025075E-12</v>
      </c>
      <c r="W177" s="20"/>
      <c r="X177" s="21"/>
      <c r="Y177" s="21"/>
      <c r="Z177" s="21"/>
      <c r="AA177" s="21"/>
      <c r="AB177" s="21"/>
    </row>
    <row r="178" ht="20.25" customHeight="1">
      <c r="A178" s="139"/>
      <c r="B178" s="21"/>
      <c r="C178" s="21"/>
      <c r="D178" s="21"/>
      <c r="E178" s="21"/>
      <c r="F178" s="21"/>
      <c r="G178" s="21"/>
      <c r="H178" s="21"/>
      <c r="I178" s="21"/>
      <c r="J178" s="21"/>
      <c r="K178" s="204"/>
      <c r="L178" s="54"/>
      <c r="M178" s="159">
        <v>45169.508756469906</v>
      </c>
      <c r="N178" s="160">
        <v>1.0872259646956</v>
      </c>
      <c r="O178" s="160">
        <v>288259.9785468175</v>
      </c>
      <c r="P178" s="160">
        <v>265133.45698796306</v>
      </c>
      <c r="Q178" s="160">
        <v>10.59836444922864</v>
      </c>
      <c r="R178" s="160">
        <v>272512.86059573974</v>
      </c>
      <c r="S178" s="161">
        <v>0.0</v>
      </c>
      <c r="T178" s="160"/>
      <c r="U178" s="160">
        <v>288259.9785468175</v>
      </c>
      <c r="V178" s="160">
        <v>-6.204814440025075E-12</v>
      </c>
      <c r="W178" s="20"/>
      <c r="X178" s="21"/>
      <c r="Y178" s="21"/>
      <c r="Z178" s="21"/>
      <c r="AA178" s="21"/>
      <c r="AB178" s="21"/>
    </row>
    <row r="179" ht="20.25" customHeight="1">
      <c r="A179" s="139"/>
      <c r="B179" s="21"/>
      <c r="C179" s="21"/>
      <c r="D179" s="21"/>
      <c r="E179" s="21"/>
      <c r="F179" s="21"/>
      <c r="G179" s="21"/>
      <c r="H179" s="21"/>
      <c r="I179" s="21"/>
      <c r="J179" s="21"/>
      <c r="K179" s="204"/>
      <c r="L179" s="54"/>
      <c r="M179" s="159">
        <v>45170.50875087963</v>
      </c>
      <c r="N179" s="160">
        <v>1.08513538149019</v>
      </c>
      <c r="O179" s="160">
        <v>291391.35781240754</v>
      </c>
      <c r="P179" s="160">
        <v>268529.95744387846</v>
      </c>
      <c r="Q179" s="160">
        <v>11.202686194662054</v>
      </c>
      <c r="R179" s="160">
        <v>276103.1935827959</v>
      </c>
      <c r="S179" s="161">
        <v>0.0</v>
      </c>
      <c r="T179" s="160"/>
      <c r="U179" s="160">
        <v>291391.35781240754</v>
      </c>
      <c r="V179" s="160">
        <v>-6.204814440025075E-12</v>
      </c>
      <c r="W179" s="20"/>
      <c r="X179" s="21"/>
      <c r="Y179" s="21"/>
      <c r="Z179" s="21"/>
      <c r="AA179" s="21"/>
      <c r="AB179" s="21"/>
    </row>
    <row r="180" ht="20.25" customHeight="1">
      <c r="A180" s="139"/>
      <c r="B180" s="21"/>
      <c r="C180" s="21"/>
      <c r="D180" s="21"/>
      <c r="E180" s="21"/>
      <c r="F180" s="21"/>
      <c r="G180" s="21"/>
      <c r="H180" s="21"/>
      <c r="I180" s="21"/>
      <c r="J180" s="21"/>
      <c r="K180" s="204"/>
      <c r="L180" s="54"/>
      <c r="M180" s="159">
        <v>45171.50876277778</v>
      </c>
      <c r="N180" s="160">
        <v>1.07874981526409</v>
      </c>
      <c r="O180" s="160">
        <v>288712.1133414176</v>
      </c>
      <c r="P180" s="160">
        <v>267635.8403553818</v>
      </c>
      <c r="Q180" s="160">
        <v>11.185974167690667</v>
      </c>
      <c r="R180" s="160">
        <v>273973.2284155125</v>
      </c>
      <c r="S180" s="161">
        <v>0.0</v>
      </c>
      <c r="T180" s="160"/>
      <c r="U180" s="160">
        <v>288712.1133414176</v>
      </c>
      <c r="V180" s="160">
        <v>-6.204814440025075E-12</v>
      </c>
      <c r="W180" s="20"/>
      <c r="X180" s="21"/>
      <c r="Y180" s="21"/>
      <c r="Z180" s="21"/>
      <c r="AA180" s="21"/>
      <c r="AB180" s="21"/>
    </row>
    <row r="181" ht="20.25" customHeight="1">
      <c r="A181" s="139"/>
      <c r="B181" s="21"/>
      <c r="C181" s="21"/>
      <c r="D181" s="21"/>
      <c r="E181" s="21"/>
      <c r="F181" s="21"/>
      <c r="G181" s="21"/>
      <c r="H181" s="21"/>
      <c r="I181" s="21"/>
      <c r="J181" s="21"/>
      <c r="K181" s="204"/>
      <c r="L181" s="54"/>
      <c r="M181" s="159">
        <v>45172.50874755787</v>
      </c>
      <c r="N181" s="160">
        <v>1.07968624317773</v>
      </c>
      <c r="O181" s="160">
        <v>289745.60835855483</v>
      </c>
      <c r="P181" s="160">
        <v>268360.9337336523</v>
      </c>
      <c r="Q181" s="160">
        <v>11.18502402415494</v>
      </c>
      <c r="R181" s="160">
        <v>274977.31978406815</v>
      </c>
      <c r="S181" s="161">
        <v>0.0</v>
      </c>
      <c r="T181" s="160"/>
      <c r="U181" s="160">
        <v>289745.60835855483</v>
      </c>
      <c r="V181" s="160">
        <v>-6.204814440025075E-12</v>
      </c>
      <c r="W181" s="20"/>
      <c r="X181" s="21"/>
      <c r="Y181" s="21"/>
      <c r="Z181" s="21"/>
      <c r="AA181" s="21"/>
      <c r="AB181" s="21"/>
    </row>
    <row r="182" ht="20.25" customHeight="1">
      <c r="A182" s="139"/>
      <c r="B182" s="21"/>
      <c r="C182" s="21"/>
      <c r="D182" s="21"/>
      <c r="E182" s="21"/>
      <c r="F182" s="21"/>
      <c r="G182" s="21"/>
      <c r="H182" s="21"/>
      <c r="I182" s="21"/>
      <c r="J182" s="21"/>
      <c r="K182" s="204"/>
      <c r="L182" s="54"/>
      <c r="M182" s="159">
        <v>45173.508755312505</v>
      </c>
      <c r="N182" s="160">
        <v>1.07955336718093</v>
      </c>
      <c r="O182" s="160">
        <v>290452.1601066674</v>
      </c>
      <c r="P182" s="160">
        <v>269048.4499762469</v>
      </c>
      <c r="Q182" s="160">
        <v>11.201102308330864</v>
      </c>
      <c r="R182" s="160">
        <v>275252.18830184883</v>
      </c>
      <c r="S182" s="161">
        <v>0.0</v>
      </c>
      <c r="T182" s="160"/>
      <c r="U182" s="160">
        <v>290452.1601066674</v>
      </c>
      <c r="V182" s="160">
        <v>-6.204814440025075E-12</v>
      </c>
      <c r="W182" s="20"/>
      <c r="X182" s="21"/>
      <c r="Y182" s="21"/>
      <c r="Z182" s="21"/>
      <c r="AA182" s="21"/>
      <c r="AB182" s="21"/>
    </row>
    <row r="183" ht="20.25" customHeight="1">
      <c r="A183" s="139"/>
      <c r="B183" s="21"/>
      <c r="C183" s="21"/>
      <c r="D183" s="21"/>
      <c r="E183" s="21"/>
      <c r="F183" s="21"/>
      <c r="G183" s="21"/>
      <c r="H183" s="21"/>
      <c r="I183" s="21"/>
      <c r="J183" s="21"/>
      <c r="K183" s="204"/>
      <c r="L183" s="54"/>
      <c r="M183" s="159">
        <v>45174.50875302083</v>
      </c>
      <c r="N183" s="160">
        <v>1.07559612226086</v>
      </c>
      <c r="O183" s="160">
        <v>288097.74170386844</v>
      </c>
      <c r="P183" s="160">
        <v>267849.3681236954</v>
      </c>
      <c r="Q183" s="160">
        <v>11.1948131842778</v>
      </c>
      <c r="R183" s="160">
        <v>273174.3617731499</v>
      </c>
      <c r="S183" s="161">
        <v>0.0</v>
      </c>
      <c r="T183" s="160"/>
      <c r="U183" s="160">
        <v>288097.74170386844</v>
      </c>
      <c r="V183" s="160">
        <v>-6.204814440025075E-12</v>
      </c>
      <c r="W183" s="20"/>
      <c r="X183" s="21"/>
      <c r="Y183" s="21"/>
      <c r="Z183" s="21"/>
      <c r="AA183" s="21"/>
      <c r="AB183" s="21"/>
    </row>
    <row r="184" ht="20.25" customHeight="1">
      <c r="A184" s="139"/>
      <c r="B184" s="21"/>
      <c r="C184" s="21"/>
      <c r="D184" s="21"/>
      <c r="E184" s="21"/>
      <c r="F184" s="21"/>
      <c r="G184" s="21"/>
      <c r="H184" s="21"/>
      <c r="I184" s="21"/>
      <c r="J184" s="21"/>
      <c r="K184" s="204"/>
      <c r="L184" s="54"/>
      <c r="M184" s="159">
        <v>45175.508752951384</v>
      </c>
      <c r="N184" s="160">
        <v>1.07277720562993</v>
      </c>
      <c r="O184" s="160">
        <v>288213.4676422229</v>
      </c>
      <c r="P184" s="160">
        <v>268661.06599737564</v>
      </c>
      <c r="Q184" s="160">
        <v>11.194728060707536</v>
      </c>
      <c r="R184" s="160">
        <v>273286.171165642</v>
      </c>
      <c r="S184" s="161">
        <v>0.0</v>
      </c>
      <c r="T184" s="160"/>
      <c r="U184" s="160">
        <v>288213.4676422229</v>
      </c>
      <c r="V184" s="160">
        <v>-6.204814440025075E-12</v>
      </c>
      <c r="W184" s="20"/>
      <c r="X184" s="21"/>
      <c r="Y184" s="21"/>
      <c r="Z184" s="21"/>
      <c r="AA184" s="21"/>
      <c r="AB184" s="21"/>
    </row>
    <row r="185" ht="20.25" customHeight="1">
      <c r="A185" s="139"/>
      <c r="B185" s="21"/>
      <c r="C185" s="21"/>
      <c r="D185" s="21"/>
      <c r="E185" s="21"/>
      <c r="F185" s="21"/>
      <c r="G185" s="21"/>
      <c r="H185" s="21"/>
      <c r="I185" s="21"/>
      <c r="J185" s="21"/>
      <c r="K185" s="204"/>
      <c r="L185" s="54"/>
      <c r="M185" s="159">
        <v>45176.50876375</v>
      </c>
      <c r="N185" s="160">
        <v>1.07137500267844</v>
      </c>
      <c r="O185" s="160">
        <v>288174.71586381504</v>
      </c>
      <c r="P185" s="160">
        <v>268976.516292967</v>
      </c>
      <c r="Q185" s="160">
        <v>11.20009143</v>
      </c>
      <c r="R185" s="160">
        <v>288174.71586381504</v>
      </c>
      <c r="S185" s="161">
        <v>0.0</v>
      </c>
      <c r="T185" s="160"/>
      <c r="U185" s="160">
        <v>288174.71586381504</v>
      </c>
      <c r="V185" s="160">
        <v>-6.204814440025075E-12</v>
      </c>
      <c r="W185" s="20"/>
      <c r="X185" s="21"/>
      <c r="Y185" s="21"/>
      <c r="Z185" s="21"/>
      <c r="AA185" s="21"/>
      <c r="AB185" s="21"/>
    </row>
    <row r="186" ht="20.25" customHeight="1">
      <c r="A186" s="139"/>
      <c r="B186" s="21"/>
      <c r="C186" s="21"/>
      <c r="D186" s="21"/>
      <c r="E186" s="21"/>
      <c r="F186" s="21"/>
      <c r="G186" s="21"/>
      <c r="H186" s="21"/>
      <c r="I186" s="21"/>
      <c r="J186" s="21"/>
      <c r="K186" s="204"/>
      <c r="L186" s="54"/>
      <c r="M186" s="159">
        <v>45177.50875576389</v>
      </c>
      <c r="N186" s="160">
        <v>1.07048501535076</v>
      </c>
      <c r="O186" s="160">
        <v>304195.7408360771</v>
      </c>
      <c r="P186" s="160">
        <v>284166.27647646517</v>
      </c>
      <c r="Q186" s="160">
        <v>11.81317143</v>
      </c>
      <c r="R186" s="160">
        <v>304195.7408360771</v>
      </c>
      <c r="S186" s="161">
        <v>0.0</v>
      </c>
      <c r="T186" s="160"/>
      <c r="U186" s="160">
        <v>304195.7408360771</v>
      </c>
      <c r="V186" s="160">
        <v>-6.204814440025075E-12</v>
      </c>
      <c r="W186" s="20"/>
      <c r="X186" s="21"/>
      <c r="Y186" s="21"/>
      <c r="Z186" s="21"/>
      <c r="AA186" s="21"/>
      <c r="AB186" s="21"/>
    </row>
    <row r="187" ht="20.25" customHeight="1">
      <c r="A187" s="139"/>
      <c r="B187" s="21"/>
      <c r="C187" s="21"/>
      <c r="D187" s="21"/>
      <c r="E187" s="21"/>
      <c r="F187" s="21"/>
      <c r="G187" s="21"/>
      <c r="H187" s="21"/>
      <c r="I187" s="21"/>
      <c r="J187" s="21"/>
      <c r="K187" s="204"/>
      <c r="L187" s="54"/>
      <c r="M187" s="159">
        <v>45178.508750775465</v>
      </c>
      <c r="N187" s="160">
        <v>1.07072113068151</v>
      </c>
      <c r="O187" s="160">
        <v>305699.55843005754</v>
      </c>
      <c r="P187" s="160">
        <v>285508.10259575327</v>
      </c>
      <c r="Q187" s="160">
        <v>11.813171429999999</v>
      </c>
      <c r="R187" s="160">
        <v>305699.55843005754</v>
      </c>
      <c r="S187" s="161">
        <v>0.0</v>
      </c>
      <c r="T187" s="160"/>
      <c r="U187" s="160">
        <v>305699.55843005754</v>
      </c>
      <c r="V187" s="160">
        <v>-6.204814440025075E-12</v>
      </c>
      <c r="W187" s="20"/>
      <c r="X187" s="21"/>
      <c r="Y187" s="21"/>
      <c r="Z187" s="21"/>
      <c r="AA187" s="21"/>
      <c r="AB187" s="21"/>
    </row>
    <row r="188" ht="20.25" customHeight="1">
      <c r="A188" s="139"/>
      <c r="B188" s="21"/>
      <c r="C188" s="21"/>
      <c r="D188" s="21"/>
      <c r="E188" s="21"/>
      <c r="F188" s="21"/>
      <c r="G188" s="21"/>
      <c r="H188" s="21"/>
      <c r="I188" s="21"/>
      <c r="J188" s="21"/>
      <c r="K188" s="204"/>
      <c r="L188" s="54"/>
      <c r="M188" s="159">
        <v>45179.508752905094</v>
      </c>
      <c r="N188" s="160">
        <v>1.0712935119251</v>
      </c>
      <c r="O188" s="160">
        <v>304985.56777788745</v>
      </c>
      <c r="P188" s="160">
        <v>284689.0832278378</v>
      </c>
      <c r="Q188" s="160">
        <v>11.813171429999999</v>
      </c>
      <c r="R188" s="160">
        <v>304985.56777788745</v>
      </c>
      <c r="S188" s="161">
        <v>0.0</v>
      </c>
      <c r="T188" s="160"/>
      <c r="U188" s="160">
        <v>304985.56777788745</v>
      </c>
      <c r="V188" s="160">
        <v>-6.204814440025075E-12</v>
      </c>
      <c r="W188" s="20"/>
      <c r="X188" s="21"/>
      <c r="Y188" s="21"/>
      <c r="Z188" s="21"/>
      <c r="AA188" s="21"/>
      <c r="AB188" s="21"/>
    </row>
    <row r="189" ht="20.25" customHeight="1">
      <c r="A189" s="139"/>
      <c r="B189" s="21"/>
      <c r="C189" s="21"/>
      <c r="D189" s="21"/>
      <c r="E189" s="21"/>
      <c r="F189" s="21"/>
      <c r="G189" s="21"/>
      <c r="H189" s="21"/>
      <c r="I189" s="21"/>
      <c r="J189" s="21"/>
      <c r="K189" s="204"/>
      <c r="L189" s="54"/>
      <c r="M189" s="159">
        <v>45180.508771759254</v>
      </c>
      <c r="N189" s="160">
        <v>1.07258274707748</v>
      </c>
      <c r="O189" s="160">
        <v>303785.80047344393</v>
      </c>
      <c r="P189" s="160">
        <v>283228.31156960555</v>
      </c>
      <c r="Q189" s="160">
        <v>11.81317143</v>
      </c>
      <c r="R189" s="160">
        <v>303785.80047344393</v>
      </c>
      <c r="S189" s="161">
        <v>0.0</v>
      </c>
      <c r="T189" s="160"/>
      <c r="U189" s="160">
        <v>303785.80047344393</v>
      </c>
      <c r="V189" s="160">
        <v>-6.204814440025075E-12</v>
      </c>
      <c r="W189" s="20"/>
      <c r="X189" s="21"/>
      <c r="Y189" s="21"/>
      <c r="Z189" s="21"/>
      <c r="AA189" s="21"/>
      <c r="AB189" s="21"/>
    </row>
    <row r="190" ht="20.25" customHeight="1">
      <c r="A190" s="139"/>
      <c r="B190" s="21"/>
      <c r="C190" s="21"/>
      <c r="D190" s="21"/>
      <c r="E190" s="21"/>
      <c r="F190" s="21"/>
      <c r="G190" s="21"/>
      <c r="H190" s="21"/>
      <c r="I190" s="21"/>
      <c r="J190" s="21"/>
      <c r="K190" s="204"/>
      <c r="L190" s="54"/>
      <c r="M190" s="159">
        <v>45181.50875508101</v>
      </c>
      <c r="N190" s="160">
        <v>1.07185501660303</v>
      </c>
      <c r="O190" s="160">
        <v>305313.5395017505</v>
      </c>
      <c r="P190" s="160">
        <v>284845.93044063327</v>
      </c>
      <c r="Q190" s="160">
        <v>11.813171429999999</v>
      </c>
      <c r="R190" s="160">
        <v>305313.5395017505</v>
      </c>
      <c r="S190" s="161">
        <v>0.0</v>
      </c>
      <c r="T190" s="160"/>
      <c r="U190" s="160">
        <v>305313.5395017505</v>
      </c>
      <c r="V190" s="160">
        <v>-6.204814440025075E-12</v>
      </c>
      <c r="W190" s="20"/>
      <c r="X190" s="21"/>
      <c r="Y190" s="21"/>
      <c r="Z190" s="21"/>
      <c r="AA190" s="21"/>
      <c r="AB190" s="21"/>
    </row>
    <row r="191" ht="20.25" customHeight="1">
      <c r="A191" s="139"/>
      <c r="B191" s="21"/>
      <c r="C191" s="21"/>
      <c r="D191" s="21"/>
      <c r="E191" s="21"/>
      <c r="F191" s="21"/>
      <c r="G191" s="21"/>
      <c r="H191" s="21"/>
      <c r="I191" s="21"/>
      <c r="J191" s="21"/>
      <c r="K191" s="204"/>
      <c r="L191" s="54"/>
      <c r="M191" s="159">
        <v>45182.50875637731</v>
      </c>
      <c r="N191" s="160">
        <v>1.07337483000426</v>
      </c>
      <c r="O191" s="160">
        <v>309036.3073177404</v>
      </c>
      <c r="P191" s="160">
        <v>287910.89438580733</v>
      </c>
      <c r="Q191" s="160">
        <v>11.813171430000002</v>
      </c>
      <c r="R191" s="160">
        <v>309036.3073177404</v>
      </c>
      <c r="S191" s="161">
        <v>0.0</v>
      </c>
      <c r="T191" s="160"/>
      <c r="U191" s="160">
        <v>309036.3073177404</v>
      </c>
      <c r="V191" s="160">
        <v>-6.204814440025075E-12</v>
      </c>
      <c r="W191" s="20"/>
      <c r="X191" s="21"/>
      <c r="Y191" s="21"/>
      <c r="Z191" s="21"/>
      <c r="AA191" s="21"/>
      <c r="AB191" s="21"/>
    </row>
    <row r="192" ht="20.25" customHeight="1">
      <c r="A192" s="139"/>
      <c r="B192" s="21"/>
      <c r="C192" s="21"/>
      <c r="D192" s="21"/>
      <c r="E192" s="21"/>
      <c r="F192" s="21"/>
      <c r="G192" s="21"/>
      <c r="H192" s="21"/>
      <c r="I192" s="21"/>
      <c r="J192" s="21"/>
      <c r="K192" s="204"/>
      <c r="L192" s="54"/>
      <c r="M192" s="159">
        <v>45183.50874704861</v>
      </c>
      <c r="N192" s="160">
        <v>1.0734554854112</v>
      </c>
      <c r="O192" s="160">
        <v>310517.4226566551</v>
      </c>
      <c r="P192" s="160">
        <v>289269.02594168374</v>
      </c>
      <c r="Q192" s="160">
        <v>11.81317143</v>
      </c>
      <c r="R192" s="160">
        <v>310517.4226566551</v>
      </c>
      <c r="S192" s="161">
        <v>0.0</v>
      </c>
      <c r="T192" s="160"/>
      <c r="U192" s="160">
        <v>310517.4226566551</v>
      </c>
      <c r="V192" s="160">
        <v>-6.204814440025075E-12</v>
      </c>
      <c r="W192" s="20"/>
      <c r="X192" s="21"/>
      <c r="Y192" s="21"/>
      <c r="Z192" s="21"/>
      <c r="AA192" s="21"/>
      <c r="AB192" s="21"/>
    </row>
    <row r="193" ht="20.25" customHeight="1">
      <c r="A193" s="139"/>
      <c r="B193" s="21"/>
      <c r="C193" s="21"/>
      <c r="D193" s="21"/>
      <c r="E193" s="21"/>
      <c r="F193" s="21"/>
      <c r="G193" s="21"/>
      <c r="H193" s="21"/>
      <c r="I193" s="21"/>
      <c r="J193" s="21"/>
      <c r="K193" s="204"/>
      <c r="L193" s="54"/>
      <c r="M193" s="159">
        <v>45184.50875429398</v>
      </c>
      <c r="N193" s="160">
        <v>1.0663368131458</v>
      </c>
      <c r="O193" s="160">
        <v>314409.0097195115</v>
      </c>
      <c r="P193" s="160">
        <v>294849.62522486073</v>
      </c>
      <c r="Q193" s="160">
        <v>11.81317143</v>
      </c>
      <c r="R193" s="160">
        <v>314409.0097195115</v>
      </c>
      <c r="S193" s="161">
        <v>0.0</v>
      </c>
      <c r="T193" s="160"/>
      <c r="U193" s="160">
        <v>314409.0097195115</v>
      </c>
      <c r="V193" s="160">
        <v>-6.204814440025075E-12</v>
      </c>
      <c r="W193" s="20"/>
      <c r="X193" s="21"/>
      <c r="Y193" s="21"/>
      <c r="Z193" s="21"/>
      <c r="AA193" s="21"/>
      <c r="AB193" s="21"/>
    </row>
    <row r="194" ht="20.25" customHeight="1">
      <c r="A194" s="139"/>
      <c r="B194" s="21"/>
      <c r="C194" s="21"/>
      <c r="D194" s="21"/>
      <c r="E194" s="21"/>
      <c r="F194" s="21"/>
      <c r="G194" s="21"/>
      <c r="H194" s="21"/>
      <c r="I194" s="21"/>
      <c r="J194" s="21"/>
      <c r="K194" s="204"/>
      <c r="L194" s="54"/>
      <c r="M194" s="159">
        <v>45185.508764479164</v>
      </c>
      <c r="N194" s="160">
        <v>1.06705706727902</v>
      </c>
      <c r="O194" s="160">
        <v>312950.7679108812</v>
      </c>
      <c r="P194" s="160">
        <v>293284.0028030563</v>
      </c>
      <c r="Q194" s="160">
        <v>11.813171429999999</v>
      </c>
      <c r="R194" s="160">
        <v>312950.7679108812</v>
      </c>
      <c r="S194" s="161">
        <v>0.0</v>
      </c>
      <c r="T194" s="160"/>
      <c r="U194" s="160">
        <v>312950.7679108812</v>
      </c>
      <c r="V194" s="160">
        <v>-6.204814440025075E-12</v>
      </c>
      <c r="W194" s="20"/>
      <c r="X194" s="21"/>
      <c r="Y194" s="21"/>
      <c r="Z194" s="21"/>
      <c r="AA194" s="21"/>
      <c r="AB194" s="21"/>
    </row>
    <row r="195" ht="20.25" customHeight="1">
      <c r="A195" s="139"/>
      <c r="B195" s="21"/>
      <c r="C195" s="21"/>
      <c r="D195" s="21"/>
      <c r="E195" s="21"/>
      <c r="F195" s="21"/>
      <c r="G195" s="21"/>
      <c r="H195" s="21"/>
      <c r="I195" s="21"/>
      <c r="J195" s="21"/>
      <c r="K195" s="204"/>
      <c r="L195" s="54"/>
      <c r="M195" s="159">
        <v>45186.508754780094</v>
      </c>
      <c r="N195" s="160">
        <v>1.0673497705198</v>
      </c>
      <c r="O195" s="160">
        <v>314021.92873483297</v>
      </c>
      <c r="P195" s="160">
        <v>294207.1450316648</v>
      </c>
      <c r="Q195" s="160">
        <v>11.813171429999999</v>
      </c>
      <c r="R195" s="160">
        <v>314021.92873483297</v>
      </c>
      <c r="S195" s="161">
        <v>0.0</v>
      </c>
      <c r="T195" s="160"/>
      <c r="U195" s="160">
        <v>314021.92873483297</v>
      </c>
      <c r="V195" s="160">
        <v>-6.204814440025075E-12</v>
      </c>
      <c r="W195" s="20"/>
      <c r="X195" s="21"/>
      <c r="Y195" s="21"/>
      <c r="Z195" s="21"/>
      <c r="AA195" s="21"/>
      <c r="AB195" s="21"/>
    </row>
    <row r="196" ht="20.25" customHeight="1">
      <c r="A196" s="139"/>
      <c r="B196" s="21"/>
      <c r="C196" s="21"/>
      <c r="D196" s="21"/>
      <c r="E196" s="21"/>
      <c r="F196" s="21"/>
      <c r="G196" s="21"/>
      <c r="H196" s="21"/>
      <c r="I196" s="21"/>
      <c r="J196" s="21"/>
      <c r="K196" s="204"/>
      <c r="L196" s="54"/>
      <c r="M196" s="159">
        <v>45187.508751574074</v>
      </c>
      <c r="N196" s="160">
        <v>1.06694207998225</v>
      </c>
      <c r="O196" s="160">
        <v>317940.81793983583</v>
      </c>
      <c r="P196" s="160">
        <v>297992.5751406536</v>
      </c>
      <c r="Q196" s="160">
        <v>11.81317143</v>
      </c>
      <c r="R196" s="160">
        <v>317940.81793983583</v>
      </c>
      <c r="S196" s="161">
        <v>0.0</v>
      </c>
      <c r="T196" s="160"/>
      <c r="U196" s="160">
        <v>317940.81793983583</v>
      </c>
      <c r="V196" s="160">
        <v>-6.204814440025075E-12</v>
      </c>
      <c r="W196" s="20"/>
      <c r="X196" s="21"/>
      <c r="Y196" s="21"/>
      <c r="Z196" s="21"/>
      <c r="AA196" s="21"/>
      <c r="AB196" s="21"/>
    </row>
    <row r="197" ht="20.25" customHeight="1">
      <c r="A197" s="139"/>
      <c r="B197" s="21"/>
      <c r="C197" s="21"/>
      <c r="D197" s="21"/>
      <c r="E197" s="21"/>
      <c r="F197" s="21"/>
      <c r="G197" s="21"/>
      <c r="H197" s="21"/>
      <c r="I197" s="21"/>
      <c r="J197" s="21"/>
      <c r="K197" s="204"/>
      <c r="L197" s="54"/>
      <c r="M197" s="159">
        <v>45188.508752106485</v>
      </c>
      <c r="N197" s="160">
        <v>1.06885796801549</v>
      </c>
      <c r="O197" s="160">
        <v>322027.3075437671</v>
      </c>
      <c r="P197" s="160">
        <v>301281.6643371837</v>
      </c>
      <c r="Q197" s="160">
        <v>11.81317143</v>
      </c>
      <c r="R197" s="160">
        <v>322027.3075437671</v>
      </c>
      <c r="S197" s="161">
        <v>0.0</v>
      </c>
      <c r="T197" s="160"/>
      <c r="U197" s="160">
        <v>322027.3075437671</v>
      </c>
      <c r="V197" s="160">
        <v>-6.204814440025075E-12</v>
      </c>
      <c r="W197" s="20"/>
      <c r="X197" s="21"/>
      <c r="Y197" s="21"/>
      <c r="Z197" s="21"/>
      <c r="AA197" s="21"/>
      <c r="AB197" s="21"/>
    </row>
    <row r="198" ht="20.25" customHeight="1">
      <c r="A198" s="139"/>
      <c r="B198" s="21"/>
      <c r="C198" s="21"/>
      <c r="D198" s="21"/>
      <c r="E198" s="21"/>
      <c r="F198" s="21"/>
      <c r="G198" s="21"/>
      <c r="H198" s="21"/>
      <c r="I198" s="21"/>
      <c r="J198" s="21"/>
      <c r="K198" s="204"/>
      <c r="L198" s="54"/>
      <c r="M198" s="159">
        <v>45189.50876952546</v>
      </c>
      <c r="N198" s="160">
        <v>1.06974982830515</v>
      </c>
      <c r="O198" s="160">
        <v>318994.1350335945</v>
      </c>
      <c r="P198" s="160">
        <v>298195.07944113476</v>
      </c>
      <c r="Q198" s="160">
        <v>11.81317143</v>
      </c>
      <c r="R198" s="160">
        <v>318994.1350335945</v>
      </c>
      <c r="S198" s="161">
        <v>0.0</v>
      </c>
      <c r="T198" s="160"/>
      <c r="U198" s="160">
        <v>318994.1350335945</v>
      </c>
      <c r="V198" s="160">
        <v>-6.204814440025075E-12</v>
      </c>
      <c r="W198" s="20"/>
      <c r="X198" s="21"/>
      <c r="Y198" s="21"/>
      <c r="Z198" s="21"/>
      <c r="AA198" s="21"/>
      <c r="AB198" s="21"/>
    </row>
    <row r="199" ht="20.25" customHeight="1">
      <c r="A199" s="139"/>
      <c r="B199" s="21"/>
      <c r="C199" s="21"/>
      <c r="D199" s="21"/>
      <c r="E199" s="21"/>
      <c r="F199" s="21"/>
      <c r="G199" s="21"/>
      <c r="H199" s="21"/>
      <c r="I199" s="21"/>
      <c r="J199" s="21"/>
      <c r="K199" s="204"/>
      <c r="L199" s="54"/>
      <c r="M199" s="159">
        <v>45190.50874922454</v>
      </c>
      <c r="N199" s="160">
        <v>1.06597420981997</v>
      </c>
      <c r="O199" s="160">
        <v>316129.37304436695</v>
      </c>
      <c r="P199" s="160">
        <v>296563.81001727737</v>
      </c>
      <c r="Q199" s="160">
        <v>11.81317143</v>
      </c>
      <c r="R199" s="160">
        <v>316129.37304436695</v>
      </c>
      <c r="S199" s="161">
        <v>0.0</v>
      </c>
      <c r="T199" s="160"/>
      <c r="U199" s="160">
        <v>316129.37304436695</v>
      </c>
      <c r="V199" s="160">
        <v>-6.204814440025075E-12</v>
      </c>
      <c r="W199" s="20"/>
      <c r="X199" s="21"/>
      <c r="Y199" s="21"/>
      <c r="Z199" s="21"/>
      <c r="AA199" s="21"/>
      <c r="AB199" s="21"/>
    </row>
    <row r="200" ht="20.25" customHeight="1">
      <c r="A200" s="139"/>
      <c r="B200" s="21"/>
      <c r="C200" s="21"/>
      <c r="D200" s="21"/>
      <c r="E200" s="21"/>
      <c r="F200" s="21"/>
      <c r="G200" s="21"/>
      <c r="H200" s="21"/>
      <c r="I200" s="21"/>
      <c r="J200" s="21"/>
      <c r="K200" s="204"/>
      <c r="L200" s="54"/>
      <c r="M200" s="159">
        <v>45191.50875739583</v>
      </c>
      <c r="N200" s="160">
        <v>1.06415356161556</v>
      </c>
      <c r="O200" s="160">
        <v>314867.26011526666</v>
      </c>
      <c r="P200" s="160">
        <v>295885.1724719564</v>
      </c>
      <c r="Q200" s="160">
        <v>11.81317143</v>
      </c>
      <c r="R200" s="160">
        <v>314867.26011526666</v>
      </c>
      <c r="S200" s="161">
        <v>0.0</v>
      </c>
      <c r="T200" s="160"/>
      <c r="U200" s="160">
        <v>314867.26011526666</v>
      </c>
      <c r="V200" s="160">
        <v>-6.204814440025075E-12</v>
      </c>
      <c r="W200" s="20"/>
      <c r="X200" s="21"/>
      <c r="Y200" s="21"/>
      <c r="Z200" s="21"/>
      <c r="AA200" s="21"/>
      <c r="AB200" s="21"/>
    </row>
    <row r="201" ht="20.25" customHeight="1">
      <c r="A201" s="139"/>
      <c r="B201" s="21"/>
      <c r="C201" s="21"/>
      <c r="D201" s="21"/>
      <c r="E201" s="21"/>
      <c r="F201" s="21"/>
      <c r="G201" s="21"/>
      <c r="H201" s="21"/>
      <c r="I201" s="21"/>
      <c r="J201" s="21"/>
      <c r="K201" s="204"/>
      <c r="L201" s="54"/>
      <c r="M201" s="159">
        <v>45192.50875543982</v>
      </c>
      <c r="N201" s="160">
        <v>1.06638229805385</v>
      </c>
      <c r="O201" s="160">
        <v>313958.6170676282</v>
      </c>
      <c r="P201" s="160">
        <v>294414.69315516896</v>
      </c>
      <c r="Q201" s="160">
        <v>11.813171429999999</v>
      </c>
      <c r="R201" s="160">
        <v>313958.6170676282</v>
      </c>
      <c r="S201" s="161">
        <v>0.0</v>
      </c>
      <c r="T201" s="160"/>
      <c r="U201" s="160">
        <v>313958.6170676282</v>
      </c>
      <c r="V201" s="160">
        <v>-6.204814440025075E-12</v>
      </c>
      <c r="W201" s="20"/>
      <c r="X201" s="21"/>
      <c r="Y201" s="21"/>
      <c r="Z201" s="21"/>
      <c r="AA201" s="21"/>
      <c r="AB201" s="21"/>
    </row>
    <row r="202" ht="20.25" customHeight="1">
      <c r="A202" s="139"/>
      <c r="B202" s="21"/>
      <c r="C202" s="21"/>
      <c r="D202" s="21"/>
      <c r="E202" s="21"/>
      <c r="F202" s="21"/>
      <c r="G202" s="21"/>
      <c r="H202" s="21"/>
      <c r="I202" s="21"/>
      <c r="J202" s="21"/>
      <c r="K202" s="204"/>
      <c r="L202" s="54"/>
      <c r="M202" s="159">
        <v>45193.50874775463</v>
      </c>
      <c r="N202" s="160">
        <v>1.06725977850091</v>
      </c>
      <c r="O202" s="160">
        <v>314125.046003141</v>
      </c>
      <c r="P202" s="160">
        <v>294328.5714789758</v>
      </c>
      <c r="Q202" s="160">
        <v>11.81317143</v>
      </c>
      <c r="R202" s="160">
        <v>314125.046003141</v>
      </c>
      <c r="S202" s="161">
        <v>0.0</v>
      </c>
      <c r="T202" s="160"/>
      <c r="U202" s="160">
        <v>314125.046003141</v>
      </c>
      <c r="V202" s="160">
        <v>-6.204814440025075E-12</v>
      </c>
      <c r="W202" s="20"/>
      <c r="X202" s="21"/>
      <c r="Y202" s="21"/>
      <c r="Z202" s="21"/>
      <c r="AA202" s="21"/>
      <c r="AB202" s="21"/>
    </row>
    <row r="203" ht="20.25" customHeight="1">
      <c r="A203" s="139"/>
      <c r="B203" s="21"/>
      <c r="C203" s="21"/>
      <c r="D203" s="21"/>
      <c r="E203" s="21"/>
      <c r="F203" s="21"/>
      <c r="G203" s="21"/>
      <c r="H203" s="21"/>
      <c r="I203" s="21"/>
      <c r="J203" s="21"/>
      <c r="K203" s="204"/>
      <c r="L203" s="54"/>
      <c r="M203" s="159">
        <v>45194.50875141204</v>
      </c>
      <c r="N203" s="160">
        <v>1.06262133807404</v>
      </c>
      <c r="O203" s="160">
        <v>307741.20568544994</v>
      </c>
      <c r="P203" s="160">
        <v>289605.7086932011</v>
      </c>
      <c r="Q203" s="160">
        <v>11.81317143</v>
      </c>
      <c r="R203" s="160">
        <v>307741.20568544994</v>
      </c>
      <c r="S203" s="161">
        <v>0.0</v>
      </c>
      <c r="T203" s="160"/>
      <c r="U203" s="160">
        <v>307741.20568544994</v>
      </c>
      <c r="V203" s="160">
        <v>-6.204814440025075E-12</v>
      </c>
      <c r="W203" s="20"/>
      <c r="X203" s="21"/>
      <c r="Y203" s="21"/>
      <c r="Z203" s="21"/>
      <c r="AA203" s="21"/>
      <c r="AB203" s="21"/>
    </row>
    <row r="204" ht="20.25" customHeight="1">
      <c r="A204" s="139"/>
      <c r="B204" s="21"/>
      <c r="C204" s="21"/>
      <c r="D204" s="21"/>
      <c r="E204" s="21"/>
      <c r="F204" s="21"/>
      <c r="G204" s="21"/>
      <c r="H204" s="21"/>
      <c r="I204" s="21"/>
      <c r="J204" s="21"/>
      <c r="K204" s="204"/>
      <c r="L204" s="54"/>
      <c r="M204" s="159">
        <v>45195.508752685186</v>
      </c>
      <c r="N204" s="160">
        <v>1.05986656279974</v>
      </c>
      <c r="O204" s="160">
        <v>310138.01928983344</v>
      </c>
      <c r="P204" s="160">
        <v>292619.8732702482</v>
      </c>
      <c r="Q204" s="160">
        <v>11.813171429999999</v>
      </c>
      <c r="R204" s="160">
        <v>310138.01928983344</v>
      </c>
      <c r="S204" s="161">
        <v>0.0</v>
      </c>
      <c r="T204" s="160"/>
      <c r="U204" s="160">
        <v>310138.01928983344</v>
      </c>
      <c r="V204" s="160">
        <v>-6.204814440025075E-12</v>
      </c>
      <c r="W204" s="20"/>
      <c r="X204" s="21"/>
      <c r="Y204" s="21"/>
      <c r="Z204" s="21"/>
      <c r="AA204" s="21"/>
      <c r="AB204" s="21"/>
    </row>
    <row r="205" ht="20.25" customHeight="1">
      <c r="A205" s="139"/>
      <c r="B205" s="21"/>
      <c r="C205" s="21"/>
      <c r="D205" s="21"/>
      <c r="E205" s="21"/>
      <c r="F205" s="21"/>
      <c r="G205" s="21"/>
      <c r="H205" s="21"/>
      <c r="I205" s="21"/>
      <c r="J205" s="21"/>
      <c r="K205" s="204"/>
      <c r="L205" s="54"/>
      <c r="M205" s="159">
        <v>45196.50876157408</v>
      </c>
      <c r="N205" s="160">
        <v>1.0557900582585</v>
      </c>
      <c r="O205" s="160">
        <v>311760.60316262086</v>
      </c>
      <c r="P205" s="160">
        <v>295286.5493703004</v>
      </c>
      <c r="Q205" s="160">
        <v>11.81317143</v>
      </c>
      <c r="R205" s="160">
        <v>311760.60316262086</v>
      </c>
      <c r="S205" s="161">
        <v>0.0</v>
      </c>
      <c r="T205" s="160"/>
      <c r="U205" s="160">
        <v>311760.60316262086</v>
      </c>
      <c r="V205" s="160">
        <v>-6.204814440025075E-12</v>
      </c>
      <c r="W205" s="20"/>
      <c r="X205" s="21"/>
      <c r="Y205" s="21"/>
      <c r="Z205" s="21"/>
      <c r="AA205" s="21"/>
      <c r="AB205" s="21"/>
    </row>
    <row r="206" ht="20.25" customHeight="1">
      <c r="A206" s="139"/>
      <c r="B206" s="21"/>
      <c r="C206" s="21"/>
      <c r="D206" s="21"/>
      <c r="E206" s="21"/>
      <c r="F206" s="21"/>
      <c r="G206" s="21"/>
      <c r="H206" s="21"/>
      <c r="I206" s="21"/>
      <c r="J206" s="21"/>
      <c r="K206" s="204"/>
      <c r="L206" s="54"/>
      <c r="M206" s="159">
        <v>45197.50875626157</v>
      </c>
      <c r="N206" s="160">
        <v>1.0520202997837</v>
      </c>
      <c r="O206" s="160">
        <v>312089.57096627</v>
      </c>
      <c r="P206" s="160">
        <v>296657.36586113117</v>
      </c>
      <c r="Q206" s="160">
        <v>11.813171429999999</v>
      </c>
      <c r="R206" s="160">
        <v>312089.57096627</v>
      </c>
      <c r="S206" s="161">
        <v>0.0</v>
      </c>
      <c r="T206" s="160"/>
      <c r="U206" s="160">
        <v>312089.57096627</v>
      </c>
      <c r="V206" s="160">
        <v>-6.204814440025075E-12</v>
      </c>
      <c r="W206" s="20"/>
      <c r="X206" s="21"/>
      <c r="Y206" s="21"/>
      <c r="Z206" s="21"/>
      <c r="AA206" s="21"/>
      <c r="AB206" s="21"/>
    </row>
    <row r="207" ht="20.25" customHeight="1">
      <c r="A207" s="139"/>
      <c r="B207" s="21"/>
      <c r="C207" s="21"/>
      <c r="D207" s="21"/>
      <c r="E207" s="21"/>
      <c r="F207" s="21"/>
      <c r="G207" s="21"/>
      <c r="H207" s="21"/>
      <c r="I207" s="21"/>
      <c r="J207" s="21"/>
      <c r="K207" s="204"/>
      <c r="L207" s="54"/>
      <c r="M207" s="159">
        <v>45198.50875916667</v>
      </c>
      <c r="N207" s="160">
        <v>1.06074234992617</v>
      </c>
      <c r="O207" s="160">
        <v>319291.0068458215</v>
      </c>
      <c r="P207" s="160">
        <v>301007.1266298031</v>
      </c>
      <c r="Q207" s="160">
        <v>11.813171429999999</v>
      </c>
      <c r="R207" s="160">
        <v>319291.0068458215</v>
      </c>
      <c r="S207" s="161">
        <v>0.0</v>
      </c>
      <c r="T207" s="160"/>
      <c r="U207" s="160">
        <v>319291.0068458215</v>
      </c>
      <c r="V207" s="160">
        <v>-6.204814440025075E-12</v>
      </c>
      <c r="W207" s="20"/>
      <c r="X207" s="21"/>
      <c r="Y207" s="21"/>
      <c r="Z207" s="21"/>
      <c r="AA207" s="21"/>
      <c r="AB207" s="21"/>
    </row>
    <row r="208" ht="20.25" customHeight="1">
      <c r="A208" s="139"/>
      <c r="B208" s="21"/>
      <c r="C208" s="21"/>
      <c r="D208" s="21"/>
      <c r="E208" s="21"/>
      <c r="F208" s="21"/>
      <c r="G208" s="21"/>
      <c r="H208" s="21"/>
      <c r="I208" s="21"/>
      <c r="J208" s="21"/>
      <c r="K208" s="204"/>
      <c r="L208" s="54"/>
      <c r="M208" s="159">
        <v>45199.50875408565</v>
      </c>
      <c r="N208" s="160">
        <v>1.05803311643654</v>
      </c>
      <c r="O208" s="160">
        <v>318514.307438241</v>
      </c>
      <c r="P208" s="160">
        <v>301043.7976752548</v>
      </c>
      <c r="Q208" s="160">
        <v>11.813171429999999</v>
      </c>
      <c r="R208" s="160">
        <v>318514.307438241</v>
      </c>
      <c r="S208" s="161">
        <v>0.0</v>
      </c>
      <c r="T208" s="160"/>
      <c r="U208" s="160">
        <v>318514.307438241</v>
      </c>
      <c r="V208" s="160">
        <v>-6.204814440025075E-12</v>
      </c>
      <c r="W208" s="20"/>
      <c r="X208" s="21"/>
      <c r="Y208" s="21"/>
      <c r="Z208" s="21"/>
      <c r="AA208" s="21"/>
      <c r="AB208" s="21"/>
    </row>
    <row r="209" ht="20.25" customHeight="1">
      <c r="A209" s="139"/>
      <c r="B209" s="21"/>
      <c r="C209" s="21"/>
      <c r="D209" s="21"/>
      <c r="E209" s="21"/>
      <c r="F209" s="21"/>
      <c r="G209" s="21"/>
      <c r="H209" s="21"/>
      <c r="I209" s="21"/>
      <c r="J209" s="21"/>
      <c r="K209" s="204"/>
      <c r="L209" s="54"/>
      <c r="M209" s="159">
        <v>45200.50874975695</v>
      </c>
      <c r="N209" s="160">
        <v>1.05866821655694</v>
      </c>
      <c r="O209" s="160">
        <v>322100.62236880854</v>
      </c>
      <c r="P209" s="160">
        <v>304250.772178995</v>
      </c>
      <c r="Q209" s="160">
        <v>11.81317143</v>
      </c>
      <c r="R209" s="160">
        <v>322100.62236880854</v>
      </c>
      <c r="S209" s="161">
        <v>0.0</v>
      </c>
      <c r="T209" s="160"/>
      <c r="U209" s="160">
        <v>322100.62236880854</v>
      </c>
      <c r="V209" s="160">
        <v>-6.204814440025075E-12</v>
      </c>
      <c r="W209" s="20"/>
      <c r="X209" s="21"/>
      <c r="Y209" s="21"/>
      <c r="Z209" s="21"/>
      <c r="AA209" s="21"/>
      <c r="AB209" s="21"/>
    </row>
    <row r="210" ht="20.25" customHeight="1">
      <c r="A210" s="139"/>
      <c r="B210" s="21"/>
      <c r="C210" s="21"/>
      <c r="D210" s="21"/>
      <c r="E210" s="21"/>
      <c r="F210" s="21"/>
      <c r="G210" s="21"/>
      <c r="H210" s="21"/>
      <c r="I210" s="21"/>
      <c r="J210" s="21"/>
      <c r="K210" s="204"/>
      <c r="L210" s="54"/>
      <c r="M210" s="159">
        <v>45201.508748333334</v>
      </c>
      <c r="N210" s="160">
        <v>1.05564962566664</v>
      </c>
      <c r="O210" s="160">
        <v>334590.86996927595</v>
      </c>
      <c r="P210" s="160">
        <v>316952.57766797644</v>
      </c>
      <c r="Q210" s="160">
        <v>11.813171429999999</v>
      </c>
      <c r="R210" s="160">
        <v>334590.86996927595</v>
      </c>
      <c r="S210" s="161">
        <v>0.0</v>
      </c>
      <c r="T210" s="160"/>
      <c r="U210" s="160">
        <v>334590.86996927595</v>
      </c>
      <c r="V210" s="160">
        <v>-6.204814440025075E-12</v>
      </c>
      <c r="W210" s="20"/>
      <c r="X210" s="21"/>
      <c r="Y210" s="21"/>
      <c r="Z210" s="21"/>
      <c r="AA210" s="21"/>
      <c r="AB210" s="21"/>
    </row>
    <row r="211" ht="20.25" customHeight="1">
      <c r="A211" s="139"/>
      <c r="B211" s="21"/>
      <c r="C211" s="21"/>
      <c r="D211" s="21"/>
      <c r="E211" s="21"/>
      <c r="F211" s="21"/>
      <c r="G211" s="21"/>
      <c r="H211" s="21"/>
      <c r="I211" s="21"/>
      <c r="J211" s="21"/>
      <c r="K211" s="204"/>
      <c r="L211" s="54"/>
      <c r="M211" s="159">
        <v>45202.508754571754</v>
      </c>
      <c r="N211" s="160">
        <v>1.0486016372866</v>
      </c>
      <c r="O211" s="160">
        <v>325942.7368298283</v>
      </c>
      <c r="P211" s="160">
        <v>310835.6169205015</v>
      </c>
      <c r="Q211" s="160">
        <v>11.813171429999999</v>
      </c>
      <c r="R211" s="160">
        <v>325942.7368298283</v>
      </c>
      <c r="S211" s="161">
        <v>0.0</v>
      </c>
      <c r="T211" s="160"/>
      <c r="U211" s="160">
        <v>325942.7368298283</v>
      </c>
      <c r="V211" s="160">
        <v>-6.204814440025075E-12</v>
      </c>
      <c r="W211" s="20"/>
      <c r="X211" s="21"/>
      <c r="Y211" s="21"/>
      <c r="Z211" s="21"/>
      <c r="AA211" s="21"/>
      <c r="AB211" s="21"/>
    </row>
    <row r="212" ht="20.25" customHeight="1">
      <c r="A212" s="139"/>
      <c r="B212" s="21"/>
      <c r="C212" s="21"/>
      <c r="D212" s="21"/>
      <c r="E212" s="21"/>
      <c r="F212" s="21"/>
      <c r="G212" s="21"/>
      <c r="H212" s="21"/>
      <c r="I212" s="21"/>
      <c r="J212" s="21"/>
      <c r="K212" s="204"/>
      <c r="L212" s="54"/>
      <c r="M212" s="159">
        <v>45203.50875140046</v>
      </c>
      <c r="N212" s="160">
        <v>1.04961641768016</v>
      </c>
      <c r="O212" s="160">
        <v>326230.22566716024</v>
      </c>
      <c r="P212" s="160">
        <v>310808.9966696476</v>
      </c>
      <c r="Q212" s="160">
        <v>11.81317143</v>
      </c>
      <c r="R212" s="160">
        <v>326230.22566716024</v>
      </c>
      <c r="S212" s="161">
        <v>0.0</v>
      </c>
      <c r="T212" s="160"/>
      <c r="U212" s="160">
        <v>326230.22566716024</v>
      </c>
      <c r="V212" s="160">
        <v>-6.204814440025075E-12</v>
      </c>
      <c r="W212" s="20"/>
      <c r="X212" s="21"/>
      <c r="Y212" s="21"/>
      <c r="Z212" s="21"/>
      <c r="AA212" s="21"/>
      <c r="AB212" s="21"/>
    </row>
    <row r="213" ht="20.25" customHeight="1">
      <c r="A213" s="139"/>
      <c r="B213" s="21"/>
      <c r="C213" s="21"/>
      <c r="D213" s="21"/>
      <c r="E213" s="21"/>
      <c r="F213" s="21"/>
      <c r="G213" s="21"/>
      <c r="H213" s="21"/>
      <c r="I213" s="21"/>
      <c r="J213" s="21"/>
      <c r="K213" s="204"/>
      <c r="L213" s="54"/>
      <c r="M213" s="159">
        <v>45204.508784722224</v>
      </c>
      <c r="N213" s="160">
        <v>1.05132019533529</v>
      </c>
      <c r="O213" s="160">
        <v>327138.5999267742</v>
      </c>
      <c r="P213" s="160">
        <v>311169.3291713494</v>
      </c>
      <c r="Q213" s="160">
        <v>11.813171429999999</v>
      </c>
      <c r="R213" s="160">
        <v>327138.5999267742</v>
      </c>
      <c r="S213" s="161">
        <v>0.0</v>
      </c>
      <c r="T213" s="160"/>
      <c r="U213" s="160">
        <v>327138.5999267742</v>
      </c>
      <c r="V213" s="160">
        <v>-6.204814440025075E-12</v>
      </c>
      <c r="W213" s="20"/>
      <c r="X213" s="21"/>
      <c r="Y213" s="21"/>
      <c r="Z213" s="21"/>
      <c r="AA213" s="21"/>
      <c r="AB213" s="21"/>
    </row>
    <row r="214" ht="20.25" customHeight="1">
      <c r="A214" s="139"/>
      <c r="B214" s="21"/>
      <c r="C214" s="21"/>
      <c r="D214" s="21"/>
      <c r="E214" s="21"/>
      <c r="F214" s="21"/>
      <c r="G214" s="21"/>
      <c r="H214" s="21"/>
      <c r="I214" s="21"/>
      <c r="J214" s="21"/>
      <c r="K214" s="204"/>
      <c r="L214" s="54"/>
      <c r="M214" s="159">
        <v>45205.50876295139</v>
      </c>
      <c r="N214" s="160">
        <v>1.0551183262447</v>
      </c>
      <c r="O214" s="160">
        <v>327194.5917599863</v>
      </c>
      <c r="P214" s="160">
        <v>310102.27348103543</v>
      </c>
      <c r="Q214" s="160">
        <v>11.813014829999998</v>
      </c>
      <c r="R214" s="160">
        <v>327194.5917599863</v>
      </c>
      <c r="S214" s="161">
        <v>0.0</v>
      </c>
      <c r="T214" s="160"/>
      <c r="U214" s="160">
        <v>327194.5917599863</v>
      </c>
      <c r="V214" s="160">
        <v>-6.204814440025075E-12</v>
      </c>
      <c r="W214" s="20"/>
      <c r="X214" s="21"/>
      <c r="Y214" s="21"/>
      <c r="Z214" s="21"/>
      <c r="AA214" s="21"/>
      <c r="AB214" s="21"/>
    </row>
    <row r="215" ht="20.25" customHeight="1">
      <c r="A215" s="139"/>
      <c r="B215" s="21"/>
      <c r="C215" s="21"/>
      <c r="D215" s="21"/>
      <c r="E215" s="21"/>
      <c r="F215" s="21"/>
      <c r="G215" s="21"/>
      <c r="H215" s="21"/>
      <c r="I215" s="21"/>
      <c r="J215" s="21"/>
      <c r="K215" s="204"/>
      <c r="L215" s="54"/>
      <c r="M215" s="159">
        <v>45206.50874795139</v>
      </c>
      <c r="N215" s="160">
        <v>1.05937814502887</v>
      </c>
      <c r="O215" s="160">
        <v>330343.3109590884</v>
      </c>
      <c r="P215" s="160">
        <v>311827.5683798309</v>
      </c>
      <c r="Q215" s="160">
        <v>11.813014829999998</v>
      </c>
      <c r="R215" s="160">
        <v>330343.3109590884</v>
      </c>
      <c r="S215" s="161">
        <v>0.0</v>
      </c>
      <c r="T215" s="160"/>
      <c r="U215" s="160">
        <v>330343.3109590884</v>
      </c>
      <c r="V215" s="160">
        <v>-6.204814440025075E-12</v>
      </c>
      <c r="W215" s="20"/>
      <c r="X215" s="21"/>
      <c r="Y215" s="21"/>
      <c r="Z215" s="21"/>
      <c r="AA215" s="21"/>
      <c r="AB215" s="21"/>
    </row>
    <row r="216" ht="20.25" customHeight="1">
      <c r="A216" s="139"/>
      <c r="B216" s="21"/>
      <c r="C216" s="21"/>
      <c r="D216" s="21"/>
      <c r="E216" s="21"/>
      <c r="F216" s="21"/>
      <c r="G216" s="21"/>
      <c r="H216" s="21"/>
      <c r="I216" s="21"/>
      <c r="J216" s="21"/>
      <c r="K216" s="204"/>
      <c r="L216" s="54"/>
      <c r="M216" s="159">
        <v>45207.50875217593</v>
      </c>
      <c r="N216" s="160">
        <v>1.06015533395953</v>
      </c>
      <c r="O216" s="160">
        <v>329625.88957854145</v>
      </c>
      <c r="P216" s="160">
        <v>310922.25735207635</v>
      </c>
      <c r="Q216" s="160">
        <v>11.813014829999998</v>
      </c>
      <c r="R216" s="160">
        <v>329625.88957854145</v>
      </c>
      <c r="S216" s="161">
        <v>0.0</v>
      </c>
      <c r="T216" s="160"/>
      <c r="U216" s="160">
        <v>329625.88957854145</v>
      </c>
      <c r="V216" s="160">
        <v>-6.204814440025075E-12</v>
      </c>
      <c r="W216" s="20"/>
      <c r="X216" s="21"/>
      <c r="Y216" s="21"/>
      <c r="Z216" s="21"/>
      <c r="AA216" s="21"/>
      <c r="AB216" s="21"/>
    </row>
    <row r="217" ht="20.25" customHeight="1">
      <c r="A217" s="139"/>
      <c r="B217" s="21"/>
      <c r="C217" s="21"/>
      <c r="D217" s="21"/>
      <c r="E217" s="21"/>
      <c r="F217" s="21"/>
      <c r="G217" s="21"/>
      <c r="H217" s="21"/>
      <c r="I217" s="21"/>
      <c r="J217" s="21"/>
      <c r="K217" s="204"/>
      <c r="L217" s="54"/>
      <c r="M217" s="159">
        <v>45208.50875159723</v>
      </c>
      <c r="N217" s="160">
        <v>1.05434405566093</v>
      </c>
      <c r="O217" s="160">
        <v>325590.3223350645</v>
      </c>
      <c r="P217" s="160">
        <v>308808.4203509487</v>
      </c>
      <c r="Q217" s="160">
        <v>11.813014829999998</v>
      </c>
      <c r="R217" s="160">
        <v>325590.3223350645</v>
      </c>
      <c r="S217" s="161">
        <v>0.0</v>
      </c>
      <c r="T217" s="160"/>
      <c r="U217" s="160">
        <v>325590.3223350645</v>
      </c>
      <c r="V217" s="160">
        <v>-6.204814440025075E-12</v>
      </c>
      <c r="W217" s="20"/>
      <c r="X217" s="21"/>
      <c r="Y217" s="21"/>
      <c r="Z217" s="21"/>
      <c r="AA217" s="21"/>
      <c r="AB217" s="21"/>
    </row>
    <row r="218" ht="20.25" customHeight="1">
      <c r="A218" s="139"/>
      <c r="B218" s="21"/>
      <c r="C218" s="21"/>
      <c r="D218" s="21"/>
      <c r="E218" s="21"/>
      <c r="F218" s="21"/>
      <c r="G218" s="21"/>
      <c r="H218" s="21"/>
      <c r="I218" s="21"/>
      <c r="J218" s="21"/>
      <c r="K218" s="204"/>
      <c r="L218" s="54"/>
      <c r="M218" s="159">
        <v>45209.508758275464</v>
      </c>
      <c r="N218" s="160">
        <v>1.06042627015208</v>
      </c>
      <c r="O218" s="160">
        <v>326725.1069684502</v>
      </c>
      <c r="P218" s="160">
        <v>308107.3301980658</v>
      </c>
      <c r="Q218" s="160">
        <v>11.813014829999998</v>
      </c>
      <c r="R218" s="160">
        <v>326725.1069684502</v>
      </c>
      <c r="S218" s="161">
        <v>0.0</v>
      </c>
      <c r="T218" s="160"/>
      <c r="U218" s="160">
        <v>326725.1069684502</v>
      </c>
      <c r="V218" s="160">
        <v>-6.204814440025075E-12</v>
      </c>
      <c r="W218" s="20"/>
      <c r="X218" s="21"/>
      <c r="Y218" s="21"/>
      <c r="Z218" s="21"/>
      <c r="AA218" s="21"/>
      <c r="AB218" s="21"/>
    </row>
    <row r="219" ht="20.25" customHeight="1">
      <c r="A219" s="139"/>
      <c r="B219" s="21"/>
      <c r="C219" s="21"/>
      <c r="D219" s="21"/>
      <c r="E219" s="21"/>
      <c r="F219" s="21"/>
      <c r="G219" s="21"/>
      <c r="H219" s="21"/>
      <c r="I219" s="21"/>
      <c r="J219" s="21"/>
      <c r="K219" s="204"/>
      <c r="L219" s="54"/>
      <c r="M219" s="159">
        <v>45210.50876052083</v>
      </c>
      <c r="N219" s="160">
        <v>1.06096518124468</v>
      </c>
      <c r="O219" s="160">
        <v>321857.59493832715</v>
      </c>
      <c r="P219" s="160">
        <v>303363.0138179815</v>
      </c>
      <c r="Q219" s="160">
        <v>11.813014829999997</v>
      </c>
      <c r="R219" s="160">
        <v>321857.59493832715</v>
      </c>
      <c r="S219" s="161">
        <v>0.0</v>
      </c>
      <c r="T219" s="160"/>
      <c r="U219" s="160">
        <v>321857.59493832715</v>
      </c>
      <c r="V219" s="160">
        <v>-6.204814440025075E-12</v>
      </c>
      <c r="W219" s="20"/>
      <c r="X219" s="21"/>
      <c r="Y219" s="21"/>
      <c r="Z219" s="21"/>
      <c r="AA219" s="21"/>
      <c r="AB219" s="21"/>
    </row>
    <row r="220" ht="20.25" customHeight="1">
      <c r="A220" s="139"/>
      <c r="B220" s="21"/>
      <c r="C220" s="21"/>
      <c r="D220" s="21"/>
      <c r="E220" s="21"/>
      <c r="F220" s="21"/>
      <c r="G220" s="21"/>
      <c r="H220" s="21"/>
      <c r="I220" s="21"/>
      <c r="J220" s="21"/>
      <c r="K220" s="204"/>
      <c r="L220" s="54"/>
      <c r="M220" s="159">
        <v>45211.508758599535</v>
      </c>
      <c r="N220" s="160">
        <v>1.06255697961803</v>
      </c>
      <c r="O220" s="160">
        <v>316157.20412214624</v>
      </c>
      <c r="P220" s="160">
        <v>297543.76488665957</v>
      </c>
      <c r="Q220" s="160">
        <v>11.813014829999998</v>
      </c>
      <c r="R220" s="160">
        <v>316157.20412214624</v>
      </c>
      <c r="S220" s="161">
        <v>0.0</v>
      </c>
      <c r="T220" s="160"/>
      <c r="U220" s="160">
        <v>316157.20412214624</v>
      </c>
      <c r="V220" s="160">
        <v>-6.204814440025075E-12</v>
      </c>
      <c r="W220" s="20"/>
      <c r="X220" s="21"/>
      <c r="Y220" s="21"/>
      <c r="Z220" s="21"/>
      <c r="AA220" s="21"/>
      <c r="AB220" s="21"/>
    </row>
    <row r="221" ht="20.25" customHeight="1">
      <c r="A221" s="139"/>
      <c r="B221" s="21"/>
      <c r="C221" s="21"/>
      <c r="D221" s="21"/>
      <c r="E221" s="21"/>
      <c r="F221" s="21"/>
      <c r="G221" s="21"/>
      <c r="H221" s="21"/>
      <c r="I221" s="21"/>
      <c r="J221" s="21"/>
      <c r="K221" s="204"/>
      <c r="L221" s="54"/>
      <c r="M221" s="159">
        <v>45212.50875832176</v>
      </c>
      <c r="N221" s="160">
        <v>1.05477888670198</v>
      </c>
      <c r="O221" s="160">
        <v>315962.47529952094</v>
      </c>
      <c r="P221" s="160">
        <v>299553.2801073158</v>
      </c>
      <c r="Q221" s="160">
        <v>11.813014829999998</v>
      </c>
      <c r="R221" s="160">
        <v>315962.47529952094</v>
      </c>
      <c r="S221" s="161">
        <v>0.0</v>
      </c>
      <c r="T221" s="160"/>
      <c r="U221" s="160">
        <v>315962.47529952094</v>
      </c>
      <c r="V221" s="160">
        <v>-6.204814440025075E-12</v>
      </c>
      <c r="W221" s="20"/>
      <c r="X221" s="21"/>
      <c r="Y221" s="21"/>
      <c r="Z221" s="21"/>
      <c r="AA221" s="21"/>
      <c r="AB221" s="21"/>
    </row>
    <row r="222" ht="20.25" customHeight="1">
      <c r="A222" s="139"/>
      <c r="B222" s="21"/>
      <c r="C222" s="21"/>
      <c r="D222" s="21"/>
      <c r="E222" s="21"/>
      <c r="F222" s="21"/>
      <c r="G222" s="21"/>
      <c r="H222" s="21"/>
      <c r="I222" s="21"/>
      <c r="J222" s="21"/>
      <c r="K222" s="204"/>
      <c r="L222" s="54"/>
      <c r="M222" s="159">
        <v>45213.508765</v>
      </c>
      <c r="N222" s="160">
        <v>1.05124946254871</v>
      </c>
      <c r="O222" s="160">
        <v>317555.60347599705</v>
      </c>
      <c r="P222" s="160">
        <v>302074.45025093935</v>
      </c>
      <c r="Q222" s="160">
        <v>11.813014829999998</v>
      </c>
      <c r="R222" s="160">
        <v>317555.60347599705</v>
      </c>
      <c r="S222" s="161">
        <v>0.0</v>
      </c>
      <c r="T222" s="160"/>
      <c r="U222" s="160">
        <v>317555.60347599705</v>
      </c>
      <c r="V222" s="160">
        <v>-6.204814440025075E-12</v>
      </c>
      <c r="W222" s="20"/>
      <c r="X222" s="21"/>
      <c r="Y222" s="21"/>
      <c r="Z222" s="21"/>
      <c r="AA222" s="21"/>
      <c r="AB222" s="21"/>
    </row>
    <row r="223" ht="20.25" customHeight="1">
      <c r="A223" s="139"/>
      <c r="B223" s="21"/>
      <c r="C223" s="21"/>
      <c r="D223" s="21"/>
      <c r="E223" s="21"/>
      <c r="F223" s="21"/>
      <c r="G223" s="21"/>
      <c r="H223" s="21"/>
      <c r="I223" s="21"/>
      <c r="J223" s="21"/>
      <c r="K223" s="204"/>
      <c r="L223" s="54"/>
      <c r="M223" s="159">
        <v>45214.508748645836</v>
      </c>
      <c r="N223" s="160">
        <v>1.05124946254871</v>
      </c>
      <c r="O223" s="160">
        <v>317778.5058673792</v>
      </c>
      <c r="P223" s="160">
        <v>302286.48592783924</v>
      </c>
      <c r="Q223" s="160">
        <v>11.813014829999998</v>
      </c>
      <c r="R223" s="160">
        <v>317778.5058673792</v>
      </c>
      <c r="S223" s="161">
        <v>0.0</v>
      </c>
      <c r="T223" s="160"/>
      <c r="U223" s="160">
        <v>317778.5058673792</v>
      </c>
      <c r="V223" s="160">
        <v>-6.204814440025075E-12</v>
      </c>
      <c r="W223" s="20"/>
      <c r="X223" s="21"/>
      <c r="Y223" s="21"/>
      <c r="Z223" s="21"/>
      <c r="AA223" s="21"/>
      <c r="AB223" s="21"/>
    </row>
    <row r="224" ht="20.25" customHeight="1">
      <c r="A224" s="139"/>
      <c r="B224" s="21"/>
      <c r="C224" s="21"/>
      <c r="D224" s="21"/>
      <c r="E224" s="21"/>
      <c r="F224" s="21"/>
      <c r="G224" s="21"/>
      <c r="H224" s="21"/>
      <c r="I224" s="21"/>
      <c r="J224" s="21"/>
      <c r="K224" s="204"/>
      <c r="L224" s="54"/>
      <c r="M224" s="159">
        <v>45215.50877165509</v>
      </c>
      <c r="N224" s="160">
        <v>1.05406177434435</v>
      </c>
      <c r="O224" s="160">
        <v>327995.0122969202</v>
      </c>
      <c r="P224" s="160">
        <v>311172.4761112226</v>
      </c>
      <c r="Q224" s="160">
        <v>11.813014829999998</v>
      </c>
      <c r="R224" s="160">
        <v>327995.0122969202</v>
      </c>
      <c r="S224" s="161">
        <v>0.0</v>
      </c>
      <c r="T224" s="160"/>
      <c r="U224" s="160">
        <v>327995.0122969202</v>
      </c>
      <c r="V224" s="160">
        <v>-6.204814440025075E-12</v>
      </c>
      <c r="W224" s="20"/>
      <c r="X224" s="21"/>
      <c r="Y224" s="21"/>
      <c r="Z224" s="21"/>
      <c r="AA224" s="21"/>
      <c r="AB224" s="21"/>
    </row>
    <row r="225" ht="20.25" customHeight="1">
      <c r="A225" s="139"/>
      <c r="B225" s="21"/>
      <c r="C225" s="21"/>
      <c r="D225" s="21"/>
      <c r="E225" s="21"/>
      <c r="F225" s="21"/>
      <c r="G225" s="21"/>
      <c r="H225" s="21"/>
      <c r="I225" s="21"/>
      <c r="J225" s="21"/>
      <c r="K225" s="204"/>
      <c r="L225" s="54"/>
      <c r="M225" s="159">
        <v>45216.50877436342</v>
      </c>
      <c r="N225" s="160">
        <v>1.0552697533307</v>
      </c>
      <c r="O225" s="160">
        <v>336487.81937416695</v>
      </c>
      <c r="P225" s="160">
        <v>318864.26983444346</v>
      </c>
      <c r="Q225" s="160">
        <v>11.812891419999998</v>
      </c>
      <c r="R225" s="160">
        <v>336487.81937416695</v>
      </c>
      <c r="S225" s="161">
        <v>0.0</v>
      </c>
      <c r="T225" s="160"/>
      <c r="U225" s="160">
        <v>336487.81937416695</v>
      </c>
      <c r="V225" s="160">
        <v>-6.204814440025075E-12</v>
      </c>
      <c r="W225" s="20"/>
      <c r="X225" s="21"/>
      <c r="Y225" s="21"/>
      <c r="Z225" s="21"/>
      <c r="AA225" s="21"/>
      <c r="AB225" s="21"/>
    </row>
    <row r="226" ht="20.25" customHeight="1">
      <c r="A226" s="139"/>
      <c r="B226" s="21"/>
      <c r="C226" s="21"/>
      <c r="D226" s="21"/>
      <c r="E226" s="21"/>
      <c r="F226" s="21"/>
      <c r="G226" s="21"/>
      <c r="H226" s="21"/>
      <c r="I226" s="21"/>
      <c r="J226" s="21"/>
      <c r="K226" s="204"/>
      <c r="L226" s="54"/>
      <c r="M226" s="159">
        <v>45217.5087546875</v>
      </c>
      <c r="N226" s="160">
        <v>1.05844970987893</v>
      </c>
      <c r="O226" s="160">
        <v>335387.0822676596</v>
      </c>
      <c r="P226" s="160">
        <v>316866.33681067626</v>
      </c>
      <c r="Q226" s="160">
        <v>11.812891419999998</v>
      </c>
      <c r="R226" s="160">
        <v>335387.0822676596</v>
      </c>
      <c r="S226" s="161">
        <v>0.0</v>
      </c>
      <c r="T226" s="160"/>
      <c r="U226" s="160">
        <v>335387.0822676596</v>
      </c>
      <c r="V226" s="160">
        <v>-6.204814440025075E-12</v>
      </c>
      <c r="W226" s="20"/>
      <c r="X226" s="21"/>
      <c r="Y226" s="21"/>
      <c r="Z226" s="21"/>
      <c r="AA226" s="21"/>
      <c r="AB226" s="21"/>
    </row>
    <row r="227" ht="20.25" customHeight="1">
      <c r="A227" s="139"/>
      <c r="B227" s="21"/>
      <c r="C227" s="21"/>
      <c r="D227" s="21"/>
      <c r="E227" s="21"/>
      <c r="F227" s="21"/>
      <c r="G227" s="21"/>
      <c r="H227" s="21"/>
      <c r="I227" s="21"/>
      <c r="J227" s="21"/>
      <c r="K227" s="204"/>
      <c r="L227" s="54"/>
      <c r="M227" s="159">
        <v>45218.50875987268</v>
      </c>
      <c r="N227" s="160">
        <v>1.05427291541252</v>
      </c>
      <c r="O227" s="160">
        <v>336491.58038646483</v>
      </c>
      <c r="P227" s="160">
        <v>319169.33031975036</v>
      </c>
      <c r="Q227" s="160">
        <v>11.812891419999998</v>
      </c>
      <c r="R227" s="160">
        <v>336491.58038646483</v>
      </c>
      <c r="S227" s="161">
        <v>0.0</v>
      </c>
      <c r="T227" s="160"/>
      <c r="U227" s="160">
        <v>336491.58038646483</v>
      </c>
      <c r="V227" s="160">
        <v>-6.204814440025075E-12</v>
      </c>
      <c r="W227" s="20"/>
      <c r="X227" s="21"/>
      <c r="Y227" s="21"/>
      <c r="Z227" s="21"/>
      <c r="AA227" s="21"/>
      <c r="AB227" s="21"/>
    </row>
    <row r="228" ht="20.25" customHeight="1">
      <c r="A228" s="139"/>
      <c r="B228" s="21"/>
      <c r="C228" s="21"/>
      <c r="D228" s="21"/>
      <c r="E228" s="21"/>
      <c r="F228" s="21"/>
      <c r="G228" s="21"/>
      <c r="H228" s="21"/>
      <c r="I228" s="21"/>
      <c r="J228" s="21"/>
      <c r="K228" s="204"/>
      <c r="L228" s="54"/>
      <c r="M228" s="159">
        <v>45219.508768113425</v>
      </c>
      <c r="N228" s="160">
        <v>1.05764369676086</v>
      </c>
      <c r="O228" s="160">
        <v>352960.20175878174</v>
      </c>
      <c r="P228" s="160">
        <v>333723.16484252474</v>
      </c>
      <c r="Q228" s="160">
        <v>11.812891419999998</v>
      </c>
      <c r="R228" s="160">
        <v>352960.20175878174</v>
      </c>
      <c r="S228" s="161">
        <v>0.0</v>
      </c>
      <c r="T228" s="160"/>
      <c r="U228" s="160">
        <v>352960.20175878174</v>
      </c>
      <c r="V228" s="160">
        <v>-6.204814440025075E-12</v>
      </c>
      <c r="W228" s="20"/>
      <c r="X228" s="21"/>
      <c r="Y228" s="21"/>
      <c r="Z228" s="21"/>
      <c r="AA228" s="21"/>
      <c r="AB228" s="21"/>
    </row>
    <row r="229" ht="20.25" customHeight="1">
      <c r="A229" s="139"/>
      <c r="B229" s="21"/>
      <c r="C229" s="21"/>
      <c r="D229" s="21"/>
      <c r="E229" s="21"/>
      <c r="F229" s="21"/>
      <c r="G229" s="21"/>
      <c r="H229" s="21"/>
      <c r="I229" s="21"/>
      <c r="J229" s="21"/>
      <c r="K229" s="204"/>
      <c r="L229" s="54"/>
      <c r="M229" s="159">
        <v>45220.50875717592</v>
      </c>
      <c r="N229" s="160">
        <v>1.05982724815855</v>
      </c>
      <c r="O229" s="160">
        <v>357640.2871221348</v>
      </c>
      <c r="P229" s="160">
        <v>337451.49291409034</v>
      </c>
      <c r="Q229" s="160">
        <v>11.99954142</v>
      </c>
      <c r="R229" s="160">
        <v>357640.2871221348</v>
      </c>
      <c r="S229" s="161">
        <v>0.0</v>
      </c>
      <c r="T229" s="160"/>
      <c r="U229" s="160">
        <v>357640.2871221348</v>
      </c>
      <c r="V229" s="160">
        <v>-6.204814440025075E-12</v>
      </c>
      <c r="W229" s="20"/>
      <c r="X229" s="21"/>
      <c r="Y229" s="21"/>
      <c r="Z229" s="21"/>
      <c r="AA229" s="21"/>
      <c r="AB229" s="21"/>
    </row>
    <row r="230" ht="20.25" customHeight="1">
      <c r="A230" s="139"/>
      <c r="B230" s="21"/>
      <c r="C230" s="21"/>
      <c r="D230" s="21"/>
      <c r="E230" s="21"/>
      <c r="F230" s="21"/>
      <c r="G230" s="21"/>
      <c r="H230" s="21"/>
      <c r="I230" s="21"/>
      <c r="J230" s="21"/>
      <c r="K230" s="204"/>
      <c r="L230" s="54"/>
      <c r="M230" s="159">
        <v>45221.50875976852</v>
      </c>
      <c r="N230" s="160">
        <v>1.06035430678807</v>
      </c>
      <c r="O230" s="160">
        <v>358882.520666861</v>
      </c>
      <c r="P230" s="160">
        <v>338455.28647302394</v>
      </c>
      <c r="Q230" s="160">
        <v>11.999541419999998</v>
      </c>
      <c r="R230" s="160">
        <v>358882.520666861</v>
      </c>
      <c r="S230" s="161">
        <v>0.0</v>
      </c>
      <c r="T230" s="160"/>
      <c r="U230" s="160">
        <v>358882.520666861</v>
      </c>
      <c r="V230" s="160">
        <v>-6.204814440025075E-12</v>
      </c>
      <c r="W230" s="20"/>
      <c r="X230" s="21"/>
      <c r="Y230" s="21"/>
      <c r="Z230" s="21"/>
      <c r="AA230" s="21"/>
      <c r="AB230" s="21"/>
    </row>
    <row r="231" ht="20.25" customHeight="1">
      <c r="A231" s="139"/>
      <c r="B231" s="21"/>
      <c r="C231" s="21"/>
      <c r="D231" s="21"/>
      <c r="E231" s="21"/>
      <c r="F231" s="21"/>
      <c r="G231" s="21"/>
      <c r="H231" s="21"/>
      <c r="I231" s="21"/>
      <c r="J231" s="21"/>
      <c r="K231" s="204"/>
      <c r="L231" s="54"/>
      <c r="M231" s="159">
        <v>45222.508754525465</v>
      </c>
      <c r="N231" s="160">
        <v>1.06095955303896</v>
      </c>
      <c r="O231" s="160">
        <v>365913.6528083396</v>
      </c>
      <c r="P231" s="160">
        <v>344889.35205893073</v>
      </c>
      <c r="Q231" s="160">
        <v>11.999541419999998</v>
      </c>
      <c r="R231" s="160">
        <v>365913.6528083396</v>
      </c>
      <c r="S231" s="161">
        <v>0.0</v>
      </c>
      <c r="T231" s="160"/>
      <c r="U231" s="160">
        <v>365913.6528083396</v>
      </c>
      <c r="V231" s="160">
        <v>-6.204814440025075E-12</v>
      </c>
      <c r="W231" s="20"/>
      <c r="X231" s="21"/>
      <c r="Y231" s="21"/>
      <c r="Z231" s="21"/>
      <c r="AA231" s="21"/>
      <c r="AB231" s="21"/>
    </row>
    <row r="232" ht="20.25" customHeight="1">
      <c r="A232" s="139"/>
      <c r="B232" s="21"/>
      <c r="C232" s="21"/>
      <c r="D232" s="21"/>
      <c r="E232" s="21"/>
      <c r="F232" s="21"/>
      <c r="G232" s="21"/>
      <c r="H232" s="21"/>
      <c r="I232" s="21"/>
      <c r="J232" s="21"/>
      <c r="K232" s="204"/>
      <c r="L232" s="54"/>
      <c r="M232" s="159">
        <v>45223.53806060185</v>
      </c>
      <c r="N232" s="160">
        <v>1.06348132739485</v>
      </c>
      <c r="O232" s="160">
        <v>413477.0115713145</v>
      </c>
      <c r="P232" s="160">
        <v>388795.74179660087</v>
      </c>
      <c r="Q232" s="160">
        <v>11.999541419999998</v>
      </c>
      <c r="R232" s="160">
        <v>413477.0115713145</v>
      </c>
      <c r="S232" s="161">
        <v>0.0</v>
      </c>
      <c r="T232" s="160"/>
      <c r="U232" s="160">
        <v>413477.0115713145</v>
      </c>
      <c r="V232" s="160">
        <v>-6.204814440025075E-12</v>
      </c>
      <c r="W232" s="20"/>
      <c r="X232" s="21"/>
      <c r="Y232" s="21"/>
      <c r="Z232" s="21"/>
      <c r="AA232" s="21"/>
      <c r="AB232" s="21"/>
    </row>
    <row r="233" ht="20.25" customHeight="1">
      <c r="A233" s="139"/>
      <c r="B233" s="21"/>
      <c r="C233" s="21"/>
      <c r="D233" s="21"/>
      <c r="E233" s="21"/>
      <c r="F233" s="21"/>
      <c r="G233" s="21"/>
      <c r="H233" s="21"/>
      <c r="I233" s="21"/>
      <c r="J233" s="21"/>
      <c r="K233" s="204"/>
      <c r="L233" s="54"/>
      <c r="M233" s="159">
        <v>45224.508753981485</v>
      </c>
      <c r="N233" s="160">
        <v>1.05784956109822</v>
      </c>
      <c r="O233" s="160">
        <v>409120.59835482057</v>
      </c>
      <c r="P233" s="160">
        <v>386747.42931318784</v>
      </c>
      <c r="Q233" s="160">
        <v>11.999541419999998</v>
      </c>
      <c r="R233" s="160">
        <v>409120.59835482057</v>
      </c>
      <c r="S233" s="161">
        <v>0.0</v>
      </c>
      <c r="T233" s="160"/>
      <c r="U233" s="160">
        <v>409120.59835482057</v>
      </c>
      <c r="V233" s="160">
        <v>-6.204814440025075E-12</v>
      </c>
      <c r="W233" s="20"/>
      <c r="X233" s="21"/>
      <c r="Y233" s="21"/>
      <c r="Z233" s="21"/>
      <c r="AA233" s="21"/>
      <c r="AB233" s="21"/>
    </row>
    <row r="234" ht="20.25" customHeight="1">
      <c r="A234" s="139"/>
      <c r="B234" s="21"/>
      <c r="C234" s="21"/>
      <c r="D234" s="21"/>
      <c r="E234" s="21"/>
      <c r="F234" s="21"/>
      <c r="G234" s="21"/>
      <c r="H234" s="21"/>
      <c r="I234" s="21"/>
      <c r="J234" s="21"/>
      <c r="K234" s="204"/>
      <c r="L234" s="54"/>
      <c r="M234" s="159">
        <v>45225.508798090275</v>
      </c>
      <c r="N234" s="160">
        <v>1.05414955430557</v>
      </c>
      <c r="O234" s="160">
        <v>412052.45647584565</v>
      </c>
      <c r="P234" s="160">
        <v>390886.1458915939</v>
      </c>
      <c r="Q234" s="160">
        <v>11.999541419999998</v>
      </c>
      <c r="R234" s="160">
        <v>412052.45647584565</v>
      </c>
      <c r="S234" s="161">
        <v>0.0</v>
      </c>
      <c r="T234" s="160"/>
      <c r="U234" s="160">
        <v>412052.45647584565</v>
      </c>
      <c r="V234" s="160">
        <v>-6.204814440025075E-12</v>
      </c>
      <c r="W234" s="20"/>
      <c r="X234" s="21"/>
      <c r="Y234" s="21"/>
      <c r="Z234" s="21"/>
      <c r="AA234" s="21"/>
      <c r="AB234" s="21"/>
    </row>
    <row r="235" ht="20.25" customHeight="1">
      <c r="A235" s="139"/>
      <c r="B235" s="21"/>
      <c r="C235" s="21"/>
      <c r="D235" s="21"/>
      <c r="E235" s="21"/>
      <c r="F235" s="21"/>
      <c r="G235" s="21"/>
      <c r="H235" s="21"/>
      <c r="I235" s="21"/>
      <c r="J235" s="21"/>
      <c r="K235" s="204"/>
      <c r="L235" s="54"/>
      <c r="M235" s="159">
        <v>45226.50876297454</v>
      </c>
      <c r="N235" s="160">
        <v>1.05608553447961</v>
      </c>
      <c r="O235" s="160">
        <v>409788.3950183389</v>
      </c>
      <c r="P235" s="160">
        <v>388025.76272409945</v>
      </c>
      <c r="Q235" s="160">
        <v>11.999541419999998</v>
      </c>
      <c r="R235" s="160">
        <v>409788.3950183389</v>
      </c>
      <c r="S235" s="161">
        <v>0.0</v>
      </c>
      <c r="T235" s="160"/>
      <c r="U235" s="160">
        <v>409788.3950183389</v>
      </c>
      <c r="V235" s="160">
        <v>-6.204814440025075E-12</v>
      </c>
      <c r="W235" s="20"/>
      <c r="X235" s="21"/>
      <c r="Y235" s="21"/>
      <c r="Z235" s="21"/>
      <c r="AA235" s="21"/>
      <c r="AB235" s="21"/>
    </row>
    <row r="236" ht="20.25" customHeight="1">
      <c r="A236" s="139"/>
      <c r="B236" s="21"/>
      <c r="C236" s="21"/>
      <c r="D236" s="21"/>
      <c r="E236" s="21"/>
      <c r="F236" s="21"/>
      <c r="G236" s="21"/>
      <c r="H236" s="21"/>
      <c r="I236" s="21"/>
      <c r="J236" s="21"/>
      <c r="K236" s="204"/>
      <c r="L236" s="54"/>
      <c r="M236" s="159">
        <v>45227.508753518516</v>
      </c>
      <c r="N236" s="160">
        <v>1.05702658421859</v>
      </c>
      <c r="O236" s="160">
        <v>409227.75877713197</v>
      </c>
      <c r="P236" s="160">
        <v>387149.92119110684</v>
      </c>
      <c r="Q236" s="160">
        <v>11.999541419999998</v>
      </c>
      <c r="R236" s="160">
        <v>409227.75877713197</v>
      </c>
      <c r="S236" s="161">
        <v>0.0</v>
      </c>
      <c r="T236" s="160"/>
      <c r="U236" s="160">
        <v>409227.75877713197</v>
      </c>
      <c r="V236" s="160">
        <v>-6.204814440025075E-12</v>
      </c>
      <c r="W236" s="20"/>
      <c r="X236" s="21"/>
      <c r="Y236" s="21"/>
      <c r="Z236" s="21"/>
      <c r="AA236" s="21"/>
      <c r="AB236" s="21"/>
    </row>
    <row r="237" ht="20.25" customHeight="1">
      <c r="A237" s="139"/>
      <c r="B237" s="21"/>
      <c r="C237" s="21"/>
      <c r="D237" s="21"/>
      <c r="E237" s="21"/>
      <c r="F237" s="21"/>
      <c r="G237" s="21"/>
      <c r="H237" s="21"/>
      <c r="I237" s="21"/>
      <c r="J237" s="21"/>
      <c r="K237" s="204"/>
      <c r="L237" s="54"/>
      <c r="M237" s="159">
        <v>45228.50874818287</v>
      </c>
      <c r="N237" s="160">
        <v>1.05790775467542</v>
      </c>
      <c r="O237" s="160">
        <v>410163.2130816978</v>
      </c>
      <c r="P237" s="160">
        <v>387711.69912403304</v>
      </c>
      <c r="Q237" s="160">
        <v>11.999541419999998</v>
      </c>
      <c r="R237" s="160">
        <v>410163.2130816978</v>
      </c>
      <c r="S237" s="161">
        <v>0.0</v>
      </c>
      <c r="T237" s="160"/>
      <c r="U237" s="160">
        <v>410163.2130816978</v>
      </c>
      <c r="V237" s="160">
        <v>-6.204814440025075E-12</v>
      </c>
      <c r="W237" s="20"/>
      <c r="X237" s="21"/>
      <c r="Y237" s="21"/>
      <c r="Z237" s="21"/>
      <c r="AA237" s="21"/>
      <c r="AB237" s="21"/>
    </row>
    <row r="238" ht="20.25" customHeight="1">
      <c r="A238" s="139"/>
      <c r="B238" s="21"/>
      <c r="C238" s="21"/>
      <c r="D238" s="21"/>
      <c r="E238" s="21"/>
      <c r="F238" s="21"/>
      <c r="G238" s="21"/>
      <c r="H238" s="21"/>
      <c r="I238" s="21"/>
      <c r="J238" s="21"/>
      <c r="K238" s="204"/>
      <c r="L238" s="54"/>
      <c r="M238" s="159">
        <v>45229.508758449076</v>
      </c>
      <c r="N238" s="160">
        <v>1.05809356933052</v>
      </c>
      <c r="O238" s="160">
        <v>414585.5172712616</v>
      </c>
      <c r="P238" s="160">
        <v>391823.1140310014</v>
      </c>
      <c r="Q238" s="160">
        <v>11.999541419999998</v>
      </c>
      <c r="R238" s="160">
        <v>414585.5172712616</v>
      </c>
      <c r="S238" s="161">
        <v>0.0</v>
      </c>
      <c r="T238" s="160"/>
      <c r="U238" s="160">
        <v>414585.5172712616</v>
      </c>
      <c r="V238" s="160">
        <v>-6.204814440025075E-12</v>
      </c>
      <c r="W238" s="20"/>
      <c r="X238" s="21"/>
      <c r="Y238" s="21"/>
      <c r="Z238" s="21"/>
      <c r="AA238" s="21"/>
      <c r="AB238" s="21"/>
    </row>
    <row r="239" ht="20.25" customHeight="1">
      <c r="A239" s="139"/>
      <c r="B239" s="21"/>
      <c r="C239" s="21"/>
      <c r="D239" s="21"/>
      <c r="E239" s="21"/>
      <c r="F239" s="21"/>
      <c r="G239" s="21"/>
      <c r="H239" s="21"/>
      <c r="I239" s="21"/>
      <c r="J239" s="21"/>
      <c r="K239" s="204"/>
      <c r="L239" s="54"/>
      <c r="M239" s="159">
        <v>45230.50875609954</v>
      </c>
      <c r="N239" s="160">
        <v>1.06550852992854</v>
      </c>
      <c r="O239" s="160">
        <v>413303.0930640118</v>
      </c>
      <c r="P239" s="160">
        <v>387892.8055993419</v>
      </c>
      <c r="Q239" s="160">
        <v>11.999541419999998</v>
      </c>
      <c r="R239" s="160">
        <v>413303.0930640118</v>
      </c>
      <c r="S239" s="161">
        <v>0.0</v>
      </c>
      <c r="T239" s="160"/>
      <c r="U239" s="160">
        <v>413303.0930640118</v>
      </c>
      <c r="V239" s="160">
        <v>-6.204814440025075E-12</v>
      </c>
      <c r="W239" s="20"/>
      <c r="X239" s="21"/>
      <c r="Y239" s="21"/>
      <c r="Z239" s="21"/>
      <c r="AA239" s="21"/>
      <c r="AB239" s="21"/>
    </row>
    <row r="240" ht="20.25" customHeight="1">
      <c r="A240" s="139"/>
      <c r="B240" s="21"/>
      <c r="C240" s="21"/>
      <c r="D240" s="21"/>
      <c r="E240" s="21"/>
      <c r="F240" s="21"/>
      <c r="G240" s="21"/>
      <c r="H240" s="21"/>
      <c r="I240" s="21"/>
      <c r="J240" s="21"/>
      <c r="K240" s="204"/>
      <c r="L240" s="54"/>
      <c r="M240" s="159">
        <v>45231.508747534725</v>
      </c>
      <c r="N240" s="160">
        <v>1.05490907211253</v>
      </c>
      <c r="O240" s="160">
        <v>418063.40735567914</v>
      </c>
      <c r="P240" s="160">
        <v>396302.7889394084</v>
      </c>
      <c r="Q240" s="160">
        <v>12.153081419999998</v>
      </c>
      <c r="R240" s="160">
        <v>418063.40735567914</v>
      </c>
      <c r="S240" s="161">
        <v>0.0</v>
      </c>
      <c r="T240" s="160"/>
      <c r="U240" s="160">
        <v>418063.40735567914</v>
      </c>
      <c r="V240" s="160">
        <v>-6.204814440025075E-12</v>
      </c>
      <c r="W240" s="20"/>
      <c r="X240" s="21"/>
      <c r="Y240" s="21"/>
      <c r="Z240" s="21"/>
      <c r="AA240" s="21"/>
      <c r="AB240" s="21"/>
    </row>
    <row r="241" ht="20.25" customHeight="1">
      <c r="A241" s="208"/>
      <c r="B241" s="209"/>
      <c r="C241" s="209"/>
      <c r="D241" s="209"/>
      <c r="E241" s="209"/>
      <c r="F241" s="209"/>
      <c r="G241" s="209"/>
      <c r="H241" s="209"/>
      <c r="I241" s="209"/>
      <c r="J241" s="209"/>
      <c r="K241" s="210"/>
      <c r="L241" s="211"/>
      <c r="M241" s="159">
        <v>45232.50876710648</v>
      </c>
      <c r="N241" s="160">
        <v>1.06220483983013</v>
      </c>
      <c r="O241" s="160">
        <v>429895.03889364336</v>
      </c>
      <c r="P241" s="160">
        <v>404719.5256259546</v>
      </c>
      <c r="Q241" s="160">
        <v>12.153081419999998</v>
      </c>
      <c r="R241" s="160">
        <v>429895.03889364336</v>
      </c>
      <c r="S241" s="161">
        <v>0.0</v>
      </c>
      <c r="T241" s="160"/>
      <c r="U241" s="160">
        <v>429895.03889364336</v>
      </c>
      <c r="V241" s="160">
        <v>-6.204814440025075E-12</v>
      </c>
      <c r="W241" s="212"/>
      <c r="X241" s="209"/>
      <c r="Y241" s="209"/>
      <c r="Z241" s="209"/>
      <c r="AA241" s="209"/>
      <c r="AB241" s="209"/>
    </row>
    <row r="242" ht="20.25" customHeight="1">
      <c r="A242" s="208"/>
      <c r="B242" s="209"/>
      <c r="C242" s="209"/>
      <c r="D242" s="209"/>
      <c r="E242" s="209"/>
      <c r="F242" s="209"/>
      <c r="G242" s="209"/>
      <c r="H242" s="209"/>
      <c r="I242" s="209"/>
      <c r="J242" s="209"/>
      <c r="K242" s="210"/>
      <c r="L242" s="211"/>
      <c r="M242" s="159">
        <v>45233.50876541667</v>
      </c>
      <c r="N242" s="160">
        <v>1.06472914355317</v>
      </c>
      <c r="O242" s="160">
        <v>415790.64408055844</v>
      </c>
      <c r="P242" s="160">
        <v>390513.0676643255</v>
      </c>
      <c r="Q242" s="160">
        <v>12.153081419999998</v>
      </c>
      <c r="R242" s="160">
        <v>415790.64408055844</v>
      </c>
      <c r="S242" s="161">
        <v>0.0</v>
      </c>
      <c r="T242" s="160"/>
      <c r="U242" s="160">
        <v>415790.64408055844</v>
      </c>
      <c r="V242" s="160">
        <v>-6.204814440025075E-12</v>
      </c>
      <c r="W242" s="212"/>
      <c r="X242" s="209"/>
      <c r="Y242" s="209"/>
      <c r="Z242" s="209"/>
      <c r="AA242" s="209"/>
      <c r="AB242" s="209"/>
    </row>
    <row r="243" ht="20.25" customHeight="1">
      <c r="A243" s="208"/>
      <c r="B243" s="209"/>
      <c r="C243" s="209"/>
      <c r="D243" s="209"/>
      <c r="E243" s="209"/>
      <c r="F243" s="209"/>
      <c r="G243" s="209"/>
      <c r="H243" s="209"/>
      <c r="I243" s="209"/>
      <c r="J243" s="209"/>
      <c r="K243" s="210"/>
      <c r="L243" s="211"/>
      <c r="M243" s="159">
        <v>45234.50876266204</v>
      </c>
      <c r="N243" s="160">
        <v>1.07359493263192</v>
      </c>
      <c r="O243" s="160">
        <v>422745.0022908129</v>
      </c>
      <c r="P243" s="160">
        <v>393765.8323837769</v>
      </c>
      <c r="Q243" s="160">
        <v>12.153081419999998</v>
      </c>
      <c r="R243" s="160">
        <v>422745.0022908129</v>
      </c>
      <c r="S243" s="161">
        <v>0.0</v>
      </c>
      <c r="T243" s="160"/>
      <c r="U243" s="160">
        <v>422745.0022908129</v>
      </c>
      <c r="V243" s="160">
        <v>-6.204814440025075E-12</v>
      </c>
      <c r="W243" s="212"/>
      <c r="X243" s="209"/>
      <c r="Y243" s="209"/>
      <c r="Z243" s="209"/>
      <c r="AA243" s="209"/>
      <c r="AB243" s="209"/>
    </row>
    <row r="244" ht="20.25" customHeight="1">
      <c r="A244" s="139"/>
      <c r="B244" s="21"/>
      <c r="C244" s="21"/>
      <c r="D244" s="21"/>
      <c r="E244" s="21"/>
      <c r="F244" s="21"/>
      <c r="G244" s="21"/>
      <c r="H244" s="21"/>
      <c r="I244" s="21"/>
      <c r="J244" s="21"/>
      <c r="K244" s="204"/>
      <c r="L244" s="54"/>
      <c r="M244" s="159">
        <v>45235.50877554398</v>
      </c>
      <c r="N244" s="160">
        <v>1.07359493263192</v>
      </c>
      <c r="O244" s="160">
        <v>427109.46023139067</v>
      </c>
      <c r="P244" s="160">
        <v>397831.1067325281</v>
      </c>
      <c r="Q244" s="160">
        <v>12.153081419999998</v>
      </c>
      <c r="R244" s="160">
        <v>427109.46023139067</v>
      </c>
      <c r="S244" s="161">
        <v>0.0</v>
      </c>
      <c r="T244" s="160"/>
      <c r="U244" s="160">
        <v>427109.46023139067</v>
      </c>
      <c r="V244" s="160">
        <v>-6.204814440025075E-12</v>
      </c>
      <c r="W244" s="20"/>
      <c r="X244" s="21"/>
      <c r="Y244" s="21"/>
      <c r="Z244" s="21"/>
      <c r="AA244" s="21"/>
      <c r="AB244" s="21"/>
    </row>
    <row r="245" ht="20.25" customHeight="1">
      <c r="A245" s="139"/>
      <c r="B245" s="21"/>
      <c r="C245" s="21"/>
      <c r="D245" s="21"/>
      <c r="E245" s="21"/>
      <c r="F245" s="21"/>
      <c r="G245" s="21"/>
      <c r="H245" s="21"/>
      <c r="I245" s="21"/>
      <c r="J245" s="21"/>
      <c r="K245" s="204"/>
      <c r="L245" s="54"/>
      <c r="M245" s="159">
        <v>45236.50875986111</v>
      </c>
      <c r="N245" s="160">
        <v>1.07491975724012</v>
      </c>
      <c r="O245" s="160">
        <v>427241.16049973306</v>
      </c>
      <c r="P245" s="160">
        <v>397463.30609522347</v>
      </c>
      <c r="Q245" s="160">
        <v>12.153081419999998</v>
      </c>
      <c r="R245" s="160">
        <v>427241.16049973306</v>
      </c>
      <c r="S245" s="161">
        <v>0.0</v>
      </c>
      <c r="T245" s="160"/>
      <c r="U245" s="160">
        <v>427241.16049973306</v>
      </c>
      <c r="V245" s="160">
        <v>-6.204814440025075E-12</v>
      </c>
      <c r="W245" s="20"/>
      <c r="X245" s="21"/>
      <c r="Y245" s="21"/>
      <c r="Z245" s="21"/>
      <c r="AA245" s="21"/>
      <c r="AB245" s="21"/>
    </row>
    <row r="246" ht="20.25" customHeight="1">
      <c r="A246" s="139"/>
      <c r="B246" s="21"/>
      <c r="C246" s="21"/>
      <c r="D246" s="21"/>
      <c r="E246" s="21"/>
      <c r="F246" s="21"/>
      <c r="G246" s="21"/>
      <c r="H246" s="21"/>
      <c r="I246" s="21"/>
      <c r="J246" s="21"/>
      <c r="K246" s="204"/>
      <c r="L246" s="54"/>
      <c r="M246" s="159">
        <v>45237.50875331019</v>
      </c>
      <c r="N246" s="160">
        <v>1.06892080686418</v>
      </c>
      <c r="O246" s="160">
        <v>421691.1252579342</v>
      </c>
      <c r="P246" s="160">
        <v>394501.74657467904</v>
      </c>
      <c r="Q246" s="160">
        <v>12.153081419999998</v>
      </c>
      <c r="R246" s="160">
        <v>421691.1252579342</v>
      </c>
      <c r="S246" s="161">
        <v>0.0</v>
      </c>
      <c r="T246" s="160"/>
      <c r="U246" s="160">
        <v>421691.1252579342</v>
      </c>
      <c r="V246" s="160">
        <v>-6.204814440025075E-12</v>
      </c>
      <c r="W246" s="20"/>
      <c r="X246" s="21"/>
      <c r="Y246" s="21"/>
      <c r="Z246" s="21"/>
      <c r="AA246" s="21"/>
      <c r="AB246" s="21"/>
    </row>
    <row r="247" ht="20.25" customHeight="1">
      <c r="A247" s="139"/>
      <c r="B247" s="21"/>
      <c r="C247" s="21"/>
      <c r="D247" s="21"/>
      <c r="E247" s="21"/>
      <c r="F247" s="21"/>
      <c r="G247" s="21"/>
      <c r="H247" s="21"/>
      <c r="I247" s="21"/>
      <c r="J247" s="21"/>
      <c r="K247" s="204"/>
      <c r="L247" s="54"/>
      <c r="M247" s="159">
        <v>45238.508762129626</v>
      </c>
      <c r="N247" s="160">
        <v>1.06644370883527</v>
      </c>
      <c r="O247" s="160">
        <v>430688.30897780973</v>
      </c>
      <c r="P247" s="160">
        <v>403854.7045752573</v>
      </c>
      <c r="Q247" s="160">
        <v>12.153081419999998</v>
      </c>
      <c r="R247" s="160">
        <v>430688.30897780973</v>
      </c>
      <c r="S247" s="161">
        <v>0.0</v>
      </c>
      <c r="T247" s="160"/>
      <c r="U247" s="160">
        <v>430688.30897780973</v>
      </c>
      <c r="V247" s="160">
        <v>-6.204814440025075E-12</v>
      </c>
      <c r="W247" s="20"/>
      <c r="X247" s="21"/>
      <c r="Y247" s="21"/>
      <c r="Z247" s="21"/>
      <c r="AA247" s="21"/>
      <c r="AB247" s="21"/>
    </row>
    <row r="248" ht="20.25" customHeight="1">
      <c r="A248" s="139"/>
      <c r="B248" s="21"/>
      <c r="C248" s="21"/>
      <c r="D248" s="21"/>
      <c r="E248" s="21"/>
      <c r="F248" s="21"/>
      <c r="G248" s="21"/>
      <c r="H248" s="21"/>
      <c r="I248" s="21"/>
      <c r="J248" s="21"/>
      <c r="K248" s="204"/>
      <c r="L248" s="54"/>
      <c r="M248" s="159">
        <v>45239.508759652774</v>
      </c>
      <c r="N248" s="160">
        <v>1.06933001128143</v>
      </c>
      <c r="O248" s="160">
        <v>446233.1048945429</v>
      </c>
      <c r="P248" s="160">
        <v>417301.58153870585</v>
      </c>
      <c r="Q248" s="160">
        <v>12.153081419999998</v>
      </c>
      <c r="R248" s="160">
        <v>446233.1048945429</v>
      </c>
      <c r="S248" s="161">
        <v>0.0</v>
      </c>
      <c r="T248" s="160"/>
      <c r="U248" s="160">
        <v>446233.1048945429</v>
      </c>
      <c r="V248" s="160">
        <v>-6.204814440025075E-12</v>
      </c>
      <c r="W248" s="20"/>
      <c r="X248" s="21"/>
      <c r="Y248" s="21"/>
      <c r="Z248" s="21"/>
      <c r="AA248" s="21"/>
      <c r="AB248" s="21"/>
    </row>
    <row r="249" ht="20.25" customHeight="1">
      <c r="A249" s="139"/>
      <c r="B249" s="21"/>
      <c r="C249" s="21"/>
      <c r="D249" s="21"/>
      <c r="E249" s="21"/>
      <c r="F249" s="21"/>
      <c r="G249" s="21"/>
      <c r="H249" s="21"/>
      <c r="I249" s="21"/>
      <c r="J249" s="21"/>
      <c r="K249" s="204"/>
      <c r="L249" s="54"/>
      <c r="M249" s="159">
        <v>45240.508783310186</v>
      </c>
      <c r="N249" s="160">
        <v>1.06712424954487</v>
      </c>
      <c r="O249" s="160">
        <v>449105.2227993215</v>
      </c>
      <c r="P249" s="160">
        <v>420855.60607479914</v>
      </c>
      <c r="Q249" s="160">
        <v>12.153081419999998</v>
      </c>
      <c r="R249" s="160">
        <v>449105.2227993215</v>
      </c>
      <c r="S249" s="161">
        <v>0.0</v>
      </c>
      <c r="T249" s="160"/>
      <c r="U249" s="160">
        <v>449105.2227993215</v>
      </c>
      <c r="V249" s="160">
        <v>-6.204814440025075E-12</v>
      </c>
      <c r="W249" s="20"/>
      <c r="X249" s="21"/>
      <c r="Y249" s="21"/>
      <c r="Z249" s="21"/>
      <c r="AA249" s="21"/>
      <c r="AB249" s="21"/>
    </row>
    <row r="250" ht="20.25" customHeight="1">
      <c r="A250" s="139"/>
      <c r="B250" s="21"/>
      <c r="C250" s="21"/>
      <c r="D250" s="21"/>
      <c r="E250" s="21"/>
      <c r="F250" s="21"/>
      <c r="G250" s="21"/>
      <c r="H250" s="21"/>
      <c r="I250" s="21"/>
      <c r="J250" s="21"/>
      <c r="K250" s="204"/>
      <c r="L250" s="54"/>
      <c r="M250" s="159">
        <v>45241.50875512732</v>
      </c>
      <c r="N250" s="160">
        <v>1.06974982830515</v>
      </c>
      <c r="O250" s="160">
        <v>449654.47016885295</v>
      </c>
      <c r="P250" s="160">
        <v>420336.09940490435</v>
      </c>
      <c r="Q250" s="160">
        <v>12.153081419999998</v>
      </c>
      <c r="R250" s="160">
        <v>449654.47016885295</v>
      </c>
      <c r="S250" s="161">
        <v>0.0</v>
      </c>
      <c r="T250" s="160"/>
      <c r="U250" s="160">
        <v>449654.47016885295</v>
      </c>
      <c r="V250" s="160">
        <v>-6.204814440025075E-12</v>
      </c>
      <c r="W250" s="20"/>
      <c r="X250" s="21"/>
      <c r="Y250" s="21"/>
      <c r="Z250" s="21"/>
      <c r="AA250" s="21"/>
      <c r="AB250" s="21"/>
    </row>
    <row r="251" ht="20.25" customHeight="1">
      <c r="A251" s="139"/>
      <c r="B251" s="21"/>
      <c r="C251" s="21"/>
      <c r="D251" s="21"/>
      <c r="E251" s="21"/>
      <c r="F251" s="21"/>
      <c r="G251" s="21"/>
      <c r="H251" s="21"/>
      <c r="I251" s="21"/>
      <c r="J251" s="21"/>
      <c r="K251" s="204"/>
      <c r="L251" s="54"/>
      <c r="M251" s="159">
        <v>45242.50876150463</v>
      </c>
      <c r="N251" s="160">
        <v>1.07150816917828</v>
      </c>
      <c r="O251" s="160">
        <v>450950.846356073</v>
      </c>
      <c r="P251" s="160">
        <v>420856.19067365484</v>
      </c>
      <c r="Q251" s="160">
        <v>12.153081419999998</v>
      </c>
      <c r="R251" s="160">
        <v>450950.846356073</v>
      </c>
      <c r="S251" s="161">
        <v>0.0</v>
      </c>
      <c r="T251" s="160"/>
      <c r="U251" s="160">
        <v>450950.846356073</v>
      </c>
      <c r="V251" s="160">
        <v>-6.204814440025075E-12</v>
      </c>
      <c r="W251" s="20"/>
      <c r="X251" s="21"/>
      <c r="Y251" s="21"/>
      <c r="Z251" s="21"/>
      <c r="AA251" s="21"/>
      <c r="AB251" s="21"/>
    </row>
    <row r="252" ht="20.25" customHeight="1">
      <c r="A252" s="139"/>
      <c r="B252" s="21"/>
      <c r="C252" s="21"/>
      <c r="D252" s="21"/>
      <c r="E252" s="21"/>
      <c r="F252" s="21"/>
      <c r="G252" s="21"/>
      <c r="H252" s="21"/>
      <c r="I252" s="21"/>
      <c r="J252" s="21"/>
      <c r="K252" s="204"/>
      <c r="L252" s="54"/>
      <c r="M252" s="159">
        <v>45243.50875025463</v>
      </c>
      <c r="N252" s="160">
        <v>1.0688476859982</v>
      </c>
      <c r="O252" s="160">
        <v>449482.2436542223</v>
      </c>
      <c r="P252" s="160">
        <v>420529.74389372376</v>
      </c>
      <c r="Q252" s="160">
        <v>12.153081419999998</v>
      </c>
      <c r="R252" s="160">
        <v>449482.2436542223</v>
      </c>
      <c r="S252" s="161">
        <v>0.0</v>
      </c>
      <c r="T252" s="160"/>
      <c r="U252" s="160">
        <v>449482.2436542223</v>
      </c>
      <c r="V252" s="160">
        <v>-6.204814440025075E-12</v>
      </c>
      <c r="W252" s="20"/>
      <c r="X252" s="21"/>
      <c r="Y252" s="21"/>
      <c r="Z252" s="21"/>
      <c r="AA252" s="21"/>
      <c r="AB252" s="21"/>
    </row>
    <row r="253" ht="20.25" customHeight="1">
      <c r="A253" s="139"/>
      <c r="B253" s="21"/>
      <c r="C253" s="21"/>
      <c r="D253" s="21"/>
      <c r="E253" s="21"/>
      <c r="F253" s="21"/>
      <c r="G253" s="21"/>
      <c r="H253" s="21"/>
      <c r="I253" s="21"/>
      <c r="J253" s="21"/>
      <c r="K253" s="204"/>
      <c r="L253" s="54"/>
      <c r="M253" s="159">
        <v>45244.508748645836</v>
      </c>
      <c r="N253" s="160">
        <v>1.07249187051162</v>
      </c>
      <c r="O253" s="160">
        <v>442069.1260680494</v>
      </c>
      <c r="P253" s="160">
        <v>412188.7896988584</v>
      </c>
      <c r="Q253" s="160">
        <v>12.153081419999998</v>
      </c>
      <c r="R253" s="160">
        <v>442069.1260680494</v>
      </c>
      <c r="S253" s="161">
        <v>0.0</v>
      </c>
      <c r="T253" s="160"/>
      <c r="U253" s="160">
        <v>442069.1260680494</v>
      </c>
      <c r="V253" s="160">
        <v>-6.204814440025075E-12</v>
      </c>
      <c r="W253" s="20"/>
      <c r="X253" s="21"/>
      <c r="Y253" s="21"/>
      <c r="Z253" s="21"/>
      <c r="AA253" s="21"/>
      <c r="AB253" s="21"/>
    </row>
    <row r="254" ht="20.25" customHeight="1">
      <c r="A254" s="139"/>
      <c r="B254" s="21"/>
      <c r="C254" s="21"/>
      <c r="D254" s="21"/>
      <c r="E254" s="21"/>
      <c r="F254" s="21"/>
      <c r="G254" s="21"/>
      <c r="H254" s="21"/>
      <c r="I254" s="21"/>
      <c r="J254" s="21"/>
      <c r="K254" s="204"/>
      <c r="L254" s="54"/>
      <c r="M254" s="159">
        <v>45245.5087653588</v>
      </c>
      <c r="N254" s="160">
        <v>1.08548286076837</v>
      </c>
      <c r="O254" s="160">
        <v>436608.58812237927</v>
      </c>
      <c r="P254" s="160">
        <v>402225.22519915376</v>
      </c>
      <c r="Q254" s="160">
        <v>12.153081419999998</v>
      </c>
      <c r="R254" s="160">
        <v>436608.58812237927</v>
      </c>
      <c r="S254" s="161">
        <v>0.0</v>
      </c>
      <c r="T254" s="160"/>
      <c r="U254" s="160">
        <v>436608.58812237927</v>
      </c>
      <c r="V254" s="160">
        <v>-6.204814440025075E-12</v>
      </c>
      <c r="W254" s="20"/>
      <c r="X254" s="21"/>
      <c r="Y254" s="21"/>
      <c r="Z254" s="21"/>
      <c r="AA254" s="21"/>
      <c r="AB254" s="21"/>
    </row>
    <row r="255" ht="20.25" customHeight="1">
      <c r="A255" s="139"/>
      <c r="B255" s="21"/>
      <c r="C255" s="21"/>
      <c r="D255" s="21"/>
      <c r="E255" s="21"/>
      <c r="F255" s="21"/>
      <c r="G255" s="21"/>
      <c r="H255" s="21"/>
      <c r="I255" s="21"/>
      <c r="J255" s="21"/>
      <c r="K255" s="204"/>
      <c r="L255" s="54"/>
      <c r="M255" s="159">
        <v>45246.50875332176</v>
      </c>
      <c r="N255" s="160">
        <v>1.08497055389917</v>
      </c>
      <c r="O255" s="160">
        <v>454846.95123235637</v>
      </c>
      <c r="P255" s="160">
        <v>419225.15739964205</v>
      </c>
      <c r="Q255" s="160">
        <v>12.153081419999998</v>
      </c>
      <c r="R255" s="160">
        <v>454846.95123235637</v>
      </c>
      <c r="S255" s="161">
        <v>0.0</v>
      </c>
      <c r="T255" s="160"/>
      <c r="U255" s="160">
        <v>454846.95123235637</v>
      </c>
      <c r="V255" s="160">
        <v>-6.204814440025075E-12</v>
      </c>
      <c r="W255" s="20"/>
      <c r="X255" s="21"/>
      <c r="Y255" s="21"/>
      <c r="Z255" s="21"/>
      <c r="AA255" s="21"/>
      <c r="AB255" s="21"/>
    </row>
    <row r="256" ht="20.25" customHeight="1">
      <c r="A256" s="139"/>
      <c r="B256" s="21"/>
      <c r="C256" s="21"/>
      <c r="D256" s="21"/>
      <c r="E256" s="21"/>
      <c r="F256" s="21"/>
      <c r="G256" s="21"/>
      <c r="H256" s="21"/>
      <c r="I256" s="21"/>
      <c r="J256" s="21"/>
      <c r="K256" s="204"/>
      <c r="L256" s="54"/>
      <c r="M256" s="159">
        <v>45247.508765185186</v>
      </c>
      <c r="N256" s="160">
        <v>1.08619500458917</v>
      </c>
      <c r="O256" s="160">
        <v>442095.7729939926</v>
      </c>
      <c r="P256" s="160">
        <v>407013.2629280558</v>
      </c>
      <c r="Q256" s="160">
        <v>12.153081419999998</v>
      </c>
      <c r="R256" s="160">
        <v>442095.7729939926</v>
      </c>
      <c r="S256" s="161">
        <v>0.0</v>
      </c>
      <c r="T256" s="160"/>
      <c r="U256" s="160">
        <v>442095.7729939926</v>
      </c>
      <c r="V256" s="160">
        <v>-6.204814440025075E-12</v>
      </c>
      <c r="W256" s="20"/>
      <c r="X256" s="21"/>
      <c r="Y256" s="21"/>
      <c r="Z256" s="21"/>
      <c r="AA256" s="21"/>
      <c r="AB256" s="21"/>
    </row>
    <row r="257" ht="20.25" customHeight="1">
      <c r="A257" s="139"/>
      <c r="B257" s="21"/>
      <c r="C257" s="21"/>
      <c r="D257" s="21"/>
      <c r="E257" s="21"/>
      <c r="F257" s="21"/>
      <c r="G257" s="21"/>
      <c r="H257" s="21"/>
      <c r="I257" s="21"/>
      <c r="J257" s="21"/>
      <c r="K257" s="204"/>
      <c r="L257" s="54"/>
      <c r="M257" s="159">
        <v>45248.50875237268</v>
      </c>
      <c r="N257" s="160">
        <v>1.09171497505431</v>
      </c>
      <c r="O257" s="160">
        <v>443017.8787219358</v>
      </c>
      <c r="P257" s="160">
        <v>405799.946730507</v>
      </c>
      <c r="Q257" s="160">
        <v>12.153081419999998</v>
      </c>
      <c r="R257" s="160">
        <v>443017.8787219358</v>
      </c>
      <c r="S257" s="161">
        <v>0.0</v>
      </c>
      <c r="T257" s="160"/>
      <c r="U257" s="160">
        <v>443017.8787219358</v>
      </c>
      <c r="V257" s="160">
        <v>-6.204814440025075E-12</v>
      </c>
      <c r="W257" s="20"/>
      <c r="X257" s="21"/>
      <c r="Y257" s="21"/>
      <c r="Z257" s="21"/>
      <c r="AA257" s="21"/>
      <c r="AB257" s="21"/>
    </row>
    <row r="258" ht="20.25" customHeight="1">
      <c r="A258" s="139"/>
      <c r="B258" s="21"/>
      <c r="C258" s="21"/>
      <c r="D258" s="21"/>
      <c r="E258" s="21"/>
      <c r="F258" s="21"/>
      <c r="G258" s="21"/>
      <c r="H258" s="21"/>
      <c r="I258" s="21"/>
      <c r="J258" s="21"/>
      <c r="K258" s="204"/>
      <c r="L258" s="54"/>
      <c r="M258" s="159">
        <v>45249.50875356482</v>
      </c>
      <c r="N258" s="160">
        <v>1.09171497505431</v>
      </c>
      <c r="O258" s="160">
        <v>444078.60848504404</v>
      </c>
      <c r="P258" s="160">
        <v>406771.5645862165</v>
      </c>
      <c r="Q258" s="160">
        <v>12.153081419999998</v>
      </c>
      <c r="R258" s="160">
        <v>444078.60848504404</v>
      </c>
      <c r="S258" s="161">
        <v>0.0</v>
      </c>
      <c r="T258" s="160"/>
      <c r="U258" s="160">
        <v>444078.60848504404</v>
      </c>
      <c r="V258" s="160">
        <v>-6.204814440025075E-12</v>
      </c>
      <c r="W258" s="20"/>
      <c r="X258" s="21"/>
      <c r="Y258" s="21"/>
      <c r="Z258" s="21"/>
      <c r="AA258" s="21"/>
      <c r="AB258" s="21"/>
    </row>
    <row r="259" ht="20.25" customHeight="1">
      <c r="A259" s="139"/>
      <c r="B259" s="21"/>
      <c r="C259" s="21"/>
      <c r="D259" s="21"/>
      <c r="E259" s="21"/>
      <c r="F259" s="21"/>
      <c r="G259" s="21"/>
      <c r="H259" s="21"/>
      <c r="I259" s="21"/>
      <c r="J259" s="21"/>
      <c r="K259" s="204"/>
      <c r="L259" s="54"/>
      <c r="M259" s="159">
        <v>45250.63995488426</v>
      </c>
      <c r="N259" s="160">
        <v>1.09226946287649</v>
      </c>
      <c r="O259" s="160">
        <v>449662.7100373653</v>
      </c>
      <c r="P259" s="160">
        <v>411677.4526069595</v>
      </c>
      <c r="Q259" s="160">
        <v>12.153081419999998</v>
      </c>
      <c r="R259" s="160">
        <v>449662.7100373653</v>
      </c>
      <c r="S259" s="161">
        <v>0.0</v>
      </c>
      <c r="T259" s="160"/>
      <c r="U259" s="160">
        <v>449662.7100373653</v>
      </c>
      <c r="V259" s="160">
        <v>-6.204814440025075E-12</v>
      </c>
      <c r="W259" s="20"/>
      <c r="X259" s="21"/>
      <c r="Y259" s="21"/>
      <c r="Z259" s="21"/>
      <c r="AA259" s="21"/>
      <c r="AB259" s="21"/>
    </row>
    <row r="260" ht="20.25" customHeight="1">
      <c r="A260" s="139"/>
      <c r="B260" s="21"/>
      <c r="C260" s="21"/>
      <c r="D260" s="21"/>
      <c r="E260" s="21"/>
      <c r="F260" s="21"/>
      <c r="G260" s="21"/>
      <c r="H260" s="21"/>
      <c r="I260" s="21"/>
      <c r="J260" s="21"/>
      <c r="K260" s="204"/>
      <c r="L260" s="54"/>
      <c r="M260" s="159">
        <v>45251.50875363426</v>
      </c>
      <c r="N260" s="160">
        <v>1.09467876651597</v>
      </c>
      <c r="O260" s="160">
        <v>453873.29092759313</v>
      </c>
      <c r="P260" s="160">
        <v>414617.78999526403</v>
      </c>
      <c r="Q260" s="160">
        <v>12.153081419999998</v>
      </c>
      <c r="R260" s="160">
        <v>453873.29092759313</v>
      </c>
      <c r="S260" s="161">
        <v>0.0</v>
      </c>
      <c r="T260" s="160"/>
      <c r="U260" s="160">
        <v>453873.29092759313</v>
      </c>
      <c r="V260" s="160">
        <v>-6.204814440025075E-12</v>
      </c>
      <c r="W260" s="20"/>
      <c r="X260" s="21"/>
      <c r="Y260" s="21"/>
      <c r="Z260" s="21"/>
      <c r="AA260" s="21"/>
      <c r="AB260" s="21"/>
    </row>
    <row r="261" ht="20.25" customHeight="1">
      <c r="A261" s="139"/>
      <c r="B261" s="21"/>
      <c r="C261" s="21"/>
      <c r="D261" s="21"/>
      <c r="E261" s="21"/>
      <c r="F261" s="21"/>
      <c r="G261" s="21"/>
      <c r="H261" s="21"/>
      <c r="I261" s="21"/>
      <c r="J261" s="21"/>
      <c r="K261" s="204"/>
      <c r="L261" s="54"/>
      <c r="M261" s="159">
        <v>45252.50874993055</v>
      </c>
      <c r="N261" s="160">
        <v>1.09032229927166</v>
      </c>
      <c r="O261" s="160">
        <v>444786.9771952333</v>
      </c>
      <c r="P261" s="160">
        <v>407940.82400438195</v>
      </c>
      <c r="Q261" s="160">
        <v>12.153081419999998</v>
      </c>
      <c r="R261" s="160">
        <v>444786.9771952333</v>
      </c>
      <c r="S261" s="161">
        <v>0.0</v>
      </c>
      <c r="T261" s="160"/>
      <c r="U261" s="160">
        <v>444786.9771952333</v>
      </c>
      <c r="V261" s="160">
        <v>-6.204814440025075E-12</v>
      </c>
      <c r="W261" s="20"/>
      <c r="X261" s="21"/>
      <c r="Y261" s="21"/>
      <c r="Z261" s="21"/>
      <c r="AA261" s="21"/>
      <c r="AB261" s="21"/>
    </row>
    <row r="262" ht="20.25" customHeight="1">
      <c r="A262" s="139"/>
      <c r="B262" s="21"/>
      <c r="C262" s="21"/>
      <c r="D262" s="21"/>
      <c r="E262" s="21"/>
      <c r="F262" s="21"/>
      <c r="G262" s="21"/>
      <c r="H262" s="21"/>
      <c r="I262" s="21"/>
      <c r="J262" s="21"/>
      <c r="K262" s="204"/>
      <c r="L262" s="54"/>
      <c r="M262" s="159">
        <v>45253.5087584838</v>
      </c>
      <c r="N262" s="160">
        <v>1.09181986719103</v>
      </c>
      <c r="O262" s="160">
        <v>455054.42933250946</v>
      </c>
      <c r="P262" s="160">
        <v>416785.2619345046</v>
      </c>
      <c r="Q262" s="160">
        <v>12.153081419999998</v>
      </c>
      <c r="R262" s="160">
        <v>455054.42933250946</v>
      </c>
      <c r="S262" s="161">
        <v>0.0</v>
      </c>
      <c r="T262" s="160"/>
      <c r="U262" s="160">
        <v>455054.42933250946</v>
      </c>
      <c r="V262" s="160">
        <v>-6.204814440025075E-12</v>
      </c>
      <c r="W262" s="20"/>
      <c r="X262" s="21"/>
      <c r="Y262" s="21"/>
      <c r="Z262" s="21"/>
      <c r="AA262" s="21"/>
      <c r="AB262" s="21"/>
    </row>
    <row r="263" ht="20.25" customHeight="1">
      <c r="A263" s="139"/>
      <c r="B263" s="21"/>
      <c r="C263" s="21"/>
      <c r="D263" s="21"/>
      <c r="E263" s="21"/>
      <c r="F263" s="21"/>
      <c r="G263" s="21"/>
      <c r="H263" s="21"/>
      <c r="I263" s="21"/>
      <c r="J263" s="21"/>
      <c r="K263" s="204"/>
      <c r="L263" s="54"/>
      <c r="M263" s="159">
        <v>45254.50875784722</v>
      </c>
      <c r="N263" s="160">
        <v>1.09106342679019</v>
      </c>
      <c r="O263" s="160">
        <v>457859.9580081554</v>
      </c>
      <c r="P263" s="160">
        <v>419645.5923329206</v>
      </c>
      <c r="Q263" s="160">
        <v>12.153081419999998</v>
      </c>
      <c r="R263" s="160">
        <v>457859.9580081554</v>
      </c>
      <c r="S263" s="161">
        <v>0.0</v>
      </c>
      <c r="T263" s="160"/>
      <c r="U263" s="160">
        <v>457859.9580081554</v>
      </c>
      <c r="V263" s="160">
        <v>-6.204814440025075E-12</v>
      </c>
      <c r="W263" s="20"/>
      <c r="X263" s="21"/>
      <c r="Y263" s="21"/>
      <c r="Z263" s="21"/>
      <c r="AA263" s="21"/>
      <c r="AB263" s="21"/>
    </row>
    <row r="264" ht="20.25" customHeight="1">
      <c r="A264" s="139"/>
      <c r="B264" s="21"/>
      <c r="C264" s="21"/>
      <c r="D264" s="21"/>
      <c r="E264" s="21"/>
      <c r="F264" s="21"/>
      <c r="G264" s="21"/>
      <c r="H264" s="21"/>
      <c r="I264" s="21"/>
      <c r="J264" s="21"/>
      <c r="K264" s="204"/>
      <c r="L264" s="54"/>
      <c r="M264" s="159">
        <v>45255.50875587963</v>
      </c>
      <c r="N264" s="160">
        <v>1.09463083575064</v>
      </c>
      <c r="O264" s="160">
        <v>458386.96155743836</v>
      </c>
      <c r="P264" s="160">
        <v>418759.408730799</v>
      </c>
      <c r="Q264" s="160">
        <v>12.153081419999998</v>
      </c>
      <c r="R264" s="160">
        <v>458386.96155743836</v>
      </c>
      <c r="S264" s="161">
        <v>0.0</v>
      </c>
      <c r="T264" s="160"/>
      <c r="U264" s="160">
        <v>458386.96155743836</v>
      </c>
      <c r="V264" s="160">
        <v>-6.204814440025075E-12</v>
      </c>
      <c r="W264" s="20"/>
      <c r="X264" s="21"/>
      <c r="Y264" s="21"/>
      <c r="Z264" s="21"/>
      <c r="AA264" s="21"/>
      <c r="AB264" s="21"/>
    </row>
    <row r="265" ht="20.25" customHeight="1">
      <c r="A265" s="139"/>
      <c r="B265" s="21"/>
      <c r="C265" s="21"/>
      <c r="D265" s="21"/>
      <c r="E265" s="21"/>
      <c r="F265" s="21"/>
      <c r="G265" s="21"/>
      <c r="H265" s="21"/>
      <c r="I265" s="21"/>
      <c r="J265" s="21"/>
      <c r="K265" s="204"/>
      <c r="L265" s="54"/>
      <c r="M265" s="159">
        <v>45256.50875953704</v>
      </c>
      <c r="N265" s="160">
        <v>1.09496524032845</v>
      </c>
      <c r="O265" s="160">
        <v>458434.0398497895</v>
      </c>
      <c r="P265" s="160">
        <v>418674.5140076555</v>
      </c>
      <c r="Q265" s="160">
        <v>12.153081419999998</v>
      </c>
      <c r="R265" s="160">
        <v>458434.0398497895</v>
      </c>
      <c r="S265" s="161">
        <v>0.0</v>
      </c>
      <c r="T265" s="160"/>
      <c r="U265" s="160">
        <v>458434.0398497895</v>
      </c>
      <c r="V265" s="160">
        <v>-6.204814440025075E-12</v>
      </c>
      <c r="W265" s="20"/>
      <c r="X265" s="21"/>
      <c r="Y265" s="21"/>
      <c r="Z265" s="21"/>
      <c r="AA265" s="21"/>
      <c r="AB265" s="21"/>
    </row>
    <row r="266" ht="20.25" customHeight="1">
      <c r="A266" s="139"/>
      <c r="B266" s="21"/>
      <c r="C266" s="21"/>
      <c r="D266" s="21"/>
      <c r="E266" s="21"/>
      <c r="F266" s="21"/>
      <c r="G266" s="21"/>
      <c r="H266" s="21"/>
      <c r="I266" s="21"/>
      <c r="J266" s="21"/>
      <c r="K266" s="204"/>
      <c r="L266" s="54"/>
      <c r="M266" s="159">
        <v>45257.50876297454</v>
      </c>
      <c r="N266" s="160">
        <v>1.09504557579686</v>
      </c>
      <c r="O266" s="160">
        <v>449952.7014833694</v>
      </c>
      <c r="P266" s="160">
        <v>410898.6068054206</v>
      </c>
      <c r="Q266" s="160">
        <v>12.153081419999998</v>
      </c>
      <c r="R266" s="160">
        <v>449952.7014833694</v>
      </c>
      <c r="S266" s="161">
        <v>0.0</v>
      </c>
      <c r="T266" s="160"/>
      <c r="U266" s="160">
        <v>449952.7014833694</v>
      </c>
      <c r="V266" s="160">
        <v>-6.204814440025075E-12</v>
      </c>
      <c r="W266" s="20"/>
      <c r="X266" s="21"/>
      <c r="Y266" s="21"/>
      <c r="Z266" s="21"/>
      <c r="AA266" s="21"/>
      <c r="AB266" s="21"/>
    </row>
    <row r="267" ht="20.25" customHeight="1">
      <c r="A267" s="139"/>
      <c r="B267" s="21"/>
      <c r="C267" s="21"/>
      <c r="D267" s="21"/>
      <c r="E267" s="21"/>
      <c r="F267" s="21"/>
      <c r="G267" s="21"/>
      <c r="H267" s="21"/>
      <c r="I267" s="21"/>
      <c r="J267" s="21"/>
      <c r="K267" s="204"/>
      <c r="L267" s="54"/>
      <c r="M267" s="159">
        <v>45258.50879103009</v>
      </c>
      <c r="N267" s="160">
        <v>1.09523147169539</v>
      </c>
      <c r="O267" s="160">
        <v>450738.817914466</v>
      </c>
      <c r="P267" s="160">
        <v>411546.6269579836</v>
      </c>
      <c r="Q267" s="160">
        <v>12.153081419999998</v>
      </c>
      <c r="R267" s="160">
        <v>450738.817914466</v>
      </c>
      <c r="S267" s="161">
        <v>0.0</v>
      </c>
      <c r="T267" s="160"/>
      <c r="U267" s="160">
        <v>450738.817914466</v>
      </c>
      <c r="V267" s="160">
        <v>-6.204814440025075E-12</v>
      </c>
      <c r="W267" s="20"/>
      <c r="X267" s="21"/>
      <c r="Y267" s="21"/>
      <c r="Z267" s="21"/>
      <c r="AA267" s="21"/>
      <c r="AB267" s="21"/>
    </row>
    <row r="268" ht="20.25" customHeight="1">
      <c r="A268" s="139"/>
      <c r="B268" s="21"/>
      <c r="C268" s="21"/>
      <c r="D268" s="21"/>
      <c r="E268" s="21"/>
      <c r="F268" s="21"/>
      <c r="G268" s="21"/>
      <c r="H268" s="21"/>
      <c r="I268" s="21"/>
      <c r="J268" s="21"/>
      <c r="K268" s="204"/>
      <c r="L268" s="54"/>
      <c r="M268" s="159">
        <v>45259.50875487269</v>
      </c>
      <c r="N268" s="160">
        <v>1.09737201350207</v>
      </c>
      <c r="O268" s="160">
        <v>461967.25914481154</v>
      </c>
      <c r="P268" s="160">
        <v>420975.98030637234</v>
      </c>
      <c r="Q268" s="160">
        <v>12.153081419999998</v>
      </c>
      <c r="R268" s="160">
        <v>461967.25914481154</v>
      </c>
      <c r="S268" s="161">
        <v>0.0</v>
      </c>
      <c r="T268" s="160"/>
      <c r="U268" s="160">
        <v>461967.25914481154</v>
      </c>
      <c r="V268" s="160">
        <v>-6.204814440025075E-12</v>
      </c>
      <c r="W268" s="20"/>
      <c r="X268" s="21"/>
      <c r="Y268" s="21"/>
      <c r="Z268" s="21"/>
      <c r="AA268" s="21"/>
      <c r="AB268" s="21"/>
    </row>
    <row r="269" ht="20.25" customHeight="1">
      <c r="A269" s="139"/>
      <c r="B269" s="21"/>
      <c r="C269" s="21"/>
      <c r="D269" s="21"/>
      <c r="E269" s="21"/>
      <c r="F269" s="21"/>
      <c r="G269" s="21"/>
      <c r="H269" s="21"/>
      <c r="I269" s="21"/>
      <c r="J269" s="21"/>
      <c r="K269" s="204"/>
      <c r="L269" s="54"/>
      <c r="M269" s="159">
        <v>45260.50876928241</v>
      </c>
      <c r="N269" s="160">
        <v>1.0912967988991</v>
      </c>
      <c r="O269" s="160">
        <v>457832.4040931155</v>
      </c>
      <c r="P269" s="160">
        <v>419530.60299908946</v>
      </c>
      <c r="Q269" s="160">
        <v>12.153081419999998</v>
      </c>
      <c r="R269" s="160">
        <v>457832.4040931155</v>
      </c>
      <c r="S269" s="161">
        <v>0.0</v>
      </c>
      <c r="T269" s="160"/>
      <c r="U269" s="160">
        <v>457832.4040931155</v>
      </c>
      <c r="V269" s="160">
        <v>-6.204814440025075E-12</v>
      </c>
      <c r="W269" s="20"/>
      <c r="X269" s="21"/>
      <c r="Y269" s="21"/>
      <c r="Z269" s="21"/>
      <c r="AA269" s="21"/>
      <c r="AB269" s="21"/>
    </row>
    <row r="270" ht="20.25" customHeight="1">
      <c r="A270" s="139"/>
      <c r="B270" s="21"/>
      <c r="C270" s="21"/>
      <c r="D270" s="21"/>
      <c r="E270" s="21"/>
      <c r="F270" s="21"/>
      <c r="G270" s="21"/>
      <c r="H270" s="21"/>
      <c r="I270" s="21"/>
      <c r="J270" s="21"/>
      <c r="K270" s="204"/>
      <c r="L270" s="54"/>
      <c r="M270" s="159">
        <v>45261.50875753472</v>
      </c>
      <c r="N270" s="160">
        <v>1.09008340228111</v>
      </c>
      <c r="O270" s="160">
        <v>468886.9875672944</v>
      </c>
      <c r="P270" s="160">
        <v>430138.6358017202</v>
      </c>
      <c r="Q270" s="160">
        <v>12.153081419999998</v>
      </c>
      <c r="R270" s="160">
        <v>468886.9875672944</v>
      </c>
      <c r="S270" s="161">
        <v>0.0</v>
      </c>
      <c r="T270" s="160"/>
      <c r="U270" s="160">
        <v>468886.9875672944</v>
      </c>
      <c r="V270" s="160">
        <v>-6.204814440025075E-12</v>
      </c>
      <c r="W270" s="20"/>
      <c r="X270" s="21"/>
      <c r="Y270" s="21"/>
      <c r="Z270" s="21"/>
      <c r="AA270" s="21"/>
      <c r="AB270" s="21"/>
    </row>
    <row r="271" ht="20.25" customHeight="1">
      <c r="A271" s="139"/>
      <c r="B271" s="21"/>
      <c r="C271" s="21"/>
      <c r="D271" s="21"/>
      <c r="E271" s="21"/>
      <c r="F271" s="21"/>
      <c r="G271" s="21"/>
      <c r="H271" s="21"/>
      <c r="I271" s="21"/>
      <c r="J271" s="21"/>
      <c r="K271" s="204"/>
      <c r="L271" s="54"/>
      <c r="M271" s="159">
        <v>45262.50876482639</v>
      </c>
      <c r="N271" s="160">
        <v>1.08867236405204</v>
      </c>
      <c r="O271" s="160">
        <v>470676.9159674065</v>
      </c>
      <c r="P271" s="160">
        <v>432340.2811618607</v>
      </c>
      <c r="Q271" s="160">
        <v>12.153081419999998</v>
      </c>
      <c r="R271" s="160">
        <v>470676.9159674065</v>
      </c>
      <c r="S271" s="161">
        <v>0.0</v>
      </c>
      <c r="T271" s="160"/>
      <c r="U271" s="160">
        <v>470676.9159674065</v>
      </c>
      <c r="V271" s="160">
        <v>-6.204814440025075E-12</v>
      </c>
      <c r="W271" s="20"/>
      <c r="X271" s="21"/>
      <c r="Y271" s="21"/>
      <c r="Z271" s="21"/>
      <c r="AA271" s="21"/>
      <c r="AB271" s="21"/>
    </row>
    <row r="272" ht="20.25" customHeight="1">
      <c r="A272" s="139"/>
      <c r="B272" s="21"/>
      <c r="C272" s="21"/>
      <c r="D272" s="21"/>
      <c r="E272" s="21"/>
      <c r="F272" s="21"/>
      <c r="G272" s="21"/>
      <c r="H272" s="21"/>
      <c r="I272" s="21"/>
      <c r="J272" s="21"/>
      <c r="K272" s="204"/>
      <c r="L272" s="54"/>
      <c r="M272" s="159">
        <v>45263.50875800926</v>
      </c>
      <c r="N272" s="160">
        <v>1.08867236405204</v>
      </c>
      <c r="O272" s="160">
        <v>480433.83972079755</v>
      </c>
      <c r="P272" s="160">
        <v>441302.50347553805</v>
      </c>
      <c r="Q272" s="160">
        <v>12.153081419999998</v>
      </c>
      <c r="R272" s="160">
        <v>480433.83972079755</v>
      </c>
      <c r="S272" s="161">
        <v>0.0</v>
      </c>
      <c r="T272" s="160"/>
      <c r="U272" s="160">
        <v>480433.83972079755</v>
      </c>
      <c r="V272" s="160">
        <v>-6.204814440025075E-12</v>
      </c>
      <c r="W272" s="20"/>
      <c r="X272" s="21"/>
      <c r="Y272" s="21"/>
      <c r="Z272" s="21"/>
      <c r="AA272" s="21"/>
      <c r="AB272" s="21"/>
    </row>
    <row r="273" ht="20.25" customHeight="1">
      <c r="A273" s="139"/>
      <c r="B273" s="21"/>
      <c r="C273" s="21"/>
      <c r="D273" s="21"/>
      <c r="E273" s="21"/>
      <c r="F273" s="21"/>
      <c r="G273" s="21"/>
      <c r="H273" s="21"/>
      <c r="I273" s="21"/>
      <c r="J273" s="21"/>
      <c r="K273" s="204"/>
      <c r="L273" s="54"/>
      <c r="M273" s="159">
        <v>45264.50875137732</v>
      </c>
      <c r="N273" s="160">
        <v>1.08625871858404</v>
      </c>
      <c r="O273" s="160">
        <v>509707.2704426799</v>
      </c>
      <c r="P273" s="160">
        <v>469231.92580409715</v>
      </c>
      <c r="Q273" s="160">
        <v>12.153081419999998</v>
      </c>
      <c r="R273" s="160">
        <v>509707.2704426799</v>
      </c>
      <c r="S273" s="161">
        <v>0.0</v>
      </c>
      <c r="T273" s="160"/>
      <c r="U273" s="160">
        <v>509707.2704426799</v>
      </c>
      <c r="V273" s="160">
        <v>-6.204814440025075E-12</v>
      </c>
      <c r="W273" s="20"/>
      <c r="X273" s="21"/>
      <c r="Y273" s="21"/>
      <c r="Z273" s="21"/>
      <c r="AA273" s="21"/>
      <c r="AB273" s="21"/>
    </row>
    <row r="274" ht="20.25" customHeight="1">
      <c r="A274" s="139"/>
      <c r="B274" s="21"/>
      <c r="C274" s="21"/>
      <c r="D274" s="21"/>
      <c r="E274" s="21"/>
      <c r="F274" s="21"/>
      <c r="G274" s="21"/>
      <c r="H274" s="21"/>
      <c r="I274" s="21"/>
      <c r="J274" s="21"/>
      <c r="K274" s="204"/>
      <c r="L274" s="54"/>
      <c r="M274" s="159">
        <v>45265.508763680555</v>
      </c>
      <c r="N274" s="160">
        <v>1.08349874747545</v>
      </c>
      <c r="O274" s="160">
        <v>506295.4315275785</v>
      </c>
      <c r="P274" s="160">
        <v>467278.28039233625</v>
      </c>
      <c r="Q274" s="160">
        <v>12.153081419999998</v>
      </c>
      <c r="R274" s="160">
        <v>506295.4315275785</v>
      </c>
      <c r="S274" s="161">
        <v>0.0</v>
      </c>
      <c r="T274" s="160"/>
      <c r="U274" s="160">
        <v>506295.4315275785</v>
      </c>
      <c r="V274" s="160">
        <v>-6.204814440025075E-12</v>
      </c>
      <c r="W274" s="20"/>
      <c r="X274" s="21"/>
      <c r="Y274" s="21"/>
      <c r="Z274" s="21"/>
      <c r="AA274" s="21"/>
      <c r="AB274" s="21"/>
    </row>
    <row r="275" ht="20.25" customHeight="1">
      <c r="A275" s="139"/>
      <c r="B275" s="21"/>
      <c r="C275" s="21"/>
      <c r="D275" s="21"/>
      <c r="E275" s="21"/>
      <c r="F275" s="21"/>
      <c r="G275" s="21"/>
      <c r="H275" s="21"/>
      <c r="I275" s="21"/>
      <c r="J275" s="21"/>
      <c r="K275" s="204"/>
      <c r="L275" s="54"/>
      <c r="M275" s="159">
        <v>45266.50875980324</v>
      </c>
      <c r="N275" s="160">
        <v>1.07926092212053</v>
      </c>
      <c r="O275" s="160">
        <v>534550.0022178846</v>
      </c>
      <c r="P275" s="160">
        <v>495292.65005500405</v>
      </c>
      <c r="Q275" s="160">
        <v>12.15308142</v>
      </c>
      <c r="R275" s="160">
        <v>534550.0022178846</v>
      </c>
      <c r="S275" s="161">
        <v>0.0</v>
      </c>
      <c r="T275" s="160"/>
      <c r="U275" s="160">
        <v>534550.0022178846</v>
      </c>
      <c r="V275" s="160">
        <v>-6.204814440025075E-12</v>
      </c>
      <c r="W275" s="20"/>
      <c r="X275" s="21"/>
      <c r="Y275" s="21"/>
      <c r="Z275" s="21"/>
      <c r="AA275" s="21"/>
      <c r="AB275" s="21"/>
    </row>
    <row r="276" ht="20.25" customHeight="1">
      <c r="A276" s="139"/>
      <c r="B276" s="21"/>
      <c r="C276" s="21"/>
      <c r="D276" s="21"/>
      <c r="E276" s="21"/>
      <c r="F276" s="21"/>
      <c r="G276" s="21"/>
      <c r="H276" s="21"/>
      <c r="I276" s="21"/>
      <c r="J276" s="21"/>
      <c r="K276" s="204"/>
      <c r="L276" s="54"/>
      <c r="M276" s="159">
        <v>45267.50875565972</v>
      </c>
      <c r="N276" s="160">
        <v>1.0772785788541</v>
      </c>
      <c r="O276" s="160">
        <v>524314.5270698079</v>
      </c>
      <c r="P276" s="160">
        <v>486702.82447045465</v>
      </c>
      <c r="Q276" s="160">
        <v>12.153081419999998</v>
      </c>
      <c r="R276" s="160">
        <v>524314.5270698079</v>
      </c>
      <c r="S276" s="161">
        <v>0.0</v>
      </c>
      <c r="T276" s="160"/>
      <c r="U276" s="160">
        <v>524314.5270698079</v>
      </c>
      <c r="V276" s="160">
        <v>-6.204814440025075E-12</v>
      </c>
      <c r="W276" s="20"/>
      <c r="X276" s="21"/>
      <c r="Y276" s="21"/>
      <c r="Z276" s="21"/>
      <c r="AA276" s="21"/>
      <c r="AB276" s="21"/>
    </row>
    <row r="277" ht="20.25" customHeight="1">
      <c r="A277" s="139"/>
      <c r="B277" s="21"/>
      <c r="C277" s="21"/>
      <c r="D277" s="21"/>
      <c r="E277" s="21"/>
      <c r="F277" s="21"/>
      <c r="G277" s="21"/>
      <c r="H277" s="21"/>
      <c r="I277" s="21"/>
      <c r="J277" s="21"/>
      <c r="K277" s="204"/>
      <c r="L277" s="54"/>
      <c r="M277" s="159">
        <v>45268.50875603009</v>
      </c>
      <c r="N277" s="160">
        <v>1.07847176237385</v>
      </c>
      <c r="O277" s="160">
        <v>527450.4772153778</v>
      </c>
      <c r="P277" s="160">
        <v>489072.1255922306</v>
      </c>
      <c r="Q277" s="160">
        <v>12.15308142</v>
      </c>
      <c r="R277" s="160">
        <v>527450.4772153778</v>
      </c>
      <c r="S277" s="161">
        <v>0.0</v>
      </c>
      <c r="T277" s="160"/>
      <c r="U277" s="160">
        <v>527450.4772153778</v>
      </c>
      <c r="V277" s="160">
        <v>-6.204814440025075E-12</v>
      </c>
      <c r="W277" s="20"/>
      <c r="X277" s="21"/>
      <c r="Y277" s="21"/>
      <c r="Z277" s="21"/>
      <c r="AA277" s="21"/>
      <c r="AB277" s="21"/>
    </row>
    <row r="278" ht="20.25" customHeight="1">
      <c r="A278" s="139"/>
      <c r="B278" s="21"/>
      <c r="C278" s="21"/>
      <c r="D278" s="21"/>
      <c r="E278" s="21"/>
      <c r="F278" s="21"/>
      <c r="G278" s="21"/>
      <c r="H278" s="21"/>
      <c r="I278" s="21"/>
      <c r="J278" s="21"/>
      <c r="K278" s="204"/>
      <c r="L278" s="54"/>
      <c r="M278" s="159">
        <v>45269.50875173611</v>
      </c>
      <c r="N278" s="160">
        <v>1.07735401853049</v>
      </c>
      <c r="O278" s="160">
        <v>533342.2588173167</v>
      </c>
      <c r="P278" s="160">
        <v>495048.284634233</v>
      </c>
      <c r="Q278" s="160">
        <v>12.153081419999998</v>
      </c>
      <c r="R278" s="160">
        <v>533342.2588173167</v>
      </c>
      <c r="S278" s="161">
        <v>0.0</v>
      </c>
      <c r="T278" s="160"/>
      <c r="U278" s="160">
        <v>533342.2588173167</v>
      </c>
      <c r="V278" s="160">
        <v>-6.204814440025075E-12</v>
      </c>
      <c r="W278" s="20"/>
      <c r="X278" s="21"/>
      <c r="Y278" s="21"/>
      <c r="Z278" s="21"/>
      <c r="AA278" s="21"/>
      <c r="AB278" s="21"/>
    </row>
    <row r="279" ht="20.25" customHeight="1">
      <c r="A279" s="139"/>
      <c r="B279" s="21"/>
      <c r="C279" s="21"/>
      <c r="D279" s="21"/>
      <c r="E279" s="21"/>
      <c r="F279" s="21"/>
      <c r="G279" s="21"/>
      <c r="H279" s="21"/>
      <c r="I279" s="21"/>
      <c r="J279" s="21"/>
      <c r="K279" s="204"/>
      <c r="L279" s="54"/>
      <c r="M279" s="159">
        <v>45270.50875896991</v>
      </c>
      <c r="N279" s="160">
        <v>1.07735401853049</v>
      </c>
      <c r="O279" s="160">
        <v>530158.2857911498</v>
      </c>
      <c r="P279" s="160">
        <v>492092.92087134486</v>
      </c>
      <c r="Q279" s="160">
        <v>12.123857089999996</v>
      </c>
      <c r="R279" s="160">
        <v>530158.2857911498</v>
      </c>
      <c r="S279" s="161">
        <v>0.0</v>
      </c>
      <c r="T279" s="160"/>
      <c r="U279" s="160">
        <v>530158.2857911498</v>
      </c>
      <c r="V279" s="160">
        <v>-6.204814440025075E-12</v>
      </c>
      <c r="W279" s="20"/>
      <c r="X279" s="21"/>
      <c r="Y279" s="21"/>
      <c r="Z279" s="21"/>
      <c r="AA279" s="21"/>
      <c r="AB279" s="21"/>
    </row>
    <row r="280" ht="20.25" customHeight="1">
      <c r="A280" s="139"/>
      <c r="B280" s="21"/>
      <c r="C280" s="21"/>
      <c r="D280" s="21"/>
      <c r="E280" s="21"/>
      <c r="F280" s="21"/>
      <c r="G280" s="21"/>
      <c r="H280" s="21"/>
      <c r="I280" s="21"/>
      <c r="J280" s="21"/>
      <c r="K280" s="204"/>
      <c r="L280" s="54"/>
      <c r="M280" s="159">
        <v>45271.50876027778</v>
      </c>
      <c r="N280" s="160">
        <v>1.07783592103774</v>
      </c>
      <c r="O280" s="160">
        <v>514319.20963722956</v>
      </c>
      <c r="P280" s="160">
        <v>477177.64791327727</v>
      </c>
      <c r="Q280" s="160">
        <v>12.123857089999998</v>
      </c>
      <c r="R280" s="160">
        <v>514319.20963722956</v>
      </c>
      <c r="S280" s="161">
        <v>0.0</v>
      </c>
      <c r="T280" s="160"/>
      <c r="U280" s="160">
        <v>514319.20963722956</v>
      </c>
      <c r="V280" s="160">
        <v>-6.204814440025075E-12</v>
      </c>
      <c r="W280" s="20"/>
      <c r="X280" s="21"/>
      <c r="Y280" s="21"/>
      <c r="Z280" s="21"/>
      <c r="AA280" s="21"/>
      <c r="AB280" s="21"/>
    </row>
    <row r="281" ht="20.25" customHeight="1">
      <c r="A281" s="139"/>
      <c r="B281" s="21"/>
      <c r="C281" s="21"/>
      <c r="D281" s="21"/>
      <c r="E281" s="21"/>
      <c r="F281" s="21"/>
      <c r="G281" s="21"/>
      <c r="H281" s="21"/>
      <c r="I281" s="21"/>
      <c r="J281" s="21"/>
      <c r="K281" s="204"/>
      <c r="L281" s="54"/>
      <c r="M281" s="159">
        <v>45272.508761805555</v>
      </c>
      <c r="N281" s="160">
        <v>1.07979116838803</v>
      </c>
      <c r="O281" s="160">
        <v>506579.6451612906</v>
      </c>
      <c r="P281" s="160">
        <v>469145.9422820987</v>
      </c>
      <c r="Q281" s="160">
        <v>12.123857089999998</v>
      </c>
      <c r="R281" s="160">
        <v>506579.6451612906</v>
      </c>
      <c r="S281" s="161">
        <v>0.0</v>
      </c>
      <c r="T281" s="160"/>
      <c r="U281" s="160">
        <v>506579.6451612906</v>
      </c>
      <c r="V281" s="160">
        <v>-6.204814440025075E-12</v>
      </c>
      <c r="W281" s="20"/>
      <c r="X281" s="21"/>
      <c r="Y281" s="21"/>
      <c r="Z281" s="21"/>
      <c r="AA281" s="21"/>
      <c r="AB281" s="21"/>
    </row>
    <row r="282" ht="20.25" customHeight="1">
      <c r="A282" s="139"/>
      <c r="B282" s="21"/>
      <c r="C282" s="21"/>
      <c r="D282" s="21"/>
      <c r="E282" s="21"/>
      <c r="F282" s="21"/>
      <c r="G282" s="21"/>
      <c r="H282" s="21"/>
      <c r="I282" s="21"/>
      <c r="J282" s="21"/>
      <c r="K282" s="204"/>
      <c r="L282" s="54"/>
      <c r="M282" s="159">
        <v>45273.508767418985</v>
      </c>
      <c r="N282" s="160">
        <v>1.07778016086947</v>
      </c>
      <c r="O282" s="160">
        <v>499354.4597187259</v>
      </c>
      <c r="P282" s="160">
        <v>463317.54642420326</v>
      </c>
      <c r="Q282" s="160">
        <v>12.123857089999998</v>
      </c>
      <c r="R282" s="160">
        <v>499354.4597187259</v>
      </c>
      <c r="S282" s="161">
        <v>0.0</v>
      </c>
      <c r="T282" s="160"/>
      <c r="U282" s="160">
        <v>499354.4597187259</v>
      </c>
      <c r="V282" s="160">
        <v>-6.204814440025075E-12</v>
      </c>
      <c r="W282" s="20"/>
      <c r="X282" s="21"/>
      <c r="Y282" s="21"/>
      <c r="Z282" s="21"/>
      <c r="AA282" s="21"/>
      <c r="AB282" s="21"/>
    </row>
    <row r="283" ht="20.25" customHeight="1">
      <c r="A283" s="139"/>
      <c r="B283" s="21"/>
      <c r="C283" s="21"/>
      <c r="D283" s="21"/>
      <c r="E283" s="21"/>
      <c r="F283" s="21"/>
      <c r="G283" s="21"/>
      <c r="H283" s="21"/>
      <c r="I283" s="21"/>
      <c r="J283" s="21"/>
      <c r="K283" s="204"/>
      <c r="L283" s="54"/>
      <c r="M283" s="159">
        <v>45274.508755752315</v>
      </c>
      <c r="N283" s="160">
        <v>1.09059698188191</v>
      </c>
      <c r="O283" s="160">
        <v>520603.5578832872</v>
      </c>
      <c r="P283" s="160">
        <v>477356.4997263657</v>
      </c>
      <c r="Q283" s="160">
        <v>12.123857089999998</v>
      </c>
      <c r="R283" s="160">
        <v>520603.5578832872</v>
      </c>
      <c r="S283" s="161">
        <v>0.0</v>
      </c>
      <c r="T283" s="160"/>
      <c r="U283" s="160">
        <v>520603.5578832872</v>
      </c>
      <c r="V283" s="160">
        <v>-6.204814440025075E-12</v>
      </c>
      <c r="W283" s="20"/>
      <c r="X283" s="21"/>
      <c r="Y283" s="21"/>
      <c r="Z283" s="21"/>
      <c r="AA283" s="21"/>
      <c r="AB283" s="21"/>
    </row>
    <row r="284" ht="20.25" customHeight="1">
      <c r="A284" s="139"/>
      <c r="B284" s="21"/>
      <c r="C284" s="21"/>
      <c r="D284" s="21"/>
      <c r="E284" s="21"/>
      <c r="F284" s="21"/>
      <c r="G284" s="21"/>
      <c r="H284" s="21"/>
      <c r="I284" s="21"/>
      <c r="J284" s="21"/>
      <c r="K284" s="204"/>
      <c r="L284" s="54"/>
      <c r="M284" s="159">
        <v>45275.50876420139</v>
      </c>
      <c r="N284" s="160">
        <v>1.09611383799876</v>
      </c>
      <c r="O284" s="160">
        <v>518896.2236605788</v>
      </c>
      <c r="P284" s="160">
        <v>473396.2893926769</v>
      </c>
      <c r="Q284" s="160">
        <v>12.123857089999998</v>
      </c>
      <c r="R284" s="160">
        <v>518896.2236605788</v>
      </c>
      <c r="S284" s="161">
        <v>0.0</v>
      </c>
      <c r="T284" s="160"/>
      <c r="U284" s="160">
        <v>518896.2236605788</v>
      </c>
      <c r="V284" s="160">
        <v>-6.204814440025075E-12</v>
      </c>
      <c r="W284" s="20"/>
      <c r="X284" s="21"/>
      <c r="Y284" s="21"/>
      <c r="Z284" s="21"/>
      <c r="AA284" s="21"/>
      <c r="AB284" s="21"/>
    </row>
    <row r="285" ht="20.25" customHeight="1">
      <c r="A285" s="139"/>
      <c r="B285" s="21"/>
      <c r="C285" s="21"/>
      <c r="D285" s="21"/>
      <c r="E285" s="21"/>
      <c r="F285" s="21"/>
      <c r="G285" s="21"/>
      <c r="H285" s="21"/>
      <c r="I285" s="21"/>
      <c r="J285" s="21"/>
      <c r="K285" s="204"/>
      <c r="L285" s="54"/>
      <c r="M285" s="159">
        <v>45276.50875407408</v>
      </c>
      <c r="N285" s="160">
        <v>1.09085038332482</v>
      </c>
      <c r="O285" s="160">
        <v>512236.30758888193</v>
      </c>
      <c r="P285" s="160">
        <v>469575.2189476515</v>
      </c>
      <c r="Q285" s="160">
        <v>12.123857089999998</v>
      </c>
      <c r="R285" s="160">
        <v>512236.30758888193</v>
      </c>
      <c r="S285" s="161">
        <v>0.0</v>
      </c>
      <c r="T285" s="160"/>
      <c r="U285" s="160">
        <v>512236.30758888193</v>
      </c>
      <c r="V285" s="160">
        <v>-6.204814440025075E-12</v>
      </c>
      <c r="W285" s="20"/>
      <c r="X285" s="21"/>
      <c r="Y285" s="21"/>
      <c r="Z285" s="21"/>
      <c r="AA285" s="21"/>
      <c r="AB285" s="21"/>
    </row>
    <row r="286" ht="20.25" customHeight="1">
      <c r="A286" s="139"/>
      <c r="B286" s="21"/>
      <c r="C286" s="21"/>
      <c r="D286" s="21"/>
      <c r="E286" s="21"/>
      <c r="F286" s="21"/>
      <c r="G286" s="21"/>
      <c r="H286" s="21"/>
      <c r="I286" s="21"/>
      <c r="J286" s="21"/>
      <c r="K286" s="204"/>
      <c r="L286" s="54"/>
      <c r="M286" s="159">
        <v>45277.5087555787</v>
      </c>
      <c r="N286" s="160">
        <v>1.09085038332482</v>
      </c>
      <c r="O286" s="160">
        <v>507002.62351976195</v>
      </c>
      <c r="P286" s="160">
        <v>464777.41702254413</v>
      </c>
      <c r="Q286" s="160">
        <v>12.123857089999998</v>
      </c>
      <c r="R286" s="160">
        <v>507002.62351976195</v>
      </c>
      <c r="S286" s="161">
        <v>0.0</v>
      </c>
      <c r="T286" s="160"/>
      <c r="U286" s="160">
        <v>507002.62351976195</v>
      </c>
      <c r="V286" s="160">
        <v>-6.204814440025075E-12</v>
      </c>
      <c r="W286" s="20"/>
      <c r="X286" s="21"/>
      <c r="Y286" s="21"/>
      <c r="Z286" s="21"/>
      <c r="AA286" s="21"/>
      <c r="AB286" s="21"/>
    </row>
    <row r="287" ht="20.25" customHeight="1">
      <c r="A287" s="139"/>
      <c r="B287" s="21"/>
      <c r="C287" s="21"/>
      <c r="D287" s="21"/>
      <c r="E287" s="21"/>
      <c r="F287" s="21"/>
      <c r="G287" s="21"/>
      <c r="H287" s="21"/>
      <c r="I287" s="21"/>
      <c r="J287" s="21"/>
      <c r="K287" s="204"/>
      <c r="L287" s="54"/>
      <c r="M287" s="159">
        <v>45278.508771319444</v>
      </c>
      <c r="N287" s="160">
        <v>1.09138850811556</v>
      </c>
      <c r="O287" s="160">
        <v>495149.7044567539</v>
      </c>
      <c r="P287" s="160">
        <v>453687.8488043652</v>
      </c>
      <c r="Q287" s="160">
        <v>12.123857089999998</v>
      </c>
      <c r="R287" s="160">
        <v>495149.7044567539</v>
      </c>
      <c r="S287" s="161">
        <v>0.0</v>
      </c>
      <c r="T287" s="160"/>
      <c r="U287" s="160">
        <v>495149.7044567539</v>
      </c>
      <c r="V287" s="160">
        <v>-6.204814440025075E-12</v>
      </c>
      <c r="W287" s="20"/>
      <c r="X287" s="21"/>
      <c r="Y287" s="21"/>
      <c r="Z287" s="21"/>
      <c r="AA287" s="21"/>
      <c r="AB287" s="21"/>
    </row>
    <row r="288" ht="20.25" customHeight="1">
      <c r="A288" s="139"/>
      <c r="B288" s="21"/>
      <c r="C288" s="21"/>
      <c r="D288" s="21"/>
      <c r="E288" s="21"/>
      <c r="F288" s="21"/>
      <c r="G288" s="21"/>
      <c r="H288" s="21"/>
      <c r="I288" s="21"/>
      <c r="J288" s="21"/>
      <c r="K288" s="204"/>
      <c r="L288" s="54"/>
      <c r="M288" s="159">
        <v>45279.50876059028</v>
      </c>
      <c r="N288" s="160">
        <v>1.09420084494189</v>
      </c>
      <c r="O288" s="160">
        <v>523062.57307452103</v>
      </c>
      <c r="P288" s="160">
        <v>478031.5930959635</v>
      </c>
      <c r="Q288" s="160">
        <v>12.123857089999998</v>
      </c>
      <c r="R288" s="160">
        <v>523062.57307452103</v>
      </c>
      <c r="S288" s="161">
        <v>0.0</v>
      </c>
      <c r="T288" s="160"/>
      <c r="U288" s="160">
        <v>523062.57307452103</v>
      </c>
      <c r="V288" s="160">
        <v>-6.204814440025075E-12</v>
      </c>
      <c r="W288" s="20"/>
      <c r="X288" s="21"/>
      <c r="Y288" s="21"/>
      <c r="Z288" s="21"/>
      <c r="AA288" s="21"/>
      <c r="AB288" s="21"/>
    </row>
    <row r="289" ht="20.25" customHeight="1">
      <c r="A289" s="139"/>
      <c r="B289" s="21"/>
      <c r="C289" s="21"/>
      <c r="D289" s="21"/>
      <c r="E289" s="21"/>
      <c r="F289" s="21"/>
      <c r="G289" s="21"/>
      <c r="H289" s="21"/>
      <c r="I289" s="21"/>
      <c r="J289" s="21"/>
      <c r="K289" s="204"/>
      <c r="L289" s="54"/>
      <c r="M289" s="159">
        <v>45280.50875115741</v>
      </c>
      <c r="N289" s="160">
        <v>1.09601893043897</v>
      </c>
      <c r="O289" s="160">
        <v>520218.70568216726</v>
      </c>
      <c r="P289" s="160">
        <v>474643.9055334681</v>
      </c>
      <c r="Q289" s="160">
        <v>12.123857089999998</v>
      </c>
      <c r="R289" s="160">
        <v>520218.70568216726</v>
      </c>
      <c r="S289" s="161">
        <v>0.0</v>
      </c>
      <c r="T289" s="160"/>
      <c r="U289" s="160">
        <v>520218.70568216726</v>
      </c>
      <c r="V289" s="160">
        <v>-6.204814440025075E-12</v>
      </c>
      <c r="W289" s="20"/>
      <c r="X289" s="21"/>
      <c r="Y289" s="21"/>
      <c r="Z289" s="21"/>
      <c r="AA289" s="21"/>
      <c r="AB289" s="21"/>
    </row>
    <row r="290" ht="20.25" customHeight="1">
      <c r="A290" s="139"/>
      <c r="B290" s="21"/>
      <c r="C290" s="21"/>
      <c r="D290" s="21"/>
      <c r="E290" s="21"/>
      <c r="F290" s="21"/>
      <c r="G290" s="21"/>
      <c r="H290" s="21"/>
      <c r="I290" s="21"/>
      <c r="J290" s="21"/>
      <c r="K290" s="204"/>
      <c r="L290" s="54"/>
      <c r="M290" s="159">
        <v>45281.508766053244</v>
      </c>
      <c r="N290" s="160">
        <v>1.09464521453952</v>
      </c>
      <c r="O290" s="160">
        <v>534313.7189662864</v>
      </c>
      <c r="P290" s="160">
        <v>488115.88619702135</v>
      </c>
      <c r="Q290" s="160">
        <v>12.123857089999996</v>
      </c>
      <c r="R290" s="160">
        <v>534313.7189662864</v>
      </c>
      <c r="S290" s="161">
        <v>0.0</v>
      </c>
      <c r="T290" s="160"/>
      <c r="U290" s="160">
        <v>534313.7189662864</v>
      </c>
      <c r="V290" s="160">
        <v>-6.204814440025075E-12</v>
      </c>
      <c r="W290" s="20"/>
      <c r="X290" s="21"/>
      <c r="Y290" s="21"/>
      <c r="Z290" s="21"/>
      <c r="AA290" s="21"/>
      <c r="AB290" s="21"/>
    </row>
    <row r="291" ht="20.25" customHeight="1">
      <c r="A291" s="139"/>
      <c r="B291" s="21"/>
      <c r="C291" s="21"/>
      <c r="D291" s="21"/>
      <c r="E291" s="21"/>
      <c r="F291" s="21"/>
      <c r="G291" s="21"/>
      <c r="H291" s="21"/>
      <c r="I291" s="21"/>
      <c r="J291" s="21"/>
      <c r="K291" s="204"/>
      <c r="L291" s="54"/>
      <c r="M291" s="159">
        <v>45282.50875159723</v>
      </c>
      <c r="N291" s="160">
        <v>1.10121364756098</v>
      </c>
      <c r="O291" s="160">
        <v>529331.907709223</v>
      </c>
      <c r="P291" s="160">
        <v>480680.48273975926</v>
      </c>
      <c r="Q291" s="160">
        <v>12.12385709</v>
      </c>
      <c r="R291" s="160">
        <v>529331.907709223</v>
      </c>
      <c r="S291" s="161">
        <v>0.0</v>
      </c>
      <c r="T291" s="160"/>
      <c r="U291" s="160">
        <v>529331.907709223</v>
      </c>
      <c r="V291" s="160">
        <v>-6.204814440025075E-12</v>
      </c>
      <c r="W291" s="20"/>
      <c r="X291" s="21"/>
      <c r="Y291" s="21"/>
      <c r="Z291" s="21"/>
      <c r="AA291" s="21"/>
      <c r="AB291" s="21"/>
    </row>
    <row r="292" ht="20.25" customHeight="1">
      <c r="A292" s="139"/>
      <c r="B292" s="21"/>
      <c r="C292" s="21"/>
      <c r="D292" s="21"/>
      <c r="E292" s="21"/>
      <c r="F292" s="21"/>
      <c r="G292" s="21"/>
      <c r="H292" s="21"/>
      <c r="I292" s="21"/>
      <c r="J292" s="21"/>
      <c r="K292" s="204"/>
      <c r="L292" s="54"/>
      <c r="M292" s="159">
        <v>45283.508753587965</v>
      </c>
      <c r="N292" s="160">
        <v>1.10261241960577</v>
      </c>
      <c r="O292" s="160">
        <v>528237.4241817659</v>
      </c>
      <c r="P292" s="160">
        <v>479078.06477513904</v>
      </c>
      <c r="Q292" s="160">
        <v>12.123857089999998</v>
      </c>
      <c r="R292" s="160">
        <v>528237.4241817659</v>
      </c>
      <c r="S292" s="161">
        <v>0.0</v>
      </c>
      <c r="T292" s="160"/>
      <c r="U292" s="160">
        <v>528237.4241817659</v>
      </c>
      <c r="V292" s="160">
        <v>-6.204814440025075E-12</v>
      </c>
      <c r="W292" s="20"/>
      <c r="X292" s="21"/>
      <c r="Y292" s="21"/>
      <c r="Z292" s="21"/>
      <c r="AA292" s="21"/>
      <c r="AB292" s="21"/>
    </row>
    <row r="293" ht="20.25" customHeight="1">
      <c r="A293" s="139"/>
      <c r="B293" s="21"/>
      <c r="C293" s="21"/>
      <c r="D293" s="21"/>
      <c r="E293" s="21"/>
      <c r="F293" s="21"/>
      <c r="G293" s="21"/>
      <c r="H293" s="21"/>
      <c r="I293" s="21"/>
      <c r="J293" s="21"/>
      <c r="K293" s="204"/>
      <c r="L293" s="54"/>
      <c r="M293" s="159">
        <v>45284.50875288194</v>
      </c>
      <c r="N293" s="160">
        <v>1.10225024387287</v>
      </c>
      <c r="O293" s="160">
        <v>529117.2587167085</v>
      </c>
      <c r="P293" s="160">
        <v>480033.6962118515</v>
      </c>
      <c r="Q293" s="160">
        <v>12.12385709</v>
      </c>
      <c r="R293" s="160">
        <v>529117.2587167085</v>
      </c>
      <c r="S293" s="161">
        <v>0.0</v>
      </c>
      <c r="T293" s="160"/>
      <c r="U293" s="160">
        <v>529117.2587167085</v>
      </c>
      <c r="V293" s="160">
        <v>-6.204814440025075E-12</v>
      </c>
      <c r="W293" s="20"/>
      <c r="X293" s="21"/>
      <c r="Y293" s="21"/>
      <c r="Z293" s="21"/>
      <c r="AA293" s="21"/>
      <c r="AB293" s="21"/>
    </row>
    <row r="294" ht="20.25" customHeight="1">
      <c r="A294" s="139"/>
      <c r="B294" s="21"/>
      <c r="C294" s="21"/>
      <c r="D294" s="21"/>
      <c r="E294" s="21"/>
      <c r="F294" s="21"/>
      <c r="G294" s="21"/>
      <c r="H294" s="21"/>
      <c r="I294" s="21"/>
      <c r="J294" s="21"/>
      <c r="K294" s="204"/>
      <c r="L294" s="54"/>
      <c r="M294" s="159">
        <v>45285.508759965276</v>
      </c>
      <c r="N294" s="160">
        <v>1.10184945430906</v>
      </c>
      <c r="O294" s="160">
        <v>533674.3195381303</v>
      </c>
      <c r="P294" s="160">
        <v>484344.1338116222</v>
      </c>
      <c r="Q294" s="160">
        <v>12.37509098</v>
      </c>
      <c r="R294" s="160">
        <v>533674.3195381303</v>
      </c>
      <c r="S294" s="161">
        <v>0.0</v>
      </c>
      <c r="T294" s="160"/>
      <c r="U294" s="160">
        <v>533674.3195381303</v>
      </c>
      <c r="V294" s="160">
        <v>-6.204814440025075E-12</v>
      </c>
      <c r="W294" s="20"/>
      <c r="X294" s="21"/>
      <c r="Y294" s="21"/>
      <c r="Z294" s="21"/>
      <c r="AA294" s="21"/>
      <c r="AB294" s="21"/>
    </row>
    <row r="295" ht="20.25" customHeight="1">
      <c r="A295" s="139"/>
      <c r="B295" s="21"/>
      <c r="C295" s="21"/>
      <c r="D295" s="21"/>
      <c r="E295" s="21"/>
      <c r="F295" s="21"/>
      <c r="G295" s="21"/>
      <c r="H295" s="21"/>
      <c r="I295" s="21"/>
      <c r="J295" s="21"/>
      <c r="K295" s="204"/>
      <c r="L295" s="54"/>
      <c r="M295" s="159">
        <v>45286.50875731482</v>
      </c>
      <c r="N295" s="160">
        <v>1.10179360981742</v>
      </c>
      <c r="O295" s="160">
        <v>526761.6832965583</v>
      </c>
      <c r="P295" s="160">
        <v>478094.69813847344</v>
      </c>
      <c r="Q295" s="160">
        <v>12.375090979999996</v>
      </c>
      <c r="R295" s="160">
        <v>526761.6832965583</v>
      </c>
      <c r="S295" s="161">
        <v>0.0</v>
      </c>
      <c r="T295" s="160"/>
      <c r="U295" s="160">
        <v>526761.6832965583</v>
      </c>
      <c r="V295" s="160">
        <v>-6.204814440025075E-12</v>
      </c>
      <c r="W295" s="20"/>
      <c r="X295" s="21"/>
      <c r="Y295" s="21"/>
      <c r="Z295" s="21"/>
      <c r="AA295" s="21"/>
      <c r="AB295" s="21"/>
    </row>
    <row r="296" ht="20.25" customHeight="1">
      <c r="A296" s="139"/>
      <c r="B296" s="21"/>
      <c r="C296" s="21"/>
      <c r="D296" s="21"/>
      <c r="E296" s="21"/>
      <c r="F296" s="21"/>
      <c r="G296" s="21"/>
      <c r="H296" s="21"/>
      <c r="I296" s="21"/>
      <c r="J296" s="21"/>
      <c r="K296" s="204"/>
      <c r="L296" s="54"/>
      <c r="M296" s="159">
        <v>45287.508754386574</v>
      </c>
      <c r="N296" s="160">
        <v>1.10529846927215</v>
      </c>
      <c r="O296" s="160">
        <v>544880.3814156026</v>
      </c>
      <c r="P296" s="160">
        <v>492971.2621192824</v>
      </c>
      <c r="Q296" s="160">
        <v>12.632820979999998</v>
      </c>
      <c r="R296" s="160">
        <v>544880.3814156026</v>
      </c>
      <c r="S296" s="161">
        <v>0.0</v>
      </c>
      <c r="T296" s="160"/>
      <c r="U296" s="160">
        <v>544880.3814156026</v>
      </c>
      <c r="V296" s="160">
        <v>-6.204814440025075E-12</v>
      </c>
      <c r="W296" s="20"/>
      <c r="X296" s="21"/>
      <c r="Y296" s="21"/>
      <c r="Z296" s="21"/>
      <c r="AA296" s="21"/>
      <c r="AB296" s="21"/>
    </row>
    <row r="297" ht="20.25" customHeight="1">
      <c r="A297" s="139"/>
      <c r="B297" s="21"/>
      <c r="C297" s="21"/>
      <c r="D297" s="21"/>
      <c r="E297" s="21"/>
      <c r="F297" s="21"/>
      <c r="G297" s="21"/>
      <c r="H297" s="21"/>
      <c r="I297" s="21"/>
      <c r="J297" s="21"/>
      <c r="K297" s="204"/>
      <c r="L297" s="54"/>
      <c r="M297" s="159">
        <v>45288.50876534722</v>
      </c>
      <c r="N297" s="160">
        <v>1.11276666062063</v>
      </c>
      <c r="O297" s="160">
        <v>544862.6878434916</v>
      </c>
      <c r="P297" s="160">
        <v>489646.847920122</v>
      </c>
      <c r="Q297" s="160">
        <v>12.632820979999998</v>
      </c>
      <c r="R297" s="160">
        <v>544862.6878434916</v>
      </c>
      <c r="S297" s="161">
        <v>0.0</v>
      </c>
      <c r="T297" s="160"/>
      <c r="U297" s="160">
        <v>544862.6878434916</v>
      </c>
      <c r="V297" s="160">
        <v>-6.204814440025075E-12</v>
      </c>
      <c r="W297" s="20"/>
      <c r="X297" s="21"/>
      <c r="Y297" s="21"/>
      <c r="Z297" s="21"/>
      <c r="AA297" s="21"/>
      <c r="AB297" s="21"/>
    </row>
    <row r="298" ht="20.25" customHeight="1">
      <c r="A298" s="139"/>
      <c r="B298" s="21"/>
      <c r="C298" s="21"/>
      <c r="D298" s="21"/>
      <c r="E298" s="21"/>
      <c r="F298" s="21"/>
      <c r="G298" s="21"/>
      <c r="H298" s="21"/>
      <c r="I298" s="21"/>
      <c r="J298" s="21"/>
      <c r="K298" s="204"/>
      <c r="L298" s="54"/>
      <c r="M298" s="159">
        <v>45289.508748368055</v>
      </c>
      <c r="N298" s="160">
        <v>1.10513112380784</v>
      </c>
      <c r="O298" s="160">
        <v>540230.945525673</v>
      </c>
      <c r="P298" s="160">
        <v>488838.7756778156</v>
      </c>
      <c r="Q298" s="160">
        <v>12.632531973926554</v>
      </c>
      <c r="R298" s="160">
        <v>503901.98739430524</v>
      </c>
      <c r="S298" s="161">
        <v>36328.958131367726</v>
      </c>
      <c r="T298" s="160"/>
      <c r="U298" s="160">
        <v>540230.945525673</v>
      </c>
      <c r="V298" s="160">
        <v>-6.204814440025075E-12</v>
      </c>
      <c r="W298" s="20"/>
      <c r="X298" s="21"/>
      <c r="Y298" s="21"/>
      <c r="Z298" s="21"/>
      <c r="AA298" s="21"/>
      <c r="AB298" s="21"/>
    </row>
    <row r="299" ht="20.25" customHeight="1">
      <c r="A299" s="139"/>
      <c r="B299" s="21"/>
      <c r="C299" s="21"/>
      <c r="D299" s="21"/>
      <c r="E299" s="21"/>
      <c r="F299" s="21"/>
      <c r="G299" s="21"/>
      <c r="H299" s="21"/>
      <c r="I299" s="21"/>
      <c r="J299" s="21"/>
      <c r="K299" s="204"/>
      <c r="L299" s="54"/>
      <c r="M299" s="159">
        <v>45290.50874925926</v>
      </c>
      <c r="N299" s="160">
        <v>1.10555019363712</v>
      </c>
      <c r="O299" s="160">
        <v>528462.7415279289</v>
      </c>
      <c r="P299" s="160">
        <v>478008.8182060314</v>
      </c>
      <c r="Q299" s="160">
        <v>12.621764430675238</v>
      </c>
      <c r="R299" s="160">
        <v>493345.6720255229</v>
      </c>
      <c r="S299" s="161">
        <v>35117.06950240593</v>
      </c>
      <c r="T299" s="160"/>
      <c r="U299" s="160">
        <v>528462.7415279289</v>
      </c>
      <c r="V299" s="160">
        <v>-6.204814440025075E-12</v>
      </c>
      <c r="W299" s="20"/>
      <c r="X299" s="21"/>
      <c r="Y299" s="21"/>
      <c r="Z299" s="21"/>
      <c r="AA299" s="21"/>
      <c r="AB299" s="21"/>
    </row>
    <row r="300" ht="20.25" customHeight="1">
      <c r="A300" s="139"/>
      <c r="B300" s="21"/>
      <c r="C300" s="21"/>
      <c r="D300" s="21"/>
      <c r="E300" s="21"/>
      <c r="F300" s="21"/>
      <c r="G300" s="21"/>
      <c r="H300" s="21"/>
      <c r="I300" s="21"/>
      <c r="J300" s="21"/>
      <c r="K300" s="204"/>
      <c r="L300" s="54"/>
      <c r="M300" s="159">
        <v>45291.5087756713</v>
      </c>
      <c r="N300" s="160">
        <v>1.10555019363712</v>
      </c>
      <c r="O300" s="160">
        <v>537815.7449060011</v>
      </c>
      <c r="P300" s="160">
        <v>486468.8622925889</v>
      </c>
      <c r="Q300" s="160">
        <v>12.61458678884328</v>
      </c>
      <c r="R300" s="160">
        <v>502362.8351714152</v>
      </c>
      <c r="S300" s="161">
        <v>35452.90973458592</v>
      </c>
      <c r="T300" s="160"/>
      <c r="U300" s="160">
        <v>537815.7449060011</v>
      </c>
      <c r="V300" s="160">
        <v>-6.204814440025075E-12</v>
      </c>
      <c r="W300" s="20"/>
      <c r="X300" s="21"/>
      <c r="Y300" s="21"/>
      <c r="Z300" s="21"/>
      <c r="AA300" s="21"/>
      <c r="AB300" s="21"/>
    </row>
    <row r="301" ht="20.25" customHeight="1">
      <c r="A301" s="139"/>
      <c r="B301" s="21"/>
      <c r="C301" s="21"/>
      <c r="D301" s="21"/>
      <c r="E301" s="21"/>
      <c r="F301" s="21"/>
      <c r="G301" s="21"/>
      <c r="H301" s="21"/>
      <c r="I301" s="21"/>
      <c r="J301" s="21"/>
      <c r="K301" s="204"/>
      <c r="L301" s="54"/>
      <c r="M301" s="159">
        <v>45292.508754027775</v>
      </c>
      <c r="N301" s="160">
        <v>1.10505052290991</v>
      </c>
      <c r="O301" s="160">
        <v>539048.0381348566</v>
      </c>
      <c r="P301" s="160">
        <v>487803.97543760354</v>
      </c>
      <c r="Q301" s="160">
        <v>12.609569146499783</v>
      </c>
      <c r="R301" s="160">
        <v>503714.2553609252</v>
      </c>
      <c r="S301" s="161">
        <v>35333.78277393139</v>
      </c>
      <c r="T301" s="160"/>
      <c r="U301" s="160">
        <v>539048.0381348566</v>
      </c>
      <c r="V301" s="160">
        <v>-6.204814440025075E-12</v>
      </c>
      <c r="W301" s="20"/>
      <c r="X301" s="21"/>
      <c r="Y301" s="21"/>
      <c r="Z301" s="21"/>
      <c r="AA301" s="21"/>
      <c r="AB301" s="21"/>
    </row>
    <row r="302" ht="20.25" customHeight="1">
      <c r="A302" s="139"/>
      <c r="B302" s="21"/>
      <c r="C302" s="21"/>
      <c r="D302" s="21"/>
      <c r="E302" s="21"/>
      <c r="F302" s="21"/>
      <c r="G302" s="21"/>
      <c r="H302" s="21"/>
      <c r="I302" s="21"/>
      <c r="J302" s="21"/>
      <c r="K302" s="204"/>
      <c r="L302" s="54"/>
      <c r="M302" s="159">
        <v>45293.5087522338</v>
      </c>
      <c r="N302" s="160">
        <v>1.10018384071978</v>
      </c>
      <c r="O302" s="160">
        <v>575158.611454536</v>
      </c>
      <c r="P302" s="160">
        <v>522784.09313687653</v>
      </c>
      <c r="Q302" s="160">
        <v>12.589645909439648</v>
      </c>
      <c r="R302" s="160">
        <v>538308.3675213723</v>
      </c>
      <c r="S302" s="161">
        <v>36850.24393316375</v>
      </c>
      <c r="T302" s="160"/>
      <c r="U302" s="160">
        <v>575158.611454536</v>
      </c>
      <c r="V302" s="160">
        <v>-6.204814440025075E-12</v>
      </c>
      <c r="W302" s="20"/>
      <c r="X302" s="21"/>
      <c r="Y302" s="21"/>
      <c r="Z302" s="21"/>
      <c r="AA302" s="21"/>
      <c r="AB302" s="21"/>
    </row>
    <row r="303" ht="20.25" customHeight="1">
      <c r="A303" s="139"/>
      <c r="B303" s="21"/>
      <c r="C303" s="21"/>
      <c r="D303" s="21"/>
      <c r="E303" s="21"/>
      <c r="F303" s="21"/>
      <c r="G303" s="21"/>
      <c r="H303" s="21"/>
      <c r="I303" s="21"/>
      <c r="J303" s="21"/>
      <c r="K303" s="204"/>
      <c r="L303" s="54"/>
      <c r="M303" s="159">
        <v>45294.50875141204</v>
      </c>
      <c r="N303" s="160">
        <v>1.0933502438171</v>
      </c>
      <c r="O303" s="160">
        <v>566782.0129164519</v>
      </c>
      <c r="P303" s="160">
        <v>518390.1646536473</v>
      </c>
      <c r="Q303" s="160">
        <v>12.58649280290296</v>
      </c>
      <c r="R303" s="160">
        <v>530601.3455599798</v>
      </c>
      <c r="S303" s="161">
        <v>36180.66735647212</v>
      </c>
      <c r="T303" s="160"/>
      <c r="U303" s="160">
        <v>566782.0129164519</v>
      </c>
      <c r="V303" s="160">
        <v>-6.204814440025075E-12</v>
      </c>
      <c r="W303" s="20"/>
      <c r="X303" s="21"/>
      <c r="Y303" s="21"/>
      <c r="Z303" s="21"/>
      <c r="AA303" s="21"/>
      <c r="AB303" s="21"/>
    </row>
    <row r="304" ht="20.25" customHeight="1">
      <c r="A304" s="139"/>
      <c r="B304" s="21"/>
      <c r="C304" s="21"/>
      <c r="D304" s="21"/>
      <c r="E304" s="21"/>
      <c r="F304" s="21"/>
      <c r="G304" s="21"/>
      <c r="H304" s="21"/>
      <c r="I304" s="21"/>
      <c r="J304" s="21"/>
      <c r="K304" s="204"/>
      <c r="L304" s="54"/>
      <c r="M304" s="159">
        <v>45295.508773946756</v>
      </c>
      <c r="N304" s="160">
        <v>1.09641548884233</v>
      </c>
      <c r="O304" s="160">
        <v>541949.8277927763</v>
      </c>
      <c r="P304" s="160">
        <v>494292.3857861619</v>
      </c>
      <c r="Q304" s="160">
        <v>12.574741421447229</v>
      </c>
      <c r="R304" s="160">
        <v>507828.4631440956</v>
      </c>
      <c r="S304" s="161">
        <v>34121.36464868071</v>
      </c>
      <c r="T304" s="160"/>
      <c r="U304" s="160">
        <v>541949.8277927763</v>
      </c>
      <c r="V304" s="160">
        <v>-6.204814440025075E-12</v>
      </c>
      <c r="W304" s="20"/>
      <c r="X304" s="21"/>
      <c r="Y304" s="21"/>
      <c r="Z304" s="21"/>
      <c r="AA304" s="21"/>
      <c r="AB304" s="21"/>
    </row>
    <row r="305" ht="20.25" customHeight="1">
      <c r="A305" s="139"/>
      <c r="B305" s="21"/>
      <c r="C305" s="21"/>
      <c r="D305" s="21"/>
      <c r="E305" s="21"/>
      <c r="F305" s="21"/>
      <c r="G305" s="21"/>
      <c r="H305" s="21"/>
      <c r="I305" s="21"/>
      <c r="J305" s="21"/>
      <c r="K305" s="204"/>
      <c r="L305" s="54"/>
      <c r="M305" s="159">
        <v>45296.508764143524</v>
      </c>
      <c r="N305" s="160">
        <v>1.09103485747266</v>
      </c>
      <c r="O305" s="160">
        <v>539792.1278131949</v>
      </c>
      <c r="P305" s="160">
        <v>494752.4124605903</v>
      </c>
      <c r="Q305" s="160">
        <v>12.31954983298822</v>
      </c>
      <c r="R305" s="160">
        <v>505305.9000389938</v>
      </c>
      <c r="S305" s="161">
        <v>34486.22777420103</v>
      </c>
      <c r="T305" s="160"/>
      <c r="U305" s="160">
        <v>539792.1278131949</v>
      </c>
      <c r="V305" s="160">
        <v>-6.204814440025075E-12</v>
      </c>
      <c r="W305" s="20"/>
      <c r="X305" s="21"/>
      <c r="Y305" s="21"/>
      <c r="Z305" s="21"/>
      <c r="AA305" s="21"/>
      <c r="AB305" s="21"/>
    </row>
    <row r="306" ht="20.25" customHeight="1">
      <c r="A306" s="139"/>
      <c r="B306" s="21"/>
      <c r="C306" s="21"/>
      <c r="D306" s="21"/>
      <c r="E306" s="21"/>
      <c r="F306" s="21"/>
      <c r="G306" s="21"/>
      <c r="H306" s="21"/>
      <c r="I306" s="21"/>
      <c r="J306" s="21"/>
      <c r="K306" s="204"/>
      <c r="L306" s="54"/>
      <c r="M306" s="159">
        <v>45297.50875282407</v>
      </c>
      <c r="N306" s="160">
        <v>1.09547023059648</v>
      </c>
      <c r="O306" s="160">
        <v>538144.0808768403</v>
      </c>
      <c r="P306" s="160">
        <v>491244.8242284252</v>
      </c>
      <c r="Q306" s="160">
        <v>12.316796770506595</v>
      </c>
      <c r="R306" s="160">
        <v>503875.74512102443</v>
      </c>
      <c r="S306" s="161">
        <v>34268.33575581585</v>
      </c>
      <c r="T306" s="160"/>
      <c r="U306" s="160">
        <v>538144.0808768403</v>
      </c>
      <c r="V306" s="160">
        <v>-6.204814440025075E-12</v>
      </c>
      <c r="W306" s="20"/>
      <c r="X306" s="21"/>
      <c r="Y306" s="21"/>
      <c r="Z306" s="21"/>
      <c r="AA306" s="21"/>
      <c r="AB306" s="21"/>
    </row>
    <row r="307" ht="20.25" customHeight="1">
      <c r="A307" s="139"/>
      <c r="B307" s="21"/>
      <c r="C307" s="21"/>
      <c r="D307" s="21"/>
      <c r="E307" s="21"/>
      <c r="F307" s="21"/>
      <c r="G307" s="21"/>
      <c r="H307" s="21"/>
      <c r="I307" s="21"/>
      <c r="J307" s="21"/>
      <c r="K307" s="204"/>
      <c r="L307" s="54"/>
      <c r="M307" s="159">
        <v>45298.50875878472</v>
      </c>
      <c r="N307" s="160">
        <v>1.09578353453745</v>
      </c>
      <c r="O307" s="160">
        <v>541702.9681325174</v>
      </c>
      <c r="P307" s="160">
        <v>494352.1699850874</v>
      </c>
      <c r="Q307" s="160">
        <v>12.312408547708392</v>
      </c>
      <c r="R307" s="160">
        <v>507388.77917414234</v>
      </c>
      <c r="S307" s="161">
        <v>34314.188958375045</v>
      </c>
      <c r="T307" s="160"/>
      <c r="U307" s="160">
        <v>541702.9681325174</v>
      </c>
      <c r="V307" s="160">
        <v>-6.204814440025075E-12</v>
      </c>
      <c r="W307" s="20"/>
      <c r="X307" s="21"/>
      <c r="Y307" s="21"/>
      <c r="Z307" s="21"/>
      <c r="AA307" s="21"/>
      <c r="AB307" s="21"/>
    </row>
    <row r="308" ht="20.25" customHeight="1">
      <c r="A308" s="139"/>
      <c r="B308" s="21"/>
      <c r="C308" s="21"/>
      <c r="D308" s="21"/>
      <c r="E308" s="21"/>
      <c r="F308" s="21"/>
      <c r="G308" s="21"/>
      <c r="H308" s="21"/>
      <c r="I308" s="21"/>
      <c r="J308" s="21"/>
      <c r="K308" s="204"/>
      <c r="L308" s="54"/>
      <c r="M308" s="159">
        <v>45299.50875371528</v>
      </c>
      <c r="N308" s="160">
        <v>1.09395785199188</v>
      </c>
      <c r="O308" s="160">
        <v>532605.3454134321</v>
      </c>
      <c r="P308" s="160">
        <v>486860.93750656256</v>
      </c>
      <c r="Q308" s="160">
        <v>12.060247018583874</v>
      </c>
      <c r="R308" s="160">
        <v>498459.9044491976</v>
      </c>
      <c r="S308" s="161">
        <v>34145.4409642345</v>
      </c>
      <c r="T308" s="160"/>
      <c r="U308" s="160">
        <v>532605.3454134321</v>
      </c>
      <c r="V308" s="160">
        <v>-6.204814440025075E-12</v>
      </c>
      <c r="W308" s="20"/>
      <c r="X308" s="21"/>
      <c r="Y308" s="21"/>
      <c r="Z308" s="21"/>
      <c r="AA308" s="21"/>
      <c r="AB308" s="21"/>
    </row>
    <row r="309" ht="20.25" customHeight="1">
      <c r="A309" s="139"/>
      <c r="B309" s="21"/>
      <c r="C309" s="21"/>
      <c r="D309" s="21"/>
      <c r="E309" s="21"/>
      <c r="F309" s="21"/>
      <c r="G309" s="21"/>
      <c r="H309" s="21"/>
      <c r="I309" s="21"/>
      <c r="J309" s="21"/>
      <c r="K309" s="204"/>
      <c r="L309" s="54"/>
      <c r="M309" s="159">
        <v>45300.50875577546</v>
      </c>
      <c r="N309" s="160">
        <v>1.09405000902591</v>
      </c>
      <c r="O309" s="160">
        <v>559920.9022300052</v>
      </c>
      <c r="P309" s="160">
        <v>511787.30186980404</v>
      </c>
      <c r="Q309" s="160">
        <v>12.044656303715179</v>
      </c>
      <c r="R309" s="160">
        <v>524702.5570180429</v>
      </c>
      <c r="S309" s="161">
        <v>35218.34521196233</v>
      </c>
      <c r="T309" s="160"/>
      <c r="U309" s="160">
        <v>559920.9022300052</v>
      </c>
      <c r="V309" s="160">
        <v>-6.204814440025075E-12</v>
      </c>
      <c r="W309" s="20"/>
      <c r="X309" s="21"/>
      <c r="Y309" s="21"/>
      <c r="Z309" s="21"/>
      <c r="AA309" s="21"/>
      <c r="AB309" s="21"/>
    </row>
    <row r="310" ht="20.25" customHeight="1">
      <c r="A310" s="139"/>
      <c r="B310" s="21"/>
      <c r="C310" s="21"/>
      <c r="D310" s="21"/>
      <c r="E310" s="21"/>
      <c r="F310" s="21"/>
      <c r="G310" s="21"/>
      <c r="H310" s="21"/>
      <c r="I310" s="21"/>
      <c r="J310" s="21"/>
      <c r="K310" s="204"/>
      <c r="L310" s="54"/>
      <c r="M310" s="159">
        <v>45301.50876027778</v>
      </c>
      <c r="N310" s="160">
        <v>1.09517509659444</v>
      </c>
      <c r="O310" s="160">
        <v>551926.8869773026</v>
      </c>
      <c r="P310" s="160">
        <v>503962.23279142875</v>
      </c>
      <c r="Q310" s="160">
        <v>12.096418901502092</v>
      </c>
      <c r="R310" s="160">
        <v>514998.1218063892</v>
      </c>
      <c r="S310" s="161">
        <v>36928.765170913386</v>
      </c>
      <c r="T310" s="160"/>
      <c r="U310" s="160">
        <v>551926.8869773026</v>
      </c>
      <c r="V310" s="160">
        <v>-6.204814440025075E-12</v>
      </c>
      <c r="W310" s="20"/>
      <c r="X310" s="21"/>
      <c r="Y310" s="21"/>
      <c r="Z310" s="21"/>
      <c r="AA310" s="21"/>
      <c r="AB310" s="21"/>
    </row>
    <row r="311" ht="20.25" customHeight="1">
      <c r="A311" s="139"/>
      <c r="B311" s="21"/>
      <c r="C311" s="21"/>
      <c r="D311" s="21"/>
      <c r="E311" s="21"/>
      <c r="F311" s="21"/>
      <c r="G311" s="21"/>
      <c r="H311" s="21"/>
      <c r="I311" s="21"/>
      <c r="J311" s="21"/>
      <c r="K311" s="204"/>
      <c r="L311" s="54"/>
      <c r="M311" s="159">
        <v>45302.50877112268</v>
      </c>
      <c r="N311" s="160">
        <v>1.0965922299861</v>
      </c>
      <c r="O311" s="160">
        <v>569040.8691764541</v>
      </c>
      <c r="P311" s="160">
        <v>518917.4732559131</v>
      </c>
      <c r="Q311" s="160">
        <v>12.149808928037556</v>
      </c>
      <c r="R311" s="160">
        <v>528633.7943034283</v>
      </c>
      <c r="S311" s="161">
        <v>40407.074873025835</v>
      </c>
      <c r="T311" s="160"/>
      <c r="U311" s="160">
        <v>569040.8691764541</v>
      </c>
      <c r="V311" s="160">
        <v>-6.204814440025075E-12</v>
      </c>
      <c r="W311" s="20"/>
      <c r="X311" s="21"/>
      <c r="Y311" s="21"/>
      <c r="Z311" s="21"/>
      <c r="AA311" s="21"/>
      <c r="AB311" s="21"/>
    </row>
    <row r="312" ht="20.25" customHeight="1">
      <c r="A312" s="139"/>
      <c r="B312" s="21"/>
      <c r="C312" s="21"/>
      <c r="D312" s="21"/>
      <c r="E312" s="21"/>
      <c r="F312" s="21"/>
      <c r="G312" s="21"/>
      <c r="H312" s="21"/>
      <c r="I312" s="21"/>
      <c r="J312" s="21"/>
      <c r="K312" s="204"/>
      <c r="L312" s="54"/>
      <c r="M312" s="159">
        <v>45303.508749201384</v>
      </c>
      <c r="N312" s="160">
        <v>1.09574871413888</v>
      </c>
      <c r="O312" s="160">
        <v>552481.4982229491</v>
      </c>
      <c r="P312" s="160">
        <v>504204.55994523317</v>
      </c>
      <c r="Q312" s="160">
        <v>11.99683728871867</v>
      </c>
      <c r="R312" s="160">
        <v>512138.78298161796</v>
      </c>
      <c r="S312" s="161">
        <v>40342.71524133118</v>
      </c>
      <c r="T312" s="160"/>
      <c r="U312" s="160">
        <v>552481.4982229491</v>
      </c>
      <c r="V312" s="160">
        <v>-6.204814440025075E-12</v>
      </c>
      <c r="W312" s="20"/>
      <c r="X312" s="21"/>
      <c r="Y312" s="21"/>
      <c r="Z312" s="21"/>
      <c r="AA312" s="21"/>
      <c r="AB312" s="21"/>
    </row>
    <row r="313" ht="20.25" customHeight="1">
      <c r="A313" s="139"/>
      <c r="B313" s="21"/>
      <c r="C313" s="21"/>
      <c r="D313" s="21"/>
      <c r="E313" s="21"/>
      <c r="F313" s="21"/>
      <c r="G313" s="21"/>
      <c r="H313" s="21"/>
      <c r="I313" s="21"/>
      <c r="J313" s="21"/>
      <c r="K313" s="204"/>
      <c r="L313" s="54"/>
      <c r="M313" s="159">
        <v>45304.508766631945</v>
      </c>
      <c r="N313" s="160">
        <v>1.09639986141506</v>
      </c>
      <c r="O313" s="160">
        <v>513361.37651920837</v>
      </c>
      <c r="P313" s="160">
        <v>468224.5908501324</v>
      </c>
      <c r="Q313" s="160">
        <v>12.032445097550745</v>
      </c>
      <c r="R313" s="160">
        <v>474466.9838192348</v>
      </c>
      <c r="S313" s="161">
        <v>38894.39269997356</v>
      </c>
      <c r="T313" s="160"/>
      <c r="U313" s="160">
        <v>513361.37651920837</v>
      </c>
      <c r="V313" s="160">
        <v>-6.204814440025075E-12</v>
      </c>
      <c r="W313" s="20"/>
      <c r="X313" s="21"/>
      <c r="Y313" s="21"/>
      <c r="Z313" s="21"/>
      <c r="AA313" s="21"/>
      <c r="AB313" s="21"/>
    </row>
    <row r="314" ht="20.25" customHeight="1">
      <c r="A314" s="139"/>
      <c r="B314" s="21"/>
      <c r="C314" s="21"/>
      <c r="D314" s="21"/>
      <c r="E314" s="21"/>
      <c r="F314" s="21"/>
      <c r="G314" s="21"/>
      <c r="H314" s="21"/>
      <c r="I314" s="21"/>
      <c r="J314" s="21"/>
      <c r="K314" s="204"/>
      <c r="L314" s="54"/>
      <c r="M314" s="159">
        <v>45305.50875756945</v>
      </c>
      <c r="N314" s="160">
        <v>1.09639986141506</v>
      </c>
      <c r="O314" s="160">
        <v>514928.99482008937</v>
      </c>
      <c r="P314" s="160">
        <v>469654.37787952676</v>
      </c>
      <c r="Q314" s="160">
        <v>12.03011968530972</v>
      </c>
      <c r="R314" s="160">
        <v>476007.82697776734</v>
      </c>
      <c r="S314" s="161">
        <v>38921.16784232202</v>
      </c>
      <c r="T314" s="160"/>
      <c r="U314" s="160">
        <v>514928.99482008937</v>
      </c>
      <c r="V314" s="160">
        <v>-6.204814440025075E-12</v>
      </c>
      <c r="W314" s="20"/>
      <c r="X314" s="21"/>
      <c r="Y314" s="21"/>
      <c r="Z314" s="21"/>
      <c r="AA314" s="21"/>
      <c r="AB314" s="21"/>
    </row>
    <row r="315" ht="20.25" customHeight="1">
      <c r="A315" s="139"/>
      <c r="B315" s="21"/>
      <c r="C315" s="21"/>
      <c r="D315" s="21"/>
      <c r="E315" s="21"/>
      <c r="F315" s="21"/>
      <c r="G315" s="21"/>
      <c r="H315" s="21"/>
      <c r="I315" s="21"/>
      <c r="J315" s="21"/>
      <c r="K315" s="204"/>
      <c r="L315" s="54"/>
      <c r="M315" s="159">
        <v>45306.50874789352</v>
      </c>
      <c r="N315" s="160">
        <v>1.09360014260546</v>
      </c>
      <c r="O315" s="160">
        <v>511825.1424077577</v>
      </c>
      <c r="P315" s="160">
        <v>468018.5402942195</v>
      </c>
      <c r="Q315" s="160">
        <v>12.033579994528603</v>
      </c>
      <c r="R315" s="160">
        <v>473002.5277216007</v>
      </c>
      <c r="S315" s="161">
        <v>38822.61468615694</v>
      </c>
      <c r="T315" s="160"/>
      <c r="U315" s="160">
        <v>511825.1424077577</v>
      </c>
      <c r="V315" s="160">
        <v>-6.204814440025075E-12</v>
      </c>
      <c r="W315" s="20"/>
      <c r="X315" s="21"/>
      <c r="Y315" s="21"/>
      <c r="Z315" s="21"/>
      <c r="AA315" s="21"/>
      <c r="AB315" s="21"/>
    </row>
    <row r="316" ht="20.25" customHeight="1">
      <c r="A316" s="139"/>
      <c r="B316" s="21"/>
      <c r="C316" s="21"/>
      <c r="D316" s="21"/>
      <c r="E316" s="21"/>
      <c r="F316" s="21"/>
      <c r="G316" s="21"/>
      <c r="H316" s="21"/>
      <c r="I316" s="21"/>
      <c r="J316" s="21"/>
      <c r="K316" s="204"/>
      <c r="L316" s="54"/>
      <c r="M316" s="159">
        <v>45307.50874929398</v>
      </c>
      <c r="N316" s="160">
        <v>1.08863917925315</v>
      </c>
      <c r="O316" s="160">
        <v>515322.9013569356</v>
      </c>
      <c r="P316" s="160">
        <v>473364.2800826512</v>
      </c>
      <c r="Q316" s="160">
        <v>12.027501364904907</v>
      </c>
      <c r="R316" s="160">
        <v>476475.6634264826</v>
      </c>
      <c r="S316" s="161">
        <v>38847.237930453026</v>
      </c>
      <c r="T316" s="160"/>
      <c r="U316" s="160">
        <v>515322.9013569356</v>
      </c>
      <c r="V316" s="160">
        <v>-6.204814440025075E-12</v>
      </c>
      <c r="W316" s="20"/>
      <c r="X316" s="21"/>
      <c r="Y316" s="21"/>
      <c r="Z316" s="21"/>
      <c r="AA316" s="21"/>
      <c r="AB316" s="21"/>
    </row>
    <row r="317" ht="20.25" customHeight="1">
      <c r="A317" s="139"/>
      <c r="B317" s="21"/>
      <c r="C317" s="21"/>
      <c r="D317" s="21"/>
      <c r="E317" s="21"/>
      <c r="F317" s="21"/>
      <c r="G317" s="21"/>
      <c r="H317" s="21"/>
      <c r="I317" s="21"/>
      <c r="J317" s="21"/>
      <c r="K317" s="204"/>
      <c r="L317" s="54"/>
      <c r="M317" s="159">
        <v>45308.50875209491</v>
      </c>
      <c r="N317" s="160">
        <v>1.08778300034483</v>
      </c>
      <c r="O317" s="160">
        <v>515084.9679419146</v>
      </c>
      <c r="P317" s="160">
        <v>473518.1261139688</v>
      </c>
      <c r="Q317" s="160">
        <v>12.034284464739084</v>
      </c>
      <c r="R317" s="160">
        <v>475987.2259142905</v>
      </c>
      <c r="S317" s="161">
        <v>39097.742027624095</v>
      </c>
      <c r="T317" s="160"/>
      <c r="U317" s="160">
        <v>515084.9679419146</v>
      </c>
      <c r="V317" s="160">
        <v>-6.204814440025075E-12</v>
      </c>
      <c r="W317" s="20"/>
      <c r="X317" s="21"/>
      <c r="Y317" s="21"/>
      <c r="Z317" s="21"/>
      <c r="AA317" s="21"/>
      <c r="AB317" s="21"/>
    </row>
    <row r="318" ht="20.25" customHeight="1">
      <c r="A318" s="139"/>
      <c r="B318" s="21"/>
      <c r="C318" s="21"/>
      <c r="D318" s="21"/>
      <c r="E318" s="21"/>
      <c r="F318" s="21"/>
      <c r="G318" s="21"/>
      <c r="H318" s="21"/>
      <c r="I318" s="21"/>
      <c r="J318" s="21"/>
      <c r="K318" s="204"/>
      <c r="L318" s="54"/>
      <c r="M318" s="159">
        <v>45309.508746875</v>
      </c>
      <c r="N318" s="160">
        <v>1.08894977328066</v>
      </c>
      <c r="O318" s="160">
        <v>510838.2271230688</v>
      </c>
      <c r="P318" s="160">
        <v>469110.9173787469</v>
      </c>
      <c r="Q318" s="160">
        <v>12.030489778648835</v>
      </c>
      <c r="R318" s="160">
        <v>472211.73494857375</v>
      </c>
      <c r="S318" s="161">
        <v>38626.49217449508</v>
      </c>
      <c r="T318" s="160"/>
      <c r="U318" s="160">
        <v>510838.2271230688</v>
      </c>
      <c r="V318" s="160">
        <v>-6.204814440025075E-12</v>
      </c>
      <c r="W318" s="20"/>
      <c r="X318" s="21"/>
      <c r="Y318" s="21"/>
      <c r="Z318" s="21"/>
      <c r="AA318" s="21"/>
      <c r="AB318" s="21"/>
    </row>
    <row r="319" ht="20.25" customHeight="1">
      <c r="A319" s="139"/>
      <c r="B319" s="21"/>
      <c r="C319" s="21"/>
      <c r="D319" s="21"/>
      <c r="E319" s="21"/>
      <c r="F319" s="21"/>
      <c r="G319" s="21"/>
      <c r="H319" s="21"/>
      <c r="I319" s="21"/>
      <c r="J319" s="21"/>
      <c r="K319" s="204"/>
      <c r="L319" s="54"/>
      <c r="M319" s="159">
        <v>45310.50875472222</v>
      </c>
      <c r="N319" s="160">
        <v>1.08778418361797</v>
      </c>
      <c r="O319" s="160">
        <v>498887.71875603835</v>
      </c>
      <c r="P319" s="160">
        <v>458627.4798524261</v>
      </c>
      <c r="Q319" s="160">
        <v>12.040960941152196</v>
      </c>
      <c r="R319" s="160">
        <v>460763.8095436123</v>
      </c>
      <c r="S319" s="161">
        <v>38123.90921242606</v>
      </c>
      <c r="T319" s="160"/>
      <c r="U319" s="160">
        <v>498887.71875603835</v>
      </c>
      <c r="V319" s="160">
        <v>-6.204814440025075E-12</v>
      </c>
      <c r="W319" s="20"/>
      <c r="X319" s="21"/>
      <c r="Y319" s="21"/>
      <c r="Z319" s="21"/>
      <c r="AA319" s="21"/>
      <c r="AB319" s="21"/>
    </row>
    <row r="320" ht="20.25" customHeight="1">
      <c r="A320" s="139"/>
      <c r="B320" s="21"/>
      <c r="C320" s="21"/>
      <c r="D320" s="21"/>
      <c r="E320" s="21"/>
      <c r="F320" s="21"/>
      <c r="G320" s="21"/>
      <c r="H320" s="21"/>
      <c r="I320" s="21"/>
      <c r="J320" s="21"/>
      <c r="K320" s="204"/>
      <c r="L320" s="54"/>
      <c r="M320" s="159">
        <v>45311.50875769676</v>
      </c>
      <c r="N320" s="160">
        <v>1.09045308325609</v>
      </c>
      <c r="O320" s="160">
        <v>498799.92166606605</v>
      </c>
      <c r="P320" s="160">
        <v>457424.46816386713</v>
      </c>
      <c r="Q320" s="160">
        <v>12.032788742513533</v>
      </c>
      <c r="R320" s="160">
        <v>460995.5993692553</v>
      </c>
      <c r="S320" s="161">
        <v>37804.322296810715</v>
      </c>
      <c r="T320" s="160"/>
      <c r="U320" s="160">
        <v>498799.92166606605</v>
      </c>
      <c r="V320" s="160">
        <v>-6.204814440025075E-12</v>
      </c>
      <c r="W320" s="20"/>
      <c r="X320" s="21"/>
      <c r="Y320" s="21"/>
      <c r="Z320" s="21"/>
      <c r="AA320" s="21"/>
      <c r="AB320" s="21"/>
    </row>
    <row r="321" ht="20.25" customHeight="1">
      <c r="A321" s="139"/>
      <c r="B321" s="21"/>
      <c r="C321" s="21"/>
      <c r="D321" s="21"/>
      <c r="E321" s="21"/>
      <c r="F321" s="21"/>
      <c r="G321" s="21"/>
      <c r="H321" s="21"/>
      <c r="I321" s="21"/>
      <c r="J321" s="21"/>
      <c r="K321" s="204"/>
      <c r="L321" s="54"/>
      <c r="M321" s="213">
        <v>45312.50875133101</v>
      </c>
      <c r="N321" s="56">
        <v>1.09045308325609</v>
      </c>
      <c r="O321" s="16">
        <v>502476.64046793524</v>
      </c>
      <c r="P321" s="57">
        <v>460796.20314112125</v>
      </c>
      <c r="Q321" s="55">
        <v>12.030836408656068</v>
      </c>
      <c r="R321" s="16">
        <v>464469.0182511135</v>
      </c>
      <c r="S321" s="17">
        <v>38007.62221682177</v>
      </c>
      <c r="T321" s="16"/>
      <c r="U321" s="16">
        <v>502476.64046793524</v>
      </c>
      <c r="V321" s="16">
        <v>-6.204814440025075E-12</v>
      </c>
      <c r="W321" s="20"/>
      <c r="X321" s="21"/>
      <c r="Y321" s="21"/>
      <c r="Z321" s="21"/>
      <c r="AA321" s="21"/>
      <c r="AB321" s="21"/>
    </row>
    <row r="322" ht="20.25" customHeight="1">
      <c r="A322" s="139"/>
      <c r="B322" s="21"/>
      <c r="C322" s="21"/>
      <c r="D322" s="21"/>
      <c r="E322" s="21"/>
      <c r="F322" s="21"/>
      <c r="G322" s="21"/>
      <c r="H322" s="21"/>
      <c r="I322" s="21"/>
      <c r="J322" s="21"/>
      <c r="K322" s="204"/>
      <c r="L322" s="54"/>
      <c r="M322" s="213">
        <v>45313.50875255787</v>
      </c>
      <c r="N322" s="56">
        <v>1.08900788115004</v>
      </c>
      <c r="O322" s="16">
        <v>482910.9894790546</v>
      </c>
      <c r="P322" s="57">
        <v>443441.2255759613</v>
      </c>
      <c r="Q322" s="55">
        <v>11.828362015788182</v>
      </c>
      <c r="R322" s="16">
        <v>446304.6921883525</v>
      </c>
      <c r="S322" s="17">
        <v>36606.29729070206</v>
      </c>
      <c r="T322" s="16"/>
      <c r="U322" s="16">
        <v>482910.9894790546</v>
      </c>
      <c r="V322" s="16">
        <v>-6.204814440025075E-12</v>
      </c>
      <c r="W322" s="20"/>
      <c r="X322" s="21"/>
      <c r="Y322" s="21"/>
      <c r="Z322" s="21"/>
      <c r="AA322" s="21"/>
      <c r="AB322" s="21"/>
    </row>
    <row r="323" ht="20.25" customHeight="1">
      <c r="A323" s="139"/>
      <c r="B323" s="21"/>
      <c r="C323" s="21"/>
      <c r="D323" s="21"/>
      <c r="E323" s="21"/>
      <c r="F323" s="21"/>
      <c r="G323" s="21"/>
      <c r="H323" s="21"/>
      <c r="I323" s="21"/>
      <c r="J323" s="21"/>
      <c r="K323" s="204"/>
      <c r="L323" s="54"/>
      <c r="M323" s="213">
        <v>45314.50875059028</v>
      </c>
      <c r="N323" s="56">
        <v>1.08829915167081</v>
      </c>
      <c r="O323" s="16">
        <v>459489.72439086053</v>
      </c>
      <c r="P323" s="57">
        <v>422209.02560240857</v>
      </c>
      <c r="Q323" s="55">
        <v>11.810621211420843</v>
      </c>
      <c r="R323" s="16">
        <v>425296.7411509473</v>
      </c>
      <c r="S323" s="17">
        <v>34192.98323991326</v>
      </c>
      <c r="T323" s="16"/>
      <c r="U323" s="16">
        <v>459489.72439086053</v>
      </c>
      <c r="V323" s="16">
        <v>-6.204814440025075E-12</v>
      </c>
      <c r="W323" s="20"/>
      <c r="X323" s="21"/>
      <c r="Y323" s="21"/>
      <c r="Z323" s="21"/>
      <c r="AA323" s="21"/>
      <c r="AB323" s="21"/>
    </row>
    <row r="324" ht="20.25" customHeight="1">
      <c r="A324" s="139"/>
      <c r="B324" s="21"/>
      <c r="C324" s="21"/>
      <c r="D324" s="21"/>
      <c r="E324" s="21"/>
      <c r="F324" s="21"/>
      <c r="G324" s="21"/>
      <c r="H324" s="21"/>
      <c r="I324" s="21"/>
      <c r="J324" s="21"/>
      <c r="K324" s="204"/>
      <c r="L324" s="54"/>
      <c r="M324" s="213">
        <v>45315.50874684028</v>
      </c>
      <c r="N324" s="56">
        <v>1.0900204269828</v>
      </c>
      <c r="O324" s="16">
        <v>474022.82101900346</v>
      </c>
      <c r="P324" s="57">
        <v>434875.1723223287</v>
      </c>
      <c r="Q324" s="55">
        <v>11.788693875760103</v>
      </c>
      <c r="R324" s="16">
        <v>439564.4411691838</v>
      </c>
      <c r="S324" s="17">
        <v>34458.37984981964</v>
      </c>
      <c r="T324" s="16"/>
      <c r="U324" s="16">
        <v>474022.82101900346</v>
      </c>
      <c r="V324" s="16">
        <v>-6.204814440025075E-12</v>
      </c>
      <c r="W324" s="20"/>
      <c r="X324" s="21"/>
      <c r="Y324" s="21"/>
      <c r="Z324" s="21"/>
      <c r="AA324" s="21"/>
      <c r="AB324" s="21"/>
    </row>
    <row r="325" ht="20.25" customHeight="1">
      <c r="A325" s="139"/>
      <c r="B325" s="21"/>
      <c r="C325" s="21"/>
      <c r="D325" s="21"/>
      <c r="E325" s="21"/>
      <c r="F325" s="21"/>
      <c r="G325" s="21"/>
      <c r="H325" s="21"/>
      <c r="I325" s="21"/>
      <c r="J325" s="21"/>
      <c r="K325" s="204"/>
      <c r="L325" s="54"/>
      <c r="M325" s="213">
        <v>45316.508752071764</v>
      </c>
      <c r="N325" s="56">
        <v>1.08963441675683</v>
      </c>
      <c r="O325" s="16">
        <v>472340.3819010958</v>
      </c>
      <c r="P325" s="57">
        <v>433485.18974553136</v>
      </c>
      <c r="Q325" s="55">
        <v>11.786252123692813</v>
      </c>
      <c r="R325" s="16">
        <v>438095.04558283475</v>
      </c>
      <c r="S325" s="17">
        <v>34245.336318261056</v>
      </c>
      <c r="T325" s="16"/>
      <c r="U325" s="16">
        <v>472340.3819010958</v>
      </c>
      <c r="V325" s="16">
        <v>-6.204814440025075E-12</v>
      </c>
      <c r="W325" s="20"/>
      <c r="X325" s="21"/>
      <c r="Y325" s="21"/>
      <c r="Z325" s="21"/>
      <c r="AA325" s="21"/>
      <c r="AB325" s="21"/>
    </row>
    <row r="326" ht="20.25" customHeight="1">
      <c r="A326" s="139"/>
      <c r="B326" s="21"/>
      <c r="C326" s="21"/>
      <c r="D326" s="21"/>
      <c r="E326" s="21"/>
      <c r="F326" s="21"/>
      <c r="G326" s="21"/>
      <c r="H326" s="21"/>
      <c r="I326" s="21"/>
      <c r="J326" s="21"/>
      <c r="K326" s="204"/>
      <c r="L326" s="54"/>
      <c r="M326" s="213">
        <v>45317.50875570602</v>
      </c>
      <c r="N326" s="56">
        <v>1.08575393124355</v>
      </c>
      <c r="O326" s="16">
        <v>480970.7522554997</v>
      </c>
      <c r="P326" s="57">
        <v>442983.20127160667</v>
      </c>
      <c r="Q326" s="55">
        <v>11.773373500542533</v>
      </c>
      <c r="R326" s="16">
        <v>446579.9228160982</v>
      </c>
      <c r="S326" s="17">
        <v>34390.82943940151</v>
      </c>
      <c r="T326" s="16"/>
      <c r="U326" s="16">
        <v>480970.7522554997</v>
      </c>
      <c r="V326" s="16">
        <v>-6.204814440025075E-12</v>
      </c>
      <c r="W326" s="20"/>
      <c r="X326" s="21"/>
      <c r="Y326" s="21"/>
      <c r="Z326" s="21"/>
      <c r="AA326" s="21"/>
      <c r="AB326" s="21"/>
    </row>
    <row r="327" ht="20.25" customHeight="1">
      <c r="A327" s="139"/>
      <c r="B327" s="21"/>
      <c r="C327" s="21"/>
      <c r="D327" s="21"/>
      <c r="E327" s="21"/>
      <c r="F327" s="21"/>
      <c r="G327" s="21"/>
      <c r="H327" s="21"/>
      <c r="I327" s="21"/>
      <c r="J327" s="21"/>
      <c r="K327" s="204"/>
      <c r="L327" s="54"/>
      <c r="M327" s="213">
        <v>45318.5087575</v>
      </c>
      <c r="N327" s="56">
        <v>1.08635784410113</v>
      </c>
      <c r="O327" s="16">
        <v>491128.4206993354</v>
      </c>
      <c r="P327" s="57">
        <v>452087.1491526837</v>
      </c>
      <c r="Q327" s="55">
        <v>11.762923811966456</v>
      </c>
      <c r="R327" s="16">
        <v>456416.38928185066</v>
      </c>
      <c r="S327" s="17">
        <v>34712.03141748474</v>
      </c>
      <c r="T327" s="16"/>
      <c r="U327" s="16">
        <v>491128.4206993354</v>
      </c>
      <c r="V327" s="16">
        <v>-6.204814440025075E-12</v>
      </c>
      <c r="W327" s="20"/>
      <c r="X327" s="21"/>
      <c r="Y327" s="21"/>
      <c r="Z327" s="21"/>
      <c r="AA327" s="21"/>
      <c r="AB327" s="21"/>
    </row>
    <row r="328" ht="20.25" customHeight="1">
      <c r="A328" s="139"/>
      <c r="B328" s="21"/>
      <c r="C328" s="21"/>
      <c r="D328" s="21"/>
      <c r="E328" s="21"/>
      <c r="F328" s="21"/>
      <c r="G328" s="21"/>
      <c r="H328" s="21"/>
      <c r="I328" s="21"/>
      <c r="J328" s="21"/>
      <c r="K328" s="204"/>
      <c r="L328" s="54"/>
      <c r="M328" s="213">
        <v>45319.50875001158</v>
      </c>
      <c r="N328" s="56">
        <v>1.08635784410113</v>
      </c>
      <c r="O328" s="16">
        <v>500762.48011465516</v>
      </c>
      <c r="P328" s="57">
        <v>460955.3682829014</v>
      </c>
      <c r="Q328" s="55">
        <v>11.756938389927532</v>
      </c>
      <c r="R328" s="16">
        <v>465606.44976108853</v>
      </c>
      <c r="S328" s="17">
        <v>35156.030353566624</v>
      </c>
      <c r="T328" s="16"/>
      <c r="U328" s="16">
        <v>500762.48011465516</v>
      </c>
      <c r="V328" s="16">
        <v>-6.204814440025075E-12</v>
      </c>
      <c r="W328" s="20"/>
      <c r="X328" s="21"/>
      <c r="Y328" s="21"/>
      <c r="Z328" s="21"/>
      <c r="AA328" s="21"/>
      <c r="AB328" s="21"/>
    </row>
    <row r="329" ht="20.25" customHeight="1">
      <c r="A329" s="139"/>
      <c r="B329" s="21"/>
      <c r="C329" s="21"/>
      <c r="D329" s="21"/>
      <c r="E329" s="21"/>
      <c r="F329" s="21"/>
      <c r="G329" s="21"/>
      <c r="H329" s="21"/>
      <c r="I329" s="21"/>
      <c r="J329" s="21"/>
      <c r="K329" s="204"/>
      <c r="L329" s="54"/>
      <c r="M329" s="213">
        <v>45320.50876200231</v>
      </c>
      <c r="N329" s="56">
        <v>1.08207776243632</v>
      </c>
      <c r="O329" s="16">
        <v>497763.1919865308</v>
      </c>
      <c r="P329" s="57">
        <v>460006.8583479683</v>
      </c>
      <c r="Q329" s="55">
        <v>11.755630423927673</v>
      </c>
      <c r="R329" s="16">
        <v>462869.2211194646</v>
      </c>
      <c r="S329" s="17">
        <v>34893.97086706615</v>
      </c>
      <c r="T329" s="16"/>
      <c r="U329" s="16">
        <v>497763.1919865308</v>
      </c>
      <c r="V329" s="16">
        <v>-6.204814440025075E-12</v>
      </c>
      <c r="W329" s="20"/>
      <c r="X329" s="21"/>
      <c r="Y329" s="21"/>
      <c r="Z329" s="21"/>
      <c r="AA329" s="21"/>
      <c r="AB329" s="21"/>
    </row>
    <row r="330" ht="20.25" customHeight="1">
      <c r="A330" s="139"/>
      <c r="B330" s="21"/>
      <c r="C330" s="21"/>
      <c r="D330" s="21"/>
      <c r="E330" s="21"/>
      <c r="F330" s="21"/>
      <c r="G330" s="21"/>
      <c r="H330" s="21"/>
      <c r="I330" s="21"/>
      <c r="J330" s="21"/>
      <c r="K330" s="204"/>
      <c r="L330" s="54"/>
      <c r="M330" s="213">
        <v>45321.5087685301</v>
      </c>
      <c r="N330" s="56">
        <v>1.08305047665051</v>
      </c>
      <c r="O330" s="16">
        <v>510474.605966997</v>
      </c>
      <c r="P330" s="57">
        <v>471330.3922322378</v>
      </c>
      <c r="Q330" s="55">
        <v>11.748509147172227</v>
      </c>
      <c r="R330" s="16">
        <v>474977.2750401782</v>
      </c>
      <c r="S330" s="17">
        <v>35497.33092681879</v>
      </c>
      <c r="T330" s="16"/>
      <c r="U330" s="16">
        <v>510474.605966997</v>
      </c>
      <c r="V330" s="16">
        <v>-6.204814440025075E-12</v>
      </c>
      <c r="W330" s="20"/>
      <c r="X330" s="21"/>
      <c r="Y330" s="21"/>
      <c r="Z330" s="21"/>
      <c r="AA330" s="21"/>
      <c r="AB330" s="21"/>
    </row>
    <row r="331" ht="20.25" customHeight="1">
      <c r="A331" s="139"/>
      <c r="B331" s="21"/>
      <c r="C331" s="21"/>
      <c r="D331" s="21"/>
      <c r="E331" s="21"/>
      <c r="F331" s="21"/>
      <c r="G331" s="21"/>
      <c r="H331" s="21"/>
      <c r="I331" s="21"/>
      <c r="J331" s="21"/>
      <c r="K331" s="204"/>
      <c r="L331" s="54"/>
      <c r="M331" s="213">
        <v>45322.50874936343</v>
      </c>
      <c r="N331" s="56">
        <v>1.08255569749064</v>
      </c>
      <c r="O331" s="16">
        <v>499123.8641954535</v>
      </c>
      <c r="P331" s="57">
        <v>461060.67831190646</v>
      </c>
      <c r="Q331" s="55">
        <v>11.758439546230546</v>
      </c>
      <c r="R331" s="16">
        <v>464023.6251372676</v>
      </c>
      <c r="S331" s="17">
        <v>35100.23905818594</v>
      </c>
      <c r="T331" s="16"/>
      <c r="U331" s="16">
        <v>499123.8641954535</v>
      </c>
      <c r="V331" s="16">
        <v>-6.204814440025075E-12</v>
      </c>
      <c r="W331" s="20"/>
      <c r="X331" s="21"/>
      <c r="Y331" s="21"/>
      <c r="Z331" s="21"/>
      <c r="AA331" s="21"/>
      <c r="AB331" s="21"/>
    </row>
    <row r="332" ht="20.25" customHeight="1">
      <c r="A332" s="139"/>
      <c r="B332" s="21"/>
      <c r="C332" s="21"/>
      <c r="D332" s="21"/>
      <c r="E332" s="21"/>
      <c r="F332" s="21"/>
      <c r="G332" s="21"/>
      <c r="H332" s="21"/>
      <c r="I332" s="21"/>
      <c r="J332" s="21"/>
      <c r="K332" s="204"/>
      <c r="L332" s="54"/>
      <c r="M332" s="213">
        <v>45323.50875793981</v>
      </c>
      <c r="N332" s="56">
        <v>1.08082869297548</v>
      </c>
      <c r="O332" s="16">
        <v>490445.84054433956</v>
      </c>
      <c r="P332" s="57">
        <v>453768.3388050709</v>
      </c>
      <c r="Q332" s="55">
        <v>11.62419244938766</v>
      </c>
      <c r="R332" s="16">
        <v>455683.6246272269</v>
      </c>
      <c r="S332" s="17">
        <v>34762.21591711264</v>
      </c>
      <c r="T332" s="16"/>
      <c r="U332" s="16">
        <v>490445.84054433956</v>
      </c>
      <c r="V332" s="16">
        <v>-6.204814440025075E-12</v>
      </c>
      <c r="W332" s="20"/>
      <c r="X332" s="21"/>
      <c r="Y332" s="21"/>
      <c r="Z332" s="21"/>
      <c r="AA332" s="21"/>
      <c r="AB332" s="21"/>
    </row>
    <row r="333" ht="20.25" customHeight="1">
      <c r="A333" s="139"/>
      <c r="B333" s="21"/>
      <c r="C333" s="21"/>
      <c r="D333" s="21"/>
      <c r="E333" s="21"/>
      <c r="F333" s="21"/>
      <c r="G333" s="21"/>
      <c r="H333" s="21"/>
      <c r="I333" s="21"/>
      <c r="J333" s="21"/>
      <c r="K333" s="204"/>
      <c r="L333" s="54"/>
      <c r="M333" s="213">
        <v>45324.50876203703</v>
      </c>
      <c r="N333" s="56">
        <v>1.0891644474941</v>
      </c>
      <c r="O333" s="16">
        <v>500444.078580163</v>
      </c>
      <c r="P333" s="57">
        <v>459475.2240872</v>
      </c>
      <c r="Q333" s="55">
        <v>11.622987660415253</v>
      </c>
      <c r="R333" s="16">
        <v>465021.39660669497</v>
      </c>
      <c r="S333" s="17">
        <v>35422.68197346806</v>
      </c>
      <c r="T333" s="16"/>
      <c r="U333" s="16">
        <v>500444.078580163</v>
      </c>
      <c r="V333" s="16">
        <v>-6.204814440025075E-12</v>
      </c>
      <c r="W333" s="20"/>
      <c r="X333" s="21"/>
      <c r="Y333" s="21"/>
      <c r="Z333" s="21"/>
      <c r="AA333" s="21"/>
      <c r="AB333" s="21"/>
    </row>
    <row r="334" ht="20.25" customHeight="1">
      <c r="A334" s="139"/>
      <c r="B334" s="21"/>
      <c r="C334" s="21"/>
      <c r="D334" s="21"/>
      <c r="E334" s="21"/>
      <c r="F334" s="21"/>
      <c r="G334" s="21"/>
      <c r="H334" s="21"/>
      <c r="I334" s="21"/>
      <c r="J334" s="21"/>
      <c r="K334" s="204"/>
      <c r="L334" s="54"/>
      <c r="M334" s="213">
        <v>45325.50875359954</v>
      </c>
      <c r="N334" s="56">
        <v>1.07985529938988</v>
      </c>
      <c r="O334" s="16">
        <v>500332.73827760207</v>
      </c>
      <c r="P334" s="57">
        <v>463333.13228197413</v>
      </c>
      <c r="Q334" s="55">
        <v>11.624419361057617</v>
      </c>
      <c r="R334" s="16">
        <v>464860.6764697556</v>
      </c>
      <c r="S334" s="17">
        <v>35472.06180784646</v>
      </c>
      <c r="T334" s="16"/>
      <c r="U334" s="16">
        <v>500332.73827760207</v>
      </c>
      <c r="V334" s="16">
        <v>-6.204814440025075E-12</v>
      </c>
      <c r="W334" s="20"/>
      <c r="X334" s="21"/>
      <c r="Y334" s="21"/>
      <c r="Z334" s="21"/>
      <c r="AA334" s="21"/>
      <c r="AB334" s="21"/>
    </row>
    <row r="335" ht="20.25" customHeight="1">
      <c r="A335" s="139"/>
      <c r="B335" s="21"/>
      <c r="C335" s="21"/>
      <c r="D335" s="21"/>
      <c r="E335" s="21"/>
      <c r="F335" s="21"/>
      <c r="G335" s="21"/>
      <c r="H335" s="21"/>
      <c r="I335" s="21"/>
      <c r="J335" s="21"/>
      <c r="K335" s="204"/>
      <c r="L335" s="54"/>
      <c r="M335" s="213">
        <v>45326.50875818287</v>
      </c>
      <c r="N335" s="56">
        <v>1.08067801738811</v>
      </c>
      <c r="O335" s="16">
        <v>499305.4686454461</v>
      </c>
      <c r="P335" s="57">
        <v>462029.81888372</v>
      </c>
      <c r="Q335" s="55">
        <v>11.621904227262213</v>
      </c>
      <c r="R335" s="16">
        <v>464006.6325602357</v>
      </c>
      <c r="S335" s="17">
        <v>35298.836085210416</v>
      </c>
      <c r="T335" s="16"/>
      <c r="U335" s="16">
        <v>499305.4686454461</v>
      </c>
      <c r="V335" s="16">
        <v>-6.204814440025075E-12</v>
      </c>
      <c r="W335" s="20"/>
      <c r="X335" s="21"/>
      <c r="Y335" s="21"/>
      <c r="Z335" s="21"/>
      <c r="AA335" s="21"/>
      <c r="AB335" s="21"/>
    </row>
    <row r="336" ht="20.25" customHeight="1">
      <c r="A336" s="139"/>
      <c r="B336" s="21"/>
      <c r="C336" s="21"/>
      <c r="D336" s="21"/>
      <c r="E336" s="21"/>
      <c r="F336" s="21"/>
      <c r="G336" s="21"/>
      <c r="H336" s="21"/>
      <c r="I336" s="21"/>
      <c r="J336" s="21"/>
      <c r="K336" s="204"/>
      <c r="L336" s="54"/>
      <c r="M336" s="213">
        <v>45327.50907670139</v>
      </c>
      <c r="N336" s="56">
        <v>1.07520754193578</v>
      </c>
      <c r="O336" s="16">
        <v>500922.35423752805</v>
      </c>
      <c r="P336" s="57">
        <v>465884.33832567657</v>
      </c>
      <c r="Q336" s="55">
        <v>11.62747121237153</v>
      </c>
      <c r="R336" s="16">
        <v>465286.3351363766</v>
      </c>
      <c r="S336" s="17">
        <v>35636.019101151454</v>
      </c>
      <c r="T336" s="16"/>
      <c r="U336" s="16">
        <v>500922.35423752805</v>
      </c>
      <c r="V336" s="16">
        <v>-6.204814440025075E-12</v>
      </c>
      <c r="W336" s="20"/>
      <c r="X336" s="21"/>
      <c r="Y336" s="21"/>
      <c r="Z336" s="21"/>
      <c r="AA336" s="21"/>
      <c r="AB336" s="21"/>
    </row>
    <row r="337" ht="20.25" customHeight="1">
      <c r="A337" s="139"/>
      <c r="B337" s="21"/>
      <c r="C337" s="21"/>
      <c r="D337" s="21"/>
      <c r="E337" s="21"/>
      <c r="F337" s="21"/>
      <c r="G337" s="21"/>
      <c r="H337" s="21"/>
      <c r="I337" s="21"/>
      <c r="J337" s="21"/>
      <c r="K337" s="204"/>
      <c r="L337" s="54"/>
      <c r="M337" s="213">
        <v>45328.50877571759</v>
      </c>
      <c r="N337" s="56">
        <v>1.07331146640106</v>
      </c>
      <c r="O337" s="16">
        <v>497431.06292546657</v>
      </c>
      <c r="P337" s="57">
        <v>463454.5316034046</v>
      </c>
      <c r="Q337" s="55">
        <v>11.634233965321684</v>
      </c>
      <c r="R337" s="16">
        <v>461774.8402826363</v>
      </c>
      <c r="S337" s="17">
        <v>35656.22264283029</v>
      </c>
      <c r="T337" s="16"/>
      <c r="U337" s="16">
        <v>497431.06292546657</v>
      </c>
      <c r="V337" s="16">
        <v>-6.204814440025075E-12</v>
      </c>
      <c r="W337" s="20"/>
      <c r="X337" s="21"/>
      <c r="Y337" s="21"/>
      <c r="Z337" s="21"/>
      <c r="AA337" s="21"/>
      <c r="AB337" s="21"/>
    </row>
    <row r="338" ht="20.25" customHeight="1">
      <c r="A338" s="139"/>
      <c r="B338" s="21"/>
      <c r="C338" s="21"/>
      <c r="D338" s="21"/>
      <c r="E338" s="21"/>
      <c r="F338" s="21"/>
      <c r="G338" s="21"/>
      <c r="H338" s="21"/>
      <c r="I338" s="21"/>
      <c r="J338" s="21"/>
      <c r="K338" s="204"/>
      <c r="L338" s="54"/>
      <c r="M338" s="213">
        <v>45329.50875488426</v>
      </c>
      <c r="N338" s="56">
        <v>1.07656416699233</v>
      </c>
      <c r="O338" s="16">
        <v>499639.6377135999</v>
      </c>
      <c r="P338" s="57">
        <v>464105.7663190452</v>
      </c>
      <c r="Q338" s="55">
        <v>11.642942326784684</v>
      </c>
      <c r="R338" s="16">
        <v>463478.18392163917</v>
      </c>
      <c r="S338" s="17">
        <v>36161.453791960725</v>
      </c>
      <c r="T338" s="16"/>
      <c r="U338" s="16">
        <v>499639.6377135999</v>
      </c>
      <c r="V338" s="16">
        <v>-6.204814440025075E-12</v>
      </c>
      <c r="W338" s="20"/>
      <c r="X338" s="21"/>
      <c r="Y338" s="21"/>
      <c r="Z338" s="21"/>
      <c r="AA338" s="21"/>
      <c r="AB338" s="21"/>
    </row>
    <row r="339" ht="20.25" customHeight="1">
      <c r="A339" s="139"/>
      <c r="B339" s="21"/>
      <c r="C339" s="21"/>
      <c r="D339" s="21"/>
      <c r="E339" s="21"/>
      <c r="F339" s="21"/>
      <c r="G339" s="21"/>
      <c r="H339" s="21"/>
      <c r="I339" s="21"/>
      <c r="J339" s="21"/>
      <c r="K339" s="204"/>
      <c r="L339" s="54"/>
      <c r="M339" s="213">
        <v>45330.508766134255</v>
      </c>
      <c r="N339" s="56">
        <v>1.07818339036923</v>
      </c>
      <c r="O339" s="16">
        <v>520784.68997675274</v>
      </c>
      <c r="P339" s="57">
        <v>483020.5089677806</v>
      </c>
      <c r="Q339" s="55">
        <v>11.629443802668998</v>
      </c>
      <c r="R339" s="16">
        <v>483653.5969299537</v>
      </c>
      <c r="S339" s="17">
        <v>37131.09304679902</v>
      </c>
      <c r="T339" s="16"/>
      <c r="U339" s="16">
        <v>520784.68997675274</v>
      </c>
      <c r="V339" s="16">
        <v>-6.204814440025075E-12</v>
      </c>
      <c r="W339" s="20"/>
      <c r="X339" s="21"/>
      <c r="Y339" s="21"/>
      <c r="Z339" s="21"/>
      <c r="AA339" s="21"/>
      <c r="AB339" s="21"/>
    </row>
    <row r="340" ht="20.25" customHeight="1">
      <c r="A340" s="139"/>
      <c r="B340" s="21"/>
      <c r="C340" s="21"/>
      <c r="D340" s="21"/>
      <c r="E340" s="21"/>
      <c r="F340" s="21"/>
      <c r="G340" s="21"/>
      <c r="H340" s="21"/>
      <c r="I340" s="21"/>
      <c r="J340" s="21"/>
      <c r="K340" s="204"/>
      <c r="L340" s="54"/>
      <c r="M340" s="213">
        <v>45331.508756689815</v>
      </c>
      <c r="N340" s="56">
        <v>1.07634979646225</v>
      </c>
      <c r="O340" s="16">
        <v>542988.888681724</v>
      </c>
      <c r="P340" s="57">
        <v>504472.51485197624</v>
      </c>
      <c r="Q340" s="55">
        <v>11.623100000132487</v>
      </c>
      <c r="R340" s="16">
        <v>504549.902145301</v>
      </c>
      <c r="S340" s="17">
        <v>38438.986536423035</v>
      </c>
      <c r="T340" s="16"/>
      <c r="U340" s="16">
        <v>542988.888681724</v>
      </c>
      <c r="V340" s="16">
        <v>-6.204814440025075E-12</v>
      </c>
      <c r="W340" s="20"/>
      <c r="X340" s="21"/>
      <c r="Y340" s="21"/>
      <c r="Z340" s="21"/>
      <c r="AA340" s="21"/>
      <c r="AB340" s="21"/>
    </row>
    <row r="341" ht="20.25" customHeight="1">
      <c r="A341" s="139"/>
      <c r="B341" s="21"/>
      <c r="C341" s="21"/>
      <c r="D341" s="21"/>
      <c r="E341" s="21"/>
      <c r="F341" s="21"/>
      <c r="G341" s="21"/>
      <c r="H341" s="21"/>
      <c r="I341" s="21"/>
      <c r="J341" s="21"/>
      <c r="K341" s="204"/>
      <c r="L341" s="54"/>
      <c r="M341" s="213">
        <v>45332.50874950232</v>
      </c>
      <c r="N341" s="56">
        <v>1.07845780533837</v>
      </c>
      <c r="O341" s="16">
        <v>546492.723361806</v>
      </c>
      <c r="P341" s="57">
        <v>506735.37773723283</v>
      </c>
      <c r="Q341" s="55">
        <v>11.6209904937815</v>
      </c>
      <c r="R341" s="16">
        <v>484379.444651797</v>
      </c>
      <c r="S341" s="17">
        <v>62113.27871000903</v>
      </c>
      <c r="T341" s="16"/>
      <c r="U341" s="16">
        <v>546492.723361806</v>
      </c>
      <c r="V341" s="16">
        <v>-6.204814440025075E-12</v>
      </c>
      <c r="W341" s="20"/>
      <c r="X341" s="21"/>
      <c r="Y341" s="21"/>
      <c r="Z341" s="21"/>
      <c r="AA341" s="21"/>
      <c r="AB341" s="21"/>
    </row>
    <row r="342" ht="20.25" customHeight="1">
      <c r="A342" s="139"/>
      <c r="B342" s="21"/>
      <c r="C342" s="21"/>
      <c r="D342" s="21"/>
      <c r="E342" s="21"/>
      <c r="F342" s="21"/>
      <c r="G342" s="21"/>
      <c r="H342" s="21"/>
      <c r="I342" s="21"/>
      <c r="J342" s="21"/>
      <c r="K342" s="204"/>
      <c r="L342" s="54"/>
      <c r="M342" s="213">
        <v>45333.50876315973</v>
      </c>
      <c r="N342" s="56">
        <v>1.07845780533837</v>
      </c>
      <c r="O342" s="16">
        <v>559871.1584515595</v>
      </c>
      <c r="P342" s="57">
        <v>519140.53167420666</v>
      </c>
      <c r="Q342" s="55">
        <v>11.611334283825169</v>
      </c>
      <c r="R342" s="16">
        <v>496649.9938902957</v>
      </c>
      <c r="S342" s="17">
        <v>63221.16456126375</v>
      </c>
      <c r="T342" s="16"/>
      <c r="U342" s="16">
        <v>559871.1584515595</v>
      </c>
      <c r="V342" s="16">
        <v>-6.204814440025075E-12</v>
      </c>
      <c r="W342" s="20"/>
      <c r="X342" s="21"/>
      <c r="Y342" s="21"/>
      <c r="Z342" s="21"/>
      <c r="AA342" s="21"/>
      <c r="AB342" s="21"/>
    </row>
    <row r="343" ht="20.25" customHeight="1">
      <c r="A343" s="139"/>
      <c r="B343" s="21"/>
      <c r="C343" s="21"/>
      <c r="D343" s="21"/>
      <c r="E343" s="21"/>
      <c r="F343" s="21"/>
      <c r="G343" s="21"/>
      <c r="H343" s="21"/>
      <c r="I343" s="21"/>
      <c r="J343" s="21"/>
      <c r="K343" s="204"/>
      <c r="L343" s="54"/>
      <c r="M343" s="213">
        <v>45334.50875221065</v>
      </c>
      <c r="N343" s="56">
        <v>1.07686210996054</v>
      </c>
      <c r="O343" s="16">
        <v>555406.0271479073</v>
      </c>
      <c r="P343" s="57">
        <v>515763.36655420007</v>
      </c>
      <c r="Q343" s="55">
        <v>11.597928638986684</v>
      </c>
      <c r="R343" s="16">
        <v>493258.551573271</v>
      </c>
      <c r="S343" s="17">
        <v>62147.475574636366</v>
      </c>
      <c r="T343" s="16"/>
      <c r="U343" s="16">
        <v>555406.0271479073</v>
      </c>
      <c r="V343" s="16">
        <v>-6.204814440025075E-12</v>
      </c>
      <c r="W343" s="20"/>
      <c r="X343" s="21"/>
      <c r="Y343" s="21"/>
      <c r="Z343" s="21"/>
      <c r="AA343" s="21"/>
      <c r="AB343" s="21"/>
    </row>
    <row r="344" ht="20.25" customHeight="1">
      <c r="A344" s="139"/>
      <c r="B344" s="21"/>
      <c r="C344" s="21"/>
      <c r="D344" s="21"/>
      <c r="E344" s="21"/>
      <c r="F344" s="21"/>
      <c r="G344" s="21"/>
      <c r="H344" s="21"/>
      <c r="I344" s="21"/>
      <c r="J344" s="21"/>
      <c r="K344" s="204"/>
      <c r="L344" s="54"/>
      <c r="M344" s="213">
        <v>45335.508753807866</v>
      </c>
      <c r="N344" s="56">
        <v>1.07743643394399</v>
      </c>
      <c r="O344" s="16">
        <v>580168.2924943327</v>
      </c>
      <c r="P344" s="57">
        <v>538471.0171444718</v>
      </c>
      <c r="Q344" s="55">
        <v>11.642863188900247</v>
      </c>
      <c r="R344" s="16">
        <v>513261.4693863538</v>
      </c>
      <c r="S344" s="17">
        <v>66906.82310797891</v>
      </c>
      <c r="T344" s="16"/>
      <c r="U344" s="16">
        <v>580168.2924943327</v>
      </c>
      <c r="V344" s="16">
        <v>-6.204814440025075E-12</v>
      </c>
      <c r="W344" s="20"/>
      <c r="X344" s="21"/>
      <c r="Y344" s="21"/>
      <c r="Z344" s="21"/>
      <c r="AA344" s="21"/>
      <c r="AB344" s="21"/>
    </row>
    <row r="345" ht="20.25" customHeight="1">
      <c r="A345" s="139"/>
      <c r="B345" s="21"/>
      <c r="C345" s="21"/>
      <c r="D345" s="21"/>
      <c r="E345" s="21"/>
      <c r="F345" s="21"/>
      <c r="G345" s="21"/>
      <c r="H345" s="21"/>
      <c r="I345" s="21"/>
      <c r="J345" s="21"/>
      <c r="K345" s="204"/>
      <c r="L345" s="54"/>
      <c r="M345" s="213">
        <v>45336.50876282407</v>
      </c>
      <c r="N345" s="56">
        <v>1.06985397563087</v>
      </c>
      <c r="O345" s="16">
        <v>594659.0064548019</v>
      </c>
      <c r="P345" s="57">
        <v>555831.9359463465</v>
      </c>
      <c r="Q345" s="55">
        <v>11.634890782163671</v>
      </c>
      <c r="R345" s="16">
        <v>526052.0764152174</v>
      </c>
      <c r="S345" s="17">
        <v>68606.93003958453</v>
      </c>
      <c r="T345" s="16"/>
      <c r="U345" s="16">
        <v>594659.0064548019</v>
      </c>
      <c r="V345" s="16">
        <v>-6.204814440025075E-12</v>
      </c>
      <c r="W345" s="20"/>
      <c r="X345" s="21"/>
      <c r="Y345" s="21"/>
      <c r="Z345" s="21"/>
      <c r="AA345" s="21"/>
      <c r="AB345" s="21"/>
    </row>
    <row r="346" ht="20.25" customHeight="1">
      <c r="A346" s="139"/>
      <c r="B346" s="21"/>
      <c r="C346" s="21"/>
      <c r="D346" s="21"/>
      <c r="E346" s="21"/>
      <c r="F346" s="21"/>
      <c r="G346" s="21"/>
      <c r="H346" s="21"/>
      <c r="I346" s="21"/>
      <c r="J346" s="21"/>
      <c r="K346" s="204"/>
      <c r="L346" s="54"/>
      <c r="M346" s="213">
        <v>45337.50878674768</v>
      </c>
      <c r="N346" s="56">
        <v>1.07311451097635</v>
      </c>
      <c r="O346" s="16">
        <v>608606.8336326999</v>
      </c>
      <c r="P346" s="57">
        <v>567140.6242368041</v>
      </c>
      <c r="Q346" s="55">
        <v>11.633170816186592</v>
      </c>
      <c r="R346" s="16">
        <v>538470.3176357185</v>
      </c>
      <c r="S346" s="17">
        <v>70136.51599698137</v>
      </c>
      <c r="T346" s="16"/>
      <c r="U346" s="16">
        <v>608606.8336326999</v>
      </c>
      <c r="V346" s="16">
        <v>-6.204814440025075E-12</v>
      </c>
      <c r="W346" s="20"/>
      <c r="X346" s="21"/>
      <c r="Y346" s="21"/>
      <c r="Z346" s="21"/>
      <c r="AA346" s="21"/>
      <c r="AB346" s="21"/>
    </row>
    <row r="347" ht="20.25" customHeight="1">
      <c r="A347" s="139"/>
      <c r="B347" s="21"/>
      <c r="C347" s="21"/>
      <c r="D347" s="21"/>
      <c r="E347" s="21"/>
      <c r="F347" s="21"/>
      <c r="G347" s="21"/>
      <c r="H347" s="21"/>
      <c r="I347" s="21"/>
      <c r="J347" s="21"/>
      <c r="K347" s="204"/>
      <c r="L347" s="54"/>
      <c r="M347" s="213">
        <v>45338.50875015046</v>
      </c>
      <c r="N347" s="56">
        <v>1.07648420259433</v>
      </c>
      <c r="O347" s="16">
        <v>654142.1966324574</v>
      </c>
      <c r="P347" s="57">
        <v>607665.3935617196</v>
      </c>
      <c r="Q347" s="55">
        <v>12.515807539287014</v>
      </c>
      <c r="R347" s="16">
        <v>479403.2581463879</v>
      </c>
      <c r="S347" s="17">
        <v>174738.93848606956</v>
      </c>
      <c r="T347" s="16"/>
      <c r="U347" s="16">
        <v>654142.1966324574</v>
      </c>
      <c r="V347" s="16">
        <v>-6.204814440025075E-12</v>
      </c>
      <c r="W347" s="20"/>
      <c r="X347" s="21"/>
      <c r="Y347" s="21"/>
      <c r="Z347" s="21"/>
      <c r="AA347" s="21"/>
      <c r="AB347" s="21"/>
    </row>
    <row r="348" ht="20.25" customHeight="1">
      <c r="A348" s="139"/>
      <c r="B348" s="21"/>
      <c r="C348" s="21"/>
      <c r="D348" s="21"/>
      <c r="E348" s="21"/>
      <c r="F348" s="21"/>
      <c r="G348" s="21"/>
      <c r="H348" s="21"/>
      <c r="I348" s="21"/>
      <c r="J348" s="21"/>
      <c r="K348" s="204"/>
      <c r="L348" s="54"/>
      <c r="M348" s="213">
        <v>45339.508751354166</v>
      </c>
      <c r="N348" s="56">
        <v>1.07769072431594</v>
      </c>
      <c r="O348" s="16">
        <v>646110.200077575</v>
      </c>
      <c r="P348" s="57">
        <v>599532.1157539804</v>
      </c>
      <c r="Q348" s="55">
        <v>12.495479312200322</v>
      </c>
      <c r="R348" s="16">
        <v>474287.162655704</v>
      </c>
      <c r="S348" s="17">
        <v>171823.03742187103</v>
      </c>
      <c r="T348" s="16"/>
      <c r="U348" s="16">
        <v>646110.200077575</v>
      </c>
      <c r="V348" s="16">
        <v>-6.204814440025075E-12</v>
      </c>
      <c r="W348" s="20"/>
      <c r="X348" s="21"/>
      <c r="Y348" s="21"/>
      <c r="Z348" s="21"/>
      <c r="AA348" s="21"/>
      <c r="AB348" s="21"/>
    </row>
    <row r="349" ht="20.25" customHeight="1">
      <c r="A349" s="139"/>
      <c r="B349" s="21"/>
      <c r="C349" s="21"/>
      <c r="D349" s="21"/>
      <c r="E349" s="21"/>
      <c r="F349" s="21"/>
      <c r="G349" s="21"/>
      <c r="H349" s="21"/>
      <c r="I349" s="21"/>
      <c r="J349" s="21"/>
      <c r="K349" s="204"/>
      <c r="L349" s="54"/>
      <c r="M349" s="213">
        <v>45340.50875361111</v>
      </c>
      <c r="N349" s="56">
        <v>1.07769072431594</v>
      </c>
      <c r="O349" s="16">
        <v>648664.5829086824</v>
      </c>
      <c r="P349" s="57">
        <v>601902.3531267932</v>
      </c>
      <c r="Q349" s="55">
        <v>12.523336951401525</v>
      </c>
      <c r="R349" s="16">
        <v>475103.04378993146</v>
      </c>
      <c r="S349" s="17">
        <v>173561.53911875095</v>
      </c>
      <c r="T349" s="16"/>
      <c r="U349" s="16">
        <v>648664.5829086824</v>
      </c>
      <c r="V349" s="16">
        <v>-6.204814440025075E-12</v>
      </c>
      <c r="W349" s="20"/>
      <c r="X349" s="21"/>
      <c r="Y349" s="21"/>
      <c r="Z349" s="21"/>
      <c r="AA349" s="21"/>
      <c r="AB349" s="21"/>
    </row>
    <row r="350" ht="20.25" customHeight="1">
      <c r="A350" s="139"/>
      <c r="B350" s="21"/>
      <c r="C350" s="21"/>
      <c r="D350" s="21"/>
      <c r="E350" s="21"/>
      <c r="F350" s="21"/>
      <c r="G350" s="21"/>
      <c r="H350" s="21"/>
      <c r="I350" s="21"/>
      <c r="J350" s="21"/>
      <c r="K350" s="204"/>
      <c r="L350" s="54"/>
      <c r="M350" s="213">
        <v>45341.508752430556</v>
      </c>
      <c r="N350" s="56">
        <v>1.0775536945006</v>
      </c>
      <c r="O350" s="16">
        <v>660030.2387889177</v>
      </c>
      <c r="P350" s="57">
        <v>612526.5424428</v>
      </c>
      <c r="Q350" s="55">
        <v>12.608602573424209</v>
      </c>
      <c r="R350" s="16">
        <v>480158.44266787317</v>
      </c>
      <c r="S350" s="17">
        <v>179871.79612104443</v>
      </c>
      <c r="T350" s="16"/>
      <c r="U350" s="16">
        <v>660030.2387889177</v>
      </c>
      <c r="V350" s="16">
        <v>-6.204814440025075E-12</v>
      </c>
      <c r="W350" s="20"/>
      <c r="X350" s="21"/>
      <c r="Y350" s="21"/>
      <c r="Z350" s="21"/>
      <c r="AA350" s="21"/>
      <c r="AB350" s="21"/>
    </row>
    <row r="351" ht="20.25" customHeight="1">
      <c r="A351" s="139"/>
      <c r="B351" s="21"/>
      <c r="C351" s="21"/>
      <c r="D351" s="21"/>
      <c r="E351" s="21"/>
      <c r="F351" s="21"/>
      <c r="G351" s="21"/>
      <c r="H351" s="21"/>
      <c r="I351" s="21"/>
      <c r="J351" s="21"/>
      <c r="K351" s="204"/>
      <c r="L351" s="54"/>
      <c r="M351" s="213">
        <v>45342.50874917824</v>
      </c>
      <c r="N351" s="56">
        <v>1.0799147731261</v>
      </c>
      <c r="O351" s="16">
        <v>667051.3433639342</v>
      </c>
      <c r="P351" s="57">
        <v>617688.8769036625</v>
      </c>
      <c r="Q351" s="55">
        <v>12.754988176680854</v>
      </c>
      <c r="R351" s="16">
        <v>427728.717222965</v>
      </c>
      <c r="S351" s="17">
        <v>229329.71875096927</v>
      </c>
      <c r="T351" s="16"/>
      <c r="U351" s="16">
        <v>667051.3433639342</v>
      </c>
      <c r="V351" s="16">
        <v>9992.907389999995</v>
      </c>
      <c r="W351" s="20"/>
      <c r="X351" s="21"/>
      <c r="Y351" s="21"/>
      <c r="Z351" s="21"/>
      <c r="AA351" s="21"/>
      <c r="AB351" s="21"/>
    </row>
    <row r="352" ht="20.25" customHeight="1">
      <c r="A352" s="139"/>
      <c r="B352" s="21"/>
      <c r="C352" s="21"/>
      <c r="D352" s="21"/>
      <c r="E352" s="21"/>
      <c r="F352" s="21"/>
      <c r="G352" s="21"/>
      <c r="H352" s="21"/>
      <c r="I352" s="21"/>
      <c r="J352" s="21"/>
      <c r="K352" s="204"/>
      <c r="L352" s="54"/>
      <c r="M352" s="213">
        <v>45343.50877822917</v>
      </c>
      <c r="N352" s="56">
        <v>1.07993459916067</v>
      </c>
      <c r="O352" s="16">
        <v>656621.686285692</v>
      </c>
      <c r="P352" s="57">
        <v>608019.8623102005</v>
      </c>
      <c r="Q352" s="55">
        <v>12.787982609484013</v>
      </c>
      <c r="R352" s="16">
        <v>422398.75388512475</v>
      </c>
      <c r="S352" s="17">
        <v>228625.9350105673</v>
      </c>
      <c r="T352" s="16"/>
      <c r="U352" s="16">
        <v>656621.686285692</v>
      </c>
      <c r="V352" s="16">
        <v>5596.997389999994</v>
      </c>
      <c r="W352" s="20"/>
      <c r="X352" s="21"/>
      <c r="Y352" s="21"/>
      <c r="Z352" s="21"/>
      <c r="AA352" s="21"/>
      <c r="AB352" s="21"/>
    </row>
    <row r="353" ht="20.25" customHeight="1">
      <c r="A353" s="139"/>
      <c r="B353" s="21"/>
      <c r="C353" s="21"/>
      <c r="D353" s="21"/>
      <c r="E353" s="21"/>
      <c r="F353" s="21"/>
      <c r="G353" s="21"/>
      <c r="H353" s="21"/>
      <c r="I353" s="21"/>
      <c r="J353" s="21"/>
      <c r="K353" s="204"/>
      <c r="L353" s="54"/>
      <c r="M353" s="213">
        <v>45344.50875799768</v>
      </c>
      <c r="N353" s="56">
        <v>1.08527199086635</v>
      </c>
      <c r="O353" s="16">
        <v>664346.174561946</v>
      </c>
      <c r="P353" s="57">
        <v>612147.1669342653</v>
      </c>
      <c r="Q353" s="55">
        <v>12.867638994462606</v>
      </c>
      <c r="R353" s="16">
        <v>424952.5649500282</v>
      </c>
      <c r="S353" s="17">
        <v>233796.61222191772</v>
      </c>
      <c r="T353" s="16"/>
      <c r="U353" s="16">
        <v>664346.174561946</v>
      </c>
      <c r="V353" s="16">
        <v>5596.997389999994</v>
      </c>
      <c r="W353" s="20"/>
      <c r="X353" s="21"/>
      <c r="Y353" s="21"/>
      <c r="Z353" s="21"/>
      <c r="AA353" s="21"/>
      <c r="AB353" s="21"/>
    </row>
    <row r="354" ht="20.25" customHeight="1">
      <c r="A354" s="139"/>
      <c r="B354" s="21"/>
      <c r="C354" s="21"/>
      <c r="D354" s="21"/>
      <c r="E354" s="21"/>
      <c r="F354" s="21"/>
      <c r="G354" s="21"/>
      <c r="H354" s="21"/>
      <c r="I354" s="21"/>
      <c r="J354" s="21"/>
      <c r="K354" s="204"/>
      <c r="L354" s="54"/>
      <c r="M354" s="213">
        <v>45345.508762557874</v>
      </c>
      <c r="N354" s="56">
        <v>1.08229090680826</v>
      </c>
      <c r="O354" s="16">
        <v>674774.3815181593</v>
      </c>
      <c r="P354" s="57">
        <v>623468.5861938071</v>
      </c>
      <c r="Q354" s="55">
        <v>13.188774334164496</v>
      </c>
      <c r="R354" s="16">
        <v>439143.13696450356</v>
      </c>
      <c r="S354" s="17">
        <v>230034.2471636557</v>
      </c>
      <c r="T354" s="16"/>
      <c r="U354" s="16">
        <v>674774.3815181593</v>
      </c>
      <c r="V354" s="16">
        <v>5596.997389999994</v>
      </c>
      <c r="W354" s="20"/>
      <c r="X354" s="21"/>
      <c r="Y354" s="21"/>
      <c r="Z354" s="21"/>
      <c r="AA354" s="21"/>
      <c r="AB354" s="21"/>
    </row>
    <row r="355" ht="20.25" customHeight="1">
      <c r="A355" s="139"/>
      <c r="B355" s="21"/>
      <c r="C355" s="21"/>
      <c r="D355" s="21"/>
      <c r="E355" s="21"/>
      <c r="F355" s="21"/>
      <c r="G355" s="21"/>
      <c r="H355" s="21"/>
      <c r="I355" s="21"/>
      <c r="J355" s="21"/>
      <c r="K355" s="204"/>
      <c r="L355" s="54"/>
      <c r="M355" s="213">
        <v>45346.50874420139</v>
      </c>
      <c r="N355" s="56">
        <v>1.08324757623355</v>
      </c>
      <c r="O355" s="16">
        <v>675181.3037089868</v>
      </c>
      <c r="P355" s="57">
        <v>623293.6205189502</v>
      </c>
      <c r="Q355" s="55">
        <v>13.222515890068808</v>
      </c>
      <c r="R355" s="16">
        <v>438286.6693766613</v>
      </c>
      <c r="S355" s="17">
        <v>231297.63694232557</v>
      </c>
      <c r="T355" s="16"/>
      <c r="U355" s="16">
        <v>675181.3037089868</v>
      </c>
      <c r="V355" s="16">
        <v>5596.997389999994</v>
      </c>
      <c r="W355" s="20"/>
      <c r="X355" s="21"/>
      <c r="Y355" s="21"/>
      <c r="Z355" s="21"/>
      <c r="AA355" s="21"/>
      <c r="AB355" s="21"/>
    </row>
    <row r="356" ht="20.25" customHeight="1">
      <c r="A356" s="139"/>
      <c r="B356" s="21"/>
      <c r="C356" s="21"/>
      <c r="D356" s="21"/>
      <c r="E356" s="21"/>
      <c r="F356" s="21"/>
      <c r="G356" s="21"/>
      <c r="H356" s="21"/>
      <c r="I356" s="21"/>
      <c r="J356" s="21"/>
      <c r="K356" s="204"/>
      <c r="L356" s="54"/>
      <c r="M356" s="213">
        <v>45347.69319118056</v>
      </c>
      <c r="N356" s="56">
        <v>1.08355627503692</v>
      </c>
      <c r="O356" s="16">
        <v>706238.8057930004</v>
      </c>
      <c r="P356" s="57">
        <v>651778.612761886</v>
      </c>
      <c r="Q356" s="55">
        <v>13.660497454442915</v>
      </c>
      <c r="R356" s="16">
        <v>461312.6341387993</v>
      </c>
      <c r="S356" s="17">
        <v>239329.1742642012</v>
      </c>
      <c r="T356" s="16"/>
      <c r="U356" s="16">
        <v>706238.8057930004</v>
      </c>
      <c r="V356" s="16">
        <v>5596.997389999994</v>
      </c>
      <c r="W356" s="20"/>
      <c r="X356" s="21"/>
      <c r="Y356" s="21"/>
      <c r="Z356" s="21"/>
      <c r="AA356" s="21"/>
      <c r="AB356" s="21"/>
    </row>
    <row r="357" ht="20.25" customHeight="1">
      <c r="A357" s="139"/>
      <c r="B357" s="21"/>
      <c r="C357" s="21"/>
      <c r="D357" s="21"/>
      <c r="E357" s="21"/>
      <c r="F357" s="21"/>
      <c r="G357" s="21"/>
      <c r="H357" s="21"/>
      <c r="I357" s="21"/>
      <c r="J357" s="21"/>
      <c r="K357" s="204"/>
      <c r="L357" s="54"/>
      <c r="M357" s="213">
        <v>45348.73107231481</v>
      </c>
      <c r="N357" s="56">
        <v>1.08483872787471</v>
      </c>
      <c r="O357" s="16">
        <v>739397.7764396507</v>
      </c>
      <c r="P357" s="57">
        <v>681573.9127309668</v>
      </c>
      <c r="Q357" s="55">
        <v>13.917646054528548</v>
      </c>
      <c r="R357" s="16">
        <v>386641.7391967919</v>
      </c>
      <c r="S357" s="17">
        <v>347159.03985285875</v>
      </c>
      <c r="T357" s="16"/>
      <c r="U357" s="16">
        <v>739397.7764396507</v>
      </c>
      <c r="V357" s="16">
        <v>5596.997389999994</v>
      </c>
      <c r="W357" s="20"/>
      <c r="X357" s="21"/>
      <c r="Y357" s="21"/>
      <c r="Z357" s="21"/>
      <c r="AA357" s="21"/>
      <c r="AB357" s="21"/>
    </row>
    <row r="358" ht="20.25" customHeight="1">
      <c r="A358" s="139"/>
      <c r="B358" s="21"/>
      <c r="C358" s="21"/>
      <c r="D358" s="21"/>
      <c r="E358" s="21"/>
      <c r="F358" s="21"/>
      <c r="G358" s="21"/>
      <c r="H358" s="21"/>
      <c r="I358" s="21"/>
      <c r="J358" s="21"/>
      <c r="K358" s="204"/>
      <c r="L358" s="54"/>
      <c r="M358" s="213">
        <v>45349.5087782176</v>
      </c>
      <c r="N358" s="56">
        <v>1.08452459322194</v>
      </c>
      <c r="O358" s="16">
        <v>770728.2069915109</v>
      </c>
      <c r="P358" s="57">
        <v>710659.9627232123</v>
      </c>
      <c r="Q358" s="55">
        <v>13.632407864189696</v>
      </c>
      <c r="R358" s="16">
        <v>356051.83829561295</v>
      </c>
      <c r="S358" s="17">
        <v>409079.37130589806</v>
      </c>
      <c r="T358" s="16"/>
      <c r="U358" s="16">
        <v>770728.2069915109</v>
      </c>
      <c r="V358" s="16">
        <v>5596.997389999994</v>
      </c>
      <c r="W358" s="20"/>
      <c r="X358" s="21"/>
      <c r="Y358" s="21"/>
      <c r="Z358" s="21"/>
      <c r="AA358" s="21"/>
      <c r="AB358" s="21"/>
    </row>
    <row r="359" ht="20.25" customHeight="1">
      <c r="A359" s="139"/>
      <c r="B359" s="21"/>
      <c r="C359" s="21"/>
      <c r="D359" s="21"/>
      <c r="E359" s="21"/>
      <c r="F359" s="21"/>
      <c r="G359" s="21"/>
      <c r="H359" s="21"/>
      <c r="I359" s="21"/>
      <c r="J359" s="21"/>
      <c r="K359" s="204"/>
      <c r="L359" s="54"/>
      <c r="M359" s="213">
        <v>45350.50874994213</v>
      </c>
      <c r="N359" s="56">
        <v>1.08077612695229</v>
      </c>
      <c r="O359" s="16">
        <v>783176.3864428895</v>
      </c>
      <c r="P359" s="57">
        <v>724642.5664965323</v>
      </c>
      <c r="Q359" s="55">
        <v>13.195322871619611</v>
      </c>
      <c r="R359" s="16">
        <v>294373.02391017665</v>
      </c>
      <c r="S359" s="17">
        <v>339483.30104271276</v>
      </c>
      <c r="T359" s="16"/>
      <c r="U359" s="16">
        <v>783176.3864428895</v>
      </c>
      <c r="V359" s="16">
        <v>149320.06149</v>
      </c>
      <c r="W359" s="20"/>
      <c r="X359" s="21"/>
      <c r="Y359" s="21"/>
      <c r="Z359" s="21"/>
      <c r="AA359" s="21"/>
      <c r="AB359" s="21"/>
    </row>
    <row r="360" ht="20.25" customHeight="1">
      <c r="A360" s="139"/>
      <c r="B360" s="21"/>
      <c r="C360" s="21"/>
      <c r="D360" s="21"/>
      <c r="E360" s="21"/>
      <c r="F360" s="21"/>
      <c r="G360" s="21"/>
      <c r="H360" s="21"/>
      <c r="I360" s="21"/>
      <c r="J360" s="21"/>
      <c r="K360" s="204"/>
      <c r="L360" s="54"/>
      <c r="M360" s="213">
        <v>45351.794674062505</v>
      </c>
      <c r="N360" s="56">
        <v>1.08002557500562</v>
      </c>
      <c r="O360" s="16">
        <v>784607.2957010525</v>
      </c>
      <c r="P360" s="57">
        <v>726471.0335187847</v>
      </c>
      <c r="Q360" s="55">
        <v>12.87812533240448</v>
      </c>
      <c r="R360" s="16">
        <v>399434.27072528336</v>
      </c>
      <c r="S360" s="17">
        <v>343735.2736177191</v>
      </c>
      <c r="T360" s="16"/>
      <c r="U360" s="16">
        <v>784607.2957010525</v>
      </c>
      <c r="V360" s="16">
        <v>41437.751358049994</v>
      </c>
      <c r="W360" s="20"/>
      <c r="X360" s="21"/>
      <c r="Y360" s="21"/>
      <c r="Z360" s="21"/>
      <c r="AA360" s="21"/>
      <c r="AB360" s="21"/>
    </row>
    <row r="361" ht="20.25" customHeight="1">
      <c r="A361" s="139"/>
      <c r="B361" s="21"/>
      <c r="C361" s="21"/>
      <c r="D361" s="21"/>
      <c r="E361" s="21"/>
      <c r="F361" s="21"/>
      <c r="G361" s="21"/>
      <c r="H361" s="21"/>
      <c r="I361" s="21"/>
      <c r="J361" s="21"/>
      <c r="K361" s="204"/>
      <c r="L361" s="54"/>
      <c r="M361" s="213">
        <v>45352.508753773145</v>
      </c>
      <c r="N361" s="56">
        <v>1.0801772354808</v>
      </c>
      <c r="O361" s="16">
        <v>808417.2157312697</v>
      </c>
      <c r="P361" s="57">
        <v>748411.6394763989</v>
      </c>
      <c r="Q361" s="55">
        <v>13.014192482758611</v>
      </c>
      <c r="R361" s="16">
        <v>407252.68553607224</v>
      </c>
      <c r="S361" s="17">
        <v>346388.4416042956</v>
      </c>
      <c r="T361" s="16"/>
      <c r="U361" s="16">
        <v>808417.2157312697</v>
      </c>
      <c r="V361" s="16">
        <v>41436.751358049994</v>
      </c>
      <c r="W361" s="20"/>
      <c r="X361" s="21"/>
      <c r="Y361" s="21"/>
      <c r="Z361" s="21"/>
      <c r="AA361" s="21"/>
      <c r="AB361" s="21"/>
    </row>
    <row r="362" ht="20.25" customHeight="1">
      <c r="A362" s="139"/>
      <c r="B362" s="21"/>
      <c r="C362" s="21"/>
      <c r="D362" s="21"/>
      <c r="E362" s="21"/>
      <c r="F362" s="21"/>
      <c r="G362" s="21"/>
      <c r="H362" s="21"/>
      <c r="I362" s="21"/>
      <c r="J362" s="21"/>
      <c r="K362" s="204"/>
      <c r="L362" s="54"/>
      <c r="M362" s="213">
        <v>45353.508754560185</v>
      </c>
      <c r="N362" s="56">
        <v>1.08453988395423</v>
      </c>
      <c r="O362" s="16">
        <v>865925.3777078362</v>
      </c>
      <c r="P362" s="57">
        <v>798426.4945155123</v>
      </c>
      <c r="Q362" s="55">
        <v>13.94469456529594</v>
      </c>
      <c r="R362" s="16">
        <v>304691.33495503577</v>
      </c>
      <c r="S362" s="17">
        <v>346774.02953656926</v>
      </c>
      <c r="T362" s="16"/>
      <c r="U362" s="16">
        <v>865925.3777078362</v>
      </c>
      <c r="V362" s="16">
        <v>36436.75135804999</v>
      </c>
      <c r="W362" s="20"/>
      <c r="X362" s="21"/>
      <c r="Y362" s="21"/>
      <c r="Z362" s="21"/>
      <c r="AA362" s="21"/>
      <c r="AB362" s="21"/>
    </row>
    <row r="363" ht="20.25" customHeight="1">
      <c r="A363" s="139"/>
      <c r="B363" s="21"/>
      <c r="C363" s="21"/>
      <c r="D363" s="21"/>
      <c r="E363" s="21"/>
      <c r="F363" s="21"/>
      <c r="G363" s="21"/>
      <c r="H363" s="21"/>
      <c r="I363" s="21"/>
      <c r="J363" s="21"/>
      <c r="K363" s="204"/>
      <c r="L363" s="54"/>
      <c r="M363" s="213">
        <v>45354.508750671295</v>
      </c>
      <c r="N363" s="56">
        <v>1.08532852894571</v>
      </c>
      <c r="O363" s="16">
        <v>915665.5475250246</v>
      </c>
      <c r="P363" s="57">
        <v>843675.9221786087</v>
      </c>
      <c r="Q363" s="55">
        <v>14.842110335796155</v>
      </c>
      <c r="R363" s="16">
        <v>308169.6442417555</v>
      </c>
      <c r="S363" s="17">
        <v>342671.4532352323</v>
      </c>
      <c r="T363" s="16"/>
      <c r="U363" s="16">
        <v>915665.5475250246</v>
      </c>
      <c r="V363" s="16">
        <v>36436.75135804999</v>
      </c>
      <c r="W363" s="20"/>
      <c r="X363" s="21"/>
      <c r="Y363" s="21"/>
      <c r="Z363" s="21"/>
      <c r="AA363" s="21"/>
      <c r="AB363" s="21"/>
    </row>
    <row r="364" ht="20.25" customHeight="1">
      <c r="A364" s="139"/>
      <c r="B364" s="21"/>
      <c r="C364" s="21"/>
      <c r="D364" s="21"/>
      <c r="E364" s="21"/>
      <c r="F364" s="21"/>
      <c r="G364" s="21"/>
      <c r="H364" s="21"/>
      <c r="I364" s="21"/>
      <c r="J364" s="21"/>
      <c r="K364" s="204"/>
      <c r="L364" s="54"/>
      <c r="M364" s="213">
        <v>45355.508755613424</v>
      </c>
      <c r="N364" s="56">
        <v>1.08515186700379</v>
      </c>
      <c r="O364" s="16">
        <v>985179.6892685667</v>
      </c>
      <c r="P364" s="57">
        <v>907872.6390516598</v>
      </c>
      <c r="Q364" s="55">
        <v>15.110211812338045</v>
      </c>
      <c r="R364" s="16">
        <v>319215.18794674467</v>
      </c>
      <c r="S364" s="17">
        <v>353627.3468607258</v>
      </c>
      <c r="T364" s="16"/>
      <c r="U364" s="16">
        <v>985179.6892685667</v>
      </c>
      <c r="V364" s="16">
        <v>36436.75135804999</v>
      </c>
      <c r="W364" s="20"/>
      <c r="X364" s="21"/>
      <c r="Y364" s="21"/>
      <c r="Z364" s="21"/>
      <c r="AA364" s="21"/>
      <c r="AB364" s="21"/>
    </row>
    <row r="365" ht="20.25" customHeight="1">
      <c r="A365" s="139"/>
      <c r="B365" s="21"/>
      <c r="C365" s="21"/>
      <c r="D365" s="21"/>
      <c r="E365" s="21"/>
      <c r="F365" s="21"/>
      <c r="G365" s="21"/>
      <c r="H365" s="21"/>
      <c r="I365" s="21"/>
      <c r="J365" s="21"/>
      <c r="K365" s="204"/>
      <c r="L365" s="54"/>
      <c r="M365" s="213">
        <v>45356.778584907406</v>
      </c>
      <c r="N365" s="56">
        <v>1.08615017329526</v>
      </c>
      <c r="O365" s="16">
        <v>942438.6850910028</v>
      </c>
      <c r="P365" s="57">
        <v>867687.2759056399</v>
      </c>
      <c r="Q365" s="55">
        <v>14.55529695853943</v>
      </c>
      <c r="R365" s="16">
        <v>300643.22212204785</v>
      </c>
      <c r="S365" s="17">
        <v>366741.45295862877</v>
      </c>
      <c r="T365" s="16"/>
      <c r="U365" s="16">
        <v>942438.6850910028</v>
      </c>
      <c r="V365" s="16">
        <v>9999.712828049971</v>
      </c>
      <c r="W365" s="20"/>
      <c r="X365" s="21"/>
      <c r="Y365" s="21"/>
      <c r="Z365" s="21"/>
      <c r="AA365" s="21"/>
      <c r="AB365" s="21"/>
    </row>
    <row r="366" ht="20.25" customHeight="1">
      <c r="A366" s="139"/>
      <c r="B366" s="21"/>
      <c r="C366" s="21"/>
      <c r="D366" s="21"/>
      <c r="E366" s="21"/>
      <c r="F366" s="21"/>
      <c r="G366" s="21"/>
      <c r="H366" s="21"/>
      <c r="I366" s="21"/>
      <c r="J366" s="21"/>
      <c r="K366" s="204"/>
      <c r="L366" s="54"/>
      <c r="M366" s="213">
        <v>45357.50875724537</v>
      </c>
      <c r="N366" s="56">
        <v>1.08789187225103</v>
      </c>
      <c r="O366" s="16">
        <v>993281.6621469936</v>
      </c>
      <c r="P366" s="57">
        <v>913033.4433804785</v>
      </c>
      <c r="Q366" s="55">
        <v>14.913113631925096</v>
      </c>
      <c r="R366" s="16">
        <v>219562.07883558839</v>
      </c>
      <c r="S366" s="17">
        <v>382965.14707997453</v>
      </c>
      <c r="T366" s="16"/>
      <c r="U366" s="16">
        <v>993281.6621469936</v>
      </c>
      <c r="V366" s="16">
        <v>76244.43378804998</v>
      </c>
      <c r="W366" s="20"/>
      <c r="X366" s="21"/>
      <c r="Y366" s="21"/>
      <c r="Z366" s="21"/>
      <c r="AA366" s="21"/>
      <c r="AB366" s="21"/>
    </row>
    <row r="367" ht="20.25" customHeight="1">
      <c r="A367" s="139"/>
      <c r="B367" s="21"/>
      <c r="C367" s="21"/>
      <c r="D367" s="21"/>
      <c r="E367" s="21"/>
      <c r="F367" s="21"/>
      <c r="G367" s="21"/>
      <c r="H367" s="21"/>
      <c r="I367" s="21"/>
      <c r="J367" s="21"/>
      <c r="K367" s="204"/>
      <c r="L367" s="54"/>
      <c r="M367" s="213">
        <v>45358.50876557871</v>
      </c>
      <c r="N367" s="56">
        <v>1.08966528751363</v>
      </c>
      <c r="O367" s="16">
        <v>973499.3579855722</v>
      </c>
      <c r="P367" s="57">
        <v>893393.0163150171</v>
      </c>
      <c r="Q367" s="55">
        <v>14.480054452713373</v>
      </c>
      <c r="R367" s="16">
        <v>221624.98429950944</v>
      </c>
      <c r="S367" s="17">
        <v>378481.7642920837</v>
      </c>
      <c r="T367" s="16"/>
      <c r="U367" s="16">
        <v>973499.3579855722</v>
      </c>
      <c r="V367" s="16">
        <v>51233.43378804998</v>
      </c>
      <c r="W367" s="20"/>
      <c r="X367" s="21"/>
      <c r="Y367" s="21"/>
      <c r="Z367" s="21"/>
      <c r="AA367" s="21"/>
      <c r="AB367" s="21"/>
    </row>
    <row r="368" ht="20.25" customHeight="1">
      <c r="A368" s="139"/>
      <c r="B368" s="21"/>
      <c r="C368" s="21"/>
      <c r="D368" s="21"/>
      <c r="E368" s="21"/>
      <c r="F368" s="21"/>
      <c r="G368" s="21"/>
      <c r="H368" s="21"/>
      <c r="I368" s="21"/>
      <c r="J368" s="21"/>
      <c r="K368" s="204"/>
      <c r="L368" s="54"/>
      <c r="M368" s="213">
        <v>45359.50875778935</v>
      </c>
      <c r="N368" s="56">
        <v>1.0936312384827</v>
      </c>
      <c r="O368" s="16">
        <v>987630.5833556028</v>
      </c>
      <c r="P368" s="57">
        <v>903074.5909616095</v>
      </c>
      <c r="Q368" s="55">
        <v>14.649855034710715</v>
      </c>
      <c r="R368" s="16">
        <v>222236.01769298723</v>
      </c>
      <c r="S368" s="17">
        <v>392378.5523893378</v>
      </c>
      <c r="T368" s="16"/>
      <c r="U368" s="16">
        <v>987630.5833556028</v>
      </c>
      <c r="V368" s="16">
        <v>23608.95078804998</v>
      </c>
      <c r="W368" s="20"/>
      <c r="X368" s="21"/>
      <c r="Y368" s="21"/>
      <c r="Z368" s="21"/>
      <c r="AA368" s="21"/>
      <c r="AB368" s="21"/>
    </row>
    <row r="369" ht="20.25" customHeight="1">
      <c r="A369" s="139"/>
      <c r="B369" s="21"/>
      <c r="C369" s="21"/>
      <c r="D369" s="21"/>
      <c r="E369" s="21"/>
      <c r="F369" s="21"/>
      <c r="G369" s="21"/>
      <c r="H369" s="21"/>
      <c r="I369" s="21"/>
      <c r="J369" s="21"/>
      <c r="K369" s="204"/>
      <c r="L369" s="54"/>
      <c r="M369" s="213">
        <v>45360.508760972225</v>
      </c>
      <c r="N369" s="56">
        <v>1.09435052485051</v>
      </c>
      <c r="O369" s="16">
        <v>1000068.119925134</v>
      </c>
      <c r="P369" s="57">
        <v>913846.24689767</v>
      </c>
      <c r="Q369" s="55">
        <v>14.629400487161368</v>
      </c>
      <c r="R369" s="16">
        <v>225349.3436255881</v>
      </c>
      <c r="S369" s="17">
        <v>389594.24750809505</v>
      </c>
      <c r="T369" s="16"/>
      <c r="U369" s="16">
        <v>1000068.119925134</v>
      </c>
      <c r="V369" s="16">
        <v>8610.82730804998</v>
      </c>
      <c r="W369" s="20"/>
      <c r="X369" s="21"/>
      <c r="Y369" s="21"/>
      <c r="Z369" s="21"/>
      <c r="AA369" s="21"/>
      <c r="AB369" s="21"/>
    </row>
    <row r="370" ht="20.25" customHeight="1">
      <c r="A370" s="139"/>
      <c r="B370" s="21"/>
      <c r="C370" s="21"/>
      <c r="D370" s="21"/>
      <c r="E370" s="21"/>
      <c r="F370" s="21"/>
      <c r="G370" s="21"/>
      <c r="H370" s="21"/>
      <c r="I370" s="21"/>
      <c r="J370" s="21"/>
      <c r="K370" s="204"/>
      <c r="L370" s="54"/>
      <c r="M370" s="213">
        <v>45361.508755752315</v>
      </c>
      <c r="N370" s="56">
        <v>1.09435052485051</v>
      </c>
      <c r="O370" s="16">
        <v>994646.476514858</v>
      </c>
      <c r="P370" s="57">
        <v>908892.0358956543</v>
      </c>
      <c r="Q370" s="55">
        <v>14.221035455640147</v>
      </c>
      <c r="R370" s="16">
        <v>218900.49261883256</v>
      </c>
      <c r="S370" s="17">
        <v>390483.99794422276</v>
      </c>
      <c r="T370" s="16"/>
      <c r="U370" s="16">
        <v>994646.476514858</v>
      </c>
      <c r="V370" s="16">
        <v>9984.38730804998</v>
      </c>
      <c r="W370" s="20"/>
      <c r="X370" s="21"/>
      <c r="Y370" s="21"/>
      <c r="Z370" s="21"/>
      <c r="AA370" s="21"/>
      <c r="AB370" s="21"/>
    </row>
    <row r="371" ht="20.25" customHeight="1">
      <c r="A371" s="139"/>
      <c r="B371" s="21"/>
      <c r="C371" s="21"/>
      <c r="D371" s="21"/>
      <c r="E371" s="21"/>
      <c r="F371" s="21"/>
      <c r="G371" s="21"/>
      <c r="H371" s="21"/>
      <c r="I371" s="21"/>
      <c r="J371" s="21"/>
      <c r="K371" s="204"/>
      <c r="L371" s="54"/>
      <c r="M371" s="213">
        <v>45362.50875057871</v>
      </c>
      <c r="N371" s="56">
        <v>1.09390878769746</v>
      </c>
      <c r="O371" s="16">
        <v>1000917.8380224992</v>
      </c>
      <c r="P371" s="57">
        <v>914992.0443817852</v>
      </c>
      <c r="Q371" s="55">
        <v>13.978938814570549</v>
      </c>
      <c r="R371" s="16">
        <v>224617.94112597356</v>
      </c>
      <c r="S371" s="17">
        <v>398248.46886124497</v>
      </c>
      <c r="T371" s="16"/>
      <c r="U371" s="16">
        <v>1000917.8380224992</v>
      </c>
      <c r="V371" s="16">
        <v>0.6173080499788739</v>
      </c>
      <c r="W371" s="20"/>
      <c r="X371" s="21"/>
      <c r="Y371" s="21"/>
      <c r="Z371" s="21"/>
      <c r="AA371" s="21"/>
      <c r="AB371" s="21"/>
    </row>
    <row r="372" ht="20.25" customHeight="1">
      <c r="A372" s="139"/>
      <c r="B372" s="21"/>
      <c r="C372" s="21"/>
      <c r="D372" s="21"/>
      <c r="E372" s="21"/>
      <c r="F372" s="21"/>
      <c r="G372" s="21"/>
      <c r="H372" s="21"/>
      <c r="I372" s="21"/>
      <c r="J372" s="21"/>
      <c r="K372" s="204"/>
      <c r="L372" s="54"/>
      <c r="M372" s="213">
        <v>45363.74931747685</v>
      </c>
      <c r="N372" s="56">
        <v>1.09173166109156</v>
      </c>
      <c r="O372" s="16">
        <v>967271.3601635215</v>
      </c>
      <c r="P372" s="57">
        <v>885997.3513971394</v>
      </c>
      <c r="Q372" s="55">
        <v>13.690674581725629</v>
      </c>
      <c r="R372" s="16">
        <v>210551.71112088268</v>
      </c>
      <c r="S372" s="17">
        <v>390548.1379364061</v>
      </c>
      <c r="T372" s="16"/>
      <c r="U372" s="16">
        <v>967271.3601635215</v>
      </c>
      <c r="V372" s="16">
        <v>74340.57730804998</v>
      </c>
      <c r="W372" s="20"/>
      <c r="X372" s="21"/>
      <c r="Y372" s="21"/>
      <c r="Z372" s="21"/>
      <c r="AA372" s="21"/>
      <c r="AB372" s="21"/>
    </row>
    <row r="373" ht="20.25" customHeight="1">
      <c r="A373" s="139"/>
      <c r="B373" s="21"/>
      <c r="C373" s="21"/>
      <c r="D373" s="21"/>
      <c r="E373" s="21"/>
      <c r="F373" s="21"/>
      <c r="G373" s="21"/>
      <c r="H373" s="21"/>
      <c r="I373" s="21"/>
      <c r="J373" s="21"/>
      <c r="K373" s="204"/>
      <c r="L373" s="54"/>
      <c r="M373" s="213">
        <v>45364.50875603009</v>
      </c>
      <c r="N373" s="56">
        <v>1.09269554879541</v>
      </c>
      <c r="O373" s="16">
        <v>1012499.2510229695</v>
      </c>
      <c r="P373" s="57">
        <v>926606.914560191</v>
      </c>
      <c r="Q373" s="55">
        <v>13.805012204441015</v>
      </c>
      <c r="R373" s="16">
        <v>224409.83709933358</v>
      </c>
      <c r="S373" s="17">
        <v>402670.50829617365</v>
      </c>
      <c r="T373" s="16"/>
      <c r="U373" s="16">
        <v>1012499.2510229695</v>
      </c>
      <c r="V373" s="16">
        <v>74340.57730804998</v>
      </c>
      <c r="W373" s="20"/>
      <c r="X373" s="21"/>
      <c r="Y373" s="21"/>
      <c r="Z373" s="21"/>
      <c r="AA373" s="21"/>
      <c r="AB373" s="21"/>
    </row>
    <row r="374" ht="20.25" customHeight="1">
      <c r="A374" s="139"/>
      <c r="B374" s="21"/>
      <c r="C374" s="21"/>
      <c r="D374" s="21"/>
      <c r="E374" s="21"/>
      <c r="F374" s="21"/>
      <c r="G374" s="21"/>
      <c r="H374" s="21"/>
      <c r="I374" s="21"/>
      <c r="J374" s="21"/>
      <c r="K374" s="204"/>
      <c r="L374" s="54"/>
      <c r="M374" s="213">
        <v>45365.50875334491</v>
      </c>
      <c r="N374" s="56">
        <v>1.09397101633189</v>
      </c>
      <c r="O374" s="16">
        <v>984979.7361622937</v>
      </c>
      <c r="P374" s="57">
        <v>900370.9618056915</v>
      </c>
      <c r="Q374" s="55">
        <v>13.523775310763813</v>
      </c>
      <c r="R374" s="16">
        <v>222850.35182852522</v>
      </c>
      <c r="S374" s="17">
        <v>392668.9751327746</v>
      </c>
      <c r="T374" s="16"/>
      <c r="U374" s="16">
        <v>984979.7361622937</v>
      </c>
      <c r="V374" s="16">
        <v>71824.80337584998</v>
      </c>
      <c r="W374" s="20"/>
      <c r="X374" s="21"/>
      <c r="Y374" s="21"/>
      <c r="Z374" s="21"/>
      <c r="AA374" s="21"/>
      <c r="AB374" s="21"/>
    </row>
    <row r="375" ht="20.25" customHeight="1">
      <c r="A375" s="139"/>
      <c r="B375" s="21"/>
      <c r="C375" s="21"/>
      <c r="D375" s="21"/>
      <c r="E375" s="21"/>
      <c r="F375" s="21"/>
      <c r="G375" s="21"/>
      <c r="H375" s="21"/>
      <c r="I375" s="21"/>
      <c r="J375" s="21"/>
      <c r="K375" s="204"/>
      <c r="L375" s="54"/>
      <c r="M375" s="213">
        <v>45366.50876471065</v>
      </c>
      <c r="N375" s="56">
        <v>1.08967953614522</v>
      </c>
      <c r="O375" s="16">
        <v>912488.2148318439</v>
      </c>
      <c r="P375" s="57">
        <v>837391.3472393941</v>
      </c>
      <c r="Q375" s="55">
        <v>13.554462781478383</v>
      </c>
      <c r="R375" s="16">
        <v>208622.5288895808</v>
      </c>
      <c r="S375" s="17">
        <v>363398.9027792105</v>
      </c>
      <c r="T375" s="16"/>
      <c r="U375" s="16">
        <v>912488.2148318439</v>
      </c>
      <c r="V375" s="16">
        <v>80540.94637584998</v>
      </c>
      <c r="W375" s="20"/>
      <c r="X375" s="21"/>
      <c r="Y375" s="21"/>
      <c r="Z375" s="21"/>
      <c r="AA375" s="21"/>
      <c r="AB375" s="21"/>
    </row>
    <row r="376" ht="20.25" customHeight="1">
      <c r="A376" s="139"/>
      <c r="B376" s="21"/>
      <c r="C376" s="21"/>
      <c r="D376" s="21"/>
      <c r="E376" s="21"/>
      <c r="F376" s="21"/>
      <c r="G376" s="21"/>
      <c r="H376" s="21"/>
      <c r="I376" s="21"/>
      <c r="J376" s="21"/>
      <c r="K376" s="204"/>
      <c r="L376" s="54"/>
      <c r="M376" s="213">
        <v>45367.645328391205</v>
      </c>
      <c r="N376" s="56">
        <v>1.08902804247209</v>
      </c>
      <c r="O376" s="16">
        <v>917133.4138194352</v>
      </c>
      <c r="P376" s="57">
        <v>842157.7572396992</v>
      </c>
      <c r="Q376" s="55">
        <v>13.48795772291701</v>
      </c>
      <c r="R376" s="16">
        <v>211774.63756797282</v>
      </c>
      <c r="S376" s="17">
        <v>396525.23078053765</v>
      </c>
      <c r="T376" s="16"/>
      <c r="U376" s="16">
        <v>917133.4138194352</v>
      </c>
      <c r="V376" s="16">
        <v>40284.23137584998</v>
      </c>
      <c r="W376" s="20"/>
      <c r="X376" s="21"/>
      <c r="Y376" s="21"/>
      <c r="Z376" s="21"/>
      <c r="AA376" s="21"/>
      <c r="AB376" s="21"/>
    </row>
    <row r="377" ht="20.25" customHeight="1">
      <c r="A377" s="139"/>
      <c r="B377" s="21"/>
      <c r="C377" s="21"/>
      <c r="D377" s="21"/>
      <c r="E377" s="21"/>
      <c r="F377" s="21"/>
      <c r="G377" s="21"/>
      <c r="H377" s="21"/>
      <c r="I377" s="21"/>
      <c r="J377" s="21"/>
      <c r="K377" s="204"/>
      <c r="L377" s="54"/>
      <c r="M377" s="213">
        <v>45368.508769988424</v>
      </c>
      <c r="N377" s="56">
        <v>1.08985886327721</v>
      </c>
      <c r="O377" s="16">
        <v>906731.3443509872</v>
      </c>
      <c r="P377" s="57">
        <v>831971.345009245</v>
      </c>
      <c r="Q377" s="55">
        <v>13.504174066064207</v>
      </c>
      <c r="R377" s="16">
        <v>209121.27998132206</v>
      </c>
      <c r="S377" s="17">
        <v>388817.4906981704</v>
      </c>
      <c r="T377" s="16"/>
      <c r="U377" s="16">
        <v>906731.3443509872</v>
      </c>
      <c r="V377" s="16">
        <v>42743.461375849976</v>
      </c>
      <c r="W377" s="20"/>
      <c r="X377" s="21"/>
      <c r="Y377" s="21"/>
      <c r="Z377" s="21"/>
      <c r="AA377" s="21"/>
      <c r="AB377" s="21"/>
    </row>
    <row r="378" ht="20.25" customHeight="1">
      <c r="A378" s="139"/>
      <c r="B378" s="21"/>
      <c r="C378" s="21"/>
      <c r="D378" s="21"/>
      <c r="E378" s="21"/>
      <c r="F378" s="21"/>
      <c r="G378" s="21"/>
      <c r="H378" s="21"/>
      <c r="I378" s="21"/>
      <c r="J378" s="21"/>
      <c r="K378" s="204"/>
      <c r="L378" s="54"/>
      <c r="M378" s="213">
        <v>45369.50875325232</v>
      </c>
      <c r="N378" s="56">
        <v>1.08973297183258</v>
      </c>
      <c r="O378" s="16">
        <v>946765.867320239</v>
      </c>
      <c r="P378" s="57">
        <v>868805.3787416228</v>
      </c>
      <c r="Q378" s="55">
        <v>13.925451321773574</v>
      </c>
      <c r="R378" s="16">
        <v>220813.05479417858</v>
      </c>
      <c r="S378" s="17">
        <v>387697.4401957186</v>
      </c>
      <c r="T378" s="16"/>
      <c r="U378" s="16">
        <v>946765.867320239</v>
      </c>
      <c r="V378" s="16">
        <v>42743.461375849976</v>
      </c>
      <c r="W378" s="20"/>
      <c r="X378" s="21"/>
      <c r="Y378" s="21"/>
      <c r="Z378" s="21"/>
      <c r="AA378" s="21"/>
      <c r="AB378" s="21"/>
    </row>
    <row r="379" ht="20.25" customHeight="1">
      <c r="A379" s="139"/>
      <c r="B379" s="21"/>
      <c r="C379" s="21"/>
      <c r="D379" s="21"/>
      <c r="E379" s="21"/>
      <c r="F379" s="21"/>
      <c r="G379" s="21"/>
      <c r="H379" s="21"/>
      <c r="I379" s="21"/>
      <c r="J379" s="21"/>
      <c r="K379" s="204"/>
      <c r="L379" s="54"/>
      <c r="M379" s="213">
        <v>45370.633935509264</v>
      </c>
      <c r="N379" s="56">
        <v>1.08529554768355</v>
      </c>
      <c r="O379" s="16">
        <v>845431.1239832919</v>
      </c>
      <c r="P379" s="57">
        <v>778987.0010871936</v>
      </c>
      <c r="Q379" s="55">
        <v>13.452166944007484</v>
      </c>
      <c r="R379" s="16">
        <v>201582.13697768454</v>
      </c>
      <c r="S379" s="17">
        <v>382642.2130529242</v>
      </c>
      <c r="T379" s="16"/>
      <c r="U379" s="16">
        <v>845431.1239832919</v>
      </c>
      <c r="V379" s="16">
        <v>3085.234844569974</v>
      </c>
      <c r="W379" s="20"/>
      <c r="X379" s="21"/>
      <c r="Y379" s="21"/>
      <c r="Z379" s="21"/>
      <c r="AA379" s="21"/>
      <c r="AB379" s="21"/>
    </row>
    <row r="380" ht="20.25" customHeight="1">
      <c r="A380" s="139"/>
      <c r="B380" s="21"/>
      <c r="C380" s="21"/>
      <c r="D380" s="21"/>
      <c r="E380" s="21"/>
      <c r="F380" s="21"/>
      <c r="G380" s="21"/>
      <c r="H380" s="21"/>
      <c r="I380" s="21"/>
      <c r="J380" s="21"/>
      <c r="K380" s="204"/>
      <c r="L380" s="54"/>
      <c r="M380" s="213">
        <v>45371.508805335645</v>
      </c>
      <c r="N380" s="56">
        <v>1.08419183256609</v>
      </c>
      <c r="O380" s="16">
        <v>849590.6635097022</v>
      </c>
      <c r="P380" s="57">
        <v>783616.5501255175</v>
      </c>
      <c r="Q380" s="55">
        <v>13.477128017297737</v>
      </c>
      <c r="R380" s="16">
        <v>202198.73704066852</v>
      </c>
      <c r="S380" s="17">
        <v>381967.64285293233</v>
      </c>
      <c r="T380" s="16"/>
      <c r="U380" s="16">
        <v>849590.6635097022</v>
      </c>
      <c r="V380" s="16">
        <v>3085.234844569974</v>
      </c>
      <c r="W380" s="20"/>
      <c r="X380" s="21"/>
      <c r="Y380" s="21"/>
      <c r="Z380" s="21"/>
      <c r="AA380" s="21"/>
      <c r="AB380" s="21"/>
    </row>
    <row r="381" ht="20.25" customHeight="1">
      <c r="A381" s="139"/>
      <c r="B381" s="21"/>
      <c r="C381" s="21"/>
      <c r="D381" s="21"/>
      <c r="E381" s="21"/>
      <c r="F381" s="21"/>
      <c r="G381" s="21"/>
      <c r="H381" s="21"/>
      <c r="I381" s="21"/>
      <c r="J381" s="21"/>
      <c r="K381" s="204"/>
      <c r="L381" s="54"/>
      <c r="M381" s="213">
        <v>45372.508753263886</v>
      </c>
      <c r="N381" s="56">
        <v>1.09223963737644</v>
      </c>
      <c r="O381" s="16">
        <v>931007.0043208259</v>
      </c>
      <c r="P381" s="57">
        <v>852383.4628059325</v>
      </c>
      <c r="Q381" s="55">
        <v>13.904915386513366</v>
      </c>
      <c r="R381" s="16">
        <v>214758.6469288538</v>
      </c>
      <c r="S381" s="17">
        <v>418201.33743554685</v>
      </c>
      <c r="T381" s="16"/>
      <c r="U381" s="16">
        <v>931007.0043208259</v>
      </c>
      <c r="V381" s="16">
        <v>3085.234844569974</v>
      </c>
      <c r="W381" s="20"/>
      <c r="X381" s="21"/>
      <c r="Y381" s="21"/>
      <c r="Z381" s="21"/>
      <c r="AA381" s="21"/>
      <c r="AB381" s="21"/>
    </row>
    <row r="382" ht="20.25" customHeight="1">
      <c r="A382" s="139"/>
      <c r="B382" s="21"/>
      <c r="C382" s="21"/>
      <c r="D382" s="21"/>
      <c r="E382" s="21"/>
      <c r="F382" s="21"/>
      <c r="G382" s="21"/>
      <c r="H382" s="21"/>
      <c r="I382" s="21"/>
      <c r="J382" s="21"/>
      <c r="K382" s="204"/>
      <c r="L382" s="54"/>
      <c r="M382" s="213">
        <v>45373.675954039354</v>
      </c>
      <c r="N382" s="56">
        <v>1.08220540475023</v>
      </c>
      <c r="O382" s="16">
        <v>871704.0830562428</v>
      </c>
      <c r="P382" s="57">
        <v>805488.5692032092</v>
      </c>
      <c r="Q382" s="55">
        <v>13.772653717456432</v>
      </c>
      <c r="R382" s="16">
        <v>198150.4490776989</v>
      </c>
      <c r="S382" s="17">
        <v>390096.45290447655</v>
      </c>
      <c r="T382" s="16"/>
      <c r="U382" s="16">
        <v>871704.0830562428</v>
      </c>
      <c r="V382" s="16">
        <v>-0.011371610025889822</v>
      </c>
      <c r="W382" s="20"/>
      <c r="X382" s="21"/>
      <c r="Y382" s="21"/>
      <c r="Z382" s="21"/>
      <c r="AA382" s="21"/>
      <c r="AB382" s="21"/>
    </row>
    <row r="383" ht="20.25" customHeight="1">
      <c r="A383" s="139"/>
      <c r="B383" s="21"/>
      <c r="C383" s="21"/>
      <c r="D383" s="21"/>
      <c r="E383" s="21"/>
      <c r="F383" s="21"/>
      <c r="G383" s="21"/>
      <c r="H383" s="21"/>
      <c r="I383" s="21"/>
      <c r="J383" s="21"/>
      <c r="K383" s="204"/>
      <c r="L383" s="54"/>
      <c r="M383" s="213">
        <v>45374.50875771991</v>
      </c>
      <c r="N383" s="56">
        <v>1.08583527878821</v>
      </c>
      <c r="O383" s="16">
        <v>883436.7301718933</v>
      </c>
      <c r="P383" s="57">
        <v>813601.0566518035</v>
      </c>
      <c r="Q383" s="55">
        <v>13.734896964995388</v>
      </c>
      <c r="R383" s="16">
        <v>201369.48291674812</v>
      </c>
      <c r="S383" s="17">
        <v>394684.0720772629</v>
      </c>
      <c r="T383" s="16"/>
      <c r="U383" s="16">
        <v>883436.7301718933</v>
      </c>
      <c r="V383" s="16">
        <v>-0.011371610025889822</v>
      </c>
      <c r="W383" s="20"/>
      <c r="X383" s="21"/>
      <c r="Y383" s="21"/>
      <c r="Z383" s="21"/>
      <c r="AA383" s="21"/>
      <c r="AB383" s="21"/>
    </row>
    <row r="384" ht="20.25" customHeight="1">
      <c r="A384" s="139"/>
      <c r="B384" s="21"/>
      <c r="C384" s="21"/>
      <c r="D384" s="21"/>
      <c r="E384" s="21"/>
      <c r="F384" s="21"/>
      <c r="G384" s="21"/>
      <c r="H384" s="21"/>
      <c r="I384" s="21"/>
      <c r="J384" s="21"/>
      <c r="K384" s="204"/>
      <c r="L384" s="54"/>
      <c r="M384" s="213">
        <v>45375.50875887732</v>
      </c>
      <c r="N384" s="56">
        <v>1.0863413219253</v>
      </c>
      <c r="O384" s="16">
        <v>889027.6825119762</v>
      </c>
      <c r="P384" s="57">
        <v>818368.6513336076</v>
      </c>
      <c r="Q384" s="55">
        <v>13.675484235941488</v>
      </c>
      <c r="R384" s="16">
        <v>203524.25794294485</v>
      </c>
      <c r="S384" s="17">
        <v>398126.9986210296</v>
      </c>
      <c r="T384" s="16"/>
      <c r="U384" s="16">
        <v>889027.6825119762</v>
      </c>
      <c r="V384" s="16">
        <v>-0.011371610025889822</v>
      </c>
      <c r="W384" s="20"/>
      <c r="X384" s="21"/>
      <c r="Y384" s="21"/>
      <c r="Z384" s="21"/>
      <c r="AA384" s="21"/>
      <c r="AB384" s="21"/>
    </row>
    <row r="385" ht="20.25" customHeight="1">
      <c r="A385" s="139"/>
      <c r="B385" s="21"/>
      <c r="C385" s="21"/>
      <c r="D385" s="21"/>
      <c r="E385" s="21"/>
      <c r="F385" s="21"/>
      <c r="G385" s="21"/>
      <c r="H385" s="21"/>
      <c r="I385" s="21"/>
      <c r="J385" s="21"/>
      <c r="K385" s="204"/>
      <c r="L385" s="54"/>
      <c r="M385" s="213">
        <v>45376.50875435185</v>
      </c>
      <c r="N385" s="56">
        <v>1.0820883005695</v>
      </c>
      <c r="O385" s="16">
        <v>921335.2469549814</v>
      </c>
      <c r="P385" s="57">
        <v>851441.833785732</v>
      </c>
      <c r="Q385" s="55">
        <v>13.769197633821607</v>
      </c>
      <c r="R385" s="16">
        <v>209484.86991766203</v>
      </c>
      <c r="S385" s="17">
        <v>407332.9545740957</v>
      </c>
      <c r="T385" s="16"/>
      <c r="U385" s="16">
        <v>921335.2469549814</v>
      </c>
      <c r="V385" s="16">
        <v>-0.011371610025889822</v>
      </c>
      <c r="W385" s="20"/>
      <c r="X385" s="21"/>
      <c r="Y385" s="21"/>
      <c r="Z385" s="21"/>
      <c r="AA385" s="21"/>
      <c r="AB385" s="21"/>
    </row>
    <row r="386" ht="20.25" customHeight="1">
      <c r="A386" s="139"/>
      <c r="B386" s="21"/>
      <c r="C386" s="21"/>
      <c r="D386" s="21"/>
      <c r="E386" s="21"/>
      <c r="F386" s="21"/>
      <c r="G386" s="21"/>
      <c r="H386" s="21"/>
      <c r="I386" s="21"/>
      <c r="J386" s="21"/>
      <c r="K386" s="204"/>
      <c r="L386" s="54"/>
      <c r="M386" s="213">
        <v>45377.7129962037</v>
      </c>
      <c r="N386" s="56">
        <v>1.08386045079924</v>
      </c>
      <c r="O386" s="16">
        <v>959534.0026910041</v>
      </c>
      <c r="P386" s="57">
        <v>885292.9378347946</v>
      </c>
      <c r="Q386" s="55">
        <v>13.652261569677842</v>
      </c>
      <c r="R386" s="16">
        <v>220038.85569078042</v>
      </c>
      <c r="S386" s="17">
        <v>421506.62454018963</v>
      </c>
      <c r="T386" s="16"/>
      <c r="U386" s="16">
        <v>959534.0026910041</v>
      </c>
      <c r="V386" s="16">
        <v>-0.011371610025889822</v>
      </c>
      <c r="W386" s="20"/>
      <c r="X386" s="21"/>
      <c r="Y386" s="21"/>
      <c r="Z386" s="21"/>
      <c r="AA386" s="21"/>
      <c r="AB386" s="21"/>
    </row>
    <row r="387" ht="20.25" customHeight="1">
      <c r="A387" s="139"/>
      <c r="B387" s="21"/>
      <c r="C387" s="21"/>
      <c r="D387" s="21"/>
      <c r="E387" s="21"/>
      <c r="F387" s="21"/>
      <c r="G387" s="21"/>
      <c r="H387" s="21"/>
      <c r="I387" s="21"/>
      <c r="J387" s="21"/>
      <c r="K387" s="204"/>
      <c r="L387" s="54"/>
      <c r="M387" s="213">
        <v>45378.50874859953</v>
      </c>
      <c r="N387" s="56">
        <v>1.0827772369907</v>
      </c>
      <c r="O387" s="16">
        <v>944939.8515340245</v>
      </c>
      <c r="P387" s="57">
        <v>872700.1448241016</v>
      </c>
      <c r="Q387" s="55">
        <v>13.485168224759725</v>
      </c>
      <c r="R387" s="16">
        <v>219377.15779704895</v>
      </c>
      <c r="S387" s="17">
        <v>419297.85204471124</v>
      </c>
      <c r="T387" s="16"/>
      <c r="U387" s="16">
        <v>944939.8515340245</v>
      </c>
      <c r="V387" s="16">
        <v>-0.011371610025889822</v>
      </c>
      <c r="W387" s="20"/>
      <c r="X387" s="21"/>
      <c r="Y387" s="21"/>
      <c r="Z387" s="21"/>
      <c r="AA387" s="21"/>
      <c r="AB387" s="21"/>
    </row>
    <row r="388" ht="20.25" customHeight="1">
      <c r="A388" s="139"/>
      <c r="B388" s="21"/>
      <c r="C388" s="21"/>
      <c r="D388" s="21"/>
      <c r="E388" s="21"/>
      <c r="F388" s="21"/>
      <c r="G388" s="21"/>
      <c r="H388" s="21"/>
      <c r="I388" s="21"/>
      <c r="J388" s="21"/>
      <c r="K388" s="204"/>
      <c r="L388" s="54"/>
      <c r="M388" s="213">
        <v>45379.508757118056</v>
      </c>
      <c r="N388" s="56">
        <v>1.0783380223065</v>
      </c>
      <c r="O388" s="16">
        <v>960481.5566847561</v>
      </c>
      <c r="P388" s="57">
        <v>890705.4530362788</v>
      </c>
      <c r="Q388" s="55">
        <v>13.557410671983643</v>
      </c>
      <c r="R388" s="16">
        <v>228001.5174624772</v>
      </c>
      <c r="S388" s="17">
        <v>420172.8097102176</v>
      </c>
      <c r="T388" s="16"/>
      <c r="U388" s="16">
        <v>960481.5566847561</v>
      </c>
      <c r="V388" s="16">
        <v>-0.011371610025889822</v>
      </c>
      <c r="W388" s="20"/>
      <c r="X388" s="21"/>
      <c r="Y388" s="21"/>
      <c r="Z388" s="21"/>
      <c r="AA388" s="21"/>
      <c r="AB388" s="21"/>
    </row>
    <row r="389" ht="20.25" customHeight="1">
      <c r="A389" s="139"/>
      <c r="B389" s="21"/>
      <c r="C389" s="21"/>
      <c r="D389" s="21"/>
      <c r="E389" s="21"/>
      <c r="F389" s="21"/>
      <c r="G389" s="21"/>
      <c r="H389" s="21"/>
      <c r="I389" s="21"/>
      <c r="J389" s="21"/>
      <c r="K389" s="204"/>
      <c r="L389" s="54"/>
      <c r="M389" s="213">
        <v>45380.50879460648</v>
      </c>
      <c r="N389" s="56">
        <v>1.07836011620409</v>
      </c>
      <c r="O389" s="16">
        <v>935889.5985362051</v>
      </c>
      <c r="P389" s="57">
        <v>867882.2449689702</v>
      </c>
      <c r="Q389" s="55">
        <v>13.3451836471021</v>
      </c>
      <c r="R389" s="16">
        <v>225696.86420878055</v>
      </c>
      <c r="S389" s="17">
        <v>416423.68453168677</v>
      </c>
      <c r="T389" s="16"/>
      <c r="U389" s="16">
        <v>935889.5985362051</v>
      </c>
      <c r="V389" s="16">
        <v>-0.011371610025889822</v>
      </c>
      <c r="W389" s="20"/>
      <c r="X389" s="21"/>
      <c r="Y389" s="21"/>
      <c r="Z389" s="21"/>
      <c r="AA389" s="21"/>
      <c r="AB389" s="21"/>
    </row>
    <row r="390" ht="20.25" customHeight="1">
      <c r="A390" s="139"/>
      <c r="B390" s="21"/>
      <c r="C390" s="21"/>
      <c r="D390" s="21"/>
      <c r="E390" s="21"/>
      <c r="F390" s="21"/>
      <c r="G390" s="21"/>
      <c r="H390" s="21"/>
      <c r="I390" s="21"/>
      <c r="J390" s="21"/>
      <c r="K390" s="204"/>
      <c r="L390" s="54"/>
      <c r="M390" s="213">
        <v>45381.82748075231</v>
      </c>
      <c r="N390" s="56">
        <v>1.08001041130036</v>
      </c>
      <c r="O390" s="16">
        <v>921728.9739243235</v>
      </c>
      <c r="P390" s="57">
        <v>853444.5263490918</v>
      </c>
      <c r="Q390" s="55">
        <v>13.168580460491967</v>
      </c>
      <c r="R390" s="16">
        <v>225262.93430195097</v>
      </c>
      <c r="S390" s="17">
        <v>413656.4705143939</v>
      </c>
      <c r="T390" s="16"/>
      <c r="U390" s="16">
        <v>921728.9739243235</v>
      </c>
      <c r="V390" s="16">
        <v>-0.011371610025889822</v>
      </c>
      <c r="W390" s="20"/>
      <c r="X390" s="21"/>
      <c r="Y390" s="21"/>
      <c r="Z390" s="21"/>
      <c r="AA390" s="21"/>
      <c r="AB390" s="21"/>
    </row>
    <row r="391" ht="20.25" customHeight="1">
      <c r="A391" s="139"/>
      <c r="B391" s="21"/>
      <c r="C391" s="21"/>
      <c r="D391" s="21"/>
      <c r="E391" s="21"/>
      <c r="F391" s="21"/>
      <c r="G391" s="21"/>
      <c r="H391" s="21"/>
      <c r="I391" s="21"/>
      <c r="J391" s="21"/>
      <c r="K391" s="204"/>
      <c r="L391" s="54"/>
      <c r="M391" s="213">
        <v>45382.50875122685</v>
      </c>
      <c r="N391" s="56">
        <v>1.08001041130036</v>
      </c>
      <c r="O391" s="16">
        <v>933177.3571877668</v>
      </c>
      <c r="P391" s="57">
        <v>864044.7790352295</v>
      </c>
      <c r="Q391" s="55">
        <v>13.282595970150233</v>
      </c>
      <c r="R391" s="16">
        <v>226103.18971422428</v>
      </c>
      <c r="S391" s="17">
        <v>424229.79609912634</v>
      </c>
      <c r="T391" s="16"/>
      <c r="U391" s="16">
        <v>933177.3571877668</v>
      </c>
      <c r="V391" s="16">
        <v>-0.011371610025889822</v>
      </c>
      <c r="W391" s="20"/>
      <c r="X391" s="21"/>
      <c r="Y391" s="21"/>
      <c r="Z391" s="21"/>
      <c r="AA391" s="21"/>
      <c r="AB391" s="21"/>
    </row>
    <row r="392" ht="20.25" customHeight="1">
      <c r="A392" s="139"/>
      <c r="B392" s="21"/>
      <c r="C392" s="21"/>
      <c r="D392" s="21"/>
      <c r="E392" s="21"/>
      <c r="F392" s="21"/>
      <c r="G392" s="21"/>
      <c r="H392" s="21"/>
      <c r="I392" s="21"/>
      <c r="J392" s="21"/>
      <c r="K392" s="204"/>
      <c r="L392" s="54"/>
      <c r="M392" s="213">
        <v>45383.50875707176</v>
      </c>
      <c r="N392" s="56">
        <v>1.07871839624779</v>
      </c>
      <c r="O392" s="16">
        <v>918718.1252256598</v>
      </c>
      <c r="P392" s="57">
        <v>851675.5887554393</v>
      </c>
      <c r="Q392" s="55">
        <v>13.22581914030057</v>
      </c>
      <c r="R392" s="16">
        <v>223555.39972047118</v>
      </c>
      <c r="S392" s="17">
        <v>416957.4039966297</v>
      </c>
      <c r="T392" s="16"/>
      <c r="U392" s="16">
        <v>918718.1252256598</v>
      </c>
      <c r="V392" s="16">
        <v>-0.011371610025889822</v>
      </c>
      <c r="W392" s="20"/>
      <c r="X392" s="21"/>
      <c r="Y392" s="21"/>
      <c r="Z392" s="21"/>
      <c r="AA392" s="21"/>
      <c r="AB392" s="21"/>
    </row>
    <row r="393" ht="20.25" customHeight="1">
      <c r="A393" s="139"/>
      <c r="B393" s="21"/>
      <c r="C393" s="21"/>
      <c r="D393" s="21"/>
      <c r="E393" s="21"/>
      <c r="F393" s="21"/>
      <c r="G393" s="21"/>
      <c r="H393" s="21"/>
      <c r="I393" s="21"/>
      <c r="J393" s="21"/>
      <c r="K393" s="204"/>
      <c r="L393" s="54"/>
      <c r="M393" s="213">
        <v>45384.6507147338</v>
      </c>
      <c r="N393" s="56">
        <v>1.07537982415389</v>
      </c>
      <c r="O393" s="16">
        <v>848550.7492676738</v>
      </c>
      <c r="P393" s="57">
        <v>789070.7359470078</v>
      </c>
      <c r="Q393" s="55">
        <v>13.06515540820859</v>
      </c>
      <c r="R393" s="16">
        <v>209020.4125012913</v>
      </c>
      <c r="S393" s="17">
        <v>383930.1312963843</v>
      </c>
      <c r="T393" s="16"/>
      <c r="U393" s="16">
        <v>848550.7492676738</v>
      </c>
      <c r="V393" s="16">
        <v>-0.011371610025889822</v>
      </c>
      <c r="W393" s="20"/>
      <c r="X393" s="21"/>
      <c r="Y393" s="21"/>
      <c r="Z393" s="21"/>
      <c r="AA393" s="21"/>
      <c r="AB393" s="21"/>
    </row>
    <row r="394" ht="20.25" customHeight="1">
      <c r="A394" s="139"/>
      <c r="B394" s="21"/>
      <c r="C394" s="21"/>
      <c r="D394" s="21"/>
      <c r="E394" s="21"/>
      <c r="F394" s="21"/>
      <c r="G394" s="21"/>
      <c r="H394" s="21"/>
      <c r="I394" s="21"/>
      <c r="J394" s="21"/>
      <c r="K394" s="204"/>
      <c r="L394" s="54"/>
      <c r="M394" s="213">
        <v>45385.50875710648</v>
      </c>
      <c r="N394" s="56">
        <v>1.07671949411411</v>
      </c>
      <c r="O394" s="16">
        <v>870093.5074340492</v>
      </c>
      <c r="P394" s="57">
        <v>808096.734748853</v>
      </c>
      <c r="Q394" s="55">
        <v>13.10594842360633</v>
      </c>
      <c r="R394" s="16">
        <v>213778.99007187</v>
      </c>
      <c r="S394" s="17">
        <v>337069.0048883925</v>
      </c>
      <c r="T394" s="16"/>
      <c r="U394" s="16">
        <v>870093.5074340492</v>
      </c>
      <c r="V394" s="16">
        <v>55545.38762838997</v>
      </c>
      <c r="W394" s="20"/>
      <c r="X394" s="21"/>
      <c r="Y394" s="21"/>
      <c r="Z394" s="21"/>
      <c r="AA394" s="21"/>
      <c r="AB394" s="21"/>
    </row>
    <row r="395" ht="20.25" customHeight="1">
      <c r="A395" s="139"/>
      <c r="B395" s="21"/>
      <c r="C395" s="21"/>
      <c r="D395" s="21"/>
      <c r="E395" s="21"/>
      <c r="F395" s="21"/>
      <c r="G395" s="21"/>
      <c r="H395" s="21"/>
      <c r="I395" s="21"/>
      <c r="J395" s="21"/>
      <c r="K395" s="204"/>
      <c r="L395" s="54"/>
      <c r="M395" s="213">
        <v>45386.50874821759</v>
      </c>
      <c r="N395" s="56">
        <v>1.08559480825139</v>
      </c>
      <c r="O395" s="16">
        <v>863124.7670176463</v>
      </c>
      <c r="P395" s="57">
        <v>795070.8316373723</v>
      </c>
      <c r="Q395" s="55">
        <v>13.046049534518547</v>
      </c>
      <c r="R395" s="16">
        <v>213079.66623983826</v>
      </c>
      <c r="S395" s="17">
        <v>335886.7835859653</v>
      </c>
      <c r="T395" s="16"/>
      <c r="U395" s="16">
        <v>863124.7670176463</v>
      </c>
      <c r="V395" s="16">
        <v>55545.38762838997</v>
      </c>
      <c r="W395" s="20"/>
      <c r="X395" s="21"/>
      <c r="Y395" s="21"/>
      <c r="Z395" s="21"/>
      <c r="AA395" s="21"/>
      <c r="AB395" s="21"/>
    </row>
    <row r="396" ht="20.25" customHeight="1">
      <c r="A396" s="139"/>
      <c r="B396" s="21"/>
      <c r="C396" s="21"/>
      <c r="D396" s="21"/>
      <c r="E396" s="21"/>
      <c r="F396" s="21"/>
      <c r="G396" s="21"/>
      <c r="H396" s="21"/>
      <c r="I396" s="21"/>
      <c r="J396" s="21"/>
      <c r="K396" s="204"/>
      <c r="L396" s="54"/>
      <c r="M396" s="213">
        <v>45387.50875259259</v>
      </c>
      <c r="N396" s="56">
        <v>1.08382990806955</v>
      </c>
      <c r="O396" s="16">
        <v>857908.4361964837</v>
      </c>
      <c r="P396" s="57">
        <v>791552.6502904284</v>
      </c>
      <c r="Q396" s="55">
        <v>12.835231114117029</v>
      </c>
      <c r="R396" s="16">
        <v>215270.5883086554</v>
      </c>
      <c r="S396" s="17">
        <v>330199.76748263836</v>
      </c>
      <c r="T396" s="16"/>
      <c r="U396" s="16">
        <v>857908.4361964837</v>
      </c>
      <c r="V396" s="16">
        <v>57395.18762838997</v>
      </c>
      <c r="W396" s="20"/>
      <c r="X396" s="21"/>
      <c r="Y396" s="21"/>
      <c r="Z396" s="21"/>
      <c r="AA396" s="21"/>
      <c r="AB396" s="21"/>
    </row>
    <row r="397" ht="20.25" customHeight="1">
      <c r="A397" s="139"/>
      <c r="B397" s="21"/>
      <c r="C397" s="21"/>
      <c r="D397" s="21"/>
      <c r="E397" s="21"/>
      <c r="F397" s="21"/>
      <c r="G397" s="21"/>
      <c r="H397" s="21"/>
      <c r="I397" s="21"/>
      <c r="J397" s="21"/>
      <c r="K397" s="204"/>
      <c r="L397" s="54"/>
      <c r="M397" s="213">
        <v>45388.508749189816</v>
      </c>
      <c r="N397" s="56">
        <v>1.08436347863804</v>
      </c>
      <c r="O397" s="16">
        <v>877663.7751764137</v>
      </c>
      <c r="P397" s="57">
        <v>809381.5334676882</v>
      </c>
      <c r="Q397" s="55">
        <v>12.937159862456342</v>
      </c>
      <c r="R397" s="16">
        <v>218492.574107205</v>
      </c>
      <c r="S397" s="17">
        <v>336302.28689479036</v>
      </c>
      <c r="T397" s="16"/>
      <c r="U397" s="16">
        <v>877663.7751764137</v>
      </c>
      <c r="V397" s="16">
        <v>57395.18762838997</v>
      </c>
      <c r="W397" s="20"/>
      <c r="X397" s="21"/>
      <c r="Y397" s="21"/>
      <c r="Z397" s="21"/>
      <c r="AA397" s="21"/>
      <c r="AB397" s="21"/>
    </row>
    <row r="398" ht="20.25" customHeight="1">
      <c r="A398" s="139"/>
      <c r="B398" s="21"/>
      <c r="C398" s="21"/>
      <c r="D398" s="21"/>
      <c r="E398" s="21"/>
      <c r="F398" s="21"/>
      <c r="G398" s="21"/>
      <c r="H398" s="21"/>
      <c r="I398" s="21"/>
      <c r="J398" s="21"/>
      <c r="K398" s="204"/>
      <c r="L398" s="54"/>
      <c r="M398" s="213">
        <v>45389.50875376158</v>
      </c>
      <c r="N398" s="56">
        <v>1.08489168983815</v>
      </c>
      <c r="O398" s="16">
        <v>877680.5151405524</v>
      </c>
      <c r="P398" s="57">
        <v>809002.8925113156</v>
      </c>
      <c r="Q398" s="55">
        <v>12.657757947266804</v>
      </c>
      <c r="R398" s="16">
        <v>223319.74476152615</v>
      </c>
      <c r="S398" s="17">
        <v>341057.188465165</v>
      </c>
      <c r="T398" s="16"/>
      <c r="U398" s="16">
        <v>877680.5151405524</v>
      </c>
      <c r="V398" s="16">
        <v>57395.18762838997</v>
      </c>
      <c r="W398" s="20"/>
      <c r="X398" s="21"/>
      <c r="Y398" s="21"/>
      <c r="Z398" s="21"/>
      <c r="AA398" s="21"/>
      <c r="AB398" s="21"/>
    </row>
    <row r="399" ht="20.25" customHeight="1">
      <c r="A399" s="139"/>
      <c r="B399" s="21"/>
      <c r="C399" s="21"/>
      <c r="D399" s="21"/>
      <c r="E399" s="21"/>
      <c r="F399" s="21"/>
      <c r="G399" s="21"/>
      <c r="H399" s="21"/>
      <c r="I399" s="21"/>
      <c r="J399" s="21"/>
      <c r="K399" s="204"/>
      <c r="L399" s="54"/>
      <c r="M399" s="213">
        <v>45390.508762592595</v>
      </c>
      <c r="N399" s="56">
        <v>1.08219369319159</v>
      </c>
      <c r="O399" s="16">
        <v>918394.3713806919</v>
      </c>
      <c r="P399" s="57">
        <v>848641.4004799606</v>
      </c>
      <c r="Q399" s="55">
        <v>12.779157168066204</v>
      </c>
      <c r="R399" s="16">
        <v>231459.2034666353</v>
      </c>
      <c r="S399" s="17">
        <v>363869.84641492134</v>
      </c>
      <c r="T399" s="16"/>
      <c r="U399" s="16">
        <v>918394.3713806919</v>
      </c>
      <c r="V399" s="16">
        <v>57395.18762838997</v>
      </c>
      <c r="W399" s="20"/>
      <c r="X399" s="21"/>
      <c r="Y399" s="21"/>
      <c r="Z399" s="21"/>
      <c r="AA399" s="21"/>
      <c r="AB399" s="21"/>
    </row>
    <row r="400" ht="20.25" customHeight="1">
      <c r="A400" s="139"/>
      <c r="B400" s="21"/>
      <c r="C400" s="21"/>
      <c r="D400" s="21"/>
      <c r="E400" s="21"/>
      <c r="F400" s="21"/>
      <c r="G400" s="21"/>
      <c r="H400" s="21"/>
      <c r="I400" s="21"/>
      <c r="J400" s="21"/>
      <c r="K400" s="204"/>
      <c r="L400" s="54"/>
      <c r="M400" s="213">
        <v>45391.75688350694</v>
      </c>
      <c r="N400" s="56">
        <v>1.08539449748406</v>
      </c>
      <c r="O400" s="16">
        <v>908305.8829536104</v>
      </c>
      <c r="P400" s="57">
        <v>836844.0093063487</v>
      </c>
      <c r="Q400" s="55">
        <v>13.133801163001054</v>
      </c>
      <c r="R400" s="16">
        <v>222735.34669541032</v>
      </c>
      <c r="S400" s="17">
        <v>355539.7874092049</v>
      </c>
      <c r="T400" s="16"/>
      <c r="U400" s="16">
        <v>908305.8829536104</v>
      </c>
      <c r="V400" s="16">
        <v>52395.18762838997</v>
      </c>
      <c r="W400" s="20"/>
      <c r="X400" s="21"/>
      <c r="Y400" s="21"/>
      <c r="Z400" s="21"/>
      <c r="AA400" s="21"/>
      <c r="AB400" s="21"/>
    </row>
    <row r="401" ht="20.25" customHeight="1">
      <c r="A401" s="139"/>
      <c r="B401" s="21"/>
      <c r="C401" s="21"/>
      <c r="D401" s="21"/>
      <c r="E401" s="21"/>
      <c r="F401" s="21"/>
      <c r="G401" s="21"/>
      <c r="H401" s="21"/>
      <c r="I401" s="21"/>
      <c r="J401" s="21"/>
      <c r="K401" s="204"/>
      <c r="L401" s="54"/>
      <c r="M401" s="213">
        <v>45392.50877105324</v>
      </c>
      <c r="N401" s="56">
        <v>1.08575982558354</v>
      </c>
      <c r="O401" s="16">
        <v>900504.8432858887</v>
      </c>
      <c r="P401" s="57">
        <v>829377.5677341108</v>
      </c>
      <c r="Q401" s="55">
        <v>13.047950166494003</v>
      </c>
      <c r="R401" s="16">
        <v>222275.30556156609</v>
      </c>
      <c r="S401" s="17">
        <v>355486.2776797302</v>
      </c>
      <c r="T401" s="16"/>
      <c r="U401" s="16">
        <v>900504.8432858887</v>
      </c>
      <c r="V401" s="16">
        <v>52395.18762838997</v>
      </c>
      <c r="W401" s="20"/>
      <c r="X401" s="21"/>
      <c r="Y401" s="21"/>
      <c r="Z401" s="21"/>
      <c r="AA401" s="21"/>
      <c r="AB401" s="21"/>
    </row>
    <row r="402" ht="20.25" customHeight="1">
      <c r="A402" s="139"/>
      <c r="B402" s="21"/>
      <c r="C402" s="21"/>
      <c r="D402" s="21"/>
      <c r="E402" s="21"/>
      <c r="F402" s="21"/>
      <c r="G402" s="21"/>
      <c r="H402" s="21"/>
      <c r="I402" s="21"/>
      <c r="J402" s="21"/>
      <c r="K402" s="204"/>
      <c r="L402" s="54"/>
      <c r="M402" s="213">
        <v>45393.508749305554</v>
      </c>
      <c r="N402" s="56">
        <v>1.07366755172662</v>
      </c>
      <c r="O402" s="16">
        <v>912639.9147108244</v>
      </c>
      <c r="P402" s="57">
        <v>850020.9522427693</v>
      </c>
      <c r="Q402" s="55">
        <v>12.9062234570948</v>
      </c>
      <c r="R402" s="16">
        <v>227744.41265902127</v>
      </c>
      <c r="S402" s="17">
        <v>361020.59529401</v>
      </c>
      <c r="T402" s="16"/>
      <c r="U402" s="16">
        <v>912639.9147108244</v>
      </c>
      <c r="V402" s="16">
        <v>42395.18762838997</v>
      </c>
      <c r="W402" s="20"/>
      <c r="X402" s="21"/>
      <c r="Y402" s="21"/>
      <c r="Z402" s="21"/>
      <c r="AA402" s="21"/>
      <c r="AB402" s="21"/>
    </row>
    <row r="403" ht="20.25" customHeight="1">
      <c r="A403" s="139"/>
      <c r="B403" s="21"/>
      <c r="C403" s="21"/>
      <c r="D403" s="21"/>
      <c r="E403" s="21"/>
      <c r="F403" s="21"/>
      <c r="G403" s="21"/>
      <c r="H403" s="21"/>
      <c r="I403" s="21"/>
      <c r="J403" s="21"/>
      <c r="K403" s="204"/>
      <c r="L403" s="54"/>
      <c r="M403" s="213">
        <v>45394.88801966435</v>
      </c>
      <c r="N403" s="56">
        <v>1.06484365433045</v>
      </c>
      <c r="O403" s="16">
        <v>807012.7418523085</v>
      </c>
      <c r="P403" s="57">
        <v>757869.7009372142</v>
      </c>
      <c r="Q403" s="55">
        <v>12.137068787385653</v>
      </c>
      <c r="R403" s="16">
        <v>214321.9027031556</v>
      </c>
      <c r="S403" s="17">
        <v>323914.9741927299</v>
      </c>
      <c r="T403" s="16"/>
      <c r="U403" s="16">
        <v>807012.7418523085</v>
      </c>
      <c r="V403" s="16">
        <v>27395.187628389976</v>
      </c>
      <c r="W403" s="20"/>
      <c r="X403" s="21"/>
      <c r="Y403" s="21"/>
      <c r="Z403" s="21"/>
      <c r="AA403" s="21"/>
      <c r="AB403" s="21"/>
    </row>
    <row r="404" ht="20.25" customHeight="1">
      <c r="A404" s="139"/>
      <c r="B404" s="21"/>
      <c r="C404" s="21"/>
      <c r="D404" s="21"/>
      <c r="E404" s="21"/>
      <c r="F404" s="21"/>
      <c r="G404" s="21"/>
      <c r="H404" s="21"/>
      <c r="I404" s="21"/>
      <c r="J404" s="21"/>
      <c r="K404" s="204"/>
      <c r="L404" s="54"/>
      <c r="M404" s="213">
        <v>45395.50875570602</v>
      </c>
      <c r="N404" s="56">
        <v>1.0658140154543</v>
      </c>
      <c r="O404" s="16">
        <v>823596.612622922</v>
      </c>
      <c r="P404" s="57">
        <v>772739.5217934588</v>
      </c>
      <c r="Q404" s="55">
        <v>12.221757930868367</v>
      </c>
      <c r="R404" s="16">
        <v>217210.51824544807</v>
      </c>
      <c r="S404" s="17">
        <v>328991.7137964977</v>
      </c>
      <c r="T404" s="16"/>
      <c r="U404" s="16">
        <v>823596.612622922</v>
      </c>
      <c r="V404" s="16">
        <v>27395.187628389976</v>
      </c>
      <c r="W404" s="20"/>
      <c r="X404" s="21"/>
      <c r="Y404" s="21"/>
      <c r="Z404" s="21"/>
      <c r="AA404" s="21"/>
      <c r="AB404" s="21"/>
    </row>
    <row r="405" ht="20.25" customHeight="1">
      <c r="A405" s="139"/>
      <c r="B405" s="21"/>
      <c r="C405" s="21"/>
      <c r="D405" s="21"/>
      <c r="E405" s="21"/>
      <c r="F405" s="21"/>
      <c r="G405" s="21"/>
      <c r="H405" s="21"/>
      <c r="I405" s="21"/>
      <c r="J405" s="21"/>
      <c r="K405" s="204"/>
      <c r="L405" s="54"/>
      <c r="M405" s="213">
        <v>45396.508757337964</v>
      </c>
      <c r="N405" s="56">
        <v>1.06714360871686</v>
      </c>
      <c r="O405" s="16">
        <v>772230.7818587902</v>
      </c>
      <c r="P405" s="57">
        <v>723642.7932950142</v>
      </c>
      <c r="Q405" s="55">
        <v>12.015021021939274</v>
      </c>
      <c r="R405" s="16">
        <v>207167.9419698784</v>
      </c>
      <c r="S405" s="17">
        <v>307295.49819960125</v>
      </c>
      <c r="T405" s="16"/>
      <c r="U405" s="16">
        <v>772230.7818587902</v>
      </c>
      <c r="V405" s="16">
        <v>27395.187628389976</v>
      </c>
      <c r="W405" s="20"/>
      <c r="X405" s="21"/>
      <c r="Y405" s="21"/>
      <c r="Z405" s="21"/>
      <c r="AA405" s="21"/>
      <c r="AB405" s="21"/>
    </row>
    <row r="406" ht="20.25" customHeight="1">
      <c r="A406" s="139"/>
      <c r="B406" s="21"/>
      <c r="C406" s="21"/>
      <c r="D406" s="21"/>
      <c r="E406" s="21"/>
      <c r="F406" s="21"/>
      <c r="G406" s="21"/>
      <c r="H406" s="21"/>
      <c r="I406" s="21"/>
      <c r="J406" s="21"/>
      <c r="K406" s="204"/>
      <c r="L406" s="54"/>
      <c r="M406" s="213">
        <v>45397.95464403935</v>
      </c>
      <c r="N406" s="56">
        <v>1.06264956792669</v>
      </c>
      <c r="O406" s="16">
        <v>773782.2996372817</v>
      </c>
      <c r="P406" s="57">
        <v>728163.1903798631</v>
      </c>
      <c r="Q406" s="55">
        <v>12.23789239475</v>
      </c>
      <c r="R406" s="16">
        <v>204342.1884741994</v>
      </c>
      <c r="S406" s="17">
        <v>311346.29636563483</v>
      </c>
      <c r="T406" s="16"/>
      <c r="U406" s="16">
        <v>773782.2996372817</v>
      </c>
      <c r="V406" s="16">
        <v>61831.90257940997</v>
      </c>
      <c r="W406" s="20"/>
      <c r="X406" s="21"/>
      <c r="Y406" s="21"/>
      <c r="Z406" s="21"/>
      <c r="AA406" s="21"/>
      <c r="AB406" s="21"/>
    </row>
    <row r="407" ht="20.25" customHeight="1">
      <c r="A407" s="139"/>
      <c r="B407" s="21"/>
      <c r="C407" s="21"/>
      <c r="D407" s="21"/>
      <c r="E407" s="21"/>
      <c r="F407" s="21"/>
      <c r="G407" s="21"/>
      <c r="H407" s="21"/>
      <c r="I407" s="21"/>
      <c r="J407" s="21"/>
      <c r="K407" s="204"/>
      <c r="L407" s="54"/>
      <c r="M407" s="213">
        <v>45398.53357111111</v>
      </c>
      <c r="N407" s="56">
        <v>1.06287772016981</v>
      </c>
      <c r="O407" s="16">
        <v>760974.9514069081</v>
      </c>
      <c r="P407" s="57">
        <v>715957.195231575</v>
      </c>
      <c r="Q407" s="55">
        <v>12.160257419028751</v>
      </c>
      <c r="R407" s="16">
        <v>202242.98777482356</v>
      </c>
      <c r="S407" s="17">
        <v>230743.1962053206</v>
      </c>
      <c r="T407" s="16"/>
      <c r="U407" s="16">
        <v>760974.9514069081</v>
      </c>
      <c r="V407" s="16">
        <v>163442.58444061995</v>
      </c>
      <c r="W407" s="20"/>
      <c r="X407" s="21"/>
      <c r="Y407" s="21"/>
      <c r="Z407" s="21"/>
      <c r="AA407" s="21"/>
      <c r="AB407" s="21"/>
    </row>
    <row r="408" ht="20.25" customHeight="1">
      <c r="A408" s="139"/>
      <c r="B408" s="21"/>
      <c r="C408" s="21"/>
      <c r="D408" s="21"/>
      <c r="E408" s="21"/>
      <c r="F408" s="21"/>
      <c r="G408" s="21"/>
      <c r="H408" s="21"/>
      <c r="I408" s="21"/>
      <c r="J408" s="21"/>
      <c r="K408" s="204"/>
      <c r="L408" s="54"/>
      <c r="M408" s="213">
        <v>45399.50875715278</v>
      </c>
      <c r="N408" s="56">
        <v>1.06388637693494</v>
      </c>
      <c r="O408" s="16">
        <v>768861.3615986324</v>
      </c>
      <c r="P408" s="57">
        <v>722691.2368346368</v>
      </c>
      <c r="Q408" s="55">
        <v>12.181334063056495</v>
      </c>
      <c r="R408" s="16">
        <v>203973.34673833248</v>
      </c>
      <c r="S408" s="17">
        <v>235111.88437939645</v>
      </c>
      <c r="T408" s="16"/>
      <c r="U408" s="16">
        <v>768861.3615986324</v>
      </c>
      <c r="V408" s="16">
        <v>198738.28864061992</v>
      </c>
      <c r="W408" s="20"/>
      <c r="X408" s="21"/>
      <c r="Y408" s="21"/>
      <c r="Z408" s="21"/>
      <c r="AA408" s="21"/>
      <c r="AB408" s="21"/>
    </row>
    <row r="409" ht="20.25" customHeight="1">
      <c r="A409" s="139"/>
      <c r="B409" s="21"/>
      <c r="C409" s="21"/>
      <c r="D409" s="21"/>
      <c r="E409" s="21"/>
      <c r="F409" s="21"/>
      <c r="G409" s="21"/>
      <c r="H409" s="21"/>
      <c r="I409" s="21"/>
      <c r="J409" s="21"/>
      <c r="K409" s="204"/>
      <c r="L409" s="54"/>
      <c r="M409" s="213">
        <v>45400.67799966435</v>
      </c>
      <c r="N409" s="56">
        <v>1.06585604761392</v>
      </c>
      <c r="O409" s="16">
        <v>749403.6024550349</v>
      </c>
      <c r="P409" s="57">
        <v>703100.2020701464</v>
      </c>
      <c r="Q409" s="55">
        <v>11.808921594036386</v>
      </c>
      <c r="R409" s="16">
        <v>140629.18441071216</v>
      </c>
      <c r="S409" s="17">
        <v>2345.001664346788</v>
      </c>
      <c r="T409" s="16"/>
      <c r="U409" s="16">
        <v>749403.6024550349</v>
      </c>
      <c r="V409" s="16">
        <v>479416.6486427299</v>
      </c>
      <c r="W409" s="20"/>
      <c r="X409" s="21"/>
      <c r="Y409" s="21"/>
      <c r="Z409" s="21"/>
      <c r="AA409" s="21"/>
      <c r="AB409" s="21"/>
    </row>
    <row r="410" ht="20.25" customHeight="1">
      <c r="A410" s="139"/>
      <c r="B410" s="21"/>
      <c r="C410" s="21"/>
      <c r="D410" s="21"/>
      <c r="E410" s="21"/>
      <c r="F410" s="21"/>
      <c r="G410" s="21"/>
      <c r="H410" s="21"/>
      <c r="I410" s="21"/>
      <c r="J410" s="21"/>
      <c r="K410" s="204"/>
      <c r="L410" s="54"/>
      <c r="M410" s="213">
        <v>45401.508753182876</v>
      </c>
      <c r="N410" s="56">
        <v>1.06531783224866</v>
      </c>
      <c r="O410" s="16">
        <v>756165.13799114</v>
      </c>
      <c r="P410" s="57">
        <v>709802.3848854906</v>
      </c>
      <c r="Q410" s="55">
        <v>11.639087611051574</v>
      </c>
      <c r="R410" s="16">
        <v>144083.97030298822</v>
      </c>
      <c r="S410" s="17">
        <v>2372.760823984218</v>
      </c>
      <c r="T410" s="16"/>
      <c r="U410" s="16">
        <v>756165.13799114</v>
      </c>
      <c r="V410" s="16">
        <v>479416.6486427299</v>
      </c>
      <c r="W410" s="20"/>
      <c r="X410" s="21"/>
      <c r="Y410" s="21"/>
      <c r="Z410" s="21"/>
      <c r="AA410" s="21"/>
      <c r="AB410" s="21"/>
    </row>
    <row r="411" ht="20.25" customHeight="1">
      <c r="A411" s="139"/>
      <c r="B411" s="21"/>
      <c r="C411" s="21"/>
      <c r="D411" s="21"/>
      <c r="E411" s="21"/>
      <c r="F411" s="21"/>
      <c r="G411" s="21"/>
      <c r="H411" s="21"/>
      <c r="I411" s="21"/>
      <c r="J411" s="21"/>
      <c r="K411" s="204"/>
      <c r="L411" s="54"/>
      <c r="M411" s="213">
        <v>45402.508754282404</v>
      </c>
      <c r="N411" s="56">
        <v>1.06625040250953</v>
      </c>
      <c r="O411" s="16">
        <v>753002.465057816</v>
      </c>
      <c r="P411" s="57">
        <v>706215.4098939116</v>
      </c>
      <c r="Q411" s="55">
        <v>11.823804258778683</v>
      </c>
      <c r="R411" s="16">
        <v>141239.8084913843</v>
      </c>
      <c r="S411" s="17">
        <v>2324.205202359716</v>
      </c>
      <c r="T411" s="16"/>
      <c r="U411" s="16">
        <v>753002.465057816</v>
      </c>
      <c r="V411" s="16">
        <v>479416.6486427299</v>
      </c>
      <c r="W411" s="20"/>
      <c r="X411" s="21"/>
      <c r="Y411" s="21"/>
      <c r="Z411" s="21"/>
      <c r="AA411" s="21"/>
      <c r="AB411" s="21"/>
    </row>
    <row r="412" ht="20.25" customHeight="1">
      <c r="A412" s="139"/>
      <c r="B412" s="21"/>
      <c r="C412" s="21"/>
      <c r="D412" s="21"/>
      <c r="E412" s="21"/>
      <c r="F412" s="21"/>
      <c r="G412" s="21"/>
      <c r="H412" s="21"/>
      <c r="I412" s="21"/>
      <c r="J412" s="21"/>
      <c r="K412" s="204"/>
      <c r="L412" s="54"/>
      <c r="M412" s="213">
        <v>45403.50874780092</v>
      </c>
      <c r="N412" s="56">
        <v>1.06692500477449</v>
      </c>
      <c r="O412" s="16">
        <v>712441.1360171245</v>
      </c>
      <c r="P412" s="57">
        <v>667751.8408781779</v>
      </c>
      <c r="Q412" s="55">
        <v>10.985830129067716</v>
      </c>
      <c r="R412" s="16">
        <v>143824.8936790352</v>
      </c>
      <c r="S412" s="17">
        <v>33968.04826593165</v>
      </c>
      <c r="T412" s="16"/>
      <c r="U412" s="16">
        <v>712441.1360171245</v>
      </c>
      <c r="V412" s="16">
        <v>447711.1546508399</v>
      </c>
      <c r="W412" s="152" t="s">
        <v>67</v>
      </c>
      <c r="X412" s="21"/>
      <c r="Y412" s="21"/>
      <c r="Z412" s="21"/>
      <c r="AA412" s="21"/>
      <c r="AB412" s="21"/>
    </row>
    <row r="413" ht="20.25" customHeight="1">
      <c r="A413" s="139"/>
      <c r="B413" s="21"/>
      <c r="C413" s="21"/>
      <c r="D413" s="21"/>
      <c r="E413" s="21"/>
      <c r="F413" s="21"/>
      <c r="G413" s="21"/>
      <c r="H413" s="21"/>
      <c r="I413" s="21"/>
      <c r="J413" s="21"/>
      <c r="K413" s="204"/>
      <c r="L413" s="54"/>
      <c r="M413" s="213">
        <v>45404.50883143519</v>
      </c>
      <c r="N413" s="56">
        <v>1.06608330588169</v>
      </c>
      <c r="O413" s="16">
        <v>729693.2109325933</v>
      </c>
      <c r="P413" s="57">
        <v>684461.7178665134</v>
      </c>
      <c r="Q413" s="55">
        <v>11.056619561993744</v>
      </c>
      <c r="R413" s="16">
        <v>146364.54687312458</v>
      </c>
      <c r="S413" s="17">
        <v>-1449.568993128735</v>
      </c>
      <c r="T413" s="16"/>
      <c r="U413" s="16">
        <v>729693.2109325933</v>
      </c>
      <c r="V413" s="16">
        <v>505451.3917856998</v>
      </c>
      <c r="W413" s="20"/>
      <c r="X413" s="21"/>
      <c r="Y413" s="21"/>
      <c r="Z413" s="21"/>
      <c r="AA413" s="21"/>
      <c r="AB413" s="21"/>
    </row>
    <row r="414" ht="20.25" customHeight="1">
      <c r="A414" s="139"/>
      <c r="B414" s="21"/>
      <c r="C414" s="21"/>
      <c r="D414" s="21"/>
      <c r="E414" s="21"/>
      <c r="F414" s="21"/>
      <c r="G414" s="21"/>
      <c r="H414" s="21"/>
      <c r="I414" s="21"/>
      <c r="J414" s="21"/>
      <c r="K414" s="204"/>
      <c r="L414" s="54"/>
      <c r="M414" s="213">
        <v>45405.50878282408</v>
      </c>
      <c r="N414" s="56">
        <v>1.06620492885215</v>
      </c>
      <c r="O414" s="16">
        <v>734380.4348777691</v>
      </c>
      <c r="P414" s="57">
        <v>688779.8161544658</v>
      </c>
      <c r="Q414" s="55">
        <v>11.097501238229695</v>
      </c>
      <c r="R414" s="16">
        <v>146762.0770217551</v>
      </c>
      <c r="S414" s="17">
        <v>55.95222331278952</v>
      </c>
      <c r="T414" s="16"/>
      <c r="U414" s="16">
        <v>734380.4348777691</v>
      </c>
      <c r="V414" s="16">
        <v>517568.13100390986</v>
      </c>
      <c r="W414" s="20"/>
      <c r="X414" s="21"/>
      <c r="Y414" s="21"/>
      <c r="Z414" s="21"/>
      <c r="AA414" s="21"/>
      <c r="AB414" s="21"/>
    </row>
    <row r="415" ht="20.25" customHeight="1">
      <c r="A415" s="139"/>
      <c r="B415" s="21"/>
      <c r="C415" s="21"/>
      <c r="D415" s="21"/>
      <c r="E415" s="21"/>
      <c r="F415" s="21"/>
      <c r="G415" s="21"/>
      <c r="H415" s="21"/>
      <c r="I415" s="21"/>
      <c r="J415" s="21"/>
      <c r="K415" s="204"/>
      <c r="L415" s="54"/>
      <c r="M415" s="213">
        <v>45406.508758344906</v>
      </c>
      <c r="N415" s="56">
        <v>1.06881569876498</v>
      </c>
      <c r="O415" s="16">
        <v>734403.1162939984</v>
      </c>
      <c r="P415" s="57">
        <v>687118.5716514116</v>
      </c>
      <c r="Q415" s="55">
        <v>11.074036261008963</v>
      </c>
      <c r="R415" s="16">
        <v>147077.59622759323</v>
      </c>
      <c r="S415" s="17">
        <v>57.49232904864569</v>
      </c>
      <c r="T415" s="16"/>
      <c r="U415" s="16">
        <v>734403.1162939984</v>
      </c>
      <c r="V415" s="16">
        <v>517568.13100390986</v>
      </c>
      <c r="W415" s="20"/>
      <c r="X415" s="21"/>
      <c r="Y415" s="21"/>
      <c r="Z415" s="21"/>
      <c r="AA415" s="21"/>
      <c r="AB415" s="21"/>
    </row>
    <row r="416" ht="20.25" customHeight="1">
      <c r="A416" s="139"/>
      <c r="B416" s="21"/>
      <c r="C416" s="21"/>
      <c r="D416" s="21"/>
      <c r="E416" s="21"/>
      <c r="F416" s="21"/>
      <c r="G416" s="21"/>
      <c r="H416" s="21"/>
      <c r="I416" s="21"/>
      <c r="J416" s="21"/>
      <c r="K416" s="204"/>
      <c r="L416" s="54"/>
      <c r="M416" s="213">
        <v>45407.508765266204</v>
      </c>
      <c r="N416" s="56">
        <v>1.07264947638616</v>
      </c>
      <c r="O416" s="16">
        <v>723437.473438184</v>
      </c>
      <c r="P416" s="57">
        <v>674439.776799688</v>
      </c>
      <c r="Q416" s="55">
        <v>11.337096284665392</v>
      </c>
      <c r="R416" s="16">
        <v>142045.44160686713</v>
      </c>
      <c r="S416" s="17">
        <v>55.12969493361352</v>
      </c>
      <c r="T416" s="16"/>
      <c r="U416" s="16">
        <v>723437.473438184</v>
      </c>
      <c r="V416" s="16">
        <v>517568.13100390986</v>
      </c>
      <c r="W416" s="20"/>
      <c r="X416" s="21"/>
      <c r="Y416" s="21"/>
      <c r="Z416" s="21"/>
      <c r="AA416" s="21"/>
      <c r="AB416" s="21"/>
    </row>
    <row r="417" ht="20.25" customHeight="1">
      <c r="A417" s="139"/>
      <c r="B417" s="21"/>
      <c r="C417" s="21"/>
      <c r="D417" s="21"/>
      <c r="E417" s="21"/>
      <c r="F417" s="21"/>
      <c r="G417" s="21"/>
      <c r="H417" s="21"/>
      <c r="I417" s="21"/>
      <c r="J417" s="21"/>
      <c r="K417" s="204"/>
      <c r="L417" s="54"/>
      <c r="M417" s="213">
        <v>45408.508773912035</v>
      </c>
      <c r="N417" s="56">
        <v>1.07393275247891</v>
      </c>
      <c r="O417" s="16">
        <v>725119.8805440166</v>
      </c>
      <c r="P417" s="57">
        <v>675200.4526077219</v>
      </c>
      <c r="Q417" s="55">
        <v>11.245172252448768</v>
      </c>
      <c r="R417" s="16">
        <v>143539.6342477248</v>
      </c>
      <c r="S417" s="17">
        <v>55.57621020749924</v>
      </c>
      <c r="T417" s="16"/>
      <c r="U417" s="16">
        <v>725119.8805440166</v>
      </c>
      <c r="V417" s="16">
        <v>517568.13100390986</v>
      </c>
      <c r="W417" s="20"/>
      <c r="X417" s="21"/>
      <c r="Y417" s="21"/>
      <c r="Z417" s="21"/>
      <c r="AA417" s="21"/>
      <c r="AB417" s="21"/>
    </row>
    <row r="418" ht="20.25" customHeight="1">
      <c r="A418" s="139"/>
      <c r="B418" s="21"/>
      <c r="C418" s="21"/>
      <c r="D418" s="21"/>
      <c r="E418" s="21"/>
      <c r="F418" s="21"/>
      <c r="G418" s="21"/>
      <c r="H418" s="21"/>
      <c r="I418" s="21"/>
      <c r="J418" s="21"/>
      <c r="K418" s="204"/>
      <c r="L418" s="54"/>
      <c r="M418" s="213">
        <v>45409.50874700231</v>
      </c>
      <c r="N418" s="56">
        <v>1.06945008876436</v>
      </c>
      <c r="O418" s="16">
        <v>720511.2471068919</v>
      </c>
      <c r="P418" s="57">
        <v>673721.2467197686</v>
      </c>
      <c r="Q418" s="55">
        <v>11.447537566939674</v>
      </c>
      <c r="R418" s="16">
        <v>140106.02843430813</v>
      </c>
      <c r="S418" s="17">
        <v>54.96248695587521</v>
      </c>
      <c r="T418" s="16"/>
      <c r="U418" s="16">
        <v>720511.2471068919</v>
      </c>
      <c r="V418" s="16">
        <v>517568.13100390986</v>
      </c>
      <c r="W418" s="20"/>
      <c r="X418" s="21"/>
      <c r="Y418" s="21"/>
      <c r="Z418" s="21"/>
      <c r="AA418" s="21"/>
      <c r="AB418" s="21"/>
    </row>
    <row r="419" ht="20.25" customHeight="1">
      <c r="A419" s="139"/>
      <c r="B419" s="21"/>
      <c r="C419" s="21"/>
      <c r="D419" s="21"/>
      <c r="E419" s="21"/>
      <c r="F419" s="21"/>
      <c r="G419" s="21"/>
      <c r="H419" s="21"/>
      <c r="I419" s="21"/>
      <c r="J419" s="21"/>
      <c r="K419" s="204"/>
      <c r="L419" s="54"/>
      <c r="M419" s="213">
        <v>45410.50875148148</v>
      </c>
      <c r="N419" s="56">
        <v>1.06965027784166</v>
      </c>
      <c r="O419" s="16">
        <v>724347.6472988487</v>
      </c>
      <c r="P419" s="57">
        <v>677181.750244984</v>
      </c>
      <c r="Q419" s="55">
        <v>11.369266472890901</v>
      </c>
      <c r="R419" s="16">
        <v>141821.71849287886</v>
      </c>
      <c r="S419" s="17">
        <v>58.24979990143479</v>
      </c>
      <c r="T419" s="16"/>
      <c r="U419" s="16">
        <v>724347.6472988487</v>
      </c>
      <c r="V419" s="16">
        <v>517568.13100390986</v>
      </c>
      <c r="W419" s="20"/>
      <c r="X419" s="21"/>
      <c r="Y419" s="21"/>
      <c r="Z419" s="21"/>
      <c r="AA419" s="21"/>
      <c r="AB419" s="21"/>
    </row>
    <row r="420" ht="20.25" customHeight="1">
      <c r="A420" s="139"/>
      <c r="B420" s="21"/>
      <c r="C420" s="21"/>
      <c r="D420" s="21"/>
      <c r="E420" s="21"/>
      <c r="F420" s="21"/>
      <c r="G420" s="21"/>
      <c r="H420" s="21"/>
      <c r="I420" s="21"/>
      <c r="J420" s="21"/>
      <c r="K420" s="204"/>
      <c r="L420" s="54"/>
      <c r="M420" s="213">
        <v>45411.508771493056</v>
      </c>
      <c r="N420" s="56">
        <v>1.07002111151653</v>
      </c>
      <c r="O420" s="16">
        <v>718401.9441346084</v>
      </c>
      <c r="P420" s="57">
        <v>671390.439312384</v>
      </c>
      <c r="Q420" s="55">
        <v>11.487907366802864</v>
      </c>
      <c r="R420" s="16">
        <v>139204.95980795362</v>
      </c>
      <c r="S420" s="17">
        <v>56.08919949820963</v>
      </c>
      <c r="T420" s="16"/>
      <c r="U420" s="16">
        <v>718401.9441346084</v>
      </c>
      <c r="V420" s="16">
        <v>517568.13100390986</v>
      </c>
      <c r="W420" s="20"/>
      <c r="X420" s="21"/>
      <c r="Y420" s="21"/>
      <c r="Z420" s="21"/>
      <c r="AA420" s="21"/>
      <c r="AB420" s="21"/>
    </row>
    <row r="421" ht="20.25" customHeight="1">
      <c r="A421" s="139"/>
      <c r="B421" s="21"/>
      <c r="C421" s="21"/>
      <c r="D421" s="21"/>
      <c r="E421" s="21"/>
      <c r="F421" s="21"/>
      <c r="G421" s="21"/>
      <c r="H421" s="21"/>
      <c r="I421" s="21"/>
      <c r="J421" s="21"/>
      <c r="K421" s="204"/>
      <c r="L421" s="54"/>
      <c r="M421" s="213">
        <v>45412.52171752315</v>
      </c>
      <c r="N421" s="56">
        <v>1.07263912129403</v>
      </c>
      <c r="O421" s="16">
        <v>712858.7469243499</v>
      </c>
      <c r="P421" s="57">
        <v>664583.952582634</v>
      </c>
      <c r="Q421" s="55">
        <v>11.550333398154661</v>
      </c>
      <c r="R421" s="16">
        <v>137384.29766910578</v>
      </c>
      <c r="S421" s="17">
        <v>53.76943913974266</v>
      </c>
      <c r="T421" s="16"/>
      <c r="U421" s="16">
        <v>712858.7469243499</v>
      </c>
      <c r="V421" s="16">
        <v>517568.13100390986</v>
      </c>
      <c r="W421" s="20"/>
      <c r="X421" s="21"/>
      <c r="Y421" s="21"/>
      <c r="Z421" s="21"/>
      <c r="AA421" s="21"/>
      <c r="AB421" s="21"/>
    </row>
    <row r="422" ht="20.25" customHeight="1">
      <c r="A422" s="139"/>
      <c r="B422" s="21"/>
      <c r="C422" s="21"/>
      <c r="D422" s="21"/>
      <c r="E422" s="21"/>
      <c r="F422" s="21"/>
      <c r="G422" s="21"/>
      <c r="H422" s="21"/>
      <c r="I422" s="21"/>
      <c r="J422" s="21"/>
      <c r="K422" s="204"/>
      <c r="L422" s="54"/>
      <c r="M422" s="213">
        <v>45413.50875864583</v>
      </c>
      <c r="N422" s="56">
        <v>1.0669944473609</v>
      </c>
      <c r="O422" s="16">
        <v>698808.6463667251</v>
      </c>
      <c r="P422" s="57">
        <v>654931.8490786486</v>
      </c>
      <c r="Q422" s="55">
        <v>12.288077722732863</v>
      </c>
      <c r="R422" s="16">
        <v>126590.89067823965</v>
      </c>
      <c r="S422" s="17">
        <v>50.47188175505977</v>
      </c>
      <c r="T422" s="16"/>
      <c r="U422" s="16">
        <v>698808.6463667251</v>
      </c>
      <c r="V422" s="16">
        <v>517568.13100390986</v>
      </c>
      <c r="W422" s="20"/>
      <c r="X422" s="21"/>
      <c r="Y422" s="21"/>
      <c r="Z422" s="21"/>
      <c r="AA422" s="21"/>
      <c r="AB422" s="21"/>
    </row>
    <row r="423" ht="20.25" customHeight="1">
      <c r="A423" s="139"/>
      <c r="B423" s="21"/>
      <c r="C423" s="21"/>
      <c r="D423" s="21"/>
      <c r="E423" s="21"/>
      <c r="F423" s="21"/>
      <c r="G423" s="21"/>
      <c r="H423" s="21"/>
      <c r="I423" s="21"/>
      <c r="J423" s="21"/>
      <c r="K423" s="204"/>
      <c r="L423" s="54"/>
      <c r="M423" s="213">
        <v>45414.621767916666</v>
      </c>
      <c r="N423" s="56">
        <v>1.07011156983227</v>
      </c>
      <c r="O423" s="16">
        <v>705684.1921367436</v>
      </c>
      <c r="P423" s="57">
        <v>659449.1752363289</v>
      </c>
      <c r="Q423" s="55">
        <v>11.99164334832818</v>
      </c>
      <c r="R423" s="16">
        <v>130996.53881878706</v>
      </c>
      <c r="S423" s="17">
        <v>52.77523835331899</v>
      </c>
      <c r="T423" s="16"/>
      <c r="U423" s="16">
        <v>705684.1921367436</v>
      </c>
      <c r="V423" s="16">
        <v>517568.13100390986</v>
      </c>
      <c r="W423" s="20"/>
      <c r="X423" s="21"/>
      <c r="Y423" s="21"/>
      <c r="Z423" s="21"/>
      <c r="AA423" s="21"/>
      <c r="AB423" s="21"/>
    </row>
    <row r="424" ht="20.25" customHeight="1">
      <c r="A424" s="139"/>
      <c r="B424" s="21"/>
      <c r="C424" s="21"/>
      <c r="D424" s="21"/>
      <c r="E424" s="21"/>
      <c r="F424" s="21"/>
      <c r="G424" s="21"/>
      <c r="H424" s="21"/>
      <c r="I424" s="21"/>
      <c r="J424" s="21"/>
      <c r="K424" s="204"/>
      <c r="L424" s="54"/>
      <c r="M424" s="213">
        <v>45415.508756180556</v>
      </c>
      <c r="N424" s="56">
        <v>1.07447393756017</v>
      </c>
      <c r="O424" s="16">
        <v>707624.0626856678</v>
      </c>
      <c r="P424" s="57">
        <v>658577.2236527991</v>
      </c>
      <c r="Q424" s="55">
        <v>11.910589255422368</v>
      </c>
      <c r="R424" s="16">
        <v>132250.54789696</v>
      </c>
      <c r="S424" s="17">
        <v>52.583734109413314</v>
      </c>
      <c r="T424" s="16"/>
      <c r="U424" s="16">
        <v>707624.0626856678</v>
      </c>
      <c r="V424" s="16">
        <v>517568.13100390986</v>
      </c>
      <c r="W424" s="20"/>
      <c r="X424" s="21"/>
      <c r="Y424" s="21"/>
      <c r="Z424" s="21"/>
      <c r="AA424" s="21"/>
      <c r="AB424" s="21"/>
    </row>
    <row r="425" ht="20.25" customHeight="1">
      <c r="A425" s="139"/>
      <c r="B425" s="21"/>
      <c r="C425" s="21"/>
      <c r="D425" s="21"/>
      <c r="E425" s="21"/>
      <c r="F425" s="21"/>
      <c r="G425" s="21"/>
      <c r="H425" s="21"/>
      <c r="I425" s="21"/>
      <c r="J425" s="21"/>
      <c r="K425" s="204"/>
      <c r="L425" s="54"/>
      <c r="M425" s="213">
        <v>45416.50875247685</v>
      </c>
      <c r="N425" s="56">
        <v>1.07683196037258</v>
      </c>
      <c r="O425" s="16">
        <v>717213.6883353121</v>
      </c>
      <c r="P425" s="57">
        <v>666040.4916725899</v>
      </c>
      <c r="Q425" s="55">
        <v>11.345561304606475</v>
      </c>
      <c r="R425" s="16">
        <v>18956.506158161512</v>
      </c>
      <c r="S425" s="17">
        <v>54.78792017225859</v>
      </c>
      <c r="T425" s="16"/>
      <c r="U425" s="16">
        <v>717213.6883353121</v>
      </c>
      <c r="V425" s="16">
        <v>637891.46444412</v>
      </c>
      <c r="W425" s="20"/>
      <c r="X425" s="21"/>
      <c r="Y425" s="21"/>
      <c r="Z425" s="21"/>
      <c r="AA425" s="21"/>
      <c r="AB425" s="21"/>
    </row>
    <row r="426" ht="20.25" customHeight="1">
      <c r="A426" s="139"/>
      <c r="B426" s="21"/>
      <c r="C426" s="21"/>
      <c r="D426" s="21"/>
      <c r="E426" s="21"/>
      <c r="F426" s="21"/>
      <c r="G426" s="21"/>
      <c r="H426" s="21"/>
      <c r="I426" s="21"/>
      <c r="J426" s="21"/>
      <c r="K426" s="204"/>
      <c r="L426" s="54"/>
      <c r="M426" s="213">
        <v>45417.50874672453</v>
      </c>
      <c r="N426" s="56">
        <v>1.07727973938449</v>
      </c>
      <c r="O426" s="16">
        <v>717354.2733684438</v>
      </c>
      <c r="P426" s="57">
        <v>665894.1472140823</v>
      </c>
      <c r="Q426" s="55">
        <v>11.249332264004472</v>
      </c>
      <c r="R426" s="16">
        <v>19122.41146279111</v>
      </c>
      <c r="S426" s="17">
        <v>55.54920822137083</v>
      </c>
      <c r="T426" s="16"/>
      <c r="U426" s="16">
        <v>717354.2733684438</v>
      </c>
      <c r="V426" s="16">
        <v>637891.4444441199</v>
      </c>
      <c r="W426" s="20"/>
      <c r="X426" s="21"/>
      <c r="Y426" s="21"/>
      <c r="Z426" s="21"/>
      <c r="AA426" s="21"/>
      <c r="AB426" s="21"/>
    </row>
    <row r="427" ht="20.25" customHeight="1">
      <c r="A427" s="139"/>
      <c r="B427" s="21"/>
      <c r="C427" s="21"/>
      <c r="D427" s="21"/>
      <c r="E427" s="21"/>
      <c r="F427" s="21"/>
      <c r="G427" s="21"/>
      <c r="H427" s="21"/>
      <c r="I427" s="21"/>
      <c r="J427" s="21"/>
      <c r="K427" s="204"/>
      <c r="L427" s="54"/>
      <c r="M427" s="213">
        <v>45418.50874917824</v>
      </c>
      <c r="N427" s="56">
        <v>1.07700360365406</v>
      </c>
      <c r="O427" s="16">
        <v>721724.5741527604</v>
      </c>
      <c r="P427" s="57">
        <v>670122.7105499851</v>
      </c>
      <c r="Q427" s="55">
        <v>11.06409181274973</v>
      </c>
      <c r="R427" s="16">
        <v>19694.579514232355</v>
      </c>
      <c r="S427" s="17">
        <v>56.440672904846146</v>
      </c>
      <c r="T427" s="16"/>
      <c r="U427" s="16">
        <v>721724.5741527604</v>
      </c>
      <c r="V427" s="16">
        <v>637891.4444441199</v>
      </c>
      <c r="W427" s="20"/>
      <c r="X427" s="21"/>
      <c r="Y427" s="21"/>
      <c r="Z427" s="21"/>
      <c r="AA427" s="21"/>
      <c r="AB427" s="21"/>
    </row>
    <row r="428" ht="20.25" customHeight="1">
      <c r="A428" s="139"/>
      <c r="B428" s="21"/>
      <c r="C428" s="21"/>
      <c r="D428" s="21"/>
      <c r="E428" s="21"/>
      <c r="F428" s="21"/>
      <c r="G428" s="21"/>
      <c r="H428" s="21"/>
      <c r="I428" s="21"/>
      <c r="J428" s="21"/>
      <c r="K428" s="204"/>
      <c r="L428" s="54"/>
      <c r="M428" s="213">
        <v>45419.50878546297</v>
      </c>
      <c r="N428" s="56">
        <v>1.07624901388684</v>
      </c>
      <c r="O428" s="16">
        <v>717835.5733023512</v>
      </c>
      <c r="P428" s="57">
        <v>666979.0764406002</v>
      </c>
      <c r="Q428" s="55">
        <v>11.19400070736638</v>
      </c>
      <c r="R428" s="16">
        <v>36511.91152133914</v>
      </c>
      <c r="S428" s="17">
        <v>54.83309917465225</v>
      </c>
      <c r="T428" s="16"/>
      <c r="U428" s="16">
        <v>717835.5733023512</v>
      </c>
      <c r="V428" s="16">
        <v>637891.4444441199</v>
      </c>
      <c r="W428" s="20"/>
      <c r="X428" s="21"/>
      <c r="Y428" s="21"/>
      <c r="Z428" s="21"/>
      <c r="AA428" s="21"/>
      <c r="AB428" s="21"/>
    </row>
    <row r="429" ht="20.25" customHeight="1">
      <c r="A429" s="139"/>
      <c r="B429" s="21"/>
      <c r="C429" s="21"/>
      <c r="D429" s="21"/>
      <c r="E429" s="21"/>
      <c r="F429" s="21"/>
      <c r="G429" s="21"/>
      <c r="H429" s="21"/>
      <c r="I429" s="21"/>
      <c r="J429" s="21"/>
      <c r="K429" s="204"/>
      <c r="L429" s="54"/>
      <c r="M429" s="213">
        <v>45420.508752222224</v>
      </c>
      <c r="N429" s="56">
        <v>1.07475455292897</v>
      </c>
      <c r="O429" s="16">
        <v>714012.5013603433</v>
      </c>
      <c r="P429" s="57">
        <v>664349.3618282276</v>
      </c>
      <c r="Q429" s="55">
        <v>11.463758207699657</v>
      </c>
      <c r="R429" s="16">
        <v>35462.85710493386</v>
      </c>
      <c r="S429" s="17">
        <v>52.95282870347373</v>
      </c>
      <c r="T429" s="16"/>
      <c r="U429" s="16">
        <v>714012.5013603433</v>
      </c>
      <c r="V429" s="16">
        <v>637891.4444441199</v>
      </c>
      <c r="W429" s="20"/>
      <c r="X429" s="21"/>
      <c r="Y429" s="21"/>
      <c r="Z429" s="21"/>
      <c r="AA429" s="21"/>
      <c r="AB429" s="21"/>
    </row>
    <row r="430" ht="20.25" customHeight="1">
      <c r="A430" s="139"/>
      <c r="B430" s="21"/>
      <c r="C430" s="21"/>
      <c r="D430" s="21"/>
      <c r="E430" s="21"/>
      <c r="F430" s="21"/>
      <c r="G430" s="21"/>
      <c r="H430" s="21"/>
      <c r="I430" s="21"/>
      <c r="J430" s="21"/>
      <c r="K430" s="204"/>
      <c r="L430" s="54"/>
      <c r="M430" s="213">
        <v>45421.508759108794</v>
      </c>
      <c r="N430" s="56">
        <v>1.0726989534749</v>
      </c>
      <c r="O430" s="16">
        <v>712296.7934546701</v>
      </c>
      <c r="P430" s="57">
        <v>664023.0151686608</v>
      </c>
      <c r="Q430" s="55">
        <v>11.647936596893102</v>
      </c>
      <c r="R430" s="16">
        <v>34818.248060435064</v>
      </c>
      <c r="S430" s="17">
        <v>52.428716522681256</v>
      </c>
      <c r="T430" s="16"/>
      <c r="U430" s="16">
        <v>712296.7934546701</v>
      </c>
      <c r="V430" s="16">
        <v>637891.4444441199</v>
      </c>
      <c r="W430" s="20"/>
      <c r="X430" s="21"/>
      <c r="Y430" s="21"/>
      <c r="Z430" s="21"/>
      <c r="AA430" s="21"/>
      <c r="AB430" s="21"/>
    </row>
    <row r="431" ht="20.25" customHeight="1">
      <c r="A431" s="139"/>
      <c r="B431" s="21"/>
      <c r="C431" s="21"/>
      <c r="D431" s="21"/>
      <c r="E431" s="21"/>
      <c r="F431" s="21"/>
      <c r="G431" s="21"/>
      <c r="H431" s="21"/>
      <c r="I431" s="21"/>
      <c r="J431" s="21"/>
      <c r="K431" s="204"/>
      <c r="L431" s="54"/>
      <c r="M431" s="213">
        <v>45422.50875746528</v>
      </c>
      <c r="N431" s="56">
        <v>1.07845896841086</v>
      </c>
      <c r="O431" s="16">
        <v>715425.9181677802</v>
      </c>
      <c r="P431" s="57">
        <v>663377.9671951549</v>
      </c>
      <c r="Q431" s="55">
        <v>11.356485282178857</v>
      </c>
      <c r="R431" s="16">
        <v>35868.70117359944</v>
      </c>
      <c r="S431" s="17">
        <v>53.40262951998658</v>
      </c>
      <c r="T431" s="16"/>
      <c r="U431" s="16">
        <v>715425.9181677802</v>
      </c>
      <c r="V431" s="16">
        <v>637891.4444441199</v>
      </c>
      <c r="W431" s="20"/>
      <c r="X431" s="21"/>
      <c r="Y431" s="21"/>
      <c r="Z431" s="21"/>
      <c r="AA431" s="21"/>
      <c r="AB431" s="21"/>
    </row>
    <row r="432" ht="20.25" customHeight="1">
      <c r="A432" s="139"/>
      <c r="B432" s="21"/>
      <c r="C432" s="21"/>
      <c r="D432" s="21"/>
      <c r="E432" s="21"/>
      <c r="F432" s="21"/>
      <c r="G432" s="21"/>
      <c r="H432" s="21"/>
      <c r="I432" s="21"/>
      <c r="J432" s="21"/>
      <c r="K432" s="204"/>
      <c r="L432" s="54"/>
      <c r="M432" s="213">
        <v>45423.50875662037</v>
      </c>
      <c r="N432" s="56">
        <v>1.07787658313123</v>
      </c>
      <c r="O432" s="16">
        <v>708201.5851521142</v>
      </c>
      <c r="P432" s="57">
        <v>657034.0206248747</v>
      </c>
      <c r="Q432" s="55">
        <v>11.643408617805838</v>
      </c>
      <c r="R432" s="16">
        <v>158029.2896706375</v>
      </c>
      <c r="S432" s="17">
        <v>51.22776889165923</v>
      </c>
      <c r="T432" s="16"/>
      <c r="U432" s="16">
        <v>708201.5851521142</v>
      </c>
      <c r="V432" s="16">
        <v>510058.0546243299</v>
      </c>
      <c r="W432" s="20"/>
      <c r="X432" s="21"/>
      <c r="Y432" s="21"/>
      <c r="Z432" s="21"/>
      <c r="AA432" s="21"/>
      <c r="AB432" s="21"/>
    </row>
    <row r="433" ht="20.25" customHeight="1">
      <c r="A433" s="139"/>
      <c r="B433" s="21"/>
      <c r="C433" s="21"/>
      <c r="D433" s="21"/>
      <c r="E433" s="21"/>
      <c r="F433" s="21"/>
      <c r="G433" s="21"/>
      <c r="H433" s="21"/>
      <c r="I433" s="21"/>
      <c r="J433" s="21"/>
      <c r="K433" s="204"/>
      <c r="L433" s="54"/>
      <c r="M433" s="213">
        <v>45424.50876351852</v>
      </c>
      <c r="N433" s="56">
        <v>1.0787858912066</v>
      </c>
      <c r="O433" s="16">
        <v>708214.3450782637</v>
      </c>
      <c r="P433" s="57">
        <v>656492.0350285082</v>
      </c>
      <c r="Q433" s="55">
        <v>11.60548179394846</v>
      </c>
      <c r="R433" s="16">
        <v>158548.58745457517</v>
      </c>
      <c r="S433" s="17">
        <v>51.47799455960028</v>
      </c>
      <c r="T433" s="16"/>
      <c r="U433" s="16">
        <v>708214.3450782637</v>
      </c>
      <c r="V433" s="16">
        <v>510058.0546243299</v>
      </c>
      <c r="W433" s="20"/>
      <c r="X433" s="21"/>
      <c r="Y433" s="21"/>
      <c r="Z433" s="21"/>
      <c r="AA433" s="21"/>
      <c r="AB433" s="21"/>
    </row>
    <row r="434" ht="20.25" customHeight="1">
      <c r="A434" s="139"/>
      <c r="B434" s="21"/>
      <c r="C434" s="21"/>
      <c r="D434" s="21"/>
      <c r="E434" s="21"/>
      <c r="F434" s="21"/>
      <c r="G434" s="21"/>
      <c r="H434" s="21"/>
      <c r="I434" s="21"/>
      <c r="J434" s="21"/>
      <c r="K434" s="204"/>
      <c r="L434" s="54"/>
      <c r="M434" s="213">
        <v>45425.50874990741</v>
      </c>
      <c r="N434" s="56">
        <v>1.0786008820798</v>
      </c>
      <c r="O434" s="16">
        <v>712589.149332364</v>
      </c>
      <c r="P434" s="57">
        <v>660660.6402530674</v>
      </c>
      <c r="Q434" s="55">
        <v>11.344425327576356</v>
      </c>
      <c r="R434" s="16">
        <v>163199.016318208</v>
      </c>
      <c r="S434" s="17">
        <v>52.44140901836673</v>
      </c>
      <c r="T434" s="16"/>
      <c r="U434" s="16">
        <v>712589.149332364</v>
      </c>
      <c r="V434" s="16">
        <v>510058.0546243299</v>
      </c>
      <c r="W434" s="20"/>
      <c r="X434" s="21"/>
      <c r="Y434" s="21"/>
      <c r="Z434" s="21"/>
      <c r="AA434" s="21"/>
      <c r="AB434" s="21"/>
    </row>
    <row r="435" ht="20.25" customHeight="1">
      <c r="A435" s="139"/>
      <c r="B435" s="21"/>
      <c r="C435" s="21"/>
      <c r="D435" s="21"/>
      <c r="E435" s="21"/>
      <c r="F435" s="21"/>
      <c r="G435" s="21"/>
      <c r="H435" s="21"/>
      <c r="I435" s="21"/>
      <c r="J435" s="21"/>
      <c r="K435" s="204"/>
      <c r="L435" s="54"/>
      <c r="M435" s="213">
        <v>45426.508779421296</v>
      </c>
      <c r="N435" s="56">
        <v>1.07922481440031</v>
      </c>
      <c r="O435" s="16">
        <v>709017.7339804386</v>
      </c>
      <c r="P435" s="57">
        <v>656969.45114667</v>
      </c>
      <c r="Q435" s="55">
        <v>11.487628264720392</v>
      </c>
      <c r="R435" s="16">
        <v>89496.01481361946</v>
      </c>
      <c r="S435" s="17">
        <v>51.306605027069054</v>
      </c>
      <c r="T435" s="16"/>
      <c r="U435" s="16">
        <v>709017.7339804386</v>
      </c>
      <c r="V435" s="16">
        <v>582763.7929455399</v>
      </c>
      <c r="W435" s="20"/>
      <c r="X435" s="21"/>
      <c r="Y435" s="21"/>
      <c r="Z435" s="21"/>
      <c r="AA435" s="21"/>
      <c r="AB435" s="21"/>
    </row>
    <row r="436" ht="20.25" customHeight="1">
      <c r="A436" s="139"/>
      <c r="B436" s="21"/>
      <c r="C436" s="21"/>
      <c r="D436" s="21"/>
      <c r="E436" s="21"/>
      <c r="F436" s="21"/>
      <c r="G436" s="21"/>
      <c r="H436" s="21"/>
      <c r="I436" s="21"/>
      <c r="J436" s="21"/>
      <c r="K436" s="204"/>
      <c r="L436" s="54"/>
      <c r="M436" s="213">
        <v>45427.50876701389</v>
      </c>
      <c r="N436" s="56">
        <v>1.08276785781959</v>
      </c>
      <c r="O436" s="16">
        <v>710248.395300044</v>
      </c>
      <c r="P436" s="57">
        <v>655956.2977149115</v>
      </c>
      <c r="Q436" s="55">
        <v>11.353592203224693</v>
      </c>
      <c r="R436" s="16">
        <v>90709.74425450944</v>
      </c>
      <c r="S436" s="17">
        <v>51.342749801915524</v>
      </c>
      <c r="T436" s="16"/>
      <c r="U436" s="16">
        <v>710248.395300044</v>
      </c>
      <c r="V436" s="16">
        <v>582763.7929455399</v>
      </c>
      <c r="W436" s="20"/>
      <c r="X436" s="21"/>
      <c r="Y436" s="21"/>
      <c r="Z436" s="21"/>
      <c r="AA436" s="21"/>
      <c r="AB436" s="21"/>
    </row>
    <row r="437" ht="20.25" customHeight="1">
      <c r="A437" s="139"/>
      <c r="B437" s="21"/>
      <c r="C437" s="21"/>
      <c r="D437" s="21"/>
      <c r="E437" s="21"/>
      <c r="F437" s="21"/>
      <c r="G437" s="21"/>
      <c r="H437" s="21"/>
      <c r="I437" s="21"/>
      <c r="J437" s="21"/>
      <c r="K437" s="204"/>
      <c r="L437" s="54"/>
      <c r="M437" s="213">
        <v>45428.50875606481</v>
      </c>
      <c r="N437" s="56">
        <v>1.08713849927053</v>
      </c>
      <c r="O437" s="16">
        <v>716932.936256056</v>
      </c>
      <c r="P437" s="57">
        <v>659467.8936833881</v>
      </c>
      <c r="Q437" s="55">
        <v>10.822223889928797</v>
      </c>
      <c r="R437" s="16">
        <v>20001.031353295235</v>
      </c>
      <c r="S437" s="17">
        <v>52.96538173634117</v>
      </c>
      <c r="T437" s="16"/>
      <c r="U437" s="16">
        <v>716932.936256056</v>
      </c>
      <c r="V437" s="16">
        <v>657832.4469455399</v>
      </c>
      <c r="W437" s="20"/>
      <c r="X437" s="21"/>
      <c r="Y437" s="21"/>
      <c r="Z437" s="21"/>
      <c r="AA437" s="21"/>
      <c r="AB437" s="21"/>
    </row>
    <row r="438" ht="20.25" customHeight="1">
      <c r="A438" s="139"/>
      <c r="B438" s="21"/>
      <c r="C438" s="21"/>
      <c r="D438" s="21"/>
      <c r="E438" s="21"/>
      <c r="F438" s="21"/>
      <c r="G438" s="21"/>
      <c r="H438" s="21"/>
      <c r="I438" s="21"/>
      <c r="J438" s="21"/>
      <c r="K438" s="204"/>
      <c r="L438" s="54"/>
      <c r="M438" s="213">
        <v>45429.50875584491</v>
      </c>
      <c r="N438" s="56">
        <v>1.08420006093204</v>
      </c>
      <c r="O438" s="16">
        <v>717069.2936163304</v>
      </c>
      <c r="P438" s="57">
        <v>661380.9752047947</v>
      </c>
      <c r="Q438" s="55">
        <v>10.820619899807491</v>
      </c>
      <c r="R438" s="16">
        <v>20007.800866356753</v>
      </c>
      <c r="S438" s="17">
        <v>53.329332961001555</v>
      </c>
      <c r="T438" s="16"/>
      <c r="U438" s="16">
        <v>717069.2936163304</v>
      </c>
      <c r="V438" s="16">
        <v>657832.4469455399</v>
      </c>
      <c r="W438" s="20"/>
      <c r="X438" s="21"/>
      <c r="Y438" s="21"/>
      <c r="Z438" s="21"/>
      <c r="AA438" s="21"/>
      <c r="AB438" s="21"/>
    </row>
    <row r="439" ht="20.25" customHeight="1">
      <c r="A439" s="139"/>
      <c r="B439" s="21"/>
      <c r="C439" s="21"/>
      <c r="D439" s="21"/>
      <c r="E439" s="21"/>
      <c r="F439" s="21"/>
      <c r="G439" s="21"/>
      <c r="H439" s="21"/>
      <c r="I439" s="21"/>
      <c r="J439" s="21"/>
      <c r="K439" s="204"/>
      <c r="L439" s="54"/>
      <c r="M439" s="213">
        <v>45430.508759502314</v>
      </c>
      <c r="N439" s="56">
        <v>1.08796170374803</v>
      </c>
      <c r="O439" s="16">
        <v>718326.8612806328</v>
      </c>
      <c r="P439" s="57">
        <v>660250.1345460925</v>
      </c>
      <c r="Q439" s="55">
        <v>10.696220915331104</v>
      </c>
      <c r="R439" s="16">
        <v>20275.992187464286</v>
      </c>
      <c r="S439" s="17">
        <v>55.04803687757315</v>
      </c>
      <c r="T439" s="16"/>
      <c r="U439" s="16">
        <v>718326.8612806328</v>
      </c>
      <c r="V439" s="16">
        <v>657832.4469455399</v>
      </c>
      <c r="W439" s="20"/>
      <c r="X439" s="21"/>
      <c r="Y439" s="21"/>
      <c r="Z439" s="21"/>
      <c r="AA439" s="21"/>
      <c r="AB439" s="21"/>
    </row>
    <row r="440" ht="20.25" customHeight="1">
      <c r="A440" s="139"/>
      <c r="B440" s="21"/>
      <c r="C440" s="21"/>
      <c r="D440" s="21"/>
      <c r="E440" s="21"/>
      <c r="F440" s="21"/>
      <c r="G440" s="21"/>
      <c r="H440" s="21"/>
      <c r="I440" s="21"/>
      <c r="J440" s="21"/>
      <c r="K440" s="204"/>
      <c r="L440" s="54"/>
      <c r="M440" s="213">
        <v>45431.50874958333</v>
      </c>
      <c r="N440" s="56">
        <v>1.08932936526957</v>
      </c>
      <c r="O440" s="16">
        <v>716817.4278170815</v>
      </c>
      <c r="P440" s="57">
        <v>658035.5314663668</v>
      </c>
      <c r="Q440" s="55">
        <v>10.671962557072856</v>
      </c>
      <c r="R440" s="16">
        <v>20279.378229714846</v>
      </c>
      <c r="S440" s="17">
        <v>54.7948411064718</v>
      </c>
      <c r="T440" s="16"/>
      <c r="U440" s="16">
        <v>716817.4278170815</v>
      </c>
      <c r="V440" s="16">
        <v>657832.4469455399</v>
      </c>
      <c r="W440" s="20"/>
      <c r="X440" s="21"/>
      <c r="Y440" s="21"/>
      <c r="Z440" s="21"/>
      <c r="AA440" s="21"/>
      <c r="AB440" s="21"/>
    </row>
    <row r="441" ht="20.25" customHeight="1">
      <c r="A441" s="139"/>
      <c r="B441" s="21"/>
      <c r="C441" s="21"/>
      <c r="D441" s="21"/>
      <c r="E441" s="21"/>
      <c r="F441" s="21"/>
      <c r="G441" s="21"/>
      <c r="H441" s="21"/>
      <c r="I441" s="21"/>
      <c r="J441" s="21"/>
      <c r="K441" s="204"/>
      <c r="L441" s="54"/>
      <c r="M441" s="213">
        <v>45432.50876347222</v>
      </c>
      <c r="N441" s="56">
        <v>1.08696361063224</v>
      </c>
      <c r="O441" s="16">
        <v>716206.8283639501</v>
      </c>
      <c r="P441" s="57">
        <v>658905.9848538659</v>
      </c>
      <c r="Q441" s="55">
        <v>10.676001114024603</v>
      </c>
      <c r="R441" s="16">
        <v>20254.439025714866</v>
      </c>
      <c r="S441" s="17">
        <v>54.70869967985124</v>
      </c>
      <c r="T441" s="16"/>
      <c r="U441" s="16">
        <v>716206.8283639501</v>
      </c>
      <c r="V441" s="16">
        <v>657832.4469455399</v>
      </c>
      <c r="W441" s="20"/>
      <c r="X441" s="21"/>
      <c r="Y441" s="21"/>
      <c r="Z441" s="21"/>
      <c r="AA441" s="21"/>
      <c r="AB441" s="21"/>
    </row>
    <row r="442" ht="20.25" customHeight="1">
      <c r="A442" s="139"/>
      <c r="B442" s="21"/>
      <c r="C442" s="21"/>
      <c r="D442" s="21"/>
      <c r="E442" s="21"/>
      <c r="F442" s="21"/>
      <c r="G442" s="21"/>
      <c r="H442" s="21"/>
      <c r="I442" s="21"/>
      <c r="J442" s="21"/>
      <c r="K442" s="204"/>
      <c r="L442" s="54"/>
      <c r="M442" s="213">
        <v>45433.50877482639</v>
      </c>
      <c r="N442" s="56">
        <v>1.0872697026861</v>
      </c>
      <c r="O442" s="16">
        <v>722598.5604097345</v>
      </c>
      <c r="P442" s="57">
        <v>664599.186958447</v>
      </c>
      <c r="Q442" s="55">
        <v>10.172372032401675</v>
      </c>
      <c r="R442" s="16">
        <v>349383.95731843176</v>
      </c>
      <c r="S442" s="17">
        <v>64.87444948745066</v>
      </c>
      <c r="T442" s="16"/>
      <c r="U442" s="16">
        <v>722598.5604097345</v>
      </c>
      <c r="V442" s="16">
        <v>347561.43376724987</v>
      </c>
      <c r="W442" s="20"/>
      <c r="X442" s="21"/>
      <c r="Y442" s="21"/>
      <c r="Z442" s="21"/>
      <c r="AA442" s="21"/>
      <c r="AB442" s="21"/>
    </row>
    <row r="443" ht="20.25" customHeight="1">
      <c r="A443" s="139"/>
      <c r="B443" s="21"/>
      <c r="C443" s="21"/>
      <c r="D443" s="21"/>
      <c r="E443" s="21"/>
      <c r="F443" s="21"/>
      <c r="G443" s="21"/>
      <c r="H443" s="21"/>
      <c r="I443" s="21"/>
      <c r="J443" s="21"/>
      <c r="K443" s="204"/>
      <c r="L443" s="54"/>
      <c r="M443" s="213">
        <v>45434.50876011574</v>
      </c>
      <c r="N443" s="56">
        <v>1.08434466545798</v>
      </c>
      <c r="O443" s="16">
        <v>744606.8208894862</v>
      </c>
      <c r="P443" s="57">
        <v>686688.3239334208</v>
      </c>
      <c r="Q443" s="55">
        <v>10.64039912189812</v>
      </c>
      <c r="R443" s="16">
        <v>542195.0696333043</v>
      </c>
      <c r="S443" s="17">
        <v>65.84206833444162</v>
      </c>
      <c r="T443" s="16"/>
      <c r="U443" s="16">
        <v>744606.8208894862</v>
      </c>
      <c r="V443" s="16">
        <v>177558.05709744984</v>
      </c>
      <c r="W443" s="152" t="s">
        <v>68</v>
      </c>
      <c r="X443" s="21"/>
      <c r="Y443" s="21"/>
      <c r="Z443" s="21"/>
      <c r="AA443" s="21"/>
      <c r="AB443" s="21"/>
    </row>
    <row r="444" ht="20.25" customHeight="1">
      <c r="A444" s="139"/>
      <c r="B444" s="21"/>
      <c r="C444" s="21"/>
      <c r="D444" s="21"/>
      <c r="E444" s="21"/>
      <c r="F444" s="21"/>
      <c r="G444" s="21"/>
      <c r="H444" s="21"/>
      <c r="I444" s="21"/>
      <c r="J444" s="21"/>
      <c r="K444" s="204"/>
      <c r="L444" s="54"/>
      <c r="M444" s="213">
        <v>45435.50874935185</v>
      </c>
      <c r="N444" s="56">
        <v>1.08351400929438</v>
      </c>
      <c r="O444" s="16">
        <v>741224.1408877481</v>
      </c>
      <c r="P444" s="57">
        <v>684092.8077805451</v>
      </c>
      <c r="Q444" s="55">
        <v>10.638938986300406</v>
      </c>
      <c r="R444" s="16">
        <v>539304.7438219803</v>
      </c>
      <c r="S444" s="17">
        <v>67.28633241536839</v>
      </c>
      <c r="T444" s="16"/>
      <c r="U444" s="16">
        <v>741224.1408877481</v>
      </c>
      <c r="V444" s="16">
        <v>177558.05709744984</v>
      </c>
      <c r="W444" s="20"/>
      <c r="X444" s="21"/>
      <c r="Y444" s="21"/>
      <c r="Z444" s="21"/>
      <c r="AA444" s="21"/>
      <c r="AB444" s="21"/>
    </row>
    <row r="445" ht="20.25" customHeight="1">
      <c r="A445" s="139"/>
      <c r="B445" s="21"/>
      <c r="C445" s="21"/>
      <c r="D445" s="21"/>
      <c r="E445" s="21"/>
      <c r="F445" s="21"/>
      <c r="G445" s="21"/>
      <c r="H445" s="21"/>
      <c r="I445" s="21"/>
      <c r="J445" s="21"/>
      <c r="K445" s="204"/>
      <c r="L445" s="54"/>
      <c r="M445" s="213">
        <v>45436.508755428236</v>
      </c>
      <c r="N445" s="56">
        <v>1.08290269902669</v>
      </c>
      <c r="O445" s="16">
        <v>725847.8617345121</v>
      </c>
      <c r="P445" s="57">
        <v>670279.8528315631</v>
      </c>
      <c r="Q445" s="55">
        <v>10.770919303762792</v>
      </c>
      <c r="R445" s="16">
        <v>439996.44188405364</v>
      </c>
      <c r="S445" s="17">
        <v>65.06023609988492</v>
      </c>
      <c r="T445" s="16"/>
      <c r="U445" s="16">
        <v>725847.8617345121</v>
      </c>
      <c r="V445" s="16">
        <v>262127.86561915986</v>
      </c>
      <c r="W445" s="20"/>
      <c r="X445" s="21"/>
      <c r="Y445" s="21"/>
      <c r="Z445" s="21"/>
      <c r="AA445" s="21"/>
      <c r="AB445" s="21"/>
    </row>
    <row r="446" ht="20.25" customHeight="1">
      <c r="A446" s="139"/>
      <c r="B446" s="21"/>
      <c r="C446" s="21"/>
      <c r="D446" s="21"/>
      <c r="E446" s="21"/>
      <c r="F446" s="21"/>
      <c r="G446" s="21"/>
      <c r="H446" s="21"/>
      <c r="I446" s="21"/>
      <c r="J446" s="21"/>
      <c r="K446" s="204"/>
      <c r="L446" s="54"/>
      <c r="M446" s="213">
        <v>45437.50875717592</v>
      </c>
      <c r="N446" s="56">
        <v>1.08534973224422</v>
      </c>
      <c r="O446" s="16">
        <v>737119.3836275174</v>
      </c>
      <c r="P446" s="57">
        <v>679153.7895378174</v>
      </c>
      <c r="Q446" s="55">
        <v>10.678001619493001</v>
      </c>
      <c r="R446" s="16">
        <v>450717.25453825155</v>
      </c>
      <c r="S446" s="17">
        <v>18836.70774764798</v>
      </c>
      <c r="T446" s="16"/>
      <c r="U446" s="16">
        <v>737119.3836275174</v>
      </c>
      <c r="V446" s="16">
        <v>243325.81413915986</v>
      </c>
      <c r="W446" s="20"/>
      <c r="X446" s="21"/>
      <c r="Y446" s="21"/>
      <c r="Z446" s="21"/>
      <c r="AA446" s="21"/>
      <c r="AB446" s="21"/>
    </row>
    <row r="447" ht="20.25" customHeight="1">
      <c r="A447" s="139"/>
      <c r="B447" s="21"/>
      <c r="C447" s="21"/>
      <c r="D447" s="21"/>
      <c r="E447" s="21"/>
      <c r="F447" s="21"/>
      <c r="G447" s="21"/>
      <c r="H447" s="21"/>
      <c r="I447" s="21"/>
      <c r="J447" s="21"/>
      <c r="K447" s="204"/>
      <c r="L447" s="54"/>
      <c r="M447" s="213">
        <v>45438.50875594908</v>
      </c>
      <c r="N447" s="56">
        <v>1.08485049675304</v>
      </c>
      <c r="O447" s="16">
        <v>738161.1778428049</v>
      </c>
      <c r="P447" s="57">
        <v>680426.6394790094</v>
      </c>
      <c r="Q447" s="55">
        <v>10.6838440705908</v>
      </c>
      <c r="R447" s="16">
        <v>451107.4448367088</v>
      </c>
      <c r="S447" s="17">
        <v>19087.26320860564</v>
      </c>
      <c r="T447" s="16"/>
      <c r="U447" s="16">
        <v>738161.1778428049</v>
      </c>
      <c r="V447" s="16">
        <v>243325.81413915986</v>
      </c>
      <c r="W447" s="20"/>
      <c r="X447" s="21"/>
      <c r="Y447" s="21"/>
      <c r="Z447" s="21"/>
      <c r="AA447" s="21"/>
      <c r="AB447" s="21"/>
    </row>
    <row r="448" ht="20.25" customHeight="1">
      <c r="A448" s="139"/>
      <c r="B448" s="21"/>
      <c r="C448" s="21"/>
      <c r="D448" s="21"/>
      <c r="E448" s="21"/>
      <c r="F448" s="21"/>
      <c r="G448" s="21"/>
      <c r="H448" s="21"/>
      <c r="I448" s="21"/>
      <c r="J448" s="21"/>
      <c r="K448" s="204"/>
      <c r="L448" s="54"/>
      <c r="M448" s="213">
        <v>45439.508758634256</v>
      </c>
      <c r="N448" s="56">
        <v>1.08536386823683</v>
      </c>
      <c r="O448" s="16">
        <v>735540.7804396405</v>
      </c>
      <c r="P448" s="57">
        <v>677690.4980580605</v>
      </c>
      <c r="Q448" s="55">
        <v>10.738075891353215</v>
      </c>
      <c r="R448" s="16">
        <v>447235.8635632086</v>
      </c>
      <c r="S448" s="17">
        <v>39107.481487124816</v>
      </c>
      <c r="T448" s="16"/>
      <c r="U448" s="16">
        <v>735540.7804396405</v>
      </c>
      <c r="V448" s="16">
        <v>224075.82266086986</v>
      </c>
      <c r="W448" s="20"/>
      <c r="X448" s="21"/>
      <c r="Y448" s="21"/>
      <c r="Z448" s="21"/>
      <c r="AA448" s="21"/>
      <c r="AB448" s="21"/>
    </row>
    <row r="449" ht="20.25" customHeight="1">
      <c r="A449" s="139"/>
      <c r="B449" s="21"/>
      <c r="C449" s="21"/>
      <c r="D449" s="21"/>
      <c r="E449" s="21"/>
      <c r="F449" s="21"/>
      <c r="G449" s="21"/>
      <c r="H449" s="21"/>
      <c r="I449" s="21"/>
      <c r="J449" s="21"/>
      <c r="K449" s="204"/>
      <c r="L449" s="54"/>
      <c r="M449" s="213">
        <v>45440.50876378472</v>
      </c>
      <c r="N449" s="56">
        <v>1.08691989726433</v>
      </c>
      <c r="O449" s="16">
        <v>735137.4515989925</v>
      </c>
      <c r="P449" s="57">
        <v>676349.2447320735</v>
      </c>
      <c r="Q449" s="55">
        <v>10.748334240869102</v>
      </c>
      <c r="R449" s="16">
        <v>446564.0111389184</v>
      </c>
      <c r="S449" s="17">
        <v>38977.2140505063</v>
      </c>
      <c r="T449" s="16"/>
      <c r="U449" s="16">
        <v>735137.4515989925</v>
      </c>
      <c r="V449" s="16">
        <v>224075.82266086986</v>
      </c>
      <c r="W449" s="20"/>
      <c r="X449" s="21"/>
      <c r="Y449" s="21"/>
      <c r="Z449" s="21"/>
      <c r="AA449" s="21"/>
      <c r="AB449" s="21"/>
    </row>
    <row r="450" ht="20.25" customHeight="1">
      <c r="A450" s="139"/>
      <c r="B450" s="21"/>
      <c r="C450" s="21"/>
      <c r="D450" s="21"/>
      <c r="E450" s="21"/>
      <c r="F450" s="21"/>
      <c r="G450" s="21"/>
      <c r="H450" s="21"/>
      <c r="I450" s="21"/>
      <c r="J450" s="21"/>
      <c r="K450" s="204"/>
      <c r="L450" s="54"/>
      <c r="M450" s="213">
        <v>45441.50876052083</v>
      </c>
      <c r="N450" s="56">
        <v>1.08443873788682</v>
      </c>
      <c r="O450" s="16">
        <v>730699.9507378862</v>
      </c>
      <c r="P450" s="57">
        <v>673804.729773631</v>
      </c>
      <c r="Q450" s="55">
        <v>10.766190689072639</v>
      </c>
      <c r="R450" s="16">
        <v>443132.23696908564</v>
      </c>
      <c r="S450" s="17">
        <v>38160.06959548302</v>
      </c>
      <c r="T450" s="16"/>
      <c r="U450" s="16">
        <v>730699.9507378862</v>
      </c>
      <c r="V450" s="16">
        <v>224075.82266086986</v>
      </c>
      <c r="W450" s="20"/>
      <c r="X450" s="21"/>
      <c r="Y450" s="21"/>
      <c r="Z450" s="21"/>
      <c r="AA450" s="21"/>
      <c r="AB450" s="21"/>
    </row>
    <row r="451" ht="20.25" customHeight="1">
      <c r="A451" s="139"/>
      <c r="B451" s="21"/>
      <c r="C451" s="21"/>
      <c r="D451" s="21"/>
      <c r="E451" s="21"/>
      <c r="F451" s="21"/>
      <c r="G451" s="21"/>
      <c r="H451" s="21"/>
      <c r="I451" s="21"/>
      <c r="J451" s="21"/>
      <c r="K451" s="204"/>
      <c r="L451" s="54"/>
      <c r="M451" s="213">
        <v>45442.508822442134</v>
      </c>
      <c r="N451" s="56">
        <v>1.0816798054707</v>
      </c>
      <c r="O451" s="16">
        <v>726735.4719973013</v>
      </c>
      <c r="P451" s="57">
        <v>671858.2230358435</v>
      </c>
      <c r="Q451" s="55">
        <v>10.751677604162902</v>
      </c>
      <c r="R451" s="16">
        <v>441322.8968130505</v>
      </c>
      <c r="S451" s="17">
        <v>37292.88656815879</v>
      </c>
      <c r="T451" s="16"/>
      <c r="U451" s="16">
        <v>726735.4719973013</v>
      </c>
      <c r="V451" s="16">
        <v>224075.82266086986</v>
      </c>
      <c r="W451" s="20"/>
      <c r="X451" s="21"/>
      <c r="Y451" s="21"/>
      <c r="Z451" s="21"/>
      <c r="AA451" s="21"/>
      <c r="AB451" s="21"/>
    </row>
    <row r="452" ht="20.25" customHeight="1">
      <c r="A452" s="139"/>
      <c r="B452" s="21"/>
      <c r="C452" s="21"/>
      <c r="D452" s="21"/>
      <c r="E452" s="21"/>
      <c r="F452" s="21"/>
      <c r="G452" s="21"/>
      <c r="H452" s="21"/>
      <c r="I452" s="21"/>
      <c r="J452" s="21"/>
      <c r="K452" s="204"/>
      <c r="L452" s="54"/>
      <c r="M452" s="213">
        <v>45443.508752002315</v>
      </c>
      <c r="N452" s="56">
        <v>1.0840895761535</v>
      </c>
      <c r="O452" s="16">
        <v>730758.3645855315</v>
      </c>
      <c r="P452" s="57">
        <v>674075.6305197246</v>
      </c>
      <c r="Q452" s="55">
        <v>10.724669305274547</v>
      </c>
      <c r="R452" s="16">
        <v>444883.4197468372</v>
      </c>
      <c r="S452" s="17">
        <v>37771.111800523635</v>
      </c>
      <c r="T452" s="16"/>
      <c r="U452" s="16">
        <v>730758.3645855315</v>
      </c>
      <c r="V452" s="16">
        <v>224075.82266086986</v>
      </c>
      <c r="W452" s="20"/>
      <c r="X452" s="21"/>
      <c r="Y452" s="21"/>
      <c r="Z452" s="21"/>
      <c r="AA452" s="21"/>
      <c r="AB452" s="21"/>
    </row>
    <row r="453" ht="20.25" customHeight="1">
      <c r="A453" s="139"/>
      <c r="B453" s="21"/>
      <c r="C453" s="21"/>
      <c r="D453" s="21"/>
      <c r="E453" s="21"/>
      <c r="F453" s="21"/>
      <c r="G453" s="21"/>
      <c r="H453" s="21"/>
      <c r="I453" s="21"/>
      <c r="J453" s="21"/>
      <c r="K453" s="204"/>
      <c r="L453" s="54"/>
      <c r="M453" s="213">
        <v>45444.508753518516</v>
      </c>
      <c r="N453" s="56">
        <v>1.08565020133383</v>
      </c>
      <c r="O453" s="16">
        <v>727784.3411850533</v>
      </c>
      <c r="P453" s="57">
        <v>670367.2511559408</v>
      </c>
      <c r="Q453" s="55">
        <v>10.755238816361887</v>
      </c>
      <c r="R453" s="16">
        <v>441813.5018990719</v>
      </c>
      <c r="S453" s="17">
        <v>37963.10730730044</v>
      </c>
      <c r="T453" s="16"/>
      <c r="U453" s="16">
        <v>727784.3411850533</v>
      </c>
      <c r="V453" s="16">
        <v>224075.82266086986</v>
      </c>
      <c r="W453" s="20"/>
      <c r="X453" s="21"/>
      <c r="Y453" s="21"/>
      <c r="Z453" s="21"/>
      <c r="AA453" s="21"/>
      <c r="AB453" s="21"/>
    </row>
    <row r="454" ht="20.25" customHeight="1">
      <c r="A454" s="139"/>
      <c r="B454" s="21"/>
      <c r="C454" s="21"/>
      <c r="D454" s="21"/>
      <c r="E454" s="21"/>
      <c r="F454" s="21"/>
      <c r="G454" s="21"/>
      <c r="H454" s="21"/>
      <c r="I454" s="21"/>
      <c r="J454" s="21"/>
      <c r="K454" s="204"/>
      <c r="L454" s="54"/>
      <c r="M454" s="213">
        <v>45445.508749189816</v>
      </c>
      <c r="N454" s="56">
        <v>1.08565020133383</v>
      </c>
      <c r="O454" s="16">
        <v>727552.232214295</v>
      </c>
      <c r="P454" s="57">
        <v>670153.4539582124</v>
      </c>
      <c r="Q454" s="55">
        <v>10.778741600362611</v>
      </c>
      <c r="R454" s="16">
        <v>440709.5399575875</v>
      </c>
      <c r="S454" s="17">
        <v>37835.41097328728</v>
      </c>
      <c r="T454" s="16"/>
      <c r="U454" s="16">
        <v>727552.232214295</v>
      </c>
      <c r="V454" s="16">
        <v>224075.82266086986</v>
      </c>
      <c r="W454" s="20"/>
      <c r="X454" s="21"/>
      <c r="Y454" s="21"/>
      <c r="Z454" s="21"/>
      <c r="AA454" s="21"/>
      <c r="AB454" s="21"/>
    </row>
    <row r="455" ht="20.25" customHeight="1">
      <c r="A455" s="139"/>
      <c r="B455" s="21"/>
      <c r="C455" s="21"/>
      <c r="D455" s="21"/>
      <c r="E455" s="21"/>
      <c r="F455" s="21"/>
      <c r="G455" s="21"/>
      <c r="H455" s="21"/>
      <c r="I455" s="21"/>
      <c r="J455" s="21"/>
      <c r="K455" s="204"/>
      <c r="L455" s="54"/>
      <c r="M455" s="213">
        <v>45446.50876523148</v>
      </c>
      <c r="N455" s="56">
        <v>1.08356449375867</v>
      </c>
      <c r="O455" s="16">
        <v>739014.3600544212</v>
      </c>
      <c r="P455" s="57">
        <v>682021.5726070234</v>
      </c>
      <c r="Q455" s="55">
        <v>10.697632162326826</v>
      </c>
      <c r="R455" s="16">
        <v>451046.7435358715</v>
      </c>
      <c r="S455" s="17">
        <v>38224.67072090545</v>
      </c>
      <c r="T455" s="16"/>
      <c r="U455" s="16">
        <v>739014.3600544212</v>
      </c>
      <c r="V455" s="16">
        <v>224075.82266086986</v>
      </c>
      <c r="W455" s="20"/>
      <c r="X455" s="21"/>
      <c r="Y455" s="21"/>
      <c r="Z455" s="21"/>
      <c r="AA455" s="21"/>
      <c r="AB455" s="21"/>
    </row>
    <row r="456" ht="20.25" customHeight="1">
      <c r="A456" s="139"/>
      <c r="B456" s="21"/>
      <c r="C456" s="21"/>
      <c r="D456" s="21"/>
      <c r="E456" s="21"/>
      <c r="F456" s="21"/>
      <c r="G456" s="21"/>
      <c r="H456" s="21"/>
      <c r="I456" s="21"/>
      <c r="J456" s="21"/>
      <c r="K456" s="204"/>
      <c r="L456" s="54"/>
      <c r="M456" s="213">
        <v>45447.50876484954</v>
      </c>
      <c r="N456" s="56">
        <v>1.08727088484279</v>
      </c>
      <c r="O456" s="16">
        <v>735316.4124984774</v>
      </c>
      <c r="P456" s="57">
        <v>676295.5053328754</v>
      </c>
      <c r="Q456" s="55">
        <v>10.700035157126866</v>
      </c>
      <c r="R456" s="16">
        <v>448688.9662400666</v>
      </c>
      <c r="S456" s="17">
        <v>37559.57334906315</v>
      </c>
      <c r="T456" s="16"/>
      <c r="U456" s="16">
        <v>735316.4124984774</v>
      </c>
      <c r="V456" s="16">
        <v>224075.82266086986</v>
      </c>
      <c r="W456" s="20"/>
      <c r="X456" s="21"/>
      <c r="Y456" s="21"/>
      <c r="Z456" s="21"/>
      <c r="AA456" s="21"/>
      <c r="AB456" s="21"/>
    </row>
    <row r="457" ht="20.25" customHeight="1">
      <c r="A457" s="139"/>
      <c r="B457" s="21"/>
      <c r="C457" s="21"/>
      <c r="D457" s="21"/>
      <c r="E457" s="21"/>
      <c r="F457" s="21"/>
      <c r="G457" s="21"/>
      <c r="H457" s="21"/>
      <c r="I457" s="21"/>
      <c r="J457" s="21"/>
      <c r="K457" s="204"/>
      <c r="L457" s="54"/>
      <c r="M457" s="213">
        <v>45448.508762094905</v>
      </c>
      <c r="N457" s="56">
        <v>1.08734536589715</v>
      </c>
      <c r="O457" s="16">
        <v>750435.170091222</v>
      </c>
      <c r="P457" s="57">
        <v>690153.4633129658</v>
      </c>
      <c r="Q457" s="55">
        <v>10.591016672133316</v>
      </c>
      <c r="R457" s="16">
        <v>462627.9450259401</v>
      </c>
      <c r="S457" s="17">
        <v>57004.46339226234</v>
      </c>
      <c r="T457" s="16"/>
      <c r="U457" s="16">
        <v>750435.170091222</v>
      </c>
      <c r="V457" s="16">
        <v>212304.77266086984</v>
      </c>
      <c r="W457" s="20"/>
      <c r="X457" s="21"/>
      <c r="Y457" s="21"/>
      <c r="Z457" s="21"/>
      <c r="AA457" s="21"/>
      <c r="AB457" s="21"/>
    </row>
    <row r="458" ht="20.25" customHeight="1">
      <c r="A458" s="139"/>
      <c r="B458" s="21"/>
      <c r="C458" s="21"/>
      <c r="D458" s="21"/>
      <c r="E458" s="21"/>
      <c r="F458" s="21"/>
      <c r="G458" s="21"/>
      <c r="H458" s="21"/>
      <c r="I458" s="21"/>
      <c r="J458" s="21"/>
      <c r="K458" s="204"/>
      <c r="L458" s="54"/>
      <c r="M458" s="213">
        <v>45449.50875695602</v>
      </c>
      <c r="N458" s="56">
        <v>1.08825769942322</v>
      </c>
      <c r="O458" s="16">
        <v>752149.2400688165</v>
      </c>
      <c r="P458" s="57">
        <v>691149.9366992376</v>
      </c>
      <c r="Q458" s="55">
        <v>10.605797552853684</v>
      </c>
      <c r="R458" s="16">
        <v>463038.4151935376</v>
      </c>
      <c r="S458" s="17">
        <v>57785.61371175277</v>
      </c>
      <c r="T458" s="16"/>
      <c r="U458" s="16">
        <v>752149.2400688165</v>
      </c>
      <c r="V458" s="16">
        <v>212304.77266086984</v>
      </c>
      <c r="W458" s="20"/>
      <c r="X458" s="21"/>
      <c r="Y458" s="21"/>
      <c r="Z458" s="21"/>
      <c r="AA458" s="21"/>
      <c r="AB458" s="21"/>
    </row>
    <row r="459" ht="20.25" customHeight="1">
      <c r="A459" s="139"/>
      <c r="B459" s="21"/>
      <c r="C459" s="21"/>
      <c r="D459" s="21"/>
      <c r="E459" s="21"/>
      <c r="F459" s="21"/>
      <c r="G459" s="21"/>
      <c r="H459" s="21"/>
      <c r="I459" s="21"/>
      <c r="J459" s="21"/>
      <c r="K459" s="204"/>
      <c r="L459" s="54"/>
      <c r="M459" s="213">
        <v>45450.50876140046</v>
      </c>
      <c r="N459" s="56">
        <v>1.08901143897616</v>
      </c>
      <c r="O459" s="16">
        <v>753415.7383634096</v>
      </c>
      <c r="P459" s="57">
        <v>691834.5495725347</v>
      </c>
      <c r="Q459" s="55">
        <v>10.56681871904911</v>
      </c>
      <c r="R459" s="16">
        <v>465529.02750965976</v>
      </c>
      <c r="S459" s="17">
        <v>57193.43873780725</v>
      </c>
      <c r="T459" s="16"/>
      <c r="U459" s="16">
        <v>753415.7383634096</v>
      </c>
      <c r="V459" s="16">
        <v>212304.77266086984</v>
      </c>
      <c r="W459" s="20"/>
      <c r="X459" s="21"/>
      <c r="Y459" s="21"/>
      <c r="Z459" s="21"/>
      <c r="AA459" s="21"/>
      <c r="AB459" s="21"/>
    </row>
    <row r="460" ht="20.25" customHeight="1">
      <c r="A460" s="139"/>
      <c r="B460" s="21"/>
      <c r="C460" s="21"/>
      <c r="D460" s="21"/>
      <c r="E460" s="21"/>
      <c r="F460" s="21"/>
      <c r="G460" s="21"/>
      <c r="H460" s="21"/>
      <c r="I460" s="21"/>
      <c r="J460" s="21"/>
      <c r="K460" s="204"/>
      <c r="L460" s="54"/>
      <c r="M460" s="213">
        <v>45451.50875396991</v>
      </c>
      <c r="N460" s="56">
        <v>1.08073057386793</v>
      </c>
      <c r="O460" s="16">
        <v>736830.771894338</v>
      </c>
      <c r="P460" s="57">
        <v>681789.5132338338</v>
      </c>
      <c r="Q460" s="55">
        <v>10.620115481533674</v>
      </c>
      <c r="R460" s="16">
        <v>452996.50406919635</v>
      </c>
      <c r="S460" s="17">
        <v>89453.51560551923</v>
      </c>
      <c r="T460" s="16"/>
      <c r="U460" s="16">
        <v>736830.771894338</v>
      </c>
      <c r="V460" s="16">
        <v>177558.06266086985</v>
      </c>
      <c r="W460" s="20"/>
      <c r="X460" s="21"/>
      <c r="Y460" s="21"/>
      <c r="Z460" s="21"/>
      <c r="AA460" s="21"/>
      <c r="AB460" s="21"/>
    </row>
    <row r="461" ht="20.25" customHeight="1">
      <c r="A461" s="139"/>
      <c r="B461" s="21"/>
      <c r="C461" s="21"/>
      <c r="D461" s="21"/>
      <c r="E461" s="21"/>
      <c r="F461" s="21"/>
      <c r="G461" s="21"/>
      <c r="H461" s="21"/>
      <c r="I461" s="21"/>
      <c r="J461" s="21"/>
      <c r="K461" s="204"/>
      <c r="L461" s="54"/>
      <c r="M461" s="213">
        <v>45452.508756446754</v>
      </c>
      <c r="N461" s="56">
        <v>1.08163417617874</v>
      </c>
      <c r="O461" s="16">
        <v>736447.9560771337</v>
      </c>
      <c r="P461" s="57">
        <v>680866.0194881228</v>
      </c>
      <c r="Q461" s="55">
        <v>10.620838715933132</v>
      </c>
      <c r="R461" s="16">
        <v>452730.3214416739</v>
      </c>
      <c r="S461" s="17">
        <v>89411.59269455587</v>
      </c>
      <c r="T461" s="16"/>
      <c r="U461" s="16">
        <v>736447.9560771337</v>
      </c>
      <c r="V461" s="16">
        <v>188400.12166086986</v>
      </c>
      <c r="W461" s="20"/>
      <c r="X461" s="21"/>
      <c r="Y461" s="21"/>
      <c r="Z461" s="21"/>
      <c r="AA461" s="21"/>
      <c r="AB461" s="21"/>
    </row>
    <row r="462" ht="20.25" customHeight="1">
      <c r="A462" s="139"/>
      <c r="B462" s="21"/>
      <c r="C462" s="21"/>
      <c r="D462" s="21"/>
      <c r="E462" s="21"/>
      <c r="F462" s="21"/>
      <c r="G462" s="21"/>
      <c r="H462" s="21"/>
      <c r="I462" s="21"/>
      <c r="J462" s="21"/>
      <c r="K462" s="204"/>
      <c r="L462" s="54"/>
      <c r="M462" s="213">
        <v>45453.508748402775</v>
      </c>
      <c r="N462" s="56">
        <v>1.07580556320573</v>
      </c>
      <c r="O462" s="16">
        <v>736247.3170614077</v>
      </c>
      <c r="P462" s="57">
        <v>684368.3861119917</v>
      </c>
      <c r="Q462" s="55">
        <v>10.609302698497709</v>
      </c>
      <c r="R462" s="16">
        <v>453099.12075887254</v>
      </c>
      <c r="S462" s="17">
        <v>89034.14054517832</v>
      </c>
      <c r="T462" s="16"/>
      <c r="U462" s="16">
        <v>736247.3170614077</v>
      </c>
      <c r="V462" s="16">
        <v>188400.12166086986</v>
      </c>
      <c r="W462" s="20"/>
      <c r="X462" s="21"/>
      <c r="Y462" s="21"/>
      <c r="Z462" s="21"/>
      <c r="AA462" s="21"/>
      <c r="AB462" s="21"/>
    </row>
    <row r="463" ht="20.25" customHeight="1">
      <c r="A463" s="139"/>
      <c r="B463" s="21"/>
      <c r="C463" s="21"/>
      <c r="D463" s="21"/>
      <c r="E463" s="21"/>
      <c r="F463" s="21"/>
      <c r="G463" s="21"/>
      <c r="H463" s="21"/>
      <c r="I463" s="21"/>
      <c r="J463" s="21"/>
      <c r="K463" s="204"/>
      <c r="L463" s="54"/>
      <c r="M463" s="213">
        <v>45454.508751898145</v>
      </c>
      <c r="N463" s="56">
        <v>1.07499948937524</v>
      </c>
      <c r="O463" s="16">
        <v>717238.9199528809</v>
      </c>
      <c r="P463" s="57">
        <v>667199.3122245299</v>
      </c>
      <c r="Q463" s="55">
        <v>10.691171364700818</v>
      </c>
      <c r="R463" s="16">
        <v>438020.9593304237</v>
      </c>
      <c r="S463" s="17">
        <v>85425.3125052531</v>
      </c>
      <c r="T463" s="16"/>
      <c r="U463" s="16">
        <v>717238.9199528809</v>
      </c>
      <c r="V463" s="16">
        <v>188400.12166086986</v>
      </c>
      <c r="W463" s="20"/>
      <c r="X463" s="21"/>
      <c r="Y463" s="21"/>
      <c r="Z463" s="21"/>
      <c r="AA463" s="21"/>
      <c r="AB463" s="21"/>
    </row>
    <row r="464" ht="20.25" customHeight="1">
      <c r="A464" s="139"/>
      <c r="B464" s="21"/>
      <c r="C464" s="21"/>
      <c r="D464" s="21"/>
      <c r="E464" s="21"/>
      <c r="F464" s="21"/>
      <c r="G464" s="21"/>
      <c r="H464" s="21"/>
      <c r="I464" s="21"/>
      <c r="J464" s="21"/>
      <c r="K464" s="204"/>
      <c r="L464" s="54"/>
      <c r="M464" s="213">
        <v>45455.50877074074</v>
      </c>
      <c r="N464" s="56">
        <v>1.07491975724012</v>
      </c>
      <c r="O464" s="16">
        <v>723799.2641300134</v>
      </c>
      <c r="P464" s="57">
        <v>673351.9030186811</v>
      </c>
      <c r="Q464" s="55">
        <v>10.649619861419763</v>
      </c>
      <c r="R464" s="16">
        <v>443752.0436888062</v>
      </c>
      <c r="S464" s="17">
        <v>86185.98254617093</v>
      </c>
      <c r="T464" s="16"/>
      <c r="U464" s="16">
        <v>723799.2641300134</v>
      </c>
      <c r="V464" s="16">
        <v>188400.12166086986</v>
      </c>
      <c r="W464" s="20"/>
      <c r="X464" s="21"/>
      <c r="Y464" s="21"/>
      <c r="Z464" s="21"/>
      <c r="AA464" s="21"/>
      <c r="AB464" s="21"/>
    </row>
    <row r="465" ht="20.25" customHeight="1">
      <c r="A465" s="139"/>
      <c r="B465" s="21"/>
      <c r="C465" s="21"/>
      <c r="D465" s="21"/>
      <c r="E465" s="21"/>
      <c r="F465" s="21"/>
      <c r="G465" s="21"/>
      <c r="H465" s="21"/>
      <c r="I465" s="21"/>
      <c r="J465" s="21"/>
      <c r="K465" s="204"/>
      <c r="L465" s="54"/>
      <c r="M465" s="213">
        <v>45456.50875854166</v>
      </c>
      <c r="N465" s="56">
        <v>1.08111030027839</v>
      </c>
      <c r="O465" s="16">
        <v>718120.9970026151</v>
      </c>
      <c r="P465" s="57">
        <v>664243.9692024915</v>
      </c>
      <c r="Q465" s="55">
        <v>10.659728898656995</v>
      </c>
      <c r="R465" s="16">
        <v>439853.2449886304</v>
      </c>
      <c r="S465" s="17">
        <v>84530.89297475024</v>
      </c>
      <c r="T465" s="16"/>
      <c r="U465" s="16">
        <v>718120.9970026151</v>
      </c>
      <c r="V465" s="16">
        <v>188400.12166086986</v>
      </c>
      <c r="W465" s="20"/>
      <c r="X465" s="21"/>
      <c r="Y465" s="21"/>
      <c r="Z465" s="21"/>
      <c r="AA465" s="21"/>
      <c r="AB465" s="21"/>
    </row>
    <row r="466" ht="20.25" customHeight="1">
      <c r="A466" s="139"/>
      <c r="B466" s="21"/>
      <c r="C466" s="21"/>
      <c r="D466" s="21"/>
      <c r="E466" s="21"/>
      <c r="F466" s="21"/>
      <c r="G466" s="21"/>
      <c r="H466" s="21"/>
      <c r="I466" s="21"/>
      <c r="J466" s="21"/>
      <c r="K466" s="204"/>
      <c r="L466" s="54"/>
      <c r="M466" s="213">
        <v>45457.508751851856</v>
      </c>
      <c r="N466" s="56">
        <v>1.06815810021673</v>
      </c>
      <c r="O466" s="16">
        <v>715479.5041554045</v>
      </c>
      <c r="P466" s="57">
        <v>669825.4724747519</v>
      </c>
      <c r="Q466" s="55">
        <v>10.697305418597868</v>
      </c>
      <c r="R466" s="16">
        <v>436695.9223198925</v>
      </c>
      <c r="S466" s="17">
        <v>85027.99211153714</v>
      </c>
      <c r="T466" s="16"/>
      <c r="U466" s="16">
        <v>715479.5041554045</v>
      </c>
      <c r="V466" s="16">
        <v>188400.12166086986</v>
      </c>
      <c r="W466" s="20"/>
      <c r="X466" s="21"/>
      <c r="Y466" s="21"/>
      <c r="Z466" s="21"/>
      <c r="AA466" s="21"/>
      <c r="AB466" s="21"/>
    </row>
    <row r="467" ht="20.25" customHeight="1">
      <c r="A467" s="139"/>
      <c r="B467" s="21"/>
      <c r="C467" s="21"/>
      <c r="D467" s="21"/>
      <c r="E467" s="21"/>
      <c r="F467" s="21"/>
      <c r="G467" s="21"/>
      <c r="H467" s="21"/>
      <c r="I467" s="21"/>
      <c r="J467" s="21"/>
      <c r="K467" s="204"/>
      <c r="L467" s="54"/>
      <c r="M467" s="213">
        <v>45458.50875770833</v>
      </c>
      <c r="N467" s="56">
        <v>1.0717504793404</v>
      </c>
      <c r="O467" s="16">
        <v>711238.1356483964</v>
      </c>
      <c r="P467" s="57">
        <v>663622.8761811444</v>
      </c>
      <c r="Q467" s="55">
        <v>10.74683443833871</v>
      </c>
      <c r="R467" s="16">
        <v>432106.5120541772</v>
      </c>
      <c r="S467" s="17">
        <v>103403.40938929781</v>
      </c>
      <c r="T467" s="16"/>
      <c r="U467" s="16">
        <v>711238.1356483964</v>
      </c>
      <c r="V467" s="16">
        <v>170359.98166086985</v>
      </c>
      <c r="W467" s="20"/>
      <c r="X467" s="21"/>
      <c r="Y467" s="21"/>
      <c r="Z467" s="21"/>
      <c r="AA467" s="21"/>
      <c r="AB467" s="21"/>
    </row>
    <row r="468" ht="20.25" customHeight="1">
      <c r="A468" s="139"/>
      <c r="B468" s="21"/>
      <c r="C468" s="21"/>
      <c r="D468" s="21"/>
      <c r="E468" s="21"/>
      <c r="F468" s="21"/>
      <c r="G468" s="21"/>
      <c r="H468" s="21"/>
      <c r="I468" s="21"/>
      <c r="J468" s="21"/>
      <c r="K468" s="204"/>
      <c r="L468" s="54"/>
      <c r="M468" s="213">
        <v>45459.50876684028</v>
      </c>
      <c r="N468" s="56">
        <v>1.0717504793404</v>
      </c>
      <c r="O468" s="16">
        <v>712740.9016942543</v>
      </c>
      <c r="P468" s="57">
        <v>665025.0365485302</v>
      </c>
      <c r="Q468" s="55">
        <v>10.744321532880761</v>
      </c>
      <c r="R468" s="16">
        <v>433120.7799792922</v>
      </c>
      <c r="S468" s="17">
        <v>104053.22923937876</v>
      </c>
      <c r="T468" s="16"/>
      <c r="U468" s="16">
        <v>712740.9016942543</v>
      </c>
      <c r="V468" s="16">
        <v>170359.98166086985</v>
      </c>
      <c r="W468" s="20"/>
      <c r="X468" s="21"/>
      <c r="Y468" s="21"/>
      <c r="Z468" s="21"/>
      <c r="AA468" s="21"/>
      <c r="AB468" s="21"/>
    </row>
    <row r="469" ht="20.25" customHeight="1">
      <c r="A469" s="139"/>
      <c r="B469" s="21"/>
      <c r="C469" s="21"/>
      <c r="D469" s="21"/>
      <c r="E469" s="21"/>
      <c r="F469" s="21"/>
      <c r="G469" s="21"/>
      <c r="H469" s="21"/>
      <c r="I469" s="21"/>
      <c r="J469" s="21"/>
      <c r="K469" s="204"/>
      <c r="L469" s="54"/>
      <c r="M469" s="213">
        <v>45460.50874921297</v>
      </c>
      <c r="N469" s="56">
        <v>1.07112024181611</v>
      </c>
      <c r="O469" s="16">
        <v>706428.2928728624</v>
      </c>
      <c r="P469" s="57">
        <v>659522.8670826874</v>
      </c>
      <c r="Q469" s="55">
        <v>10.762775673035692</v>
      </c>
      <c r="R469" s="16">
        <v>428548.6497578832</v>
      </c>
      <c r="S469" s="17">
        <v>102506.21837586536</v>
      </c>
      <c r="T469" s="16"/>
      <c r="U469" s="16">
        <v>706428.2928728624</v>
      </c>
      <c r="V469" s="16">
        <v>170359.98166086985</v>
      </c>
      <c r="W469" s="20"/>
      <c r="X469" s="21"/>
      <c r="Y469" s="21"/>
      <c r="Z469" s="21"/>
      <c r="AA469" s="21"/>
      <c r="AB469" s="21"/>
    </row>
    <row r="470" ht="20.25" customHeight="1">
      <c r="A470" s="139"/>
      <c r="B470" s="21"/>
      <c r="C470" s="21"/>
      <c r="D470" s="21"/>
      <c r="E470" s="21"/>
      <c r="F470" s="21"/>
      <c r="G470" s="21"/>
      <c r="H470" s="21"/>
      <c r="I470" s="21"/>
      <c r="J470" s="21"/>
      <c r="K470" s="204"/>
      <c r="L470" s="54"/>
      <c r="M470" s="213">
        <v>45461.50874815972</v>
      </c>
      <c r="N470" s="56">
        <v>1.07241020977416</v>
      </c>
      <c r="O470" s="16">
        <v>714421.0545443597</v>
      </c>
      <c r="P470" s="57">
        <v>666182.6305204707</v>
      </c>
      <c r="Q470" s="55">
        <v>10.921998569622824</v>
      </c>
      <c r="R470" s="16">
        <v>427079.24333200627</v>
      </c>
      <c r="S470" s="17">
        <v>100427.52286662946</v>
      </c>
      <c r="T470" s="16"/>
      <c r="U470" s="16">
        <v>714421.0545443597</v>
      </c>
      <c r="V470" s="16">
        <v>170359.98166086985</v>
      </c>
      <c r="W470" s="20"/>
      <c r="X470" s="21"/>
      <c r="Y470" s="21"/>
      <c r="Z470" s="21"/>
      <c r="AA470" s="21"/>
      <c r="AB470" s="21"/>
    </row>
    <row r="471" ht="20.25" customHeight="1">
      <c r="A471" s="139"/>
      <c r="B471" s="21"/>
      <c r="C471" s="21"/>
      <c r="D471" s="21"/>
      <c r="E471" s="21"/>
      <c r="F471" s="21"/>
      <c r="G471" s="21"/>
      <c r="H471" s="21"/>
      <c r="I471" s="21"/>
      <c r="J471" s="21"/>
      <c r="K471" s="204"/>
      <c r="L471" s="54"/>
      <c r="M471" s="213">
        <v>45462.50876005787</v>
      </c>
      <c r="N471" s="56">
        <v>1.07433772450973</v>
      </c>
      <c r="O471" s="16">
        <v>698799.6032920161</v>
      </c>
      <c r="P471" s="57">
        <v>650446.8635418258</v>
      </c>
      <c r="Q471" s="55">
        <v>10.710320291420445</v>
      </c>
      <c r="R471" s="16">
        <v>425996.9856463385</v>
      </c>
      <c r="S471" s="17">
        <v>85807.7901948725</v>
      </c>
      <c r="T471" s="16"/>
      <c r="U471" s="16">
        <v>698799.6032920161</v>
      </c>
      <c r="V471" s="16">
        <v>170359.98166086985</v>
      </c>
      <c r="W471" s="20"/>
      <c r="X471" s="21"/>
      <c r="Y471" s="21"/>
      <c r="Z471" s="21"/>
      <c r="AA471" s="21"/>
      <c r="AB471" s="21"/>
    </row>
    <row r="472" ht="20.25" customHeight="1">
      <c r="A472" s="139"/>
      <c r="B472" s="21"/>
      <c r="C472" s="21"/>
      <c r="D472" s="21"/>
      <c r="E472" s="21"/>
      <c r="F472" s="21"/>
      <c r="G472" s="21"/>
      <c r="H472" s="21"/>
      <c r="I472" s="21"/>
      <c r="J472" s="21"/>
      <c r="K472" s="204"/>
      <c r="L472" s="54"/>
      <c r="M472" s="213">
        <v>45463.508763460646</v>
      </c>
      <c r="N472" s="56">
        <v>1.07215725544897</v>
      </c>
      <c r="O472" s="16">
        <v>719678.8392226276</v>
      </c>
      <c r="P472" s="57">
        <v>671243.7336641062</v>
      </c>
      <c r="Q472" s="55">
        <v>10.96343136524967</v>
      </c>
      <c r="R472" s="16">
        <v>410542.93038152583</v>
      </c>
      <c r="S472" s="17">
        <v>122749.43168328736</v>
      </c>
      <c r="T472" s="16"/>
      <c r="U472" s="16">
        <v>719678.8392226276</v>
      </c>
      <c r="V472" s="16">
        <v>170359.98166086985</v>
      </c>
      <c r="W472" s="20"/>
      <c r="X472" s="21"/>
      <c r="Y472" s="21"/>
      <c r="Z472" s="21"/>
      <c r="AA472" s="21"/>
      <c r="AB472" s="21"/>
    </row>
    <row r="473" ht="20.25" customHeight="1">
      <c r="A473" s="139"/>
      <c r="B473" s="21"/>
      <c r="C473" s="21"/>
      <c r="D473" s="21"/>
      <c r="E473" s="21"/>
      <c r="F473" s="21"/>
      <c r="G473" s="21"/>
      <c r="H473" s="21"/>
      <c r="I473" s="21"/>
      <c r="J473" s="21"/>
      <c r="K473" s="204"/>
      <c r="L473" s="54"/>
      <c r="M473" s="213">
        <v>45464.508768368054</v>
      </c>
      <c r="N473" s="56">
        <v>1.06859983500819</v>
      </c>
      <c r="O473" s="16">
        <v>706913.6304916218</v>
      </c>
      <c r="P473" s="57">
        <v>661532.6030685789</v>
      </c>
      <c r="Q473" s="55">
        <v>11.03018307772007</v>
      </c>
      <c r="R473" s="16">
        <v>400820.5517712909</v>
      </c>
      <c r="S473" s="17">
        <v>120727.6090520881</v>
      </c>
      <c r="T473" s="16"/>
      <c r="U473" s="16">
        <v>706913.6304916218</v>
      </c>
      <c r="V473" s="16">
        <v>180394.83968557985</v>
      </c>
      <c r="W473" s="20"/>
      <c r="X473" s="21"/>
      <c r="Y473" s="21"/>
      <c r="Z473" s="21"/>
      <c r="AA473" s="21"/>
      <c r="AB473" s="21"/>
    </row>
    <row r="474" ht="20.25" customHeight="1">
      <c r="A474" s="139"/>
      <c r="B474" s="21"/>
      <c r="C474" s="21"/>
      <c r="D474" s="21"/>
      <c r="E474" s="21"/>
      <c r="F474" s="21"/>
      <c r="G474" s="21"/>
      <c r="H474" s="21"/>
      <c r="I474" s="21"/>
      <c r="J474" s="21"/>
      <c r="K474" s="204"/>
      <c r="L474" s="54"/>
      <c r="M474" s="213">
        <v>45465.50877003472</v>
      </c>
      <c r="N474" s="56">
        <v>1.06924997460531</v>
      </c>
      <c r="O474" s="16">
        <v>708373.821306302</v>
      </c>
      <c r="P474" s="57">
        <v>662495.9907694013</v>
      </c>
      <c r="Q474" s="55">
        <v>11.019639205448511</v>
      </c>
      <c r="R474" s="16">
        <v>402032.78857025714</v>
      </c>
      <c r="S474" s="17">
        <v>138633.14530392372</v>
      </c>
      <c r="T474" s="16"/>
      <c r="U474" s="16">
        <v>708373.821306302</v>
      </c>
      <c r="V474" s="16">
        <v>162810.90066086987</v>
      </c>
      <c r="W474" s="20"/>
      <c r="X474" s="21"/>
      <c r="Y474" s="21"/>
      <c r="Z474" s="21"/>
      <c r="AA474" s="21"/>
      <c r="AB474" s="21"/>
    </row>
    <row r="475" ht="20.25" customHeight="1">
      <c r="A475" s="139"/>
      <c r="B475" s="21"/>
      <c r="C475" s="21"/>
      <c r="D475" s="21"/>
      <c r="E475" s="21"/>
      <c r="F475" s="21"/>
      <c r="G475" s="21"/>
      <c r="H475" s="21"/>
      <c r="I475" s="21"/>
      <c r="J475" s="21"/>
      <c r="K475" s="204"/>
      <c r="L475" s="54"/>
      <c r="M475" s="213">
        <v>45466.50874903935</v>
      </c>
      <c r="N475" s="56">
        <v>1.06924997460531</v>
      </c>
      <c r="O475" s="16">
        <v>709047.1831006154</v>
      </c>
      <c r="P475" s="57">
        <v>663125.742287106</v>
      </c>
      <c r="Q475" s="55">
        <v>11.020359859165733</v>
      </c>
      <c r="R475" s="16">
        <v>402388.6354226432</v>
      </c>
      <c r="S475" s="17">
        <v>138914.1428648041</v>
      </c>
      <c r="T475" s="16"/>
      <c r="U475" s="16">
        <v>709047.1831006154</v>
      </c>
      <c r="V475" s="16">
        <v>162810.90066086987</v>
      </c>
      <c r="W475" s="20"/>
      <c r="X475" s="21"/>
      <c r="Y475" s="21"/>
      <c r="Z475" s="21"/>
      <c r="AA475" s="21"/>
      <c r="AB475" s="21"/>
    </row>
    <row r="476" ht="20.25" customHeight="1">
      <c r="A476" s="139"/>
      <c r="B476" s="21"/>
      <c r="C476" s="21"/>
      <c r="D476" s="21"/>
      <c r="E476" s="21"/>
      <c r="F476" s="21"/>
      <c r="G476" s="21"/>
      <c r="H476" s="21"/>
      <c r="I476" s="21"/>
      <c r="J476" s="21"/>
      <c r="K476" s="204"/>
      <c r="L476" s="54"/>
      <c r="M476" s="213">
        <v>45467.50875949074</v>
      </c>
      <c r="N476" s="56">
        <v>1.07193199663413</v>
      </c>
      <c r="O476" s="16">
        <v>683511.0568099022</v>
      </c>
      <c r="P476" s="57">
        <v>637644.0473426757</v>
      </c>
      <c r="Q476" s="55">
        <v>11.115860040424511</v>
      </c>
      <c r="R476" s="16">
        <v>384564.17241553136</v>
      </c>
      <c r="S476" s="17">
        <v>148591.06812187476</v>
      </c>
      <c r="T476" s="16"/>
      <c r="U476" s="16">
        <v>683511.0568099022</v>
      </c>
      <c r="V476" s="16">
        <v>145710.90066086987</v>
      </c>
      <c r="W476" s="20"/>
      <c r="X476" s="21"/>
      <c r="Y476" s="21"/>
      <c r="Z476" s="21"/>
      <c r="AA476" s="21"/>
      <c r="AB476" s="21"/>
    </row>
    <row r="477" ht="20.25" customHeight="1">
      <c r="A477" s="139"/>
      <c r="B477" s="21"/>
      <c r="C477" s="21"/>
      <c r="D477" s="21"/>
      <c r="E477" s="21"/>
      <c r="F477" s="21"/>
      <c r="G477" s="21"/>
      <c r="H477" s="21"/>
      <c r="I477" s="21"/>
      <c r="J477" s="21"/>
      <c r="K477" s="204"/>
      <c r="L477" s="54"/>
      <c r="M477" s="213">
        <v>45468.50876247685</v>
      </c>
      <c r="N477" s="56">
        <v>1.07283475126326</v>
      </c>
      <c r="O477" s="16">
        <v>685507.9483502732</v>
      </c>
      <c r="P477" s="57">
        <v>638968.813736775</v>
      </c>
      <c r="Q477" s="55">
        <v>11.174391818648335</v>
      </c>
      <c r="R477" s="16">
        <v>383667.44159018213</v>
      </c>
      <c r="S477" s="17">
        <v>151311.07793272822</v>
      </c>
      <c r="T477" s="16"/>
      <c r="U477" s="16">
        <v>685507.9483502732</v>
      </c>
      <c r="V477" s="16">
        <v>145710.90066086987</v>
      </c>
      <c r="W477" s="20"/>
      <c r="X477" s="21"/>
      <c r="Y477" s="21"/>
      <c r="Z477" s="21"/>
      <c r="AA477" s="21"/>
      <c r="AB477" s="21"/>
    </row>
    <row r="478" ht="20.25" customHeight="1">
      <c r="A478" s="139"/>
      <c r="B478" s="21"/>
      <c r="C478" s="21"/>
      <c r="D478" s="21"/>
      <c r="E478" s="21"/>
      <c r="F478" s="21"/>
      <c r="G478" s="21"/>
      <c r="H478" s="21"/>
      <c r="I478" s="21"/>
      <c r="J478" s="21"/>
      <c r="K478" s="204"/>
      <c r="L478" s="54"/>
      <c r="M478" s="213">
        <v>45469.508752650465</v>
      </c>
      <c r="N478" s="56">
        <v>1.06980476063118</v>
      </c>
      <c r="O478" s="16">
        <v>684904.7954416445</v>
      </c>
      <c r="P478" s="57">
        <v>640214.7575390801</v>
      </c>
      <c r="Q478" s="55">
        <v>11.168108117745305</v>
      </c>
      <c r="R478" s="16">
        <v>383545.54624375567</v>
      </c>
      <c r="S478" s="17">
        <v>150918.8988583025</v>
      </c>
      <c r="T478" s="16"/>
      <c r="U478" s="16">
        <v>684904.7954416445</v>
      </c>
      <c r="V478" s="16">
        <v>145710.90066086987</v>
      </c>
      <c r="W478" s="20"/>
      <c r="X478" s="21"/>
      <c r="Y478" s="21"/>
      <c r="Z478" s="21"/>
      <c r="AA478" s="21"/>
      <c r="AB478" s="21"/>
    </row>
    <row r="479" ht="20.25" customHeight="1">
      <c r="A479" s="139"/>
      <c r="B479" s="21"/>
      <c r="C479" s="21"/>
      <c r="D479" s="21"/>
      <c r="E479" s="21"/>
      <c r="F479" s="21"/>
      <c r="G479" s="21"/>
      <c r="H479" s="21"/>
      <c r="I479" s="21"/>
      <c r="J479" s="21"/>
      <c r="K479" s="204"/>
      <c r="L479" s="54"/>
      <c r="M479" s="213">
        <v>45470.50875584491</v>
      </c>
      <c r="N479" s="56">
        <v>1.06922482269579</v>
      </c>
      <c r="O479" s="16">
        <v>684969.1467860811</v>
      </c>
      <c r="P479" s="57">
        <v>640622.1893157122</v>
      </c>
      <c r="Q479" s="55">
        <v>11.200660915266532</v>
      </c>
      <c r="R479" s="16">
        <v>382466.768889329</v>
      </c>
      <c r="S479" s="17">
        <v>152027.11841227036</v>
      </c>
      <c r="T479" s="16"/>
      <c r="U479" s="16">
        <v>684969.1467860811</v>
      </c>
      <c r="V479" s="16">
        <v>145710.90066086987</v>
      </c>
      <c r="W479" s="20"/>
      <c r="X479" s="21"/>
      <c r="Y479" s="21"/>
      <c r="Z479" s="21"/>
      <c r="AA479" s="21"/>
      <c r="AB479" s="21"/>
    </row>
    <row r="480" ht="20.25" customHeight="1">
      <c r="A480" s="139"/>
      <c r="B480" s="21"/>
      <c r="C480" s="21"/>
      <c r="D480" s="21"/>
      <c r="E480" s="21"/>
      <c r="F480" s="21"/>
      <c r="G480" s="21"/>
      <c r="H480" s="21"/>
      <c r="I480" s="21"/>
      <c r="J480" s="21"/>
      <c r="K480" s="204"/>
      <c r="L480" s="54"/>
      <c r="M480" s="213">
        <v>45471.50874978009</v>
      </c>
      <c r="N480" s="56">
        <v>1.069757838918</v>
      </c>
      <c r="O480" s="16">
        <v>689660.2331238828</v>
      </c>
      <c r="P480" s="57">
        <v>644688.17898211</v>
      </c>
      <c r="Q480" s="55">
        <v>11.214866471657832</v>
      </c>
      <c r="R480" s="16">
        <v>384598.3567183567</v>
      </c>
      <c r="S480" s="17">
        <v>154529.71964860047</v>
      </c>
      <c r="T480" s="16"/>
      <c r="U480" s="16">
        <v>689660.2331238828</v>
      </c>
      <c r="V480" s="16">
        <v>145710.90066086987</v>
      </c>
      <c r="W480" s="20"/>
      <c r="X480" s="21"/>
      <c r="Y480" s="21"/>
      <c r="Z480" s="21"/>
      <c r="AA480" s="21"/>
      <c r="AB480" s="21"/>
    </row>
    <row r="481" ht="20.25" customHeight="1">
      <c r="A481" s="139"/>
      <c r="B481" s="21"/>
      <c r="C481" s="21"/>
      <c r="D481" s="21"/>
      <c r="E481" s="21"/>
      <c r="F481" s="21"/>
      <c r="G481" s="21"/>
      <c r="H481" s="21"/>
      <c r="I481" s="21"/>
      <c r="J481" s="21"/>
      <c r="K481" s="204"/>
      <c r="L481" s="54"/>
      <c r="M481" s="213">
        <v>45472.508755532406</v>
      </c>
      <c r="N481" s="56">
        <v>1.07201703220661</v>
      </c>
      <c r="O481" s="16">
        <v>683415.1756884364</v>
      </c>
      <c r="P481" s="57">
        <v>637504.0276008615</v>
      </c>
      <c r="Q481" s="55">
        <v>11.231372072120008</v>
      </c>
      <c r="R481" s="16">
        <v>380555.62913050916</v>
      </c>
      <c r="S481" s="17">
        <v>169651.41473011088</v>
      </c>
      <c r="T481" s="16"/>
      <c r="U481" s="16">
        <v>683415.1756884364</v>
      </c>
      <c r="V481" s="16">
        <v>128410.90066086987</v>
      </c>
      <c r="W481" s="20"/>
      <c r="X481" s="21"/>
      <c r="Y481" s="21"/>
      <c r="Z481" s="21"/>
      <c r="AA481" s="21"/>
      <c r="AB481" s="21"/>
    </row>
    <row r="482" ht="20.25" customHeight="1">
      <c r="A482" s="139"/>
      <c r="B482" s="21"/>
      <c r="C482" s="21"/>
      <c r="D482" s="21"/>
      <c r="E482" s="21"/>
      <c r="F482" s="21"/>
      <c r="G482" s="21"/>
      <c r="H482" s="21"/>
      <c r="I482" s="21"/>
      <c r="J482" s="21"/>
      <c r="K482" s="204"/>
      <c r="L482" s="54"/>
      <c r="M482" s="213">
        <v>45473.50875405093</v>
      </c>
      <c r="N482" s="56">
        <v>1.07154950344396</v>
      </c>
      <c r="O482" s="16">
        <v>687109.2318785471</v>
      </c>
      <c r="P482" s="57">
        <v>641229.5742475529</v>
      </c>
      <c r="Q482" s="55">
        <v>11.177482886048871</v>
      </c>
      <c r="R482" s="16">
        <v>384457.3046267026</v>
      </c>
      <c r="S482" s="17">
        <v>169466.10324329336</v>
      </c>
      <c r="T482" s="16"/>
      <c r="U482" s="16">
        <v>687109.2318785471</v>
      </c>
      <c r="V482" s="16">
        <v>128410.90066086987</v>
      </c>
      <c r="W482" s="20"/>
      <c r="X482" s="21"/>
      <c r="Y482" s="21"/>
      <c r="Z482" s="21"/>
      <c r="AA482" s="21"/>
      <c r="AB482" s="21"/>
    </row>
    <row r="483" ht="20.25" customHeight="1">
      <c r="A483" s="139"/>
      <c r="B483" s="21"/>
      <c r="C483" s="21"/>
      <c r="D483" s="21"/>
      <c r="E483" s="21"/>
      <c r="F483" s="21"/>
      <c r="G483" s="21"/>
      <c r="H483" s="21"/>
      <c r="I483" s="21"/>
      <c r="J483" s="21"/>
      <c r="K483" s="204"/>
      <c r="L483" s="54"/>
      <c r="M483" s="213">
        <v>45474.508771423614</v>
      </c>
      <c r="N483" s="56">
        <v>1.07668123775275</v>
      </c>
      <c r="O483" s="16">
        <v>700438.4865826705</v>
      </c>
      <c r="P483" s="57">
        <v>650553.2575682533</v>
      </c>
      <c r="Q483" s="55">
        <v>11.142444326873935</v>
      </c>
      <c r="R483" s="16">
        <v>393147.822781111</v>
      </c>
      <c r="S483" s="17">
        <v>174030.96638849258</v>
      </c>
      <c r="T483" s="16"/>
      <c r="U483" s="16">
        <v>700438.4865826705</v>
      </c>
      <c r="V483" s="16">
        <v>128410.90066086987</v>
      </c>
      <c r="W483" s="20"/>
      <c r="X483" s="21"/>
      <c r="Y483" s="21"/>
      <c r="Z483" s="21"/>
      <c r="AA483" s="21"/>
      <c r="AB483" s="21"/>
    </row>
    <row r="484" ht="20.25" customHeight="1">
      <c r="A484" s="139"/>
      <c r="B484" s="21"/>
      <c r="C484" s="21"/>
      <c r="D484" s="21"/>
      <c r="E484" s="21"/>
      <c r="F484" s="21"/>
      <c r="G484" s="21"/>
      <c r="H484" s="21"/>
      <c r="I484" s="21"/>
      <c r="J484" s="21"/>
      <c r="K484" s="204"/>
      <c r="L484" s="54"/>
      <c r="M484" s="213">
        <v>45475.65564480324</v>
      </c>
      <c r="N484" s="56">
        <v>1.07328842694555</v>
      </c>
      <c r="O484" s="16">
        <v>698778.5643418976</v>
      </c>
      <c r="P484" s="57">
        <v>651063.1688543754</v>
      </c>
      <c r="Q484" s="55">
        <v>11.089077268034734</v>
      </c>
      <c r="R484" s="16">
        <v>394103.69914306124</v>
      </c>
      <c r="S484" s="17">
        <v>171482.71988350232</v>
      </c>
      <c r="T484" s="16"/>
      <c r="U484" s="16">
        <v>698778.5643418976</v>
      </c>
      <c r="V484" s="16">
        <v>128410.90066086987</v>
      </c>
      <c r="W484" s="20"/>
      <c r="X484" s="21"/>
      <c r="Y484" s="21"/>
      <c r="Z484" s="21"/>
      <c r="AA484" s="21"/>
      <c r="AB484" s="21"/>
    </row>
    <row r="485" ht="20.25" customHeight="1">
      <c r="A485" s="139"/>
      <c r="B485" s="21"/>
      <c r="C485" s="21"/>
      <c r="D485" s="21"/>
      <c r="E485" s="21"/>
      <c r="F485" s="21"/>
      <c r="G485" s="21"/>
      <c r="H485" s="21"/>
      <c r="I485" s="21"/>
      <c r="J485" s="21"/>
      <c r="K485" s="204"/>
      <c r="L485" s="54"/>
      <c r="M485" s="213">
        <v>45476.508745949075</v>
      </c>
      <c r="N485" s="56">
        <v>1.07607297926945</v>
      </c>
      <c r="O485" s="16">
        <v>676474.9166778813</v>
      </c>
      <c r="P485" s="57">
        <v>628651.5224433409</v>
      </c>
      <c r="Q485" s="55">
        <v>11.197368543663496</v>
      </c>
      <c r="R485" s="16">
        <v>377834.90130305744</v>
      </c>
      <c r="S485" s="17">
        <v>165455.4442241856</v>
      </c>
      <c r="T485" s="16"/>
      <c r="U485" s="16">
        <v>676474.9166778813</v>
      </c>
      <c r="V485" s="16">
        <v>128410.90066086987</v>
      </c>
      <c r="W485" s="20"/>
      <c r="X485" s="21"/>
      <c r="Y485" s="21"/>
      <c r="Z485" s="21"/>
      <c r="AA485" s="21"/>
      <c r="AB485" s="21"/>
    </row>
    <row r="486" ht="20.25" customHeight="1">
      <c r="A486" s="139"/>
      <c r="B486" s="21"/>
      <c r="C486" s="21"/>
      <c r="D486" s="21"/>
      <c r="E486" s="21"/>
      <c r="F486" s="21"/>
      <c r="G486" s="21"/>
      <c r="H486" s="21"/>
      <c r="I486" s="21"/>
      <c r="J486" s="21"/>
      <c r="K486" s="204"/>
      <c r="L486" s="54"/>
      <c r="M486" s="213">
        <v>45477.50875224537</v>
      </c>
      <c r="N486" s="56">
        <v>1.07996375641633</v>
      </c>
      <c r="O486" s="16">
        <v>648775.0165982434</v>
      </c>
      <c r="P486" s="57">
        <v>600737.7680442622</v>
      </c>
      <c r="Q486" s="55">
        <v>11.28554908435747</v>
      </c>
      <c r="R486" s="16">
        <v>359532.18178087426</v>
      </c>
      <c r="S486" s="17">
        <v>156290.98524149548</v>
      </c>
      <c r="T486" s="16"/>
      <c r="U486" s="16">
        <v>648775.0165982434</v>
      </c>
      <c r="V486" s="16">
        <v>128410.90066086987</v>
      </c>
      <c r="W486" s="20"/>
      <c r="X486" s="21"/>
      <c r="Y486" s="21"/>
      <c r="Z486" s="21"/>
      <c r="AA486" s="21"/>
      <c r="AB486" s="21"/>
    </row>
    <row r="487" ht="20.25" customHeight="1">
      <c r="A487" s="139"/>
      <c r="B487" s="21"/>
      <c r="C487" s="21"/>
      <c r="D487" s="21"/>
      <c r="E487" s="21"/>
      <c r="F487" s="21"/>
      <c r="G487" s="21"/>
      <c r="H487" s="21"/>
      <c r="I487" s="21"/>
      <c r="J487" s="21"/>
      <c r="K487" s="204"/>
      <c r="L487" s="54"/>
      <c r="M487" s="213">
        <v>45478.508754803246</v>
      </c>
      <c r="N487" s="56">
        <v>1.08290504438828</v>
      </c>
      <c r="O487" s="16">
        <v>616929.4879288258</v>
      </c>
      <c r="P487" s="57">
        <v>569698.6001919695</v>
      </c>
      <c r="Q487" s="55">
        <v>11.293358182947097</v>
      </c>
      <c r="R487" s="16">
        <v>341647.9139236554</v>
      </c>
      <c r="S487" s="17">
        <v>158496.25571237513</v>
      </c>
      <c r="T487" s="16"/>
      <c r="U487" s="16">
        <v>616929.4879288258</v>
      </c>
      <c r="V487" s="16">
        <v>112660.90066086987</v>
      </c>
      <c r="W487" s="20"/>
      <c r="X487" s="21"/>
      <c r="Y487" s="21"/>
      <c r="Z487" s="21"/>
      <c r="AA487" s="21"/>
      <c r="AB487" s="21"/>
    </row>
    <row r="488" ht="20.25" customHeight="1">
      <c r="A488" s="139"/>
      <c r="B488" s="21"/>
      <c r="C488" s="21"/>
      <c r="D488" s="21"/>
      <c r="E488" s="21"/>
      <c r="F488" s="21"/>
      <c r="G488" s="21"/>
      <c r="H488" s="21"/>
      <c r="I488" s="21"/>
      <c r="J488" s="21"/>
      <c r="K488" s="204"/>
      <c r="L488" s="54"/>
      <c r="M488" s="213">
        <v>45479.50874400463</v>
      </c>
      <c r="N488" s="56">
        <v>1.08473281945924</v>
      </c>
      <c r="O488" s="16">
        <v>637563.0761343782</v>
      </c>
      <c r="P488" s="57">
        <v>587760.4740052168</v>
      </c>
      <c r="Q488" s="55">
        <v>11.216143002116343</v>
      </c>
      <c r="R488" s="16">
        <v>355505.20717865543</v>
      </c>
      <c r="S488" s="17">
        <v>164891.20328951246</v>
      </c>
      <c r="T488" s="16"/>
      <c r="U488" s="16">
        <v>637563.0761343782</v>
      </c>
      <c r="V488" s="16">
        <v>112660.90066086987</v>
      </c>
      <c r="W488" s="20"/>
      <c r="X488" s="21"/>
      <c r="Y488" s="21"/>
      <c r="Z488" s="21"/>
      <c r="AA488" s="21"/>
      <c r="AB488" s="21"/>
    </row>
    <row r="489" ht="20.25" customHeight="1">
      <c r="A489" s="139"/>
      <c r="B489" s="21"/>
      <c r="C489" s="21"/>
      <c r="D489" s="21"/>
      <c r="E489" s="21"/>
      <c r="F489" s="21"/>
      <c r="G489" s="21"/>
      <c r="H489" s="21"/>
      <c r="I489" s="21"/>
      <c r="J489" s="21"/>
      <c r="K489" s="204"/>
      <c r="L489" s="54"/>
      <c r="M489" s="213">
        <v>45480.50875116898</v>
      </c>
      <c r="N489" s="56">
        <v>1.08404961911917</v>
      </c>
      <c r="O489" s="16">
        <v>643552.5224950908</v>
      </c>
      <c r="P489" s="57">
        <v>593655.964768477</v>
      </c>
      <c r="Q489" s="55">
        <v>11.154852120101474</v>
      </c>
      <c r="R489" s="16">
        <v>360816.6138332324</v>
      </c>
      <c r="S489" s="17">
        <v>165595.4145733943</v>
      </c>
      <c r="T489" s="16"/>
      <c r="U489" s="16">
        <v>643552.5224950908</v>
      </c>
      <c r="V489" s="16">
        <v>112660.90066086987</v>
      </c>
      <c r="W489" s="20"/>
      <c r="X489" s="21"/>
      <c r="Y489" s="21"/>
      <c r="Z489" s="21"/>
      <c r="AA489" s="21"/>
      <c r="AB489" s="21"/>
    </row>
    <row r="490" ht="20.25" customHeight="1">
      <c r="A490" s="139"/>
      <c r="B490" s="21"/>
      <c r="C490" s="21"/>
      <c r="D490" s="21"/>
      <c r="E490" s="21"/>
      <c r="F490" s="21"/>
      <c r="G490" s="21"/>
      <c r="H490" s="21"/>
      <c r="I490" s="21"/>
      <c r="J490" s="21"/>
      <c r="K490" s="204"/>
      <c r="L490" s="54"/>
      <c r="M490" s="213">
        <v>45481.508770636574</v>
      </c>
      <c r="N490" s="56">
        <v>1.08384282978357</v>
      </c>
      <c r="O490" s="16">
        <v>646176.9765960189</v>
      </c>
      <c r="P490" s="57">
        <v>596190.6642174792</v>
      </c>
      <c r="Q490" s="55">
        <v>11.216046935250878</v>
      </c>
      <c r="R490" s="16">
        <v>360311.4046479285</v>
      </c>
      <c r="S490" s="17">
        <v>184165.28220518242</v>
      </c>
      <c r="T490" s="16"/>
      <c r="U490" s="16">
        <v>646176.9765960189</v>
      </c>
      <c r="V490" s="16">
        <v>97188.90066086987</v>
      </c>
      <c r="W490" s="20"/>
      <c r="X490" s="21"/>
      <c r="Y490" s="21"/>
      <c r="Z490" s="21"/>
      <c r="AA490" s="21"/>
      <c r="AB490" s="21"/>
    </row>
    <row r="491" ht="20.25" customHeight="1">
      <c r="A491" s="139"/>
      <c r="B491" s="21"/>
      <c r="C491" s="21"/>
      <c r="D491" s="21"/>
      <c r="E491" s="21"/>
      <c r="F491" s="21"/>
      <c r="G491" s="21"/>
      <c r="H491" s="21"/>
      <c r="I491" s="21"/>
      <c r="J491" s="21"/>
      <c r="K491" s="204"/>
      <c r="L491" s="54"/>
      <c r="M491" s="213">
        <v>45482.5087546412</v>
      </c>
      <c r="N491" s="56">
        <v>1.08214802053484</v>
      </c>
      <c r="O491" s="16">
        <v>648726.813784032</v>
      </c>
      <c r="P491" s="57">
        <v>599480.663896059</v>
      </c>
      <c r="Q491" s="55">
        <v>11.255291183409899</v>
      </c>
      <c r="R491" s="16">
        <v>360471.93737600313</v>
      </c>
      <c r="S491" s="17">
        <v>186551.5020232205</v>
      </c>
      <c r="T491" s="16"/>
      <c r="U491" s="16">
        <v>648726.813784032</v>
      </c>
      <c r="V491" s="16">
        <v>97188.90066086987</v>
      </c>
      <c r="W491" s="20"/>
      <c r="X491" s="21"/>
      <c r="Y491" s="21"/>
      <c r="Z491" s="21"/>
      <c r="AA491" s="21"/>
      <c r="AB491" s="21"/>
    </row>
    <row r="492" ht="20.25" customHeight="1">
      <c r="A492" s="139"/>
      <c r="B492" s="21"/>
      <c r="C492" s="21"/>
      <c r="D492" s="21"/>
      <c r="E492" s="21"/>
      <c r="F492" s="21"/>
      <c r="G492" s="21"/>
      <c r="H492" s="21"/>
      <c r="I492" s="21"/>
      <c r="J492" s="21"/>
      <c r="K492" s="204"/>
      <c r="L492" s="54"/>
      <c r="M492" s="213">
        <v>45483.50874443287</v>
      </c>
      <c r="N492" s="56">
        <v>1.08193727360463</v>
      </c>
      <c r="O492" s="16">
        <v>653876.7687702904</v>
      </c>
      <c r="P492" s="57">
        <v>604357.3733177762</v>
      </c>
      <c r="Q492" s="55">
        <v>11.169681758677555</v>
      </c>
      <c r="R492" s="16">
        <v>366118.31505959167</v>
      </c>
      <c r="S492" s="17">
        <v>186025.182264108</v>
      </c>
      <c r="T492" s="16"/>
      <c r="U492" s="16">
        <v>653876.7687702904</v>
      </c>
      <c r="V492" s="16">
        <v>97188.90066086987</v>
      </c>
      <c r="W492" s="20"/>
      <c r="X492" s="21"/>
      <c r="Y492" s="21"/>
      <c r="Z492" s="21"/>
      <c r="AA492" s="21"/>
      <c r="AB492" s="21"/>
    </row>
    <row r="493" ht="20.25" customHeight="1">
      <c r="A493" s="139"/>
      <c r="B493" s="21"/>
      <c r="C493" s="21"/>
      <c r="D493" s="21"/>
      <c r="E493" s="21"/>
      <c r="F493" s="21"/>
      <c r="G493" s="21"/>
      <c r="H493" s="21"/>
      <c r="I493" s="21"/>
      <c r="J493" s="21"/>
      <c r="K493" s="204"/>
      <c r="L493" s="54"/>
      <c r="M493" s="213">
        <v>45484.50875603009</v>
      </c>
      <c r="N493" s="56">
        <v>1.08495525102067</v>
      </c>
      <c r="O493" s="16">
        <v>655788.331981322</v>
      </c>
      <c r="P493" s="57">
        <v>604438.1382221895</v>
      </c>
      <c r="Q493" s="55">
        <v>11.251052336425552</v>
      </c>
      <c r="R493" s="16">
        <v>364533.0314068243</v>
      </c>
      <c r="S493" s="17">
        <v>189587.05854393833</v>
      </c>
      <c r="T493" s="16"/>
      <c r="U493" s="16">
        <v>655788.331981322</v>
      </c>
      <c r="V493" s="16">
        <v>97188.90066086987</v>
      </c>
      <c r="W493" s="20"/>
      <c r="X493" s="21"/>
      <c r="Y493" s="21"/>
      <c r="Z493" s="21"/>
      <c r="AA493" s="21"/>
      <c r="AB493" s="21"/>
    </row>
    <row r="494" ht="20.25" customHeight="1">
      <c r="A494" s="139"/>
      <c r="B494" s="21"/>
      <c r="C494" s="21"/>
      <c r="D494" s="21"/>
      <c r="E494" s="21"/>
      <c r="F494" s="21"/>
      <c r="G494" s="21"/>
      <c r="H494" s="21"/>
      <c r="I494" s="21"/>
      <c r="J494" s="21"/>
      <c r="K494" s="204"/>
      <c r="L494" s="54"/>
      <c r="M494" s="213">
        <v>45485.508749872686</v>
      </c>
      <c r="N494" s="56">
        <v>1.08871740380093</v>
      </c>
      <c r="O494" s="16">
        <v>642653.0812368781</v>
      </c>
      <c r="P494" s="57">
        <v>590284.5669530475</v>
      </c>
      <c r="Q494" s="55">
        <v>11.284036433374741</v>
      </c>
      <c r="R494" s="16">
        <v>356187.3251812706</v>
      </c>
      <c r="S494" s="17">
        <v>184714.6066107223</v>
      </c>
      <c r="T494" s="16"/>
      <c r="U494" s="16">
        <v>642653.0812368781</v>
      </c>
      <c r="V494" s="16">
        <v>97188.90066086987</v>
      </c>
      <c r="W494" s="20"/>
      <c r="X494" s="21"/>
      <c r="Y494" s="21"/>
      <c r="Z494" s="21"/>
      <c r="AA494" s="21"/>
      <c r="AB494" s="21"/>
    </row>
    <row r="495" ht="20.25" customHeight="1">
      <c r="A495" s="139"/>
      <c r="B495" s="21"/>
      <c r="C495" s="21"/>
      <c r="D495" s="21"/>
      <c r="E495" s="21"/>
      <c r="F495" s="21"/>
      <c r="G495" s="21"/>
      <c r="H495" s="21"/>
      <c r="I495" s="21"/>
      <c r="J495" s="21"/>
      <c r="K495" s="204"/>
      <c r="L495" s="54"/>
      <c r="M495" s="213">
        <v>45486.50874799769</v>
      </c>
      <c r="N495" s="56">
        <v>1.09215017064846</v>
      </c>
      <c r="O495" s="16">
        <v>659639.5932249608</v>
      </c>
      <c r="P495" s="57">
        <v>603982.502546607</v>
      </c>
      <c r="Q495" s="55">
        <v>11.247748752199286</v>
      </c>
      <c r="R495" s="16">
        <v>366781.52785582386</v>
      </c>
      <c r="S495" s="17">
        <v>208487.65929602634</v>
      </c>
      <c r="T495" s="16"/>
      <c r="U495" s="16">
        <v>659639.5932249608</v>
      </c>
      <c r="V495" s="16">
        <v>79660.90066086987</v>
      </c>
      <c r="W495" s="20"/>
      <c r="X495" s="21"/>
      <c r="Y495" s="21"/>
      <c r="Z495" s="21"/>
      <c r="AA495" s="21"/>
      <c r="AB495" s="21"/>
    </row>
    <row r="496" ht="20.25" customHeight="1">
      <c r="A496" s="139"/>
      <c r="B496" s="21"/>
      <c r="C496" s="21"/>
      <c r="D496" s="21"/>
      <c r="E496" s="21"/>
      <c r="F496" s="21"/>
      <c r="G496" s="21"/>
      <c r="H496" s="21"/>
      <c r="I496" s="21"/>
      <c r="J496" s="21"/>
      <c r="K496" s="204"/>
      <c r="L496" s="54"/>
      <c r="M496" s="213">
        <v>45487.50874815972</v>
      </c>
      <c r="N496" s="56">
        <v>1.09204998531193</v>
      </c>
      <c r="O496" s="16">
        <v>672595.9171606348</v>
      </c>
      <c r="P496" s="57">
        <v>615902.1347072463</v>
      </c>
      <c r="Q496" s="55">
        <v>11.1792864217524</v>
      </c>
      <c r="R496" s="16">
        <v>376275.97538441455</v>
      </c>
      <c r="S496" s="17">
        <v>211745.6648633938</v>
      </c>
      <c r="T496" s="16"/>
      <c r="U496" s="16">
        <v>672595.9171606348</v>
      </c>
      <c r="V496" s="16">
        <v>79660.90066086987</v>
      </c>
      <c r="W496" s="20"/>
      <c r="X496" s="21"/>
      <c r="Y496" s="21"/>
      <c r="Z496" s="21"/>
      <c r="AA496" s="21"/>
      <c r="AB496" s="21"/>
    </row>
    <row r="497" ht="20.25" customHeight="1">
      <c r="A497" s="139"/>
      <c r="B497" s="21"/>
      <c r="C497" s="21"/>
      <c r="D497" s="21"/>
      <c r="E497" s="21"/>
      <c r="F497" s="21"/>
      <c r="G497" s="21"/>
      <c r="H497" s="21"/>
      <c r="I497" s="21"/>
      <c r="J497" s="21"/>
      <c r="K497" s="204"/>
      <c r="L497" s="54"/>
      <c r="M497" s="213">
        <v>45488.508749768516</v>
      </c>
      <c r="N497" s="56">
        <v>1.09097415264038</v>
      </c>
      <c r="O497" s="16">
        <v>697413.1278581044</v>
      </c>
      <c r="P497" s="57">
        <v>639257.2419522703</v>
      </c>
      <c r="Q497" s="55">
        <v>11.121906620163676</v>
      </c>
      <c r="R497" s="16">
        <v>392172.5756262104</v>
      </c>
      <c r="S497" s="17">
        <v>220579.18230170044</v>
      </c>
      <c r="T497" s="16"/>
      <c r="U497" s="16">
        <v>697413.1278581044</v>
      </c>
      <c r="V497" s="16">
        <v>79660.90066086987</v>
      </c>
      <c r="W497" s="20"/>
      <c r="X497" s="21"/>
      <c r="Y497" s="21"/>
      <c r="Z497" s="21"/>
      <c r="AA497" s="21"/>
      <c r="AB497" s="21"/>
    </row>
    <row r="498" ht="20.25" customHeight="1">
      <c r="A498" s="139"/>
      <c r="B498" s="21"/>
      <c r="C498" s="21"/>
      <c r="D498" s="21"/>
      <c r="E498" s="21"/>
      <c r="F498" s="21"/>
      <c r="G498" s="21"/>
      <c r="H498" s="21"/>
      <c r="I498" s="21"/>
      <c r="J498" s="21"/>
      <c r="K498" s="204"/>
      <c r="L498" s="54"/>
      <c r="M498" s="213">
        <v>45489.50874584491</v>
      </c>
      <c r="N498" s="56">
        <v>1.09006082539406</v>
      </c>
      <c r="O498" s="16">
        <v>708237.4270448529</v>
      </c>
      <c r="P498" s="57">
        <v>649722.8508224053</v>
      </c>
      <c r="Q498" s="55">
        <v>11.19556892722561</v>
      </c>
      <c r="R498" s="16">
        <v>395638.96048962505</v>
      </c>
      <c r="S498" s="17">
        <v>223754.2152102642</v>
      </c>
      <c r="T498" s="16"/>
      <c r="U498" s="16">
        <v>708237.4270448529</v>
      </c>
      <c r="V498" s="16">
        <v>815.1406608698762</v>
      </c>
      <c r="W498" s="20"/>
      <c r="X498" s="21"/>
      <c r="Y498" s="21"/>
      <c r="Z498" s="21"/>
      <c r="AA498" s="21"/>
      <c r="AB498" s="21"/>
    </row>
    <row r="499" ht="20.25" customHeight="1">
      <c r="A499" s="139"/>
      <c r="B499" s="21"/>
      <c r="C499" s="21"/>
      <c r="D499" s="21"/>
      <c r="E499" s="21"/>
      <c r="F499" s="21"/>
      <c r="G499" s="21"/>
      <c r="H499" s="21"/>
      <c r="I499" s="21"/>
      <c r="J499" s="21"/>
      <c r="K499" s="204"/>
      <c r="L499" s="54"/>
      <c r="M499" s="213">
        <v>45490.50875376158</v>
      </c>
      <c r="N499" s="56">
        <v>1.09363961075179</v>
      </c>
      <c r="O499" s="16">
        <v>726758.3797273405</v>
      </c>
      <c r="P499" s="57">
        <v>664531.873738326</v>
      </c>
      <c r="Q499" s="55">
        <v>11.13737192218452</v>
      </c>
      <c r="R499" s="16">
        <v>408106.6504101127</v>
      </c>
      <c r="S499" s="17">
        <v>229725.70041450005</v>
      </c>
      <c r="T499" s="16"/>
      <c r="U499" s="16">
        <v>726758.3797273405</v>
      </c>
      <c r="V499" s="16">
        <v>815.1406608698762</v>
      </c>
      <c r="W499" s="20"/>
      <c r="X499" s="21"/>
      <c r="Y499" s="21"/>
      <c r="Z499" s="21"/>
      <c r="AA499" s="21"/>
      <c r="AB499" s="21"/>
    </row>
    <row r="500" ht="20.25" customHeight="1">
      <c r="A500" s="139"/>
      <c r="B500" s="21"/>
      <c r="C500" s="21"/>
      <c r="D500" s="21"/>
      <c r="E500" s="21"/>
      <c r="F500" s="21"/>
      <c r="G500" s="21"/>
      <c r="H500" s="21"/>
      <c r="I500" s="21"/>
      <c r="J500" s="21"/>
      <c r="K500" s="204"/>
      <c r="L500" s="54"/>
      <c r="M500" s="213">
        <v>45491.50875846065</v>
      </c>
      <c r="N500" s="56">
        <v>1.09288542517068</v>
      </c>
      <c r="O500" s="16">
        <v>720805.8330115037</v>
      </c>
      <c r="P500" s="57">
        <v>659543.8244580238</v>
      </c>
      <c r="Q500" s="55">
        <v>11.1330379120983</v>
      </c>
      <c r="R500" s="16">
        <v>404921.60647746763</v>
      </c>
      <c r="S500" s="17">
        <v>227023.84278807635</v>
      </c>
      <c r="T500" s="16"/>
      <c r="U500" s="16">
        <v>720805.8330115037</v>
      </c>
      <c r="V500" s="16">
        <v>815.1406608698762</v>
      </c>
      <c r="W500" s="20"/>
      <c r="X500" s="21"/>
      <c r="Y500" s="21"/>
      <c r="Z500" s="21"/>
      <c r="AA500" s="21"/>
      <c r="AB500" s="21"/>
    </row>
    <row r="501" ht="20.25" customHeight="1">
      <c r="A501" s="139"/>
      <c r="B501" s="21"/>
      <c r="C501" s="21"/>
      <c r="D501" s="21"/>
      <c r="E501" s="21"/>
      <c r="F501" s="21"/>
      <c r="G501" s="21"/>
      <c r="H501" s="21"/>
      <c r="I501" s="21"/>
      <c r="J501" s="21"/>
      <c r="K501" s="204"/>
      <c r="L501" s="54"/>
      <c r="M501" s="213">
        <v>45493.50875527778</v>
      </c>
      <c r="N501" s="56">
        <v>1.08915021232983</v>
      </c>
      <c r="O501" s="16">
        <v>736209.6790476169</v>
      </c>
      <c r="P501" s="57">
        <v>675948.7081885347</v>
      </c>
      <c r="Q501" s="55">
        <v>11.04003671453461</v>
      </c>
      <c r="R501" s="16">
        <v>417058.86015728203</v>
      </c>
      <c r="S501" s="17">
        <v>230249.89695044103</v>
      </c>
      <c r="T501" s="16"/>
      <c r="U501" s="16">
        <v>736209.6790476169</v>
      </c>
      <c r="V501" s="16">
        <v>815.1406608698762</v>
      </c>
      <c r="W501" s="20"/>
      <c r="X501" s="21"/>
      <c r="Y501" s="21"/>
      <c r="Z501" s="21"/>
      <c r="AA501" s="21"/>
      <c r="AB501" s="21"/>
    </row>
    <row r="502" ht="20.25" customHeight="1">
      <c r="A502" s="139"/>
      <c r="B502" s="21"/>
      <c r="C502" s="21"/>
      <c r="D502" s="21"/>
      <c r="E502" s="21"/>
      <c r="F502" s="21"/>
      <c r="G502" s="21"/>
      <c r="H502" s="21"/>
      <c r="I502" s="21"/>
      <c r="J502" s="21"/>
      <c r="K502" s="204"/>
      <c r="L502" s="54"/>
      <c r="M502" s="213">
        <v>45494.50875789352</v>
      </c>
      <c r="N502" s="56">
        <v>1.08874940799251</v>
      </c>
      <c r="O502" s="16">
        <v>739210.7933597714</v>
      </c>
      <c r="P502" s="57">
        <v>678954.0255390493</v>
      </c>
      <c r="Q502" s="55">
        <v>11.021515725987536</v>
      </c>
      <c r="R502" s="16">
        <v>419462.6744769483</v>
      </c>
      <c r="S502" s="17">
        <v>248973.4870905111</v>
      </c>
      <c r="T502" s="16"/>
      <c r="U502" s="16">
        <v>739210.7933597714</v>
      </c>
      <c r="V502" s="16">
        <v>6.608698761283449E-4</v>
      </c>
      <c r="W502" s="20"/>
      <c r="X502" s="21"/>
      <c r="Y502" s="21"/>
      <c r="Z502" s="21"/>
      <c r="AA502" s="21"/>
      <c r="AB502" s="21"/>
    </row>
    <row r="503" ht="20.25" customHeight="1">
      <c r="A503" s="139"/>
      <c r="B503" s="21"/>
      <c r="C503" s="21"/>
      <c r="D503" s="21"/>
      <c r="E503" s="21"/>
      <c r="F503" s="21"/>
      <c r="G503" s="21"/>
      <c r="H503" s="21"/>
      <c r="I503" s="21"/>
      <c r="J503" s="21"/>
      <c r="K503" s="204"/>
      <c r="L503" s="54"/>
      <c r="M503" s="213">
        <v>45495.50877189815</v>
      </c>
      <c r="N503" s="56">
        <v>1.0892000370328</v>
      </c>
      <c r="O503" s="16">
        <v>740229.1417590013</v>
      </c>
      <c r="P503" s="57">
        <v>679608.0761946486</v>
      </c>
      <c r="Q503" s="55">
        <v>10.981106543526439</v>
      </c>
      <c r="R503" s="16">
        <v>421586.2326769226</v>
      </c>
      <c r="S503" s="17">
        <v>247832.38149871503</v>
      </c>
      <c r="T503" s="16"/>
      <c r="U503" s="16">
        <v>740229.1417590013</v>
      </c>
      <c r="V503" s="16">
        <v>6.608698761283449E-4</v>
      </c>
      <c r="W503" s="20"/>
      <c r="X503" s="21"/>
      <c r="Y503" s="21"/>
      <c r="Z503" s="21"/>
      <c r="AA503" s="21"/>
      <c r="AB503" s="21"/>
    </row>
    <row r="504" ht="20.25" customHeight="1">
      <c r="A504" s="139"/>
      <c r="B504" s="21"/>
      <c r="C504" s="21"/>
      <c r="D504" s="21"/>
      <c r="E504" s="21"/>
      <c r="F504" s="21"/>
      <c r="G504" s="21"/>
      <c r="H504" s="21"/>
      <c r="I504" s="21"/>
      <c r="J504" s="21"/>
      <c r="K504" s="204"/>
      <c r="L504" s="54"/>
      <c r="M504" s="213">
        <v>45496.50876607639</v>
      </c>
      <c r="N504" s="56">
        <v>1.08715740952132</v>
      </c>
      <c r="O504" s="16">
        <v>740315.0219575488</v>
      </c>
      <c r="P504" s="57">
        <v>680963.9666472151</v>
      </c>
      <c r="Q504" s="55">
        <v>11.057492423220074</v>
      </c>
      <c r="R504" s="16">
        <v>418722.4613261296</v>
      </c>
      <c r="S504" s="17">
        <v>250059.05131006817</v>
      </c>
      <c r="T504" s="16"/>
      <c r="U504" s="16">
        <v>740315.0219575488</v>
      </c>
      <c r="V504" s="16">
        <v>6.608698761283449E-4</v>
      </c>
      <c r="W504" s="20"/>
      <c r="X504" s="21"/>
      <c r="Y504" s="21"/>
      <c r="Z504" s="21"/>
      <c r="AA504" s="21"/>
      <c r="AB504" s="21"/>
    </row>
    <row r="505" ht="20.25" customHeight="1">
      <c r="A505" s="139"/>
      <c r="B505" s="21"/>
      <c r="C505" s="21"/>
      <c r="D505" s="21"/>
      <c r="E505" s="21"/>
      <c r="F505" s="21"/>
      <c r="G505" s="21"/>
      <c r="H505" s="21"/>
      <c r="I505" s="21"/>
      <c r="J505" s="21"/>
      <c r="K505" s="204"/>
      <c r="L505" s="54"/>
      <c r="M505" s="213">
        <v>45497.50877082176</v>
      </c>
      <c r="N505" s="56">
        <v>1.08334145839427</v>
      </c>
      <c r="O505" s="16">
        <v>732969.5078374912</v>
      </c>
      <c r="P505" s="57">
        <v>676582.1635995539</v>
      </c>
      <c r="Q505" s="55">
        <v>11.029270179930617</v>
      </c>
      <c r="R505" s="16">
        <v>415628.6524422941</v>
      </c>
      <c r="S505" s="17">
        <v>245791.95509470857</v>
      </c>
      <c r="T505" s="16"/>
      <c r="U505" s="16">
        <v>732969.5078374912</v>
      </c>
      <c r="V505" s="16">
        <v>6.608698761283449E-4</v>
      </c>
      <c r="W505" s="20"/>
      <c r="X505" s="21"/>
      <c r="Y505" s="21"/>
      <c r="Z505" s="21"/>
      <c r="AA505" s="21"/>
      <c r="AB505" s="21"/>
    </row>
    <row r="506" ht="20.25" customHeight="1">
      <c r="A506" s="139"/>
      <c r="B506" s="21"/>
      <c r="C506" s="21"/>
      <c r="D506" s="21"/>
      <c r="E506" s="21"/>
      <c r="F506" s="21"/>
      <c r="G506" s="21"/>
      <c r="H506" s="21"/>
      <c r="I506" s="21"/>
      <c r="J506" s="21"/>
      <c r="K506" s="204"/>
      <c r="L506" s="54"/>
      <c r="M506" s="213">
        <v>45498.5087621412</v>
      </c>
      <c r="N506" s="56">
        <v>1.08469281499479</v>
      </c>
      <c r="O506" s="16">
        <v>698176.9998862043</v>
      </c>
      <c r="P506" s="57">
        <v>643663.3397350914</v>
      </c>
      <c r="Q506" s="55">
        <v>10.870079134775605</v>
      </c>
      <c r="R506" s="16">
        <v>401697.5460618058</v>
      </c>
      <c r="S506" s="17">
        <v>225103.21819763433</v>
      </c>
      <c r="T506" s="16"/>
      <c r="U506" s="16">
        <v>698176.9998862043</v>
      </c>
      <c r="V506" s="16">
        <v>6.608698761283449E-4</v>
      </c>
      <c r="W506" s="20"/>
      <c r="X506" s="21"/>
      <c r="Y506" s="21"/>
      <c r="Z506" s="21"/>
      <c r="AA506" s="21"/>
      <c r="AB506" s="21"/>
    </row>
    <row r="507" ht="20.25" customHeight="1">
      <c r="A507" s="139"/>
      <c r="B507" s="21"/>
      <c r="C507" s="21"/>
      <c r="D507" s="21"/>
      <c r="E507" s="21"/>
      <c r="F507" s="21"/>
      <c r="G507" s="21"/>
      <c r="H507" s="21"/>
      <c r="I507" s="21"/>
      <c r="J507" s="21"/>
      <c r="K507" s="204"/>
      <c r="L507" s="54"/>
      <c r="M507" s="213">
        <v>45499.50874923611</v>
      </c>
      <c r="N507" s="56">
        <v>1.08535444420084</v>
      </c>
      <c r="O507" s="16">
        <v>723383.9737258339</v>
      </c>
      <c r="P507" s="57">
        <v>666495.6112640885</v>
      </c>
      <c r="Q507" s="55">
        <v>10.74575890446572</v>
      </c>
      <c r="R507" s="16">
        <v>421015.55069735495</v>
      </c>
      <c r="S507" s="17">
        <v>230916.180210746</v>
      </c>
      <c r="T507" s="16"/>
      <c r="U507" s="16">
        <v>723383.9737258339</v>
      </c>
      <c r="V507" s="16">
        <v>6.608698761283449E-4</v>
      </c>
      <c r="W507" s="20"/>
      <c r="X507" s="21"/>
      <c r="Y507" s="21"/>
      <c r="Z507" s="21"/>
      <c r="AA507" s="21"/>
      <c r="AB507" s="21"/>
    </row>
    <row r="508" ht="20.25" customHeight="1">
      <c r="A508" s="139"/>
      <c r="B508" s="21"/>
      <c r="C508" s="21"/>
      <c r="D508" s="21"/>
      <c r="E508" s="21"/>
      <c r="F508" s="21"/>
      <c r="G508" s="21"/>
      <c r="H508" s="21"/>
      <c r="I508" s="21"/>
      <c r="J508" s="21"/>
      <c r="K508" s="204"/>
      <c r="L508" s="54"/>
      <c r="M508" s="213">
        <v>45500.50875533565</v>
      </c>
      <c r="N508" s="56">
        <v>1.08715031810018</v>
      </c>
      <c r="O508" s="16">
        <v>730589.679220512</v>
      </c>
      <c r="P508" s="57">
        <v>672022.6881754808</v>
      </c>
      <c r="Q508" s="55">
        <v>10.713805209671792</v>
      </c>
      <c r="R508" s="16">
        <v>426579.4489388267</v>
      </c>
      <c r="S508" s="17">
        <v>248366.1757734964</v>
      </c>
      <c r="T508" s="16"/>
      <c r="U508" s="16">
        <v>730589.679220512</v>
      </c>
      <c r="V508" s="16">
        <v>6.608698761283449E-4</v>
      </c>
      <c r="W508" s="20"/>
      <c r="X508" s="21"/>
      <c r="Y508" s="21"/>
      <c r="Z508" s="21"/>
      <c r="AA508" s="21"/>
      <c r="AB508" s="21"/>
    </row>
    <row r="509" ht="20.25" customHeight="1">
      <c r="A509" s="139"/>
      <c r="B509" s="21"/>
      <c r="C509" s="21"/>
      <c r="D509" s="21"/>
      <c r="E509" s="21"/>
      <c r="F509" s="21"/>
      <c r="G509" s="21"/>
      <c r="H509" s="21"/>
      <c r="I509" s="21"/>
      <c r="J509" s="21"/>
      <c r="K509" s="204"/>
      <c r="L509" s="54"/>
      <c r="M509" s="213">
        <v>45501.50875121528</v>
      </c>
      <c r="N509" s="56">
        <v>1.08715031810018</v>
      </c>
      <c r="O509" s="16">
        <v>723387.6587541448</v>
      </c>
      <c r="P509" s="57">
        <v>665398.0104777794</v>
      </c>
      <c r="Q509" s="55">
        <v>10.7197647664999</v>
      </c>
      <c r="R509" s="16">
        <v>422139.4909516995</v>
      </c>
      <c r="S509" s="17">
        <v>245679.41363564605</v>
      </c>
      <c r="T509" s="16"/>
      <c r="U509" s="16">
        <v>723387.6587541448</v>
      </c>
      <c r="V509" s="16">
        <v>6.608698761283449E-4</v>
      </c>
      <c r="W509" s="20"/>
      <c r="X509" s="21"/>
      <c r="Y509" s="21"/>
      <c r="Z509" s="21"/>
      <c r="AA509" s="21"/>
      <c r="AB509" s="21"/>
    </row>
    <row r="510" ht="20.25" customHeight="1">
      <c r="A510" s="139"/>
      <c r="B510" s="21"/>
      <c r="C510" s="21"/>
      <c r="D510" s="21"/>
      <c r="E510" s="21"/>
      <c r="F510" s="21"/>
      <c r="G510" s="21"/>
      <c r="H510" s="21"/>
      <c r="I510" s="21"/>
      <c r="J510" s="21"/>
      <c r="K510" s="204"/>
      <c r="L510" s="54"/>
      <c r="M510" s="213">
        <v>45502.50875979167</v>
      </c>
      <c r="N510" s="56">
        <v>1.08281006536924</v>
      </c>
      <c r="O510" s="16">
        <v>746846.9611579226</v>
      </c>
      <c r="P510" s="57">
        <v>689730.3461094504</v>
      </c>
      <c r="Q510" s="55">
        <v>10.761253251697754</v>
      </c>
      <c r="R510" s="16">
        <v>434149.103292468</v>
      </c>
      <c r="S510" s="17">
        <v>257071.08175998565</v>
      </c>
      <c r="T510" s="16"/>
      <c r="U510" s="16">
        <v>746846.9611579226</v>
      </c>
      <c r="V510" s="16">
        <v>6.608698761283449E-4</v>
      </c>
      <c r="W510" s="20"/>
      <c r="X510" s="21"/>
      <c r="Y510" s="21"/>
      <c r="Z510" s="21"/>
      <c r="AA510" s="21"/>
      <c r="AB510" s="21"/>
    </row>
    <row r="511" ht="20.25" customHeight="1">
      <c r="A511" s="139"/>
      <c r="B511" s="21"/>
      <c r="C511" s="21"/>
      <c r="D511" s="21"/>
      <c r="E511" s="21"/>
      <c r="F511" s="21"/>
      <c r="G511" s="21"/>
      <c r="H511" s="21"/>
      <c r="I511" s="21"/>
      <c r="J511" s="21"/>
      <c r="K511" s="204"/>
      <c r="L511" s="54"/>
      <c r="M511" s="213">
        <v>45503.50874809027</v>
      </c>
      <c r="N511" s="56">
        <v>1.08312438058824</v>
      </c>
      <c r="O511" s="16">
        <v>723925.0200930052</v>
      </c>
      <c r="P511" s="57">
        <v>668367.3944259705</v>
      </c>
      <c r="Q511" s="55">
        <v>10.890573121610835</v>
      </c>
      <c r="R511" s="16">
        <v>415827.29556468583</v>
      </c>
      <c r="S511" s="17">
        <v>252538.5235891436</v>
      </c>
      <c r="T511" s="16"/>
      <c r="U511" s="16">
        <v>723925.0200930052</v>
      </c>
      <c r="V511" s="16">
        <v>6.608698761283449E-4</v>
      </c>
      <c r="W511" s="20"/>
      <c r="X511" s="21"/>
      <c r="Y511" s="21"/>
      <c r="Z511" s="21"/>
      <c r="AA511" s="21"/>
      <c r="AB511" s="21"/>
    </row>
    <row r="512" ht="20.25" customHeight="1">
      <c r="A512" s="139"/>
      <c r="B512" s="21"/>
      <c r="C512" s="21"/>
      <c r="D512" s="21"/>
      <c r="E512" s="21"/>
      <c r="F512" s="21"/>
      <c r="G512" s="21"/>
      <c r="H512" s="21"/>
      <c r="I512" s="21"/>
      <c r="J512" s="21"/>
      <c r="K512" s="204"/>
      <c r="L512" s="54"/>
      <c r="M512" s="213">
        <v>45504.5087525</v>
      </c>
      <c r="N512" s="56">
        <v>1.08258499645453</v>
      </c>
      <c r="O512" s="16">
        <v>719841.8704137069</v>
      </c>
      <c r="P512" s="57">
        <v>664928.7333291998</v>
      </c>
      <c r="Q512" s="55">
        <v>10.896879176863202</v>
      </c>
      <c r="R512" s="16">
        <v>413242.62435188325</v>
      </c>
      <c r="S512" s="17">
        <v>251098.69206109774</v>
      </c>
      <c r="T512" s="16"/>
      <c r="U512" s="16">
        <v>719841.8704137069</v>
      </c>
      <c r="V512" s="16">
        <v>6.608698761283449E-4</v>
      </c>
      <c r="W512" s="20"/>
      <c r="X512" s="21"/>
      <c r="Y512" s="21"/>
      <c r="Z512" s="21"/>
      <c r="AA512" s="21"/>
      <c r="AB512" s="21"/>
    </row>
    <row r="513" ht="20.25" customHeight="1">
      <c r="A513" s="139"/>
      <c r="B513" s="21"/>
      <c r="C513" s="21"/>
      <c r="D513" s="21"/>
      <c r="E513" s="21"/>
      <c r="F513" s="21"/>
      <c r="G513" s="21"/>
      <c r="H513" s="21"/>
      <c r="I513" s="21"/>
      <c r="J513" s="21"/>
      <c r="K513" s="204"/>
      <c r="L513" s="54"/>
      <c r="M513" s="213">
        <v>45505.50875333333</v>
      </c>
      <c r="N513" s="56">
        <v>1.07843454441533</v>
      </c>
      <c r="O513" s="16">
        <v>698746.8788608382</v>
      </c>
      <c r="P513" s="57">
        <v>647927.0183612874</v>
      </c>
      <c r="Q513" s="55">
        <v>10.858405935944342</v>
      </c>
      <c r="R513" s="16">
        <v>402553.81766417244</v>
      </c>
      <c r="S513" s="17">
        <v>240832.68902007677</v>
      </c>
      <c r="T513" s="16"/>
      <c r="U513" s="16">
        <v>698746.8788608382</v>
      </c>
      <c r="V513" s="16">
        <v>6.608698761283449E-4</v>
      </c>
      <c r="W513" s="20"/>
      <c r="X513" s="21"/>
      <c r="Y513" s="21"/>
      <c r="Z513" s="21"/>
      <c r="AA513" s="21"/>
      <c r="AB513" s="21"/>
    </row>
    <row r="514" ht="20.25" customHeight="1">
      <c r="A514" s="139"/>
      <c r="B514" s="21"/>
      <c r="C514" s="21"/>
      <c r="D514" s="21"/>
      <c r="E514" s="21"/>
      <c r="F514" s="21"/>
      <c r="G514" s="21"/>
      <c r="H514" s="21"/>
      <c r="I514" s="21"/>
      <c r="J514" s="21"/>
      <c r="K514" s="204"/>
      <c r="L514" s="54"/>
      <c r="M514" s="213">
        <v>45506.50877399306</v>
      </c>
      <c r="N514" s="56">
        <v>1.08236119258886</v>
      </c>
      <c r="O514" s="16">
        <v>696673.3299921844</v>
      </c>
      <c r="P514" s="57">
        <v>643660.669619757</v>
      </c>
      <c r="Q514" s="55">
        <v>10.818241197976237</v>
      </c>
      <c r="R514" s="16">
        <v>402849.35011371877</v>
      </c>
      <c r="S514" s="17">
        <v>238534.0948857258</v>
      </c>
      <c r="T514" s="16"/>
      <c r="U514" s="16">
        <v>696673.3299921844</v>
      </c>
      <c r="V514" s="16">
        <v>6.608698761283449E-4</v>
      </c>
      <c r="W514" s="20"/>
      <c r="X514" s="21"/>
      <c r="Y514" s="21"/>
      <c r="Z514" s="21"/>
      <c r="AA514" s="21"/>
      <c r="AB514" s="21"/>
    </row>
    <row r="515" ht="20.25" customHeight="1">
      <c r="A515" s="139"/>
      <c r="B515" s="21"/>
      <c r="C515" s="21"/>
      <c r="D515" s="21"/>
      <c r="E515" s="21"/>
      <c r="F515" s="21"/>
      <c r="G515" s="21"/>
      <c r="H515" s="21"/>
      <c r="I515" s="21"/>
      <c r="J515" s="21"/>
      <c r="K515" s="204"/>
      <c r="L515" s="54"/>
      <c r="M515" s="213">
        <v>45507.50874888889</v>
      </c>
      <c r="N515" s="56">
        <v>1.09164942770279</v>
      </c>
      <c r="O515" s="16">
        <v>668209.686958383</v>
      </c>
      <c r="P515" s="57">
        <v>612110.1426897906</v>
      </c>
      <c r="Q515" s="55">
        <v>10.829661681634706</v>
      </c>
      <c r="R515" s="16">
        <v>385982.86015923915</v>
      </c>
      <c r="S515" s="17">
        <v>226342.3650683095</v>
      </c>
      <c r="T515" s="16"/>
      <c r="U515" s="16">
        <v>668209.686958383</v>
      </c>
      <c r="V515" s="16">
        <v>15024.845960869878</v>
      </c>
      <c r="W515" s="20"/>
      <c r="X515" s="21"/>
      <c r="Y515" s="21"/>
      <c r="Z515" s="21"/>
      <c r="AA515" s="21"/>
      <c r="AB515" s="21"/>
    </row>
    <row r="516" ht="20.25" customHeight="1">
      <c r="A516" s="139"/>
      <c r="B516" s="21"/>
      <c r="C516" s="21"/>
      <c r="D516" s="21"/>
      <c r="E516" s="21"/>
      <c r="F516" s="21"/>
      <c r="G516" s="21"/>
      <c r="H516" s="21"/>
      <c r="I516" s="21"/>
      <c r="J516" s="21"/>
      <c r="K516" s="204"/>
      <c r="L516" s="54"/>
      <c r="M516" s="213">
        <v>45508.81583924768</v>
      </c>
      <c r="N516" s="56">
        <v>1.09164942770279</v>
      </c>
      <c r="O516" s="16">
        <v>626387.8159791993</v>
      </c>
      <c r="P516" s="57">
        <v>573799.4268886643</v>
      </c>
      <c r="Q516" s="55">
        <v>10.764044441449448</v>
      </c>
      <c r="R516" s="16">
        <v>364030.65874691715</v>
      </c>
      <c r="S516" s="17">
        <v>221737.665447804</v>
      </c>
      <c r="T516" s="16"/>
      <c r="U516" s="16">
        <v>626387.8159791993</v>
      </c>
      <c r="V516" s="16">
        <v>2.660060869876588</v>
      </c>
      <c r="W516" s="20"/>
      <c r="X516" s="21"/>
      <c r="Y516" s="21"/>
      <c r="Z516" s="21"/>
      <c r="AA516" s="21"/>
      <c r="AB516" s="21"/>
    </row>
    <row r="517" ht="20.25" customHeight="1">
      <c r="A517" s="139"/>
      <c r="B517" s="21"/>
      <c r="C517" s="21"/>
      <c r="D517" s="21"/>
      <c r="E517" s="21"/>
      <c r="F517" s="21"/>
      <c r="G517" s="21"/>
      <c r="H517" s="21"/>
      <c r="I517" s="21"/>
      <c r="J517" s="21"/>
      <c r="K517" s="204"/>
      <c r="L517" s="54"/>
      <c r="M517" s="213">
        <v>45509.50875017361</v>
      </c>
      <c r="N517" s="56">
        <v>1.09655134601678</v>
      </c>
      <c r="O517" s="16">
        <v>552011.0657881359</v>
      </c>
      <c r="P517" s="57">
        <v>503406.4914454892</v>
      </c>
      <c r="Q517" s="55">
        <v>10.580640861680184</v>
      </c>
      <c r="R517" s="16">
        <v>326366.78446172934</v>
      </c>
      <c r="S517" s="17">
        <v>185405.41420653588</v>
      </c>
      <c r="T517" s="16"/>
      <c r="U517" s="16">
        <v>552011.0657881359</v>
      </c>
      <c r="V517" s="16">
        <v>2.660060869876588</v>
      </c>
      <c r="W517" s="20"/>
      <c r="X517" s="21"/>
      <c r="Y517" s="21"/>
      <c r="Z517" s="21"/>
      <c r="AA517" s="21"/>
      <c r="AB517" s="21"/>
    </row>
    <row r="518" ht="20.25" customHeight="1">
      <c r="A518" s="139"/>
      <c r="B518" s="21"/>
      <c r="C518" s="21"/>
      <c r="D518" s="21"/>
      <c r="E518" s="21"/>
      <c r="F518" s="21"/>
      <c r="G518" s="21"/>
      <c r="H518" s="21"/>
      <c r="I518" s="21"/>
      <c r="J518" s="21"/>
      <c r="K518" s="204"/>
      <c r="L518" s="54"/>
      <c r="M518" s="213">
        <v>45510.508802303244</v>
      </c>
      <c r="N518" s="56">
        <v>1.09147546745166</v>
      </c>
      <c r="O518" s="16">
        <v>584731.478383972</v>
      </c>
      <c r="P518" s="57">
        <v>535725.7179120876</v>
      </c>
      <c r="Q518" s="55">
        <v>10.6056667753212</v>
      </c>
      <c r="R518" s="16">
        <v>344896.3821030512</v>
      </c>
      <c r="S518" s="17">
        <v>217454.5072920694</v>
      </c>
      <c r="T518" s="16"/>
      <c r="U518" s="16">
        <v>584731.478383972</v>
      </c>
      <c r="V518" s="16">
        <v>6.0869876733704587E-5</v>
      </c>
      <c r="W518" s="20"/>
      <c r="X518" s="21"/>
      <c r="Y518" s="21"/>
      <c r="Z518" s="21"/>
      <c r="AA518" s="21"/>
      <c r="AB518" s="21"/>
    </row>
    <row r="519" ht="20.25" customHeight="1">
      <c r="A519" s="139"/>
      <c r="B519" s="21"/>
      <c r="C519" s="21"/>
      <c r="D519" s="21"/>
      <c r="E519" s="21"/>
      <c r="F519" s="21"/>
      <c r="G519" s="21"/>
      <c r="H519" s="21"/>
      <c r="I519" s="21"/>
      <c r="J519" s="21"/>
      <c r="K519" s="204"/>
      <c r="L519" s="54"/>
      <c r="M519" s="213">
        <v>45511.50874831018</v>
      </c>
      <c r="N519" s="56">
        <v>1.09131466312208</v>
      </c>
      <c r="O519" s="16">
        <v>604626.5351789616</v>
      </c>
      <c r="P519" s="57">
        <v>554035.0144743954</v>
      </c>
      <c r="Q519" s="55">
        <v>10.532495156729842</v>
      </c>
      <c r="R519" s="16">
        <v>359108.8243794173</v>
      </c>
      <c r="S519" s="17">
        <v>222980.77119382162</v>
      </c>
      <c r="T519" s="16"/>
      <c r="U519" s="16">
        <v>604626.5351789616</v>
      </c>
      <c r="V519" s="16">
        <v>6.0869876733704587E-5</v>
      </c>
      <c r="W519" s="20"/>
      <c r="X519" s="21"/>
      <c r="Y519" s="21"/>
      <c r="Z519" s="21"/>
      <c r="AA519" s="21"/>
      <c r="AB519" s="21"/>
    </row>
    <row r="520" ht="20.25" customHeight="1">
      <c r="A520" s="139"/>
      <c r="B520" s="21"/>
      <c r="C520" s="21"/>
      <c r="D520" s="21"/>
      <c r="E520" s="21"/>
      <c r="F520" s="21"/>
      <c r="G520" s="21"/>
      <c r="H520" s="21"/>
      <c r="I520" s="21"/>
      <c r="J520" s="21"/>
      <c r="K520" s="204"/>
      <c r="L520" s="54"/>
      <c r="M520" s="213">
        <v>45512.50876247685</v>
      </c>
      <c r="N520" s="56">
        <v>1.09327493787465</v>
      </c>
      <c r="O520" s="16">
        <v>595517.176909788</v>
      </c>
      <c r="P520" s="57">
        <v>544709.4379273765</v>
      </c>
      <c r="Q520" s="55">
        <v>10.402183097455886</v>
      </c>
      <c r="R520" s="16">
        <v>358129.37182030245</v>
      </c>
      <c r="S520" s="17">
        <v>214933.16137967812</v>
      </c>
      <c r="T520" s="16"/>
      <c r="U520" s="16">
        <v>595517.176909788</v>
      </c>
      <c r="V520" s="16">
        <v>6.0869876733704587E-5</v>
      </c>
      <c r="W520" s="20"/>
      <c r="X520" s="21"/>
      <c r="Y520" s="21"/>
      <c r="Z520" s="21"/>
      <c r="AA520" s="21"/>
      <c r="AB520" s="21"/>
    </row>
    <row r="521" ht="20.25" customHeight="1">
      <c r="A521" s="139"/>
      <c r="B521" s="21"/>
      <c r="C521" s="21"/>
      <c r="D521" s="21"/>
      <c r="E521" s="21"/>
      <c r="F521" s="21"/>
      <c r="G521" s="21"/>
      <c r="H521" s="21"/>
      <c r="I521" s="21"/>
      <c r="J521" s="21"/>
      <c r="K521" s="204"/>
      <c r="L521" s="54"/>
      <c r="M521" s="213">
        <v>45513.508760173616</v>
      </c>
      <c r="N521" s="56">
        <v>1.09216806282151</v>
      </c>
      <c r="O521" s="16">
        <v>637210.0737423691</v>
      </c>
      <c r="P521" s="57">
        <v>583435.9156192489</v>
      </c>
      <c r="Q521" s="55">
        <v>10.49778023214287</v>
      </c>
      <c r="R521" s="16">
        <v>379712.85346893116</v>
      </c>
      <c r="S521" s="17">
        <v>234744.2915702449</v>
      </c>
      <c r="T521" s="16"/>
      <c r="U521" s="16">
        <v>637210.0737423691</v>
      </c>
      <c r="V521" s="16">
        <v>6.0869876733704587E-5</v>
      </c>
      <c r="W521" s="20"/>
      <c r="X521" s="21"/>
      <c r="Y521" s="21"/>
      <c r="Z521" s="21"/>
      <c r="AA521" s="21"/>
      <c r="AB521" s="21"/>
    </row>
    <row r="522" ht="20.25" customHeight="1">
      <c r="A522" s="139"/>
      <c r="B522" s="21"/>
      <c r="C522" s="21"/>
      <c r="D522" s="21"/>
      <c r="E522" s="21"/>
      <c r="F522" s="21"/>
      <c r="G522" s="21"/>
      <c r="H522" s="21"/>
      <c r="I522" s="21"/>
      <c r="J522" s="21"/>
      <c r="K522" s="204"/>
      <c r="L522" s="54"/>
      <c r="M522" s="213">
        <v>45514.508752442125</v>
      </c>
      <c r="N522" s="56">
        <v>1.09237684816508</v>
      </c>
      <c r="O522" s="16">
        <v>637535.563905152</v>
      </c>
      <c r="P522" s="57">
        <v>583622.3689435129</v>
      </c>
      <c r="Q522" s="55">
        <v>10.455906546737351</v>
      </c>
      <c r="R522" s="16">
        <v>381428.258847101</v>
      </c>
      <c r="S522" s="17">
        <v>232844.11471147253</v>
      </c>
      <c r="T522" s="16"/>
      <c r="U522" s="16">
        <v>637535.563905152</v>
      </c>
      <c r="V522" s="16">
        <v>6.0869876733704587E-5</v>
      </c>
      <c r="W522" s="20"/>
      <c r="X522" s="21"/>
      <c r="Y522" s="21"/>
      <c r="Z522" s="21"/>
      <c r="AA522" s="21"/>
      <c r="AB522" s="21"/>
    </row>
    <row r="523" ht="20.25" customHeight="1">
      <c r="A523" s="139"/>
      <c r="B523" s="21"/>
      <c r="C523" s="21"/>
      <c r="D523" s="21"/>
      <c r="E523" s="21"/>
      <c r="F523" s="21"/>
      <c r="G523" s="21"/>
      <c r="H523" s="21"/>
      <c r="I523" s="21"/>
      <c r="J523" s="21"/>
      <c r="K523" s="204"/>
      <c r="L523" s="54"/>
      <c r="M523" s="213">
        <v>45515.508753449074</v>
      </c>
      <c r="N523" s="56">
        <v>1.09254990221678</v>
      </c>
      <c r="O523" s="16">
        <v>642631.0299153139</v>
      </c>
      <c r="P523" s="57">
        <v>588193.7553711898</v>
      </c>
      <c r="Q523" s="55">
        <v>10.513206608642387</v>
      </c>
      <c r="R523" s="16">
        <v>382381.2906538929</v>
      </c>
      <c r="S523" s="17">
        <v>237207.65630640526</v>
      </c>
      <c r="T523" s="16"/>
      <c r="U523" s="16">
        <v>642631.0299153139</v>
      </c>
      <c r="V523" s="16">
        <v>6.0869876733704587E-5</v>
      </c>
      <c r="W523" s="20"/>
      <c r="X523" s="21"/>
      <c r="Y523" s="21"/>
      <c r="Z523" s="21"/>
      <c r="AA523" s="21"/>
      <c r="AB523" s="21"/>
    </row>
    <row r="524" ht="20.25" customHeight="1">
      <c r="A524" s="139"/>
      <c r="B524" s="21"/>
      <c r="C524" s="21"/>
      <c r="D524" s="21"/>
      <c r="E524" s="21"/>
      <c r="F524" s="21"/>
      <c r="G524" s="21"/>
      <c r="H524" s="21"/>
      <c r="I524" s="21"/>
      <c r="J524" s="21"/>
      <c r="K524" s="204"/>
      <c r="L524" s="54"/>
      <c r="M524" s="213">
        <v>45516.50875047454</v>
      </c>
      <c r="N524" s="56">
        <v>1.09222532171497</v>
      </c>
      <c r="O524" s="16">
        <v>617378.7095542643</v>
      </c>
      <c r="P524" s="57">
        <v>565248.4860769205</v>
      </c>
      <c r="Q524" s="55">
        <v>10.579984864131557</v>
      </c>
      <c r="R524" s="16">
        <v>365036.8805119741</v>
      </c>
      <c r="S524" s="17">
        <v>229532.54088002845</v>
      </c>
      <c r="T524" s="16"/>
      <c r="U524" s="16">
        <v>617378.7095542643</v>
      </c>
      <c r="V524" s="16">
        <v>6.0869876733704587E-5</v>
      </c>
      <c r="W524" s="20"/>
      <c r="X524" s="21"/>
      <c r="Y524" s="21"/>
      <c r="Z524" s="21"/>
      <c r="AA524" s="21"/>
      <c r="AB524" s="21"/>
    </row>
    <row r="525" ht="20.25" customHeight="1">
      <c r="A525" s="139"/>
      <c r="B525" s="21"/>
      <c r="C525" s="21"/>
      <c r="D525" s="21"/>
      <c r="E525" s="21"/>
      <c r="F525" s="21"/>
      <c r="G525" s="21"/>
      <c r="H525" s="21"/>
      <c r="I525" s="21"/>
      <c r="J525" s="21"/>
      <c r="K525" s="204"/>
      <c r="L525" s="54"/>
      <c r="M525" s="213">
        <v>45517.508749050925</v>
      </c>
      <c r="N525" s="56">
        <v>1.09171020770878</v>
      </c>
      <c r="O525" s="16">
        <v>624090.6854220991</v>
      </c>
      <c r="P525" s="57">
        <v>571663.3233025324</v>
      </c>
      <c r="Q525" s="55">
        <v>10.606662557338474</v>
      </c>
      <c r="R525" s="16">
        <v>368077.3475191987</v>
      </c>
      <c r="S525" s="17">
        <v>233152.61946044353</v>
      </c>
      <c r="T525" s="16"/>
      <c r="U525" s="16">
        <v>624090.6854220991</v>
      </c>
      <c r="V525" s="16">
        <v>6.0869876733704587E-5</v>
      </c>
      <c r="W525" s="20"/>
      <c r="X525" s="21"/>
      <c r="Y525" s="21"/>
      <c r="Z525" s="21"/>
      <c r="AA525" s="21"/>
      <c r="AB525" s="21"/>
    </row>
    <row r="526" ht="20.25" customHeight="1">
      <c r="A526" s="139"/>
      <c r="B526" s="21"/>
      <c r="C526" s="21"/>
      <c r="D526" s="21"/>
      <c r="E526" s="21"/>
      <c r="F526" s="21"/>
      <c r="G526" s="21"/>
      <c r="H526" s="21"/>
      <c r="I526" s="21"/>
      <c r="J526" s="21"/>
      <c r="K526" s="204"/>
      <c r="L526" s="54"/>
      <c r="M526" s="213">
        <v>45518.50876013889</v>
      </c>
      <c r="N526" s="56">
        <v>1.10195023151974</v>
      </c>
      <c r="O526" s="16">
        <v>646838.2039045558</v>
      </c>
      <c r="P526" s="57">
        <v>586994.026955716</v>
      </c>
      <c r="Q526" s="55">
        <v>10.593146103595844</v>
      </c>
      <c r="R526" s="16">
        <v>381980.1918083899</v>
      </c>
      <c r="S526" s="17">
        <v>241833.55308224293</v>
      </c>
      <c r="T526" s="16"/>
      <c r="U526" s="16">
        <v>646838.2039045558</v>
      </c>
      <c r="V526" s="16">
        <v>6.0869876733704587E-5</v>
      </c>
      <c r="W526" s="20"/>
      <c r="X526" s="21"/>
      <c r="Y526" s="21"/>
      <c r="Z526" s="21"/>
      <c r="AA526" s="21"/>
      <c r="AB526" s="21"/>
    </row>
    <row r="527" ht="20.25" customHeight="1">
      <c r="A527" s="139"/>
      <c r="B527" s="21"/>
      <c r="C527" s="21"/>
      <c r="D527" s="21"/>
      <c r="E527" s="21"/>
      <c r="F527" s="21"/>
      <c r="G527" s="21"/>
      <c r="H527" s="21"/>
      <c r="I527" s="21"/>
      <c r="J527" s="21"/>
      <c r="K527" s="204"/>
      <c r="L527" s="54"/>
      <c r="M527" s="213">
        <v>45519.5087477662</v>
      </c>
      <c r="N527" s="56">
        <v>1.10104511202033</v>
      </c>
      <c r="O527" s="16">
        <v>620510.6920535852</v>
      </c>
      <c r="P527" s="57">
        <v>563565.1848224434</v>
      </c>
      <c r="Q527" s="55">
        <v>10.621646690003194</v>
      </c>
      <c r="R527" s="16">
        <v>365449.65827936184</v>
      </c>
      <c r="S527" s="17">
        <v>232112.27925148446</v>
      </c>
      <c r="T527" s="16"/>
      <c r="U527" s="16">
        <v>620510.6920535852</v>
      </c>
      <c r="V527" s="16">
        <v>6.0869876733704587E-5</v>
      </c>
      <c r="W527" s="20"/>
      <c r="X527" s="21"/>
      <c r="Y527" s="21"/>
      <c r="Z527" s="21"/>
      <c r="AA527" s="21"/>
      <c r="AB527" s="21"/>
    </row>
    <row r="528" ht="20.25" customHeight="1">
      <c r="A528" s="139"/>
      <c r="B528" s="21"/>
      <c r="C528" s="21"/>
      <c r="D528" s="21"/>
      <c r="E528" s="21"/>
      <c r="F528" s="21"/>
      <c r="G528" s="21"/>
      <c r="H528" s="21"/>
      <c r="I528" s="21"/>
      <c r="J528" s="21"/>
      <c r="K528" s="204"/>
      <c r="L528" s="54"/>
      <c r="M528" s="213">
        <v>45520.50875126157</v>
      </c>
      <c r="N528" s="56">
        <v>1.09816496634124</v>
      </c>
      <c r="O528" s="16">
        <v>620645.6422790424</v>
      </c>
      <c r="P528" s="57">
        <v>565166.1283157207</v>
      </c>
      <c r="Q528" s="55">
        <v>10.605040093049022</v>
      </c>
      <c r="R528" s="16">
        <v>366101.5249416668</v>
      </c>
      <c r="S528" s="17">
        <v>231644.10340624745</v>
      </c>
      <c r="T528" s="16"/>
      <c r="U528" s="16">
        <v>620645.6422790424</v>
      </c>
      <c r="V528" s="16">
        <v>6.0869876733704587E-5</v>
      </c>
      <c r="W528" s="20"/>
      <c r="X528" s="21"/>
      <c r="Y528" s="21"/>
      <c r="Z528" s="21"/>
      <c r="AA528" s="21"/>
      <c r="AB528" s="21"/>
    </row>
    <row r="529" ht="20.25" customHeight="1">
      <c r="A529" s="139"/>
      <c r="B529" s="21"/>
      <c r="C529" s="21"/>
      <c r="D529" s="21"/>
      <c r="E529" s="21"/>
      <c r="F529" s="21"/>
      <c r="G529" s="21"/>
      <c r="H529" s="21"/>
      <c r="I529" s="21"/>
      <c r="J529" s="21"/>
      <c r="K529" s="204"/>
      <c r="L529" s="54"/>
      <c r="M529" s="213">
        <v>45521.50875173611</v>
      </c>
      <c r="N529" s="56">
        <v>1.10315004495336</v>
      </c>
      <c r="O529" s="16">
        <v>624081.9688349328</v>
      </c>
      <c r="P529" s="57">
        <v>565727.1843390246</v>
      </c>
      <c r="Q529" s="55">
        <v>10.527325233140521</v>
      </c>
      <c r="R529" s="16">
        <v>370846.1177029647</v>
      </c>
      <c r="S529" s="17">
        <v>230343.8354724444</v>
      </c>
      <c r="T529" s="16"/>
      <c r="U529" s="16">
        <v>624081.9688349328</v>
      </c>
      <c r="V529" s="16">
        <v>6.0869876733704587E-5</v>
      </c>
      <c r="W529" s="20"/>
      <c r="X529" s="21"/>
      <c r="Y529" s="21"/>
      <c r="Z529" s="21"/>
      <c r="AA529" s="21"/>
      <c r="AB529" s="21"/>
    </row>
    <row r="530" ht="20.25" customHeight="1">
      <c r="A530" s="139"/>
      <c r="B530" s="21"/>
      <c r="C530" s="21"/>
      <c r="D530" s="21"/>
      <c r="E530" s="21"/>
      <c r="F530" s="21"/>
      <c r="G530" s="21"/>
      <c r="H530" s="21"/>
      <c r="I530" s="21"/>
      <c r="J530" s="21"/>
      <c r="K530" s="204"/>
      <c r="L530" s="54"/>
      <c r="M530" s="213">
        <v>45522.508824652774</v>
      </c>
      <c r="N530" s="56">
        <v>1.10315004495336</v>
      </c>
      <c r="O530" s="16">
        <v>633411.6464729965</v>
      </c>
      <c r="P530" s="57">
        <v>574184.4904695412</v>
      </c>
      <c r="Q530" s="55">
        <v>10.547910861363297</v>
      </c>
      <c r="R530" s="16">
        <v>375655.48603989836</v>
      </c>
      <c r="S530" s="17">
        <v>234660.04028386172</v>
      </c>
      <c r="T530" s="16"/>
      <c r="U530" s="16">
        <v>633411.6464729965</v>
      </c>
      <c r="V530" s="16">
        <v>18501.90006086988</v>
      </c>
      <c r="W530" s="20"/>
      <c r="X530" s="21"/>
      <c r="Y530" s="21"/>
      <c r="Z530" s="21"/>
      <c r="AA530" s="21"/>
      <c r="AB530" s="21"/>
    </row>
    <row r="531" ht="20.25" customHeight="1">
      <c r="A531" s="139"/>
      <c r="B531" s="21"/>
      <c r="C531" s="21"/>
      <c r="D531" s="21"/>
      <c r="E531" s="21"/>
      <c r="F531" s="21"/>
      <c r="G531" s="21"/>
      <c r="H531" s="21"/>
      <c r="I531" s="21"/>
      <c r="J531" s="21"/>
      <c r="K531" s="204"/>
      <c r="L531" s="54"/>
      <c r="M531" s="213">
        <v>45523.508763564816</v>
      </c>
      <c r="N531" s="56">
        <v>1.10372473987967</v>
      </c>
      <c r="O531" s="16">
        <v>613199.8987113967</v>
      </c>
      <c r="P531" s="57">
        <v>555573.2118301968</v>
      </c>
      <c r="Q531" s="55">
        <v>10.575580723999462</v>
      </c>
      <c r="R531" s="16">
        <v>362717.0678538995</v>
      </c>
      <c r="S531" s="17">
        <v>246105.54111051976</v>
      </c>
      <c r="T531" s="16"/>
      <c r="U531" s="16">
        <v>613199.8987113967</v>
      </c>
      <c r="V531" s="16">
        <v>6.0869876733704587E-5</v>
      </c>
      <c r="W531" s="20"/>
      <c r="X531" s="21"/>
      <c r="Y531" s="21"/>
      <c r="Z531" s="21"/>
      <c r="AA531" s="21"/>
      <c r="AB531" s="21"/>
    </row>
    <row r="532" ht="20.25" customHeight="1">
      <c r="A532" s="139"/>
      <c r="B532" s="21"/>
      <c r="C532" s="21"/>
      <c r="D532" s="21"/>
      <c r="E532" s="21"/>
      <c r="F532" s="21"/>
      <c r="G532" s="21"/>
      <c r="H532" s="21"/>
      <c r="I532" s="21"/>
      <c r="J532" s="21"/>
      <c r="K532" s="204"/>
      <c r="L532" s="54"/>
      <c r="M532" s="213">
        <v>45524.50875450231</v>
      </c>
      <c r="N532" s="56">
        <v>1.10809954279813</v>
      </c>
      <c r="O532" s="16">
        <v>639005.4295739697</v>
      </c>
      <c r="P532" s="57">
        <v>576667.89389731</v>
      </c>
      <c r="Q532" s="55">
        <v>10.504446201071788</v>
      </c>
      <c r="R532" s="16">
        <v>380541.0650641118</v>
      </c>
      <c r="S532" s="17">
        <v>253908.81837125059</v>
      </c>
      <c r="T532" s="16"/>
      <c r="U532" s="16">
        <v>639005.4295739697</v>
      </c>
      <c r="V532" s="16">
        <v>6.0869876733704587E-5</v>
      </c>
      <c r="W532" s="20"/>
      <c r="X532" s="21"/>
      <c r="Y532" s="21"/>
      <c r="Z532" s="21"/>
      <c r="AA532" s="21"/>
      <c r="AB532" s="21"/>
    </row>
    <row r="533" ht="20.25" customHeight="1">
      <c r="A533" s="139"/>
      <c r="B533" s="21"/>
      <c r="C533" s="21"/>
      <c r="D533" s="21"/>
      <c r="E533" s="21"/>
      <c r="F533" s="21"/>
      <c r="G533" s="21"/>
      <c r="H533" s="21"/>
      <c r="I533" s="21"/>
      <c r="J533" s="21"/>
      <c r="K533" s="204"/>
      <c r="L533" s="54"/>
      <c r="M533" s="213">
        <v>45525.50874837963</v>
      </c>
      <c r="N533" s="56">
        <v>1.11233962843407</v>
      </c>
      <c r="O533" s="16">
        <v>622015.3407728453</v>
      </c>
      <c r="P533" s="57">
        <v>559195.5234468328</v>
      </c>
      <c r="Q533" s="55">
        <v>10.48640863617076</v>
      </c>
      <c r="R533" s="16">
        <v>371060.2737448051</v>
      </c>
      <c r="S533" s="17">
        <v>246493.54165063796</v>
      </c>
      <c r="T533" s="16"/>
      <c r="U533" s="16">
        <v>622015.3407728453</v>
      </c>
      <c r="V533" s="16">
        <v>6.0869876733704587E-5</v>
      </c>
      <c r="W533" s="20"/>
      <c r="X533" s="21"/>
      <c r="Y533" s="21"/>
      <c r="Z533" s="21"/>
      <c r="AA533" s="21"/>
      <c r="AB533" s="21"/>
    </row>
    <row r="534" ht="20.25" customHeight="1">
      <c r="A534" s="139"/>
      <c r="B534" s="21"/>
      <c r="C534" s="21"/>
      <c r="D534" s="21"/>
      <c r="E534" s="21"/>
      <c r="F534" s="21"/>
      <c r="G534" s="21"/>
      <c r="H534" s="21"/>
      <c r="I534" s="21"/>
      <c r="J534" s="21"/>
      <c r="K534" s="204"/>
      <c r="L534" s="54"/>
      <c r="M534" s="213">
        <v>45526.50875084491</v>
      </c>
      <c r="N534" s="56">
        <v>1.1133600985101</v>
      </c>
      <c r="O534" s="16">
        <v>635959.8538015662</v>
      </c>
      <c r="P534" s="57">
        <v>571207.6934071991</v>
      </c>
      <c r="Q534" s="55">
        <v>10.441797741232454</v>
      </c>
      <c r="R534" s="16">
        <v>380999.6409310114</v>
      </c>
      <c r="S534" s="17">
        <v>250393.22968290505</v>
      </c>
      <c r="T534" s="16"/>
      <c r="U534" s="16">
        <v>635959.8538015662</v>
      </c>
      <c r="V534" s="16">
        <v>6.0869876733704587E-5</v>
      </c>
      <c r="W534" s="20"/>
      <c r="X534" s="21"/>
      <c r="Y534" s="21"/>
      <c r="Z534" s="21"/>
      <c r="AA534" s="21"/>
      <c r="AB534" s="21"/>
    </row>
    <row r="535" ht="20.25" customHeight="1">
      <c r="A535" s="139"/>
      <c r="B535" s="21"/>
      <c r="C535" s="21"/>
      <c r="D535" s="21"/>
      <c r="E535" s="21"/>
      <c r="F535" s="21"/>
      <c r="G535" s="21"/>
      <c r="H535" s="21"/>
      <c r="I535" s="21"/>
      <c r="J535" s="21"/>
      <c r="K535" s="204"/>
      <c r="L535" s="54"/>
      <c r="M535" s="213">
        <v>45527.50874898148</v>
      </c>
      <c r="N535" s="56">
        <v>1.11226663255716</v>
      </c>
      <c r="O535" s="16">
        <v>641663.5527552717</v>
      </c>
      <c r="P535" s="57">
        <v>576897.2420579166</v>
      </c>
      <c r="Q535" s="55">
        <v>10.501950046433855</v>
      </c>
      <c r="R535" s="16">
        <v>382214.8579770712</v>
      </c>
      <c r="S535" s="17">
        <v>254902.87237817148</v>
      </c>
      <c r="T535" s="16"/>
      <c r="U535" s="16">
        <v>641663.5527552717</v>
      </c>
      <c r="V535" s="16">
        <v>6.0869876733704587E-5</v>
      </c>
      <c r="W535" s="20"/>
      <c r="X535" s="21"/>
      <c r="Y535" s="21"/>
      <c r="Z535" s="21"/>
      <c r="AA535" s="21"/>
      <c r="AB535" s="21"/>
    </row>
    <row r="536" ht="20.25" customHeight="1">
      <c r="A536" s="139"/>
      <c r="B536" s="21"/>
      <c r="C536" s="21"/>
      <c r="D536" s="21"/>
      <c r="E536" s="21"/>
      <c r="F536" s="21"/>
      <c r="G536" s="21"/>
      <c r="H536" s="21"/>
      <c r="I536" s="21"/>
      <c r="J536" s="21"/>
      <c r="K536" s="204"/>
      <c r="L536" s="54"/>
      <c r="M536" s="213">
        <v>45528.50876210648</v>
      </c>
      <c r="N536" s="56">
        <v>1.12035026630726</v>
      </c>
      <c r="O536" s="16">
        <v>672093.9870224677</v>
      </c>
      <c r="P536" s="57">
        <v>599896.3067485392</v>
      </c>
      <c r="Q536" s="55">
        <v>10.444094863792564</v>
      </c>
      <c r="R536" s="16">
        <v>402558.8179995312</v>
      </c>
      <c r="S536" s="17">
        <v>264765.91915043566</v>
      </c>
      <c r="T536" s="16"/>
      <c r="U536" s="16">
        <v>672093.9870224677</v>
      </c>
      <c r="V536" s="16">
        <v>6.0869876733704587E-5</v>
      </c>
      <c r="W536" s="20"/>
      <c r="X536" s="21"/>
      <c r="Y536" s="21"/>
      <c r="Z536" s="21"/>
      <c r="AA536" s="21"/>
      <c r="AB536" s="21"/>
    </row>
    <row r="537" ht="20.25" customHeight="1">
      <c r="A537" s="139"/>
      <c r="B537" s="21"/>
      <c r="C537" s="21"/>
      <c r="D537" s="21"/>
      <c r="E537" s="21"/>
      <c r="F537" s="21"/>
      <c r="G537" s="21"/>
      <c r="H537" s="21"/>
      <c r="I537" s="21"/>
      <c r="J537" s="21"/>
      <c r="K537" s="204"/>
      <c r="L537" s="54"/>
      <c r="M537" s="213">
        <v>45529.50874706019</v>
      </c>
      <c r="N537" s="56">
        <v>1.11929940811447</v>
      </c>
      <c r="O537" s="16">
        <v>666908.4323458931</v>
      </c>
      <c r="P537" s="57">
        <v>595826.66399274</v>
      </c>
      <c r="Q537" s="55">
        <v>10.446979731133865</v>
      </c>
      <c r="R537" s="16">
        <v>399342.5609600012</v>
      </c>
      <c r="S537" s="17">
        <v>262963.6596012284</v>
      </c>
      <c r="T537" s="16"/>
      <c r="U537" s="16">
        <v>666908.4323458931</v>
      </c>
      <c r="V537" s="16">
        <v>6.0869876733704587E-5</v>
      </c>
      <c r="W537" s="20"/>
      <c r="X537" s="21"/>
      <c r="Y537" s="21"/>
      <c r="Z537" s="21"/>
      <c r="AA537" s="21"/>
      <c r="AB537" s="21"/>
    </row>
    <row r="538" ht="20.25" customHeight="1">
      <c r="A538" s="139"/>
      <c r="B538" s="21"/>
      <c r="C538" s="21"/>
      <c r="D538" s="21"/>
      <c r="E538" s="21"/>
      <c r="F538" s="21"/>
      <c r="G538" s="21"/>
      <c r="H538" s="21"/>
      <c r="I538" s="21"/>
      <c r="J538" s="21"/>
      <c r="K538" s="204"/>
      <c r="L538" s="54"/>
      <c r="M538" s="213">
        <v>45530.508761296296</v>
      </c>
      <c r="N538" s="56">
        <v>1.11805047774297</v>
      </c>
      <c r="O538" s="16">
        <v>666484.6002784546</v>
      </c>
      <c r="P538" s="57">
        <v>596113.1572734532</v>
      </c>
      <c r="Q538" s="55">
        <v>10.418174353615443</v>
      </c>
      <c r="R538" s="16">
        <v>400192.21867315314</v>
      </c>
      <c r="S538" s="17">
        <v>261716.42690233546</v>
      </c>
      <c r="T538" s="16"/>
      <c r="U538" s="16">
        <v>666484.6002784546</v>
      </c>
      <c r="V538" s="16">
        <v>6.0869876733704587E-5</v>
      </c>
      <c r="W538" s="20"/>
      <c r="X538" s="21"/>
      <c r="Y538" s="21"/>
      <c r="Z538" s="21"/>
      <c r="AA538" s="21"/>
      <c r="AB538" s="21"/>
    </row>
    <row r="539" ht="20.25" customHeight="1">
      <c r="A539" s="139"/>
      <c r="B539" s="21"/>
      <c r="C539" s="21"/>
      <c r="D539" s="21"/>
      <c r="E539" s="21"/>
      <c r="F539" s="21"/>
      <c r="G539" s="21"/>
      <c r="H539" s="21"/>
      <c r="I539" s="21"/>
      <c r="J539" s="21"/>
      <c r="K539" s="204"/>
      <c r="L539" s="54"/>
      <c r="M539" s="213">
        <v>45531.50875138889</v>
      </c>
      <c r="N539" s="56">
        <v>1.11790174314419</v>
      </c>
      <c r="O539" s="16">
        <v>649200.0309652992</v>
      </c>
      <c r="P539" s="57">
        <v>580730.851299481</v>
      </c>
      <c r="Q539" s="55">
        <v>10.381673974921227</v>
      </c>
      <c r="R539" s="16">
        <v>391184.18431569583</v>
      </c>
      <c r="S539" s="17">
        <v>253593.16769249164</v>
      </c>
      <c r="T539" s="16"/>
      <c r="U539" s="16">
        <v>649200.0309652992</v>
      </c>
      <c r="V539" s="16">
        <v>6.0869876733704587E-5</v>
      </c>
      <c r="W539" s="20"/>
      <c r="X539" s="21"/>
      <c r="Y539" s="21"/>
      <c r="Z539" s="21"/>
      <c r="AA539" s="21"/>
      <c r="AB539" s="21"/>
    </row>
    <row r="540" ht="20.25" customHeight="1">
      <c r="A540" s="139"/>
      <c r="B540" s="21"/>
      <c r="C540" s="21"/>
      <c r="D540" s="21"/>
      <c r="E540" s="21"/>
      <c r="F540" s="21"/>
      <c r="G540" s="21"/>
      <c r="H540" s="21"/>
      <c r="I540" s="21"/>
      <c r="J540" s="21"/>
      <c r="K540" s="204"/>
      <c r="L540" s="54"/>
      <c r="M540" s="213">
        <v>45532.50875303241</v>
      </c>
      <c r="N540" s="56">
        <v>1.11454266413591</v>
      </c>
      <c r="O540" s="16">
        <v>620108.0619085516</v>
      </c>
      <c r="P540" s="57">
        <v>556378.9362781488</v>
      </c>
      <c r="Q540" s="55">
        <v>10.337697114622129</v>
      </c>
      <c r="R540" s="16">
        <v>375243.9649069689</v>
      </c>
      <c r="S540" s="17">
        <v>240629.56886280965</v>
      </c>
      <c r="T540" s="16"/>
      <c r="U540" s="16">
        <v>620108.0619085516</v>
      </c>
      <c r="V540" s="16">
        <v>6.0869876733704587E-5</v>
      </c>
      <c r="W540" s="20"/>
      <c r="X540" s="21"/>
      <c r="Y540" s="21"/>
      <c r="Z540" s="21"/>
      <c r="AA540" s="21"/>
      <c r="AB540" s="21"/>
    </row>
    <row r="541" ht="20.25" customHeight="1">
      <c r="A541" s="139"/>
      <c r="B541" s="21"/>
      <c r="C541" s="21"/>
      <c r="D541" s="21"/>
      <c r="E541" s="21"/>
      <c r="F541" s="21"/>
      <c r="G541" s="21"/>
      <c r="H541" s="21"/>
      <c r="I541" s="21"/>
      <c r="J541" s="21"/>
      <c r="K541" s="204"/>
      <c r="L541" s="54"/>
      <c r="M541" s="213">
        <v>45533.508746631946</v>
      </c>
      <c r="N541" s="56">
        <v>1.10884537040425</v>
      </c>
      <c r="O541" s="16">
        <v>621378.0611223398</v>
      </c>
      <c r="P541" s="57">
        <v>560382.9692645107</v>
      </c>
      <c r="Q541" s="55">
        <v>10.38965392032845</v>
      </c>
      <c r="R541" s="16">
        <v>374132.1040731947</v>
      </c>
      <c r="S541" s="17">
        <v>242955.86365601083</v>
      </c>
      <c r="T541" s="16"/>
      <c r="U541" s="16">
        <v>621378.0611223398</v>
      </c>
      <c r="V541" s="16">
        <v>6.0869876733704587E-5</v>
      </c>
      <c r="W541" s="20"/>
      <c r="X541" s="21"/>
      <c r="Y541" s="21"/>
      <c r="Z541" s="21"/>
      <c r="AA541" s="21"/>
      <c r="AB541" s="21"/>
    </row>
    <row r="542" ht="20.25" customHeight="1">
      <c r="A542" s="139"/>
      <c r="B542" s="21"/>
      <c r="C542" s="21"/>
      <c r="D542" s="21"/>
      <c r="E542" s="21"/>
      <c r="F542" s="21"/>
      <c r="G542" s="21"/>
      <c r="H542" s="21"/>
      <c r="I542" s="21"/>
      <c r="J542" s="21"/>
      <c r="K542" s="204"/>
      <c r="L542" s="54"/>
      <c r="M542" s="213">
        <v>45534.508751076384</v>
      </c>
      <c r="N542" s="56">
        <v>1.10799518243695</v>
      </c>
      <c r="O542" s="16">
        <v>617443.6116611523</v>
      </c>
      <c r="P542" s="57">
        <v>557262.0002761498</v>
      </c>
      <c r="Q542" s="55">
        <v>10.371378747867185</v>
      </c>
      <c r="R542" s="16">
        <v>372418.24518032686</v>
      </c>
      <c r="S542" s="17">
        <v>240788.14189265599</v>
      </c>
      <c r="T542" s="16"/>
      <c r="U542" s="16">
        <v>617443.6116611523</v>
      </c>
      <c r="V542" s="16">
        <v>6.0869876733704587E-5</v>
      </c>
      <c r="W542" s="20"/>
      <c r="X542" s="21"/>
      <c r="Y542" s="21"/>
      <c r="Z542" s="21"/>
      <c r="AA542" s="21"/>
      <c r="AB542" s="21"/>
    </row>
    <row r="543" ht="20.25" customHeight="1">
      <c r="A543" s="139"/>
      <c r="B543" s="21"/>
      <c r="C543" s="21"/>
      <c r="D543" s="21"/>
      <c r="E543" s="21"/>
      <c r="F543" s="21"/>
      <c r="G543" s="21"/>
      <c r="H543" s="21"/>
      <c r="I543" s="21"/>
      <c r="J543" s="21"/>
      <c r="K543" s="204"/>
      <c r="L543" s="54"/>
      <c r="M543" s="213">
        <v>45535.508752511574</v>
      </c>
      <c r="N543" s="56">
        <v>1.10611148718902</v>
      </c>
      <c r="O543" s="16">
        <v>612859.8658778922</v>
      </c>
      <c r="P543" s="57">
        <v>554066.9932244926</v>
      </c>
      <c r="Q543" s="55">
        <v>10.402723770444451</v>
      </c>
      <c r="R543" s="16">
        <v>368539.6825419966</v>
      </c>
      <c r="S543" s="17">
        <v>240122.12844675957</v>
      </c>
      <c r="T543" s="16"/>
      <c r="U543" s="16">
        <v>612859.8658778922</v>
      </c>
      <c r="V543" s="16">
        <v>6.0869876733704587E-5</v>
      </c>
      <c r="W543" s="20"/>
      <c r="X543" s="21"/>
      <c r="Y543" s="21"/>
      <c r="Z543" s="21"/>
      <c r="AA543" s="21"/>
      <c r="AB543" s="21"/>
    </row>
    <row r="544" ht="20.25" customHeight="1">
      <c r="A544" s="139"/>
      <c r="B544" s="21"/>
      <c r="C544" s="21"/>
      <c r="D544" s="21"/>
      <c r="E544" s="21"/>
      <c r="F544" s="21"/>
      <c r="G544" s="21"/>
      <c r="H544" s="21"/>
      <c r="I544" s="21"/>
      <c r="J544" s="21"/>
      <c r="K544" s="204"/>
      <c r="L544" s="54"/>
      <c r="M544" s="213">
        <v>45536.50874822917</v>
      </c>
      <c r="N544" s="56">
        <v>1.106050316441</v>
      </c>
      <c r="O544" s="16">
        <v>604224.5742121879</v>
      </c>
      <c r="P544" s="57">
        <v>546290.3135875727</v>
      </c>
      <c r="Q544" s="55">
        <v>10.403816791192043</v>
      </c>
      <c r="R544" s="16">
        <v>363308.72751530353</v>
      </c>
      <c r="S544" s="17">
        <v>236761.94854551766</v>
      </c>
      <c r="T544" s="16"/>
      <c r="U544" s="16">
        <v>604224.5742121879</v>
      </c>
      <c r="V544" s="16">
        <v>6.0869876733704587E-5</v>
      </c>
      <c r="W544" s="20"/>
      <c r="X544" s="21"/>
      <c r="Y544" s="21"/>
      <c r="Z544" s="21"/>
      <c r="AA544" s="21"/>
      <c r="AB544" s="21"/>
    </row>
    <row r="545" ht="20.25" customHeight="1">
      <c r="A545" s="139"/>
      <c r="B545" s="21"/>
      <c r="C545" s="21"/>
      <c r="D545" s="21"/>
      <c r="E545" s="21"/>
      <c r="F545" s="21"/>
      <c r="G545" s="21"/>
      <c r="H545" s="21"/>
      <c r="I545" s="21"/>
      <c r="J545" s="21"/>
      <c r="K545" s="204"/>
      <c r="L545" s="54"/>
      <c r="M545" s="213">
        <v>45537.50876023148</v>
      </c>
      <c r="N545" s="56">
        <v>1.10655578977653</v>
      </c>
      <c r="O545" s="16">
        <v>608672.7253988495</v>
      </c>
      <c r="P545" s="57">
        <v>550060.5853065678</v>
      </c>
      <c r="Q545" s="55">
        <v>10.436815570663189</v>
      </c>
      <c r="R545" s="16">
        <v>364826.16211181856</v>
      </c>
      <c r="S545" s="17">
        <v>239698.83972464845</v>
      </c>
      <c r="T545" s="16"/>
      <c r="U545" s="16">
        <v>608672.7253988495</v>
      </c>
      <c r="V545" s="16">
        <v>6.0869876733704587E-5</v>
      </c>
      <c r="W545" s="20"/>
      <c r="X545" s="21"/>
      <c r="Y545" s="21"/>
      <c r="Z545" s="21"/>
      <c r="AA545" s="21"/>
      <c r="AB545" s="21"/>
    </row>
    <row r="546" ht="20.25" customHeight="1">
      <c r="A546" s="139"/>
      <c r="B546" s="21"/>
      <c r="C546" s="21"/>
      <c r="D546" s="21"/>
      <c r="E546" s="21"/>
      <c r="F546" s="21"/>
      <c r="G546" s="21"/>
      <c r="H546" s="21"/>
      <c r="I546" s="21"/>
      <c r="J546" s="21"/>
      <c r="K546" s="204"/>
      <c r="L546" s="54"/>
      <c r="M546" s="213">
        <v>45538.50876809028</v>
      </c>
      <c r="N546" s="56">
        <v>1.10379052704894</v>
      </c>
      <c r="O546" s="16">
        <v>611690.8691260822</v>
      </c>
      <c r="P546" s="57">
        <v>554172.9650112869</v>
      </c>
      <c r="Q546" s="55">
        <v>10.384309619249478</v>
      </c>
      <c r="R546" s="16">
        <v>368488.98582885676</v>
      </c>
      <c r="S546" s="17">
        <v>239011.3128092801</v>
      </c>
      <c r="T546" s="16"/>
      <c r="U546" s="16">
        <v>611690.8691260822</v>
      </c>
      <c r="V546" s="16">
        <v>6.0869876733704587E-5</v>
      </c>
      <c r="W546" s="20"/>
      <c r="X546" s="21"/>
      <c r="Y546" s="21"/>
      <c r="Z546" s="21"/>
      <c r="AA546" s="21"/>
      <c r="AB546" s="21"/>
    </row>
    <row r="547" ht="20.25" customHeight="1">
      <c r="A547" s="139"/>
      <c r="B547" s="21"/>
      <c r="C547" s="21"/>
      <c r="D547" s="21"/>
      <c r="E547" s="21"/>
      <c r="F547" s="21"/>
      <c r="G547" s="21"/>
      <c r="H547" s="21"/>
      <c r="I547" s="21"/>
      <c r="J547" s="21"/>
      <c r="K547" s="204"/>
      <c r="L547" s="54"/>
      <c r="M547" s="213">
        <v>45539.50875208333</v>
      </c>
      <c r="N547" s="56">
        <v>1.10528136595092</v>
      </c>
      <c r="O547" s="16">
        <v>586479.4432326765</v>
      </c>
      <c r="P547" s="57">
        <v>530615.5168264359</v>
      </c>
      <c r="Q547" s="55">
        <v>10.3696845762558</v>
      </c>
      <c r="R547" s="16">
        <v>353799.64279677585</v>
      </c>
      <c r="S547" s="17">
        <v>228625.928303242</v>
      </c>
      <c r="T547" s="16"/>
      <c r="U547" s="16">
        <v>586479.4432326765</v>
      </c>
      <c r="V547" s="16">
        <v>6.0869876733704587E-5</v>
      </c>
      <c r="W547" s="20"/>
      <c r="X547" s="21"/>
      <c r="Y547" s="21"/>
      <c r="Z547" s="21"/>
      <c r="AA547" s="21"/>
      <c r="AB547" s="21"/>
    </row>
    <row r="548" ht="20.25" customHeight="1">
      <c r="A548" s="139"/>
      <c r="B548" s="21"/>
      <c r="C548" s="21"/>
      <c r="D548" s="21"/>
      <c r="E548" s="21"/>
      <c r="F548" s="21"/>
      <c r="G548" s="21"/>
      <c r="H548" s="21"/>
      <c r="I548" s="21"/>
      <c r="J548" s="21"/>
      <c r="K548" s="204"/>
      <c r="L548" s="54"/>
      <c r="M548" s="213">
        <v>45540.50874618055</v>
      </c>
      <c r="N548" s="56">
        <v>1.10990008679419</v>
      </c>
      <c r="O548" s="16">
        <v>587326.466486027</v>
      </c>
      <c r="P548" s="57">
        <v>529170.5744275121</v>
      </c>
      <c r="Q548" s="55">
        <v>10.354943930965334</v>
      </c>
      <c r="R548" s="16">
        <v>354814.99237871444</v>
      </c>
      <c r="S548" s="17">
        <v>228448.74581127887</v>
      </c>
      <c r="T548" s="16"/>
      <c r="U548" s="16">
        <v>587326.466486027</v>
      </c>
      <c r="V548" s="16">
        <v>6.0869876733704587E-5</v>
      </c>
      <c r="W548" s="20"/>
      <c r="X548" s="21"/>
      <c r="Y548" s="21"/>
      <c r="Z548" s="21"/>
      <c r="AA548" s="21"/>
      <c r="AB548" s="21"/>
    </row>
    <row r="549" ht="20.25" customHeight="1">
      <c r="A549" s="139"/>
      <c r="B549" s="21"/>
      <c r="C549" s="21"/>
      <c r="D549" s="21"/>
      <c r="E549" s="21"/>
      <c r="F549" s="21"/>
      <c r="G549" s="21"/>
      <c r="H549" s="21"/>
      <c r="I549" s="21"/>
      <c r="J549" s="21"/>
      <c r="K549" s="204"/>
      <c r="L549" s="54"/>
      <c r="M549" s="213">
        <v>45541.50874959491</v>
      </c>
      <c r="N549" s="56">
        <v>1.11101852623392</v>
      </c>
      <c r="O549" s="16">
        <v>578782.2356352098</v>
      </c>
      <c r="P549" s="57">
        <v>520947.42073936376</v>
      </c>
      <c r="Q549" s="55">
        <v>10.350105300079061</v>
      </c>
      <c r="R549" s="16">
        <v>349816.7228567497</v>
      </c>
      <c r="S549" s="17">
        <v>224999.95612916394</v>
      </c>
      <c r="T549" s="16"/>
      <c r="U549" s="16">
        <v>578782.2356352098</v>
      </c>
      <c r="V549" s="16">
        <v>6.0869876733704587E-5</v>
      </c>
      <c r="W549" s="20"/>
      <c r="X549" s="21"/>
      <c r="Y549" s="21"/>
      <c r="Z549" s="21"/>
      <c r="AA549" s="21"/>
      <c r="AB549" s="21"/>
    </row>
    <row r="550" ht="20.25" customHeight="1">
      <c r="A550" s="139"/>
      <c r="B550" s="21"/>
      <c r="C550" s="21"/>
      <c r="D550" s="21"/>
      <c r="E550" s="21"/>
      <c r="F550" s="21"/>
      <c r="G550" s="21"/>
      <c r="H550" s="21"/>
      <c r="I550" s="21"/>
      <c r="J550" s="21"/>
      <c r="K550" s="204"/>
      <c r="L550" s="54"/>
      <c r="M550" s="213">
        <v>45542.50875797454</v>
      </c>
      <c r="N550" s="56">
        <v>1.10901630253965</v>
      </c>
      <c r="O550" s="16">
        <v>561581.9876713573</v>
      </c>
      <c r="P550" s="57">
        <v>506378.4782832617</v>
      </c>
      <c r="Q550" s="55">
        <v>10.344759866190365</v>
      </c>
      <c r="R550" s="16">
        <v>339596.2594981736</v>
      </c>
      <c r="S550" s="17">
        <v>218025.2487136131</v>
      </c>
      <c r="T550" s="16"/>
      <c r="U550" s="16">
        <v>561581.9876713573</v>
      </c>
      <c r="V550" s="16">
        <v>6.0869876733704587E-5</v>
      </c>
      <c r="W550" s="20"/>
      <c r="X550" s="21"/>
      <c r="Y550" s="21"/>
      <c r="Z550" s="21"/>
      <c r="AA550" s="21"/>
      <c r="AB550" s="21"/>
    </row>
    <row r="551" ht="20.25" customHeight="1">
      <c r="A551" s="139"/>
      <c r="B551" s="21"/>
      <c r="C551" s="21"/>
      <c r="D551" s="21"/>
      <c r="E551" s="21"/>
      <c r="F551" s="21"/>
      <c r="G551" s="21"/>
      <c r="H551" s="21"/>
      <c r="I551" s="21"/>
      <c r="J551" s="21"/>
      <c r="K551" s="204"/>
      <c r="L551" s="54"/>
      <c r="M551" s="213">
        <v>45543.508755138886</v>
      </c>
      <c r="N551" s="56">
        <v>1.10901630253965</v>
      </c>
      <c r="O551" s="16">
        <v>564608.1992726299</v>
      </c>
      <c r="P551" s="57">
        <v>509107.21328412916</v>
      </c>
      <c r="Q551" s="55">
        <v>10.3564589767225</v>
      </c>
      <c r="R551" s="16">
        <v>341040.5607021432</v>
      </c>
      <c r="S551" s="17">
        <v>219574.49230617002</v>
      </c>
      <c r="T551" s="16"/>
      <c r="U551" s="16">
        <v>564608.1992726299</v>
      </c>
      <c r="V551" s="16">
        <v>6.0869876733704587E-5</v>
      </c>
      <c r="W551" s="20"/>
      <c r="X551" s="21"/>
      <c r="Y551" s="21"/>
      <c r="Z551" s="21"/>
      <c r="AA551" s="21"/>
      <c r="AB551" s="21"/>
    </row>
    <row r="552" ht="20.25" customHeight="1">
      <c r="A552" s="139"/>
      <c r="B552" s="21"/>
      <c r="C552" s="21"/>
      <c r="D552" s="21"/>
      <c r="E552" s="21"/>
      <c r="F552" s="21"/>
      <c r="G552" s="21"/>
      <c r="H552" s="21"/>
      <c r="I552" s="21"/>
      <c r="J552" s="21"/>
      <c r="K552" s="204"/>
      <c r="L552" s="54"/>
      <c r="M552" s="213">
        <v>45544.50874931713</v>
      </c>
      <c r="N552" s="56">
        <v>1.10533512102867</v>
      </c>
      <c r="O552" s="16">
        <v>570939.1113823482</v>
      </c>
      <c r="P552" s="57">
        <v>516530.32688494417</v>
      </c>
      <c r="Q552" s="55">
        <v>10.337206294179968</v>
      </c>
      <c r="R552" s="16">
        <v>345506.92278600344</v>
      </c>
      <c r="S552" s="17">
        <v>221345.5718037217</v>
      </c>
      <c r="T552" s="16"/>
      <c r="U552" s="16">
        <v>570939.1113823482</v>
      </c>
      <c r="V552" s="16">
        <v>6.0869876733704587E-5</v>
      </c>
      <c r="W552" s="20"/>
      <c r="X552" s="21"/>
      <c r="Y552" s="21"/>
      <c r="Z552" s="21"/>
      <c r="AA552" s="21"/>
      <c r="AB552" s="21"/>
    </row>
    <row r="553" ht="20.25" customHeight="1">
      <c r="A553" s="139"/>
      <c r="B553" s="21"/>
      <c r="C553" s="21"/>
      <c r="D553" s="21"/>
      <c r="E553" s="21"/>
      <c r="F553" s="21"/>
      <c r="G553" s="21"/>
      <c r="H553" s="21"/>
      <c r="I553" s="21"/>
      <c r="J553" s="21"/>
      <c r="K553" s="204"/>
      <c r="L553" s="54"/>
      <c r="M553" s="213">
        <v>45545.50875770833</v>
      </c>
      <c r="N553" s="56">
        <v>1.10360536837795</v>
      </c>
      <c r="O553" s="16">
        <v>585135.5822945898</v>
      </c>
      <c r="P553" s="57">
        <v>530203.6389643579</v>
      </c>
      <c r="Q553" s="55">
        <v>10.252364046900677</v>
      </c>
      <c r="R553" s="16">
        <v>357028.29153300065</v>
      </c>
      <c r="S553" s="17">
        <v>224000.1506532739</v>
      </c>
      <c r="T553" s="16"/>
      <c r="U553" s="16">
        <v>585135.5822945898</v>
      </c>
      <c r="V553" s="16">
        <v>6.0869876733704587E-5</v>
      </c>
      <c r="W553" s="20"/>
      <c r="X553" s="21"/>
      <c r="Y553" s="21"/>
      <c r="Z553" s="21"/>
      <c r="AA553" s="21"/>
      <c r="AB553" s="21"/>
    </row>
    <row r="554" ht="20.25" customHeight="1">
      <c r="A554" s="139"/>
      <c r="B554" s="21"/>
      <c r="C554" s="21"/>
      <c r="D554" s="21"/>
      <c r="E554" s="21"/>
      <c r="F554" s="21"/>
      <c r="G554" s="21"/>
      <c r="H554" s="21"/>
      <c r="I554" s="21"/>
      <c r="J554" s="21"/>
      <c r="K554" s="204"/>
      <c r="L554" s="54"/>
      <c r="M554" s="213">
        <v>45546.50875444444</v>
      </c>
      <c r="N554" s="56">
        <v>1.10485517558358</v>
      </c>
      <c r="O554" s="16">
        <v>579801.873154922</v>
      </c>
      <c r="P554" s="57">
        <v>524776.3561850295</v>
      </c>
      <c r="Q554" s="55">
        <v>10.250497977131921</v>
      </c>
      <c r="R554" s="16">
        <v>353838.26103445236</v>
      </c>
      <c r="S554" s="17">
        <v>221923.8376895057</v>
      </c>
      <c r="T554" s="16"/>
      <c r="U554" s="16">
        <v>579801.873154922</v>
      </c>
      <c r="V554" s="16">
        <v>6.0869876733704587E-5</v>
      </c>
      <c r="W554" s="20"/>
      <c r="X554" s="21"/>
      <c r="Y554" s="21"/>
      <c r="Z554" s="21"/>
      <c r="AA554" s="21"/>
      <c r="AB554" s="21"/>
    </row>
    <row r="555" ht="20.25" customHeight="1">
      <c r="A555" s="139"/>
      <c r="B555" s="21"/>
      <c r="C555" s="21"/>
      <c r="D555" s="21"/>
      <c r="E555" s="21"/>
      <c r="F555" s="21"/>
      <c r="G555" s="21"/>
      <c r="H555" s="21"/>
      <c r="I555" s="21"/>
      <c r="J555" s="21"/>
      <c r="K555" s="204"/>
      <c r="L555" s="54"/>
      <c r="M555" s="213">
        <v>45547.508754375</v>
      </c>
      <c r="N555" s="56">
        <v>1.10180210752707</v>
      </c>
      <c r="O555" s="16">
        <v>591414.500593887</v>
      </c>
      <c r="P555" s="57">
        <v>536770.1663970147</v>
      </c>
      <c r="Q555" s="55">
        <v>10.194721509115746</v>
      </c>
      <c r="R555" s="16">
        <v>362899.812787396</v>
      </c>
      <c r="S555" s="17">
        <v>224378.73862650446</v>
      </c>
      <c r="T555" s="16"/>
      <c r="U555" s="16">
        <v>591414.500593887</v>
      </c>
      <c r="V555" s="16">
        <v>6.0869876733704587E-5</v>
      </c>
      <c r="W555" s="20"/>
      <c r="X555" s="21"/>
      <c r="Y555" s="21"/>
      <c r="Z555" s="21"/>
      <c r="AA555" s="21"/>
      <c r="AB555" s="21"/>
    </row>
    <row r="556" ht="20.25" customHeight="1">
      <c r="A556" s="139"/>
      <c r="B556" s="21"/>
      <c r="C556" s="21"/>
      <c r="D556" s="21"/>
      <c r="E556" s="21"/>
      <c r="F556" s="21"/>
      <c r="G556" s="21"/>
      <c r="H556" s="21"/>
      <c r="I556" s="21"/>
      <c r="J556" s="21"/>
      <c r="K556" s="204"/>
      <c r="L556" s="54"/>
      <c r="M556" s="213">
        <v>45548.50875957176</v>
      </c>
      <c r="N556" s="56">
        <v>1.10896341862371</v>
      </c>
      <c r="O556" s="16">
        <v>592250.0037831607</v>
      </c>
      <c r="P556" s="57">
        <v>534057.2951614386</v>
      </c>
      <c r="Q556" s="55">
        <v>10.195174929765331</v>
      </c>
      <c r="R556" s="16">
        <v>363396.32624712423</v>
      </c>
      <c r="S556" s="17">
        <v>224621.76693334436</v>
      </c>
      <c r="T556" s="16"/>
      <c r="U556" s="16">
        <v>592250.0037831607</v>
      </c>
      <c r="V556" s="16">
        <v>6.0869876733704587E-5</v>
      </c>
      <c r="W556" s="20"/>
      <c r="X556" s="21"/>
      <c r="Y556" s="21"/>
      <c r="Z556" s="21"/>
      <c r="AA556" s="21"/>
      <c r="AB556" s="21"/>
    </row>
    <row r="557" ht="20.25" customHeight="1">
      <c r="A557" s="139"/>
      <c r="B557" s="21"/>
      <c r="C557" s="21"/>
      <c r="D557" s="21"/>
      <c r="E557" s="21"/>
      <c r="F557" s="21"/>
      <c r="G557" s="21"/>
      <c r="H557" s="21"/>
      <c r="I557" s="21"/>
      <c r="J557" s="21"/>
      <c r="K557" s="204"/>
      <c r="L557" s="54"/>
      <c r="M557" s="213">
        <v>45549.50874425926</v>
      </c>
      <c r="N557" s="56">
        <v>1.10864990831465</v>
      </c>
      <c r="O557" s="16">
        <v>610604.5851134431</v>
      </c>
      <c r="P557" s="57">
        <v>550764.1145631567</v>
      </c>
      <c r="Q557" s="55">
        <v>10.170852566955597</v>
      </c>
      <c r="R557" s="16">
        <v>375554.39117709524</v>
      </c>
      <c r="S557" s="17">
        <v>230716.3738844039</v>
      </c>
      <c r="T557" s="16"/>
      <c r="U557" s="16">
        <v>610604.5851134431</v>
      </c>
      <c r="V557" s="16">
        <v>6.0869876733704587E-5</v>
      </c>
      <c r="W557" s="20"/>
      <c r="X557" s="21"/>
      <c r="Y557" s="21"/>
      <c r="Z557" s="21"/>
      <c r="AA557" s="21"/>
      <c r="AB557" s="21"/>
    </row>
    <row r="558" ht="20.25" customHeight="1">
      <c r="A558" s="139"/>
      <c r="B558" s="21"/>
      <c r="C558" s="21"/>
      <c r="D558" s="21"/>
      <c r="E558" s="21"/>
      <c r="F558" s="21"/>
      <c r="G558" s="21"/>
      <c r="H558" s="21"/>
      <c r="I558" s="21"/>
      <c r="J558" s="21"/>
      <c r="K558" s="204"/>
      <c r="L558" s="54"/>
      <c r="M558" s="213">
        <v>45550.50875552083</v>
      </c>
      <c r="N558" s="56">
        <v>1.10825059319113</v>
      </c>
      <c r="O558" s="16">
        <v>609924.4336237368</v>
      </c>
      <c r="P558" s="57">
        <v>550348.8447206711</v>
      </c>
      <c r="Q558" s="55">
        <v>10.162739715849805</v>
      </c>
      <c r="R558" s="16">
        <v>375435.5304850781</v>
      </c>
      <c r="S558" s="17">
        <v>230206.82962951277</v>
      </c>
      <c r="T558" s="16"/>
      <c r="U558" s="16">
        <v>609924.4336237368</v>
      </c>
      <c r="V558" s="16">
        <v>6.0869876733704587E-5</v>
      </c>
      <c r="W558" s="20"/>
      <c r="X558" s="21"/>
      <c r="Y558" s="21"/>
      <c r="Z558" s="21"/>
      <c r="AA558" s="21"/>
      <c r="AB558" s="21"/>
    </row>
    <row r="559" ht="20.25" customHeight="1">
      <c r="A559" s="139"/>
      <c r="B559" s="21"/>
      <c r="C559" s="21"/>
      <c r="D559" s="21"/>
      <c r="E559" s="21"/>
      <c r="F559" s="21"/>
      <c r="G559" s="21"/>
      <c r="H559" s="21"/>
      <c r="I559" s="21"/>
      <c r="J559" s="21"/>
      <c r="K559" s="204"/>
      <c r="L559" s="54"/>
      <c r="M559" s="213">
        <v>45551.508763668986</v>
      </c>
      <c r="N559" s="56">
        <v>1.11275304004131</v>
      </c>
      <c r="O559" s="16">
        <v>589155.1346127436</v>
      </c>
      <c r="P559" s="57">
        <v>529457.2231327014</v>
      </c>
      <c r="Q559" s="55">
        <v>10.058349270873798</v>
      </c>
      <c r="R559" s="16">
        <v>366414.87582886725</v>
      </c>
      <c r="S559" s="17">
        <v>218592.71542265007</v>
      </c>
      <c r="T559" s="16"/>
      <c r="U559" s="16">
        <v>589155.1346127436</v>
      </c>
      <c r="V559" s="16">
        <v>6.0869876733704587E-5</v>
      </c>
      <c r="W559" s="20"/>
      <c r="X559" s="21"/>
      <c r="Y559" s="21"/>
      <c r="Z559" s="21"/>
      <c r="AA559" s="21"/>
      <c r="AB559" s="21"/>
    </row>
    <row r="560" ht="20.25" customHeight="1">
      <c r="A560" s="139"/>
      <c r="B560" s="21"/>
      <c r="C560" s="21"/>
      <c r="D560" s="21"/>
      <c r="E560" s="21"/>
      <c r="F560" s="21"/>
      <c r="G560" s="21"/>
      <c r="H560" s="21"/>
      <c r="I560" s="21"/>
      <c r="J560" s="21"/>
      <c r="K560" s="204"/>
      <c r="L560" s="54"/>
      <c r="M560" s="213">
        <v>45552.50875793981</v>
      </c>
      <c r="N560" s="56">
        <v>1.11393803831056</v>
      </c>
      <c r="O560" s="16">
        <v>593803.1943588788</v>
      </c>
      <c r="P560" s="57">
        <v>533066.6284270738</v>
      </c>
      <c r="Q560" s="55">
        <v>10.068443703981119</v>
      </c>
      <c r="R560" s="16">
        <v>368935.3974956939</v>
      </c>
      <c r="S560" s="17">
        <v>220709.45091311808</v>
      </c>
      <c r="T560" s="16"/>
      <c r="U560" s="16">
        <v>593803.1943588788</v>
      </c>
      <c r="V560" s="16">
        <v>6.0869876733704587E-5</v>
      </c>
      <c r="W560" s="20"/>
      <c r="X560" s="21"/>
      <c r="Y560" s="21"/>
      <c r="Z560" s="21"/>
      <c r="AA560" s="21"/>
      <c r="AB560" s="21"/>
    </row>
    <row r="561" ht="20.25" customHeight="1">
      <c r="A561" s="139"/>
      <c r="B561" s="21"/>
      <c r="C561" s="21"/>
      <c r="D561" s="21"/>
      <c r="E561" s="21"/>
      <c r="F561" s="21"/>
      <c r="G561" s="21"/>
      <c r="H561" s="21"/>
      <c r="I561" s="21"/>
      <c r="J561" s="21"/>
      <c r="K561" s="204"/>
      <c r="L561" s="54"/>
      <c r="M561" s="213">
        <v>45553.50874644676</v>
      </c>
      <c r="N561" s="56">
        <v>1.11341588198682</v>
      </c>
      <c r="O561" s="16">
        <v>548976.458221904</v>
      </c>
      <c r="P561" s="57">
        <v>493056.06925804785</v>
      </c>
      <c r="Q561" s="55">
        <v>9.187121953366576</v>
      </c>
      <c r="R561" s="16">
        <v>373804.3764649659</v>
      </c>
      <c r="S561" s="17">
        <v>171083.11117525684</v>
      </c>
      <c r="T561" s="16"/>
      <c r="U561" s="16">
        <v>548976.458221904</v>
      </c>
      <c r="V561" s="16">
        <v>6.0869876733704587E-5</v>
      </c>
      <c r="W561" s="20"/>
      <c r="X561" s="21"/>
      <c r="Y561" s="21"/>
      <c r="Z561" s="21"/>
      <c r="AA561" s="21"/>
      <c r="AB561" s="21"/>
    </row>
    <row r="562" ht="20.25" customHeight="1">
      <c r="A562" s="139"/>
      <c r="B562" s="21"/>
      <c r="C562" s="21"/>
      <c r="D562" s="21"/>
      <c r="E562" s="21"/>
      <c r="F562" s="21"/>
      <c r="G562" s="21"/>
      <c r="H562" s="21"/>
      <c r="I562" s="21"/>
      <c r="J562" s="21"/>
      <c r="K562" s="204"/>
      <c r="L562" s="54"/>
      <c r="M562" s="213">
        <v>45554.50875631944</v>
      </c>
      <c r="N562" s="56">
        <v>1.1174370463904</v>
      </c>
      <c r="O562" s="16">
        <v>573355.7502393527</v>
      </c>
      <c r="P562" s="57">
        <v>513098.9276679475</v>
      </c>
      <c r="Q562" s="55">
        <v>9.186557698827727</v>
      </c>
      <c r="R562" s="16">
        <v>390428.4957755711</v>
      </c>
      <c r="S562" s="17">
        <v>178691.65251739803</v>
      </c>
      <c r="T562" s="16"/>
      <c r="U562" s="16">
        <v>573355.7502393527</v>
      </c>
      <c r="V562" s="16">
        <v>6.0869876733704587E-5</v>
      </c>
      <c r="W562" s="20"/>
      <c r="X562" s="21"/>
      <c r="Y562" s="21"/>
      <c r="Z562" s="21"/>
      <c r="AA562" s="21"/>
      <c r="AB562" s="21"/>
    </row>
    <row r="563" ht="20.25" customHeight="1">
      <c r="A563" s="139"/>
      <c r="B563" s="21"/>
      <c r="C563" s="21"/>
      <c r="D563" s="21"/>
      <c r="E563" s="21"/>
      <c r="F563" s="21"/>
      <c r="G563" s="21"/>
      <c r="H563" s="21"/>
      <c r="I563" s="21"/>
      <c r="J563" s="21"/>
      <c r="K563" s="204"/>
      <c r="L563" s="54"/>
      <c r="M563" s="213">
        <v>45555.50877349537</v>
      </c>
      <c r="N563" s="56">
        <v>1.11649634514921</v>
      </c>
      <c r="O563" s="16">
        <v>583608.7731007475</v>
      </c>
      <c r="P563" s="57">
        <v>522714.4501066443</v>
      </c>
      <c r="Q563" s="55">
        <v>9.187747529102085</v>
      </c>
      <c r="R563" s="16">
        <v>397358.8602565609</v>
      </c>
      <c r="S563" s="17">
        <v>181863.5477429141</v>
      </c>
      <c r="T563" s="16"/>
      <c r="U563" s="16">
        <v>583608.7731007475</v>
      </c>
      <c r="V563" s="16">
        <v>6.0869876733704587E-5</v>
      </c>
      <c r="W563" s="20"/>
      <c r="X563" s="21"/>
      <c r="Y563" s="21"/>
      <c r="Z563" s="21"/>
      <c r="AA563" s="21"/>
      <c r="AB563" s="21"/>
    </row>
    <row r="564" ht="20.25" customHeight="1">
      <c r="A564" s="139"/>
      <c r="B564" s="21"/>
      <c r="C564" s="21"/>
      <c r="D564" s="21"/>
      <c r="E564" s="21"/>
      <c r="F564" s="21"/>
      <c r="G564" s="21"/>
      <c r="H564" s="21"/>
      <c r="I564" s="21"/>
      <c r="J564" s="21"/>
      <c r="K564" s="204"/>
      <c r="L564" s="54"/>
      <c r="M564" s="213">
        <v>45556.50876490741</v>
      </c>
      <c r="N564" s="56">
        <v>1.11705009411147</v>
      </c>
      <c r="O564" s="16">
        <v>579820.7697023157</v>
      </c>
      <c r="P564" s="57">
        <v>519064.2503490587</v>
      </c>
      <c r="Q564" s="55">
        <v>9.189862929913556</v>
      </c>
      <c r="R564" s="16">
        <v>394688.867090677</v>
      </c>
      <c r="S564" s="17">
        <v>180641.54295539414</v>
      </c>
      <c r="T564" s="16"/>
      <c r="U564" s="16">
        <v>579820.7697023157</v>
      </c>
      <c r="V564" s="16">
        <v>6.0869876733704587E-5</v>
      </c>
      <c r="W564" s="20"/>
      <c r="X564" s="21"/>
      <c r="Y564" s="21"/>
      <c r="Z564" s="21"/>
      <c r="AA564" s="21"/>
      <c r="AB564" s="21"/>
    </row>
    <row r="565" ht="20.25" customHeight="1">
      <c r="A565" s="139"/>
      <c r="B565" s="21"/>
      <c r="C565" s="21"/>
      <c r="D565" s="21"/>
      <c r="E565" s="21"/>
      <c r="F565" s="21"/>
      <c r="G565" s="21"/>
      <c r="H565" s="21"/>
      <c r="I565" s="21"/>
      <c r="J565" s="21"/>
      <c r="K565" s="204"/>
      <c r="L565" s="54"/>
      <c r="M565" s="213">
        <v>45557.508752407404</v>
      </c>
      <c r="N565" s="56">
        <v>1.11705009411147</v>
      </c>
      <c r="O565" s="16">
        <v>576727.4537029956</v>
      </c>
      <c r="P565" s="57">
        <v>516295.06746672734</v>
      </c>
      <c r="Q565" s="55">
        <v>9.18860255915477</v>
      </c>
      <c r="R565" s="16">
        <v>392637.0702781242</v>
      </c>
      <c r="S565" s="17">
        <v>179702.47481095282</v>
      </c>
      <c r="T565" s="16"/>
      <c r="U565" s="16">
        <v>576727.4537029956</v>
      </c>
      <c r="V565" s="16">
        <v>6.0869876733704587E-5</v>
      </c>
      <c r="W565" s="20"/>
      <c r="X565" s="21"/>
      <c r="Y565" s="21"/>
      <c r="Z565" s="21"/>
      <c r="AA565" s="21"/>
      <c r="AB565" s="21"/>
    </row>
    <row r="566" ht="20.25" customHeight="1">
      <c r="A566" s="139"/>
      <c r="B566" s="21"/>
      <c r="C566" s="21"/>
      <c r="D566" s="21"/>
      <c r="E566" s="21"/>
      <c r="F566" s="21"/>
      <c r="G566" s="21"/>
      <c r="H566" s="21"/>
      <c r="I566" s="21"/>
      <c r="J566" s="21"/>
      <c r="K566" s="204"/>
      <c r="L566" s="54"/>
      <c r="M566" s="213">
        <v>45558.508750196765</v>
      </c>
      <c r="N566" s="56">
        <v>1.11031661788676</v>
      </c>
      <c r="O566" s="16">
        <v>584174.0198036369</v>
      </c>
      <c r="P566" s="57">
        <v>526132.8258920251</v>
      </c>
      <c r="Q566" s="55">
        <v>9.188662618768094</v>
      </c>
      <c r="R566" s="16">
        <v>397704.10612695664</v>
      </c>
      <c r="S566" s="17">
        <v>182021.56017226627</v>
      </c>
      <c r="T566" s="16"/>
      <c r="U566" s="16">
        <v>584174.0198036369</v>
      </c>
      <c r="V566" s="16">
        <v>6.0869876733704587E-5</v>
      </c>
      <c r="W566" s="20"/>
      <c r="X566" s="21"/>
      <c r="Y566" s="21"/>
      <c r="Z566" s="21"/>
      <c r="AA566" s="21"/>
      <c r="AB566" s="21"/>
    </row>
    <row r="567" ht="20.25" customHeight="1">
      <c r="A567" s="139"/>
      <c r="B567" s="21"/>
      <c r="C567" s="21"/>
      <c r="D567" s="21"/>
      <c r="E567" s="21"/>
      <c r="F567" s="21"/>
      <c r="G567" s="21"/>
      <c r="H567" s="21"/>
      <c r="I567" s="21"/>
      <c r="J567" s="21"/>
      <c r="K567" s="204"/>
      <c r="L567" s="54"/>
      <c r="M567" s="213">
        <v>45559.5087515625</v>
      </c>
      <c r="N567" s="56">
        <v>1.11422599177256</v>
      </c>
      <c r="O567" s="16">
        <v>654674.339514729</v>
      </c>
      <c r="P567" s="57">
        <v>587559.7449250345</v>
      </c>
      <c r="Q567" s="55">
        <v>10.298588995518612</v>
      </c>
      <c r="R567" s="16">
        <v>397665.33497030893</v>
      </c>
      <c r="S567" s="17">
        <v>252602.6067402785</v>
      </c>
      <c r="T567" s="16"/>
      <c r="U567" s="16">
        <v>654674.339514729</v>
      </c>
      <c r="V567" s="16">
        <v>6.0869876733704587E-5</v>
      </c>
      <c r="W567" s="20"/>
      <c r="X567" s="21"/>
      <c r="Y567" s="21"/>
      <c r="Z567" s="21"/>
      <c r="AA567" s="21"/>
      <c r="AB567" s="21"/>
    </row>
    <row r="568" ht="20.25" customHeight="1">
      <c r="A568" s="139"/>
      <c r="B568" s="21"/>
      <c r="C568" s="21"/>
      <c r="D568" s="21"/>
      <c r="E568" s="21"/>
      <c r="F568" s="21"/>
      <c r="G568" s="21"/>
      <c r="H568" s="21"/>
      <c r="I568" s="21"/>
      <c r="J568" s="21"/>
      <c r="K568" s="204"/>
      <c r="L568" s="54"/>
      <c r="M568" s="213">
        <v>45560.50875278935</v>
      </c>
      <c r="N568" s="56">
        <v>1.11805922806955</v>
      </c>
      <c r="O568" s="16">
        <v>651752.0418634658</v>
      </c>
      <c r="P568" s="57">
        <v>582931.5885069757</v>
      </c>
      <c r="Q568" s="55">
        <v>10.262584147254481</v>
      </c>
      <c r="R568" s="16">
        <v>397279.1852068546</v>
      </c>
      <c r="S568" s="17">
        <v>250003.74988051594</v>
      </c>
      <c r="T568" s="16"/>
      <c r="U568" s="16">
        <v>651752.0418634658</v>
      </c>
      <c r="V568" s="16">
        <v>6.0869876733704587E-5</v>
      </c>
      <c r="W568" s="20"/>
      <c r="X568" s="21"/>
      <c r="Y568" s="21"/>
      <c r="Z568" s="21"/>
      <c r="AA568" s="21"/>
      <c r="AB568" s="21"/>
    </row>
    <row r="569" ht="20.25" customHeight="1">
      <c r="A569" s="139"/>
      <c r="B569" s="21"/>
      <c r="C569" s="21"/>
      <c r="D569" s="21"/>
      <c r="E569" s="21"/>
      <c r="F569" s="21"/>
      <c r="G569" s="21"/>
      <c r="H569" s="21"/>
      <c r="I569" s="21"/>
      <c r="J569" s="21"/>
      <c r="K569" s="204"/>
      <c r="L569" s="54"/>
      <c r="M569" s="213">
        <v>45561.50874815972</v>
      </c>
      <c r="N569" s="56">
        <v>1.11449546233173</v>
      </c>
      <c r="O569" s="16">
        <v>653879.9991705272</v>
      </c>
      <c r="P569" s="57">
        <v>586704.9452157388</v>
      </c>
      <c r="Q569" s="55">
        <v>10.24396315947991</v>
      </c>
      <c r="R569" s="16">
        <v>399300.80673722463</v>
      </c>
      <c r="S569" s="17">
        <v>250124.19311185495</v>
      </c>
      <c r="T569" s="16"/>
      <c r="U569" s="16">
        <v>653879.9991705272</v>
      </c>
      <c r="V569" s="16">
        <v>6.0869876733704587E-5</v>
      </c>
      <c r="W569" s="20"/>
      <c r="X569" s="21"/>
      <c r="Y569" s="21"/>
      <c r="Z569" s="21"/>
      <c r="AA569" s="21"/>
      <c r="AB569" s="21"/>
    </row>
    <row r="570" ht="20.25" customHeight="1">
      <c r="A570" s="139"/>
      <c r="B570" s="21"/>
      <c r="C570" s="21"/>
      <c r="D570" s="21"/>
      <c r="E570" s="21"/>
      <c r="F570" s="21"/>
      <c r="G570" s="21"/>
      <c r="H570" s="21"/>
      <c r="I570" s="21"/>
      <c r="J570" s="21"/>
      <c r="K570" s="204"/>
      <c r="L570" s="54"/>
      <c r="M570" s="213">
        <v>45562.50875328704</v>
      </c>
      <c r="N570" s="56">
        <v>1.11449670443324</v>
      </c>
      <c r="O570" s="16">
        <v>668364.2056190656</v>
      </c>
      <c r="P570" s="57">
        <v>599700.4773189992</v>
      </c>
      <c r="Q570" s="55">
        <v>10.186769714508833</v>
      </c>
      <c r="R570" s="16">
        <v>410437.3140014944</v>
      </c>
      <c r="S570" s="17">
        <v>253404.93382713408</v>
      </c>
      <c r="T570" s="16"/>
      <c r="U570" s="16">
        <v>668364.2056190656</v>
      </c>
      <c r="V570" s="16">
        <v>6.0869876733704587E-5</v>
      </c>
      <c r="W570" s="20"/>
      <c r="X570" s="21"/>
      <c r="Y570" s="21"/>
      <c r="Z570" s="21"/>
      <c r="AA570" s="21"/>
      <c r="AB570" s="21"/>
    </row>
    <row r="571" ht="20.25" customHeight="1">
      <c r="A571" s="139"/>
      <c r="B571" s="21"/>
      <c r="C571" s="21"/>
      <c r="D571" s="21"/>
      <c r="E571" s="21"/>
      <c r="F571" s="21"/>
      <c r="G571" s="21"/>
      <c r="H571" s="21"/>
      <c r="I571" s="21"/>
      <c r="J571" s="21"/>
      <c r="K571" s="204"/>
      <c r="L571" s="54"/>
      <c r="M571" s="213">
        <v>45563.508753182876</v>
      </c>
      <c r="N571" s="56">
        <v>1.11714992710597</v>
      </c>
      <c r="O571" s="16">
        <v>669563.9922148053</v>
      </c>
      <c r="P571" s="57">
        <v>599350.1641711984</v>
      </c>
      <c r="Q571" s="55">
        <v>10.20515669389506</v>
      </c>
      <c r="R571" s="16">
        <v>410433.267305847</v>
      </c>
      <c r="S571" s="17">
        <v>254645.93968556804</v>
      </c>
      <c r="T571" s="16"/>
      <c r="U571" s="16">
        <v>669563.9922148053</v>
      </c>
      <c r="V571" s="16">
        <v>6.0869876733704587E-5</v>
      </c>
      <c r="W571" s="20"/>
      <c r="X571" s="21"/>
      <c r="Y571" s="21"/>
      <c r="Z571" s="21"/>
      <c r="AA571" s="21"/>
      <c r="AB571" s="21"/>
    </row>
    <row r="572" ht="20.25" customHeight="1">
      <c r="A572" s="139"/>
      <c r="B572" s="21"/>
      <c r="C572" s="21"/>
      <c r="D572" s="21"/>
      <c r="E572" s="21"/>
      <c r="F572" s="21"/>
      <c r="G572" s="21"/>
      <c r="H572" s="21"/>
      <c r="I572" s="21"/>
      <c r="J572" s="21"/>
      <c r="K572" s="204"/>
      <c r="L572" s="54"/>
      <c r="M572" s="213">
        <v>45564.50875096065</v>
      </c>
      <c r="N572" s="56">
        <v>1.11714992710597</v>
      </c>
      <c r="O572" s="16">
        <v>667324.8687896573</v>
      </c>
      <c r="P572" s="57">
        <v>597345.8464240284</v>
      </c>
      <c r="Q572" s="55">
        <v>10.176341151374126</v>
      </c>
      <c r="R572" s="16">
        <v>410219.02124492195</v>
      </c>
      <c r="S572" s="17">
        <v>252659.63530101362</v>
      </c>
      <c r="T572" s="16"/>
      <c r="U572" s="16">
        <v>667324.8687896573</v>
      </c>
      <c r="V572" s="16">
        <v>6.0869876733704587E-5</v>
      </c>
      <c r="W572" s="20"/>
      <c r="X572" s="21"/>
      <c r="Y572" s="21"/>
      <c r="Z572" s="21"/>
      <c r="AA572" s="21"/>
      <c r="AB572" s="21"/>
    </row>
    <row r="573" ht="20.25" customHeight="1">
      <c r="A573" s="139"/>
      <c r="B573" s="21"/>
      <c r="C573" s="21"/>
      <c r="D573" s="21"/>
      <c r="E573" s="21"/>
      <c r="F573" s="21"/>
      <c r="G573" s="21"/>
      <c r="H573" s="21"/>
      <c r="I573" s="21"/>
      <c r="J573" s="21"/>
      <c r="K573" s="204"/>
      <c r="L573" s="54"/>
      <c r="M573" s="213">
        <v>45565.50875469907</v>
      </c>
      <c r="N573" s="56">
        <v>1.11957635230829</v>
      </c>
      <c r="O573" s="16">
        <v>651126.5098473702</v>
      </c>
      <c r="P573" s="57">
        <v>581582.9429631201</v>
      </c>
      <c r="Q573" s="55">
        <v>10.246940957234642</v>
      </c>
      <c r="R573" s="16">
        <v>397503.8010372874</v>
      </c>
      <c r="S573" s="17">
        <v>249229.51621025434</v>
      </c>
      <c r="T573" s="16"/>
      <c r="U573" s="16">
        <v>651126.5098473702</v>
      </c>
      <c r="V573" s="16">
        <v>6.0869876733704587E-5</v>
      </c>
      <c r="W573" s="20"/>
      <c r="X573" s="21"/>
      <c r="Y573" s="21"/>
      <c r="Z573" s="21"/>
      <c r="AA573" s="21"/>
      <c r="AB573" s="21"/>
    </row>
    <row r="574" ht="20.25" customHeight="1">
      <c r="A574" s="139"/>
      <c r="B574" s="21"/>
      <c r="C574" s="21"/>
      <c r="D574" s="21"/>
      <c r="E574" s="21"/>
      <c r="F574" s="21"/>
      <c r="G574" s="21"/>
      <c r="H574" s="21"/>
      <c r="I574" s="21"/>
      <c r="J574" s="21"/>
      <c r="K574" s="204"/>
      <c r="L574" s="54"/>
      <c r="M574" s="213">
        <v>45566.50875622685</v>
      </c>
      <c r="N574" s="56">
        <v>1.11134078820734</v>
      </c>
      <c r="O574" s="16">
        <v>656245.1078616119</v>
      </c>
      <c r="P574" s="57">
        <v>590498.5354853887</v>
      </c>
      <c r="Q574" s="55">
        <v>10.284443474783846</v>
      </c>
      <c r="R574" s="16">
        <v>399167.7311134573</v>
      </c>
      <c r="S574" s="17">
        <v>252642.14192941372</v>
      </c>
      <c r="T574" s="16"/>
      <c r="U574" s="16">
        <v>656245.1078616119</v>
      </c>
      <c r="V574" s="16">
        <v>6.0869876733704587E-5</v>
      </c>
      <c r="W574" s="20"/>
      <c r="X574" s="21"/>
      <c r="Y574" s="21"/>
      <c r="Z574" s="21"/>
      <c r="AA574" s="21"/>
      <c r="AB574" s="21"/>
    </row>
    <row r="575" ht="20.25" customHeight="1">
      <c r="A575" s="139"/>
      <c r="B575" s="21"/>
      <c r="C575" s="21"/>
      <c r="D575" s="21"/>
      <c r="E575" s="21"/>
      <c r="F575" s="21"/>
      <c r="G575" s="21"/>
      <c r="H575" s="21"/>
      <c r="I575" s="21"/>
      <c r="J575" s="21"/>
      <c r="K575" s="204"/>
      <c r="L575" s="54"/>
      <c r="M575" s="213">
        <v>45567.508754386574</v>
      </c>
      <c r="N575" s="56">
        <v>1.10664763232739</v>
      </c>
      <c r="O575" s="16">
        <v>622279.3150910885</v>
      </c>
      <c r="P575" s="57">
        <v>562310.2574957607</v>
      </c>
      <c r="Q575" s="55">
        <v>10.157331723123981</v>
      </c>
      <c r="R575" s="16">
        <v>383244.44720789435</v>
      </c>
      <c r="S575" s="17">
        <v>234868.47711794724</v>
      </c>
      <c r="T575" s="16"/>
      <c r="U575" s="16">
        <v>622279.3150910885</v>
      </c>
      <c r="V575" s="16">
        <v>6.0869876733704587E-5</v>
      </c>
      <c r="W575" s="20"/>
      <c r="X575" s="21"/>
      <c r="Y575" s="21"/>
      <c r="Z575" s="21"/>
      <c r="AA575" s="21"/>
      <c r="AB575" s="21"/>
    </row>
    <row r="576" ht="20.25" customHeight="1">
      <c r="A576" s="139"/>
      <c r="B576" s="21"/>
      <c r="C576" s="21"/>
      <c r="D576" s="21"/>
      <c r="E576" s="21"/>
      <c r="F576" s="21"/>
      <c r="G576" s="21"/>
      <c r="H576" s="21"/>
      <c r="I576" s="21"/>
      <c r="J576" s="21"/>
      <c r="K576" s="204"/>
      <c r="L576" s="54"/>
      <c r="M576" s="213">
        <v>45568.508762847225</v>
      </c>
      <c r="N576" s="56">
        <v>1.10382342357458</v>
      </c>
      <c r="O576" s="16">
        <v>609332.9591819583</v>
      </c>
      <c r="P576" s="57">
        <v>552020.3197072205</v>
      </c>
      <c r="Q576" s="55">
        <v>10.0364653100407</v>
      </c>
      <c r="R576" s="16">
        <v>379790.43628958875</v>
      </c>
      <c r="S576" s="17">
        <v>225470.74301482132</v>
      </c>
      <c r="T576" s="16"/>
      <c r="U576" s="16">
        <v>609332.9591819583</v>
      </c>
      <c r="V576" s="16">
        <v>6.0869876733704587E-5</v>
      </c>
      <c r="W576" s="20"/>
      <c r="X576" s="21"/>
      <c r="Y576" s="21"/>
      <c r="Z576" s="21"/>
      <c r="AA576" s="21"/>
      <c r="AB576" s="21"/>
    </row>
    <row r="577" ht="20.25" customHeight="1">
      <c r="A577" s="139"/>
      <c r="B577" s="21"/>
      <c r="C577" s="21"/>
      <c r="D577" s="21"/>
      <c r="E577" s="21"/>
      <c r="F577" s="21"/>
      <c r="G577" s="21"/>
      <c r="H577" s="21"/>
      <c r="I577" s="21"/>
      <c r="J577" s="21"/>
      <c r="K577" s="204"/>
      <c r="L577" s="54"/>
      <c r="M577" s="213">
        <v>45569.5087584838</v>
      </c>
      <c r="N577" s="56">
        <v>1.10208503467711</v>
      </c>
      <c r="O577" s="16">
        <v>615311.5646638307</v>
      </c>
      <c r="P577" s="57">
        <v>558315.8697405824</v>
      </c>
      <c r="Q577" s="55">
        <v>10.041044755111843</v>
      </c>
      <c r="R577" s="16">
        <v>383341.9228868163</v>
      </c>
      <c r="S577" s="17">
        <v>227828.63848715537</v>
      </c>
      <c r="T577" s="16"/>
      <c r="U577" s="16">
        <v>615311.5646638307</v>
      </c>
      <c r="V577" s="16">
        <v>6.0869876733704587E-5</v>
      </c>
      <c r="W577" s="20"/>
      <c r="X577" s="21"/>
      <c r="Y577" s="21"/>
      <c r="Z577" s="21"/>
      <c r="AA577" s="21"/>
      <c r="AB577" s="21"/>
    </row>
    <row r="578" ht="20.25" customHeight="1">
      <c r="A578" s="139"/>
      <c r="B578" s="21"/>
      <c r="C578" s="21"/>
      <c r="D578" s="21"/>
      <c r="E578" s="21"/>
      <c r="F578" s="21"/>
      <c r="G578" s="21"/>
      <c r="H578" s="21"/>
      <c r="I578" s="21"/>
      <c r="J578" s="21"/>
      <c r="K578" s="204"/>
      <c r="L578" s="54"/>
      <c r="M578" s="213">
        <v>45570.50875136574</v>
      </c>
      <c r="N578" s="56">
        <v>1.09819994047756</v>
      </c>
      <c r="O578" s="16">
        <v>625882.2889049669</v>
      </c>
      <c r="P578" s="57">
        <v>569916.5205133754</v>
      </c>
      <c r="Q578" s="55">
        <v>10.05639381089475</v>
      </c>
      <c r="R578" s="16">
        <v>389332.3868111097</v>
      </c>
      <c r="S578" s="17">
        <v>232351.02534603787</v>
      </c>
      <c r="T578" s="16"/>
      <c r="U578" s="16">
        <v>625882.2889049669</v>
      </c>
      <c r="V578" s="16">
        <v>6.0869876733704587E-5</v>
      </c>
      <c r="W578" s="20"/>
      <c r="X578" s="21"/>
      <c r="Y578" s="21"/>
      <c r="Z578" s="21"/>
      <c r="AA578" s="21"/>
      <c r="AB578" s="21"/>
    </row>
    <row r="579" ht="20.25" customHeight="1">
      <c r="A579" s="139"/>
      <c r="B579" s="21"/>
      <c r="C579" s="21"/>
      <c r="D579" s="21"/>
      <c r="E579" s="21"/>
      <c r="F579" s="21"/>
      <c r="G579" s="21"/>
      <c r="H579" s="21"/>
      <c r="I579" s="21"/>
      <c r="J579" s="21"/>
      <c r="K579" s="204"/>
      <c r="L579" s="54"/>
      <c r="M579" s="213">
        <v>45571.50875299769</v>
      </c>
      <c r="N579" s="56">
        <v>1.09819994047756</v>
      </c>
      <c r="O579" s="16">
        <v>624197.8656359313</v>
      </c>
      <c r="P579" s="57">
        <v>568382.7166886335</v>
      </c>
      <c r="Q579" s="55">
        <v>10.061681903231728</v>
      </c>
      <c r="R579" s="16">
        <v>388080.51536949846</v>
      </c>
      <c r="S579" s="17">
        <v>231978.2380891791</v>
      </c>
      <c r="T579" s="16"/>
      <c r="U579" s="16">
        <v>624197.8656359313</v>
      </c>
      <c r="V579" s="16">
        <v>6.0869876733704587E-5</v>
      </c>
      <c r="W579" s="20"/>
      <c r="X579" s="21"/>
      <c r="Y579" s="21"/>
      <c r="Z579" s="21"/>
      <c r="AA579" s="21"/>
      <c r="AB579" s="21"/>
    </row>
    <row r="580" ht="20.25" customHeight="1">
      <c r="A580" s="139"/>
      <c r="B580" s="21"/>
      <c r="C580" s="21"/>
      <c r="D580" s="21"/>
      <c r="E580" s="21"/>
      <c r="F580" s="21"/>
      <c r="G580" s="21"/>
      <c r="H580" s="21"/>
      <c r="I580" s="21"/>
      <c r="J580" s="21"/>
      <c r="K580" s="204"/>
      <c r="L580" s="54"/>
      <c r="M580" s="213">
        <v>45572.508749699075</v>
      </c>
      <c r="N580" s="56">
        <v>1.09628086715817</v>
      </c>
      <c r="O580" s="16">
        <v>634070.7057866643</v>
      </c>
      <c r="P580" s="57">
        <v>578383.4460509482</v>
      </c>
      <c r="Q580" s="55">
        <v>10.04298113592587</v>
      </c>
      <c r="R580" s="16">
        <v>394952.788440759</v>
      </c>
      <c r="S580" s="17">
        <v>234970.24087929112</v>
      </c>
      <c r="T580" s="16"/>
      <c r="U580" s="16">
        <v>634070.7057866643</v>
      </c>
      <c r="V580" s="16">
        <v>6.0869876733704587E-5</v>
      </c>
      <c r="W580" s="20"/>
      <c r="X580" s="21"/>
      <c r="Y580" s="21"/>
      <c r="Z580" s="21"/>
      <c r="AA580" s="21"/>
      <c r="AB580" s="21"/>
    </row>
    <row r="581" ht="20.25" customHeight="1">
      <c r="A581" s="139"/>
      <c r="B581" s="21"/>
      <c r="C581" s="21"/>
      <c r="D581" s="21"/>
      <c r="E581" s="21"/>
      <c r="F581" s="21"/>
      <c r="G581" s="21"/>
      <c r="H581" s="21"/>
      <c r="I581" s="21"/>
      <c r="J581" s="21"/>
      <c r="K581" s="204"/>
      <c r="L581" s="54"/>
      <c r="M581" s="213">
        <v>45573.50876034722</v>
      </c>
      <c r="N581" s="56">
        <v>1.09922120177854</v>
      </c>
      <c r="O581" s="16">
        <v>628100.1765939794</v>
      </c>
      <c r="P581" s="57">
        <v>571404.7141537237</v>
      </c>
      <c r="Q581" s="55">
        <v>10.050286738930765</v>
      </c>
      <c r="R581" s="16">
        <v>390949.4487884923</v>
      </c>
      <c r="S581" s="17">
        <v>233122.88636041115</v>
      </c>
      <c r="T581" s="16"/>
      <c r="U581" s="16">
        <v>628100.1765939794</v>
      </c>
      <c r="V581" s="16">
        <v>6.0869876733704587E-5</v>
      </c>
      <c r="W581" s="20"/>
      <c r="X581" s="21"/>
      <c r="Y581" s="21"/>
      <c r="Z581" s="21"/>
      <c r="AA581" s="21"/>
      <c r="AB581" s="21"/>
    </row>
    <row r="582" ht="20.25" customHeight="1">
      <c r="A582" s="139"/>
      <c r="B582" s="21"/>
      <c r="C582" s="21"/>
      <c r="D582" s="21"/>
      <c r="E582" s="21"/>
      <c r="F582" s="21"/>
      <c r="G582" s="21"/>
      <c r="H582" s="21"/>
      <c r="I582" s="21"/>
      <c r="J582" s="21"/>
      <c r="K582" s="204"/>
      <c r="L582" s="54"/>
      <c r="M582" s="213">
        <v>45574.5087721412</v>
      </c>
      <c r="N582" s="56">
        <v>1.09605376801364</v>
      </c>
      <c r="O582" s="16">
        <v>626303.1337738837</v>
      </c>
      <c r="P582" s="57">
        <v>571416.4323424776</v>
      </c>
      <c r="Q582" s="55">
        <v>10.071487754589842</v>
      </c>
      <c r="R582" s="16">
        <v>389010.2976677182</v>
      </c>
      <c r="S582" s="17">
        <v>233307.71860596276</v>
      </c>
      <c r="T582" s="16"/>
      <c r="U582" s="16">
        <v>626303.1337738837</v>
      </c>
      <c r="V582" s="16">
        <v>6.0869876733704587E-5</v>
      </c>
      <c r="W582" s="20"/>
      <c r="X582" s="21"/>
      <c r="Y582" s="21"/>
      <c r="Z582" s="21"/>
      <c r="AA582" s="21"/>
      <c r="AB582" s="21"/>
    </row>
    <row r="583" ht="20.25" customHeight="1">
      <c r="A583" s="139"/>
      <c r="B583" s="21"/>
      <c r="C583" s="21"/>
      <c r="D583" s="21"/>
      <c r="E583" s="21"/>
      <c r="F583" s="21"/>
      <c r="G583" s="21"/>
      <c r="H583" s="21"/>
      <c r="I583" s="21"/>
      <c r="J583" s="21"/>
      <c r="K583" s="204"/>
      <c r="L583" s="54"/>
      <c r="M583" s="213">
        <v>45575.50875114583</v>
      </c>
      <c r="N583" s="56">
        <v>1.09284840006994</v>
      </c>
      <c r="O583" s="16">
        <v>614300.4854206215</v>
      </c>
      <c r="P583" s="57">
        <v>562109.5161792866</v>
      </c>
      <c r="Q583" s="55">
        <v>10.077375638745297</v>
      </c>
      <c r="R583" s="16">
        <v>381332.265225045</v>
      </c>
      <c r="S583" s="17">
        <v>229080.0985199383</v>
      </c>
      <c r="T583" s="16"/>
      <c r="U583" s="16">
        <v>614300.4854206215</v>
      </c>
      <c r="V583" s="16">
        <v>6.0869876733704587E-5</v>
      </c>
      <c r="W583" s="20"/>
      <c r="X583" s="21"/>
      <c r="Y583" s="21"/>
      <c r="Z583" s="21"/>
      <c r="AA583" s="21"/>
      <c r="AB583" s="21"/>
    </row>
    <row r="584" ht="20.25" customHeight="1">
      <c r="A584" s="139"/>
      <c r="B584" s="21"/>
      <c r="C584" s="21"/>
      <c r="D584" s="21"/>
      <c r="E584" s="21"/>
      <c r="F584" s="21"/>
      <c r="G584" s="21"/>
      <c r="H584" s="21"/>
      <c r="I584" s="21"/>
      <c r="J584" s="21"/>
      <c r="K584" s="204"/>
      <c r="L584" s="54"/>
      <c r="M584" s="213">
        <v>45576.50876704861</v>
      </c>
      <c r="N584" s="56">
        <v>1.09485135203193</v>
      </c>
      <c r="O584" s="16">
        <v>618208.8958601125</v>
      </c>
      <c r="P584" s="57">
        <v>564650.9863761698</v>
      </c>
      <c r="Q584" s="55">
        <v>10.11431118920602</v>
      </c>
      <c r="R584" s="16">
        <v>382357.0311198005</v>
      </c>
      <c r="S584" s="17">
        <v>231867.95365903032</v>
      </c>
      <c r="T584" s="16"/>
      <c r="U584" s="16">
        <v>618208.8958601125</v>
      </c>
      <c r="V584" s="16">
        <v>6.0869876733704587E-5</v>
      </c>
      <c r="W584" s="20"/>
      <c r="X584" s="21"/>
      <c r="Y584" s="21"/>
      <c r="Z584" s="21"/>
      <c r="AA584" s="21"/>
      <c r="AB584" s="21"/>
    </row>
    <row r="585" ht="20.25" customHeight="1">
      <c r="A585" s="139"/>
      <c r="B585" s="21"/>
      <c r="C585" s="21"/>
      <c r="D585" s="21"/>
      <c r="E585" s="21"/>
      <c r="F585" s="21"/>
      <c r="G585" s="21"/>
      <c r="H585" s="21"/>
      <c r="I585" s="21"/>
      <c r="J585" s="21"/>
      <c r="K585" s="204"/>
      <c r="L585" s="54"/>
      <c r="M585" s="213">
        <v>45577.50875328704</v>
      </c>
      <c r="N585" s="56">
        <v>1.09431100537635</v>
      </c>
      <c r="O585" s="16">
        <v>631182.525716181</v>
      </c>
      <c r="P585" s="57">
        <v>576785.3221023834</v>
      </c>
      <c r="Q585" s="55">
        <v>10.047049249531911</v>
      </c>
      <c r="R585" s="16">
        <v>392994.59551303653</v>
      </c>
      <c r="S585" s="17">
        <v>234174.50764511822</v>
      </c>
      <c r="T585" s="16"/>
      <c r="U585" s="16">
        <v>631182.525716181</v>
      </c>
      <c r="V585" s="16">
        <v>6.0869876733704587E-5</v>
      </c>
      <c r="W585" s="20"/>
      <c r="X585" s="21"/>
      <c r="Y585" s="21"/>
      <c r="Z585" s="21"/>
      <c r="AA585" s="21"/>
      <c r="AB585" s="21"/>
    </row>
    <row r="586" ht="20.25" customHeight="1">
      <c r="A586" s="139"/>
      <c r="B586" s="21"/>
      <c r="C586" s="21"/>
      <c r="D586" s="21"/>
      <c r="E586" s="21"/>
      <c r="F586" s="21"/>
      <c r="G586" s="21"/>
      <c r="H586" s="21"/>
      <c r="I586" s="21"/>
      <c r="J586" s="21"/>
      <c r="K586" s="204"/>
      <c r="L586" s="54"/>
      <c r="M586" s="213">
        <v>45578.50874746528</v>
      </c>
      <c r="N586" s="56">
        <v>1.09444993493495</v>
      </c>
      <c r="O586" s="16">
        <v>632945.325544863</v>
      </c>
      <c r="P586" s="57">
        <v>578322.7768956677</v>
      </c>
      <c r="Q586" s="55">
        <v>10.083245602223087</v>
      </c>
      <c r="R586" s="16">
        <v>392677.47831046884</v>
      </c>
      <c r="S586" s="17">
        <v>236309.9381231236</v>
      </c>
      <c r="T586" s="16"/>
      <c r="U586" s="16">
        <v>632945.325544863</v>
      </c>
      <c r="V586" s="16">
        <v>6.0869876733704587E-5</v>
      </c>
      <c r="W586" s="20"/>
      <c r="X586" s="21"/>
      <c r="Y586" s="21"/>
      <c r="Z586" s="21"/>
      <c r="AA586" s="21"/>
      <c r="AB586" s="21"/>
    </row>
    <row r="587" ht="20.25" customHeight="1">
      <c r="A587" s="139"/>
      <c r="B587" s="21"/>
      <c r="C587" s="21"/>
      <c r="D587" s="21"/>
      <c r="E587" s="21"/>
      <c r="F587" s="21"/>
      <c r="G587" s="21"/>
      <c r="H587" s="21"/>
      <c r="I587" s="21"/>
      <c r="J587" s="21"/>
      <c r="K587" s="204"/>
      <c r="L587" s="54"/>
      <c r="M587" s="213">
        <v>45579.50878337963</v>
      </c>
      <c r="N587" s="56">
        <v>1.09335861178444</v>
      </c>
      <c r="O587" s="16">
        <v>651050.7251553542</v>
      </c>
      <c r="P587" s="57">
        <v>595459.4568865128</v>
      </c>
      <c r="Q587" s="55">
        <v>10.066299146095306</v>
      </c>
      <c r="R587" s="16">
        <v>404589.9928463151</v>
      </c>
      <c r="S587" s="17">
        <v>242451.74207828267</v>
      </c>
      <c r="T587" s="16"/>
      <c r="U587" s="16">
        <v>651050.7251553542</v>
      </c>
      <c r="V587" s="16">
        <v>6.0869876733704587E-5</v>
      </c>
      <c r="W587" s="20"/>
      <c r="X587" s="21"/>
      <c r="Y587" s="21"/>
      <c r="Z587" s="21"/>
      <c r="AA587" s="21"/>
      <c r="AB587" s="21"/>
    </row>
    <row r="588" ht="20.25" customHeight="1">
      <c r="A588" s="139"/>
      <c r="B588" s="21"/>
      <c r="C588" s="21"/>
      <c r="D588" s="21"/>
      <c r="E588" s="21"/>
      <c r="F588" s="21"/>
      <c r="G588" s="21"/>
      <c r="H588" s="21"/>
      <c r="I588" s="21"/>
      <c r="J588" s="21"/>
      <c r="K588" s="204"/>
      <c r="L588" s="54"/>
      <c r="M588" s="213">
        <v>45580.5088284375</v>
      </c>
      <c r="N588" s="56">
        <v>1.09120748655632</v>
      </c>
      <c r="O588" s="16">
        <v>664004.3243851449</v>
      </c>
      <c r="P588" s="57">
        <v>608504.186935739</v>
      </c>
      <c r="Q588" s="55">
        <v>10.12504137524609</v>
      </c>
      <c r="R588" s="16">
        <v>410245.8942569711</v>
      </c>
      <c r="S588" s="17">
        <v>249724.85013581318</v>
      </c>
      <c r="T588" s="16"/>
      <c r="U588" s="16">
        <v>664004.3243851449</v>
      </c>
      <c r="V588" s="16">
        <v>6.0869876733704587E-5</v>
      </c>
      <c r="W588" s="20"/>
      <c r="X588" s="21"/>
      <c r="Y588" s="21"/>
      <c r="Z588" s="21"/>
      <c r="AA588" s="21"/>
      <c r="AB588" s="21"/>
    </row>
    <row r="589" ht="20.25" customHeight="1">
      <c r="A589" s="139"/>
      <c r="B589" s="21"/>
      <c r="C589" s="21"/>
      <c r="D589" s="21"/>
      <c r="E589" s="21"/>
      <c r="F589" s="21"/>
      <c r="G589" s="21"/>
      <c r="H589" s="21"/>
      <c r="I589" s="21"/>
      <c r="J589" s="21"/>
      <c r="K589" s="204"/>
      <c r="L589" s="54"/>
      <c r="M589" s="213">
        <v>45581.50874931713</v>
      </c>
      <c r="N589" s="56">
        <v>1.08954418918845</v>
      </c>
      <c r="O589" s="16">
        <v>677438.4762040343</v>
      </c>
      <c r="P589" s="57">
        <v>621763.1950372074</v>
      </c>
      <c r="Q589" s="55">
        <v>10.03802481782821</v>
      </c>
      <c r="R589" s="16">
        <v>422174.2461328088</v>
      </c>
      <c r="S589" s="17">
        <v>251203.5339680154</v>
      </c>
      <c r="T589" s="16"/>
      <c r="U589" s="16">
        <v>677438.4762040343</v>
      </c>
      <c r="V589" s="16">
        <v>6.0869876733704587E-5</v>
      </c>
      <c r="W589" s="20"/>
      <c r="X589" s="21"/>
      <c r="Y589" s="21"/>
      <c r="Z589" s="21"/>
      <c r="AA589" s="21"/>
      <c r="AB589" s="21"/>
    </row>
    <row r="590" ht="20.25" customHeight="1">
      <c r="A590" s="139"/>
      <c r="B590" s="21"/>
      <c r="C590" s="21"/>
      <c r="D590" s="21"/>
      <c r="E590" s="21"/>
      <c r="F590" s="21"/>
      <c r="G590" s="21"/>
      <c r="H590" s="21"/>
      <c r="I590" s="21"/>
      <c r="J590" s="21"/>
      <c r="K590" s="204"/>
      <c r="L590" s="54"/>
      <c r="M590" s="213">
        <v>45582.50877027778</v>
      </c>
      <c r="N590" s="56">
        <v>1.08536386823683</v>
      </c>
      <c r="O590" s="16">
        <v>675749.114038291</v>
      </c>
      <c r="P590" s="57">
        <v>622601.4462191773</v>
      </c>
      <c r="Q590" s="55">
        <v>10.045850312594528</v>
      </c>
      <c r="R590" s="16">
        <v>420793.40485153283</v>
      </c>
      <c r="S590" s="17">
        <v>250944.3316109741</v>
      </c>
      <c r="T590" s="16"/>
      <c r="U590" s="16">
        <v>675749.114038291</v>
      </c>
      <c r="V590" s="16">
        <v>6.0869876733704587E-5</v>
      </c>
      <c r="W590" s="20"/>
      <c r="X590" s="21"/>
      <c r="Y590" s="21"/>
      <c r="Z590" s="21"/>
      <c r="AA590" s="21"/>
      <c r="AB590" s="21"/>
    </row>
    <row r="591" ht="20.25" customHeight="1">
      <c r="A591" s="139"/>
      <c r="B591" s="21"/>
      <c r="C591" s="21"/>
      <c r="D591" s="21"/>
      <c r="E591" s="21"/>
      <c r="F591" s="21"/>
      <c r="G591" s="21"/>
      <c r="H591" s="21"/>
      <c r="I591" s="21"/>
      <c r="J591" s="21"/>
      <c r="K591" s="204"/>
      <c r="L591" s="54"/>
      <c r="M591" s="213">
        <v>45583.508754386574</v>
      </c>
      <c r="N591" s="56">
        <v>1.08422474677931</v>
      </c>
      <c r="O591" s="16">
        <v>679552.089617476</v>
      </c>
      <c r="P591" s="57">
        <v>626763.1241918114</v>
      </c>
      <c r="Q591" s="55">
        <v>10.027377653299936</v>
      </c>
      <c r="R591" s="16">
        <v>423941.10033901595</v>
      </c>
      <c r="S591" s="17">
        <v>251602.00196236555</v>
      </c>
      <c r="T591" s="16"/>
      <c r="U591" s="16">
        <v>679552.089617476</v>
      </c>
      <c r="V591" s="16">
        <v>6.0869876733704587E-5</v>
      </c>
      <c r="W591" s="20"/>
      <c r="X591" s="21"/>
      <c r="Y591" s="21"/>
      <c r="Z591" s="21"/>
      <c r="AA591" s="21"/>
      <c r="AB591" s="21"/>
    </row>
    <row r="592" ht="20.25" customHeight="1">
      <c r="A592" s="139"/>
      <c r="B592" s="21"/>
      <c r="C592" s="21"/>
      <c r="D592" s="21"/>
      <c r="E592" s="21"/>
      <c r="F592" s="21"/>
      <c r="G592" s="21"/>
      <c r="H592" s="21"/>
      <c r="I592" s="21"/>
      <c r="J592" s="21"/>
      <c r="K592" s="204"/>
      <c r="L592" s="54"/>
      <c r="M592" s="213">
        <v>45584.50875303241</v>
      </c>
      <c r="N592" s="56">
        <v>1.08760446209742</v>
      </c>
      <c r="O592" s="16">
        <v>685115.8852630468</v>
      </c>
      <c r="P592" s="57">
        <v>629931.1092764522</v>
      </c>
      <c r="Q592" s="55">
        <v>10.024578037604996</v>
      </c>
      <c r="R592" s="16">
        <v>427531.4605441926</v>
      </c>
      <c r="S592" s="17">
        <v>253509.83196480674</v>
      </c>
      <c r="T592" s="16"/>
      <c r="U592" s="16">
        <v>685115.8852630468</v>
      </c>
      <c r="V592" s="16">
        <v>6.0869876733704587E-5</v>
      </c>
      <c r="W592" s="20"/>
      <c r="X592" s="21"/>
      <c r="Y592" s="21"/>
      <c r="Z592" s="21"/>
      <c r="AA592" s="21"/>
      <c r="AB592" s="21"/>
    </row>
    <row r="593" ht="20.25" customHeight="1">
      <c r="A593" s="139"/>
      <c r="B593" s="21"/>
      <c r="C593" s="21"/>
      <c r="D593" s="21"/>
      <c r="E593" s="21"/>
      <c r="F593" s="21"/>
      <c r="G593" s="21"/>
      <c r="H593" s="21"/>
      <c r="I593" s="21"/>
      <c r="J593" s="21"/>
      <c r="K593" s="204"/>
      <c r="L593" s="54"/>
      <c r="M593" s="213">
        <v>45585.50874942129</v>
      </c>
      <c r="N593" s="56">
        <v>1.08715031810018</v>
      </c>
      <c r="O593" s="16">
        <v>685996.6151454819</v>
      </c>
      <c r="P593" s="57">
        <v>631004.3824889612</v>
      </c>
      <c r="Q593" s="55">
        <v>10.024281459308398</v>
      </c>
      <c r="R593" s="16">
        <v>428093.7258083578</v>
      </c>
      <c r="S593" s="17">
        <v>253869.5649904803</v>
      </c>
      <c r="T593" s="16"/>
      <c r="U593" s="16">
        <v>685996.6151454819</v>
      </c>
      <c r="V593" s="16">
        <v>6.0869876733704587E-5</v>
      </c>
      <c r="W593" s="20"/>
      <c r="X593" s="21"/>
      <c r="Y593" s="21"/>
      <c r="Z593" s="21"/>
      <c r="AA593" s="21"/>
      <c r="AB593" s="21"/>
    </row>
    <row r="594" ht="20.25" customHeight="1">
      <c r="A594" s="139"/>
      <c r="B594" s="21"/>
      <c r="C594" s="21"/>
      <c r="D594" s="21"/>
      <c r="E594" s="21"/>
      <c r="F594" s="21"/>
      <c r="G594" s="21"/>
      <c r="H594" s="21"/>
      <c r="I594" s="21"/>
      <c r="J594" s="21"/>
      <c r="K594" s="204"/>
      <c r="L594" s="54"/>
      <c r="M594" s="213">
        <v>45586.5087528588</v>
      </c>
      <c r="N594" s="56">
        <v>1.08557359537632</v>
      </c>
      <c r="O594" s="16">
        <v>692047.9438424717</v>
      </c>
      <c r="P594" s="57">
        <v>637495.1885252603</v>
      </c>
      <c r="Q594" s="55">
        <v>10.117375717032601</v>
      </c>
      <c r="R594" s="16">
        <v>427896.2167097929</v>
      </c>
      <c r="S594" s="17">
        <v>260091.09022260594</v>
      </c>
      <c r="T594" s="16"/>
      <c r="U594" s="16">
        <v>692047.9438424717</v>
      </c>
      <c r="V594" s="16">
        <v>6.0869876733704587E-5</v>
      </c>
      <c r="W594" s="20"/>
      <c r="X594" s="21"/>
      <c r="Y594" s="21"/>
      <c r="Z594" s="21"/>
      <c r="AA594" s="21"/>
      <c r="AB594" s="21"/>
    </row>
    <row r="595" ht="20.25" customHeight="1">
      <c r="A595" s="139"/>
      <c r="B595" s="21"/>
      <c r="C595" s="21"/>
      <c r="D595" s="21"/>
      <c r="E595" s="21"/>
      <c r="F595" s="21"/>
      <c r="G595" s="21"/>
      <c r="H595" s="21"/>
      <c r="I595" s="21"/>
      <c r="J595" s="21"/>
      <c r="K595" s="204"/>
      <c r="L595" s="54"/>
      <c r="M595" s="213">
        <v>45587.50875020833</v>
      </c>
      <c r="N595" s="56">
        <v>1.08275144466112</v>
      </c>
      <c r="O595" s="16">
        <v>673325.0666696995</v>
      </c>
      <c r="P595" s="57">
        <v>621864.8517993316</v>
      </c>
      <c r="Q595" s="55">
        <v>10.07051152923267</v>
      </c>
      <c r="R595" s="16">
        <v>418257.16934299446</v>
      </c>
      <c r="S595" s="17">
        <v>251073.75374584302</v>
      </c>
      <c r="T595" s="16"/>
      <c r="U595" s="16">
        <v>673325.0666696995</v>
      </c>
      <c r="V595" s="16">
        <v>6.0869876733704587E-5</v>
      </c>
      <c r="W595" s="20"/>
      <c r="X595" s="21"/>
      <c r="Y595" s="21"/>
      <c r="Z595" s="21"/>
      <c r="AA595" s="21"/>
      <c r="AB595" s="21"/>
    </row>
    <row r="596" ht="20.25" customHeight="1">
      <c r="A596" s="139"/>
      <c r="B596" s="21"/>
      <c r="C596" s="21"/>
      <c r="D596" s="21"/>
      <c r="E596" s="21"/>
      <c r="F596" s="21"/>
      <c r="G596" s="21"/>
      <c r="H596" s="21"/>
      <c r="I596" s="21"/>
      <c r="J596" s="21"/>
      <c r="K596" s="204"/>
      <c r="L596" s="54"/>
      <c r="M596" s="213">
        <v>45588.50879070602</v>
      </c>
      <c r="N596" s="56">
        <v>1.07859971870119</v>
      </c>
      <c r="O596" s="16">
        <v>667297.3359354303</v>
      </c>
      <c r="P596" s="57">
        <v>618670.0444711455</v>
      </c>
      <c r="Q596" s="55">
        <v>10.029554326071228</v>
      </c>
      <c r="R596" s="16">
        <v>416205.57965698873</v>
      </c>
      <c r="S596" s="17">
        <v>247157.76878816137</v>
      </c>
      <c r="T596" s="16"/>
      <c r="U596" s="16">
        <v>667297.3359354303</v>
      </c>
      <c r="V596" s="16">
        <v>6.0869876733704587E-5</v>
      </c>
      <c r="W596" s="20"/>
      <c r="X596" s="21"/>
      <c r="Y596" s="21"/>
      <c r="Z596" s="21"/>
      <c r="AA596" s="21"/>
      <c r="AB596" s="21"/>
    </row>
    <row r="597" ht="20.25" customHeight="1">
      <c r="A597" s="139"/>
      <c r="B597" s="21"/>
      <c r="C597" s="21"/>
      <c r="D597" s="21"/>
      <c r="E597" s="21"/>
      <c r="F597" s="21"/>
      <c r="G597" s="21"/>
      <c r="H597" s="21"/>
      <c r="I597" s="21"/>
      <c r="J597" s="21"/>
      <c r="K597" s="204"/>
      <c r="L597" s="54"/>
      <c r="M597" s="213">
        <v>45589.508749479166</v>
      </c>
      <c r="N597" s="56">
        <v>1.07980049606035</v>
      </c>
      <c r="O597" s="16">
        <v>664147.0008001068</v>
      </c>
      <c r="P597" s="57">
        <v>615064.5449999752</v>
      </c>
      <c r="Q597" s="55">
        <v>9.928147613086244</v>
      </c>
      <c r="R597" s="16">
        <v>418471.73755644285</v>
      </c>
      <c r="S597" s="17">
        <v>241761.86909020593</v>
      </c>
      <c r="T597" s="16"/>
      <c r="U597" s="16">
        <v>664147.0008001068</v>
      </c>
      <c r="V597" s="16">
        <v>6.0869876733704587E-5</v>
      </c>
      <c r="W597" s="20"/>
      <c r="X597" s="21"/>
      <c r="Y597" s="21"/>
      <c r="Z597" s="21"/>
      <c r="AA597" s="21"/>
      <c r="AB597" s="21"/>
    </row>
    <row r="598" ht="20.25" customHeight="1">
      <c r="A598" s="139"/>
      <c r="B598" s="21"/>
      <c r="C598" s="21"/>
      <c r="D598" s="21"/>
      <c r="E598" s="21"/>
      <c r="F598" s="21"/>
      <c r="G598" s="21"/>
      <c r="H598" s="21"/>
      <c r="I598" s="21"/>
      <c r="J598" s="21"/>
      <c r="K598" s="204"/>
      <c r="L598" s="54"/>
      <c r="M598" s="213">
        <v>45590.508756759256</v>
      </c>
      <c r="N598" s="56">
        <v>1.08241274129686</v>
      </c>
      <c r="O598" s="16">
        <v>669753.7563336266</v>
      </c>
      <c r="P598" s="57">
        <v>618760.044833897</v>
      </c>
      <c r="Q598" s="55">
        <v>9.890638763468688</v>
      </c>
      <c r="R598" s="16">
        <v>403203.5502756884</v>
      </c>
      <c r="S598" s="17">
        <v>262683.62296798406</v>
      </c>
      <c r="T598" s="16"/>
      <c r="U598" s="16">
        <v>669753.7563336266</v>
      </c>
      <c r="V598" s="16">
        <v>6.0869876733704587E-5</v>
      </c>
      <c r="W598" s="20"/>
      <c r="X598" s="21"/>
      <c r="Y598" s="21"/>
      <c r="Z598" s="21"/>
      <c r="AA598" s="21"/>
      <c r="AB598" s="21"/>
    </row>
    <row r="599" ht="20.25" customHeight="1">
      <c r="A599" s="139"/>
      <c r="B599" s="21"/>
      <c r="C599" s="21"/>
      <c r="D599" s="21"/>
      <c r="E599" s="21"/>
      <c r="F599" s="21"/>
      <c r="G599" s="21"/>
      <c r="H599" s="21"/>
      <c r="I599" s="21"/>
      <c r="J599" s="21"/>
      <c r="K599" s="204"/>
      <c r="L599" s="54"/>
      <c r="M599" s="213">
        <v>45591.50875731482</v>
      </c>
      <c r="N599" s="56">
        <v>1.08006056979675</v>
      </c>
      <c r="O599" s="16">
        <v>658458.2776691772</v>
      </c>
      <c r="P599" s="57">
        <v>609649.3993786741</v>
      </c>
      <c r="Q599" s="55">
        <v>9.830657482738184</v>
      </c>
      <c r="R599" s="16">
        <v>398822.1098998965</v>
      </c>
      <c r="S599" s="17">
        <v>255838.42861532187</v>
      </c>
      <c r="T599" s="16"/>
      <c r="U599" s="16">
        <v>658458.2776691772</v>
      </c>
      <c r="V599" s="16">
        <v>6.0869876733704587E-5</v>
      </c>
      <c r="W599" s="20"/>
      <c r="X599" s="21"/>
      <c r="Y599" s="21"/>
      <c r="Z599" s="21"/>
      <c r="AA599" s="21"/>
      <c r="AB599" s="21"/>
    </row>
    <row r="600" ht="20.25" customHeight="1">
      <c r="A600" s="139"/>
      <c r="B600" s="21"/>
      <c r="C600" s="21"/>
      <c r="D600" s="21"/>
      <c r="E600" s="21"/>
      <c r="F600" s="21"/>
      <c r="G600" s="21"/>
      <c r="H600" s="21"/>
      <c r="I600" s="21"/>
      <c r="J600" s="21"/>
      <c r="K600" s="204"/>
      <c r="L600" s="54"/>
      <c r="M600" s="213">
        <v>45592.508755891206</v>
      </c>
      <c r="N600" s="56">
        <v>1.08006056979675</v>
      </c>
      <c r="O600" s="16">
        <v>658348.4466730669</v>
      </c>
      <c r="P600" s="57">
        <v>609547.7097149815</v>
      </c>
      <c r="Q600" s="55">
        <v>9.827604922398413</v>
      </c>
      <c r="R600" s="16">
        <v>398879.4440740766</v>
      </c>
      <c r="S600" s="17">
        <v>255648.24080837917</v>
      </c>
      <c r="T600" s="16"/>
      <c r="U600" s="16">
        <v>658348.4466730669</v>
      </c>
      <c r="V600" s="16">
        <v>6.0869876733704587E-5</v>
      </c>
      <c r="W600" s="20"/>
      <c r="X600" s="21"/>
      <c r="Y600" s="21"/>
      <c r="Z600" s="21"/>
      <c r="AA600" s="21"/>
      <c r="AB600" s="21"/>
    </row>
    <row r="601" ht="20.25" customHeight="1">
      <c r="A601" s="139"/>
      <c r="B601" s="21"/>
      <c r="C601" s="21"/>
      <c r="D601" s="21"/>
      <c r="E601" s="21"/>
      <c r="F601" s="21"/>
      <c r="G601" s="21"/>
      <c r="H601" s="21"/>
      <c r="I601" s="21"/>
      <c r="J601" s="21"/>
      <c r="K601" s="204"/>
      <c r="L601" s="54"/>
      <c r="M601" s="213">
        <v>45593.50875891204</v>
      </c>
      <c r="N601" s="56">
        <v>1.08164002587283</v>
      </c>
      <c r="O601" s="16">
        <v>674168.475390277</v>
      </c>
      <c r="P601" s="57">
        <v>623283.5872047693</v>
      </c>
      <c r="Q601" s="55">
        <v>9.83717020633628</v>
      </c>
      <c r="R601" s="16">
        <v>400847.36408467183</v>
      </c>
      <c r="S601" s="17">
        <v>269486.769742562</v>
      </c>
      <c r="T601" s="16"/>
      <c r="U601" s="16">
        <v>674168.475390277</v>
      </c>
      <c r="V601" s="16">
        <v>6.0869876733704587E-5</v>
      </c>
      <c r="W601" s="20"/>
      <c r="X601" s="21"/>
      <c r="Y601" s="21"/>
      <c r="Z601" s="21"/>
      <c r="AA601" s="21"/>
      <c r="AB601" s="21"/>
    </row>
    <row r="602" ht="20.25" customHeight="1">
      <c r="A602" s="139"/>
      <c r="B602" s="21"/>
      <c r="C602" s="21"/>
      <c r="D602" s="21"/>
      <c r="E602" s="21"/>
      <c r="F602" s="21"/>
      <c r="G602" s="21"/>
      <c r="H602" s="21"/>
      <c r="I602" s="21"/>
      <c r="J602" s="21"/>
      <c r="K602" s="204"/>
      <c r="L602" s="54"/>
      <c r="M602" s="213">
        <v>45594.508762094905</v>
      </c>
      <c r="N602" s="56">
        <v>1.08163534611249</v>
      </c>
      <c r="O602" s="16">
        <v>700895.6695744129</v>
      </c>
      <c r="P602" s="57">
        <v>647996.2698089563</v>
      </c>
      <c r="Q602" s="55">
        <v>9.845703953338393</v>
      </c>
      <c r="R602" s="16">
        <v>416377.62231993023</v>
      </c>
      <c r="S602" s="17">
        <v>280592.46170848975</v>
      </c>
      <c r="T602" s="16"/>
      <c r="U602" s="16">
        <v>700895.6695744129</v>
      </c>
      <c r="V602" s="16">
        <v>6.0869876733704587E-5</v>
      </c>
      <c r="W602" s="20"/>
      <c r="X602" s="21"/>
      <c r="Y602" s="21"/>
      <c r="Z602" s="21"/>
      <c r="AA602" s="21"/>
      <c r="AB602" s="21"/>
    </row>
    <row r="603" ht="20.25" customHeight="1">
      <c r="A603" s="139"/>
      <c r="B603" s="21"/>
      <c r="C603" s="21"/>
      <c r="D603" s="21"/>
      <c r="E603" s="21"/>
      <c r="F603" s="21"/>
      <c r="G603" s="21"/>
      <c r="H603" s="21"/>
      <c r="I603" s="21"/>
      <c r="J603" s="21"/>
      <c r="K603" s="204"/>
      <c r="L603" s="54"/>
      <c r="M603" s="213">
        <v>45595.50875170139</v>
      </c>
      <c r="N603" s="56">
        <v>1.0842999867715402</v>
      </c>
      <c r="O603" s="16">
        <v>711904.3964777417</v>
      </c>
      <c r="P603" s="57">
        <v>656556.6772691831</v>
      </c>
      <c r="Q603" s="55">
        <v>9.851639264135706</v>
      </c>
      <c r="R603" s="16">
        <v>422662.7273903363</v>
      </c>
      <c r="S603" s="17">
        <v>285274.5348081931</v>
      </c>
      <c r="T603" s="16"/>
      <c r="U603" s="16">
        <v>711904.3964777417</v>
      </c>
      <c r="V603" s="16">
        <v>6.0869876733704587E-5</v>
      </c>
      <c r="W603" s="20"/>
      <c r="X603" s="21"/>
      <c r="Y603" s="21"/>
      <c r="Z603" s="21"/>
      <c r="AA603" s="21"/>
      <c r="AB603" s="21"/>
    </row>
    <row r="604" ht="20.25" customHeight="1">
      <c r="A604" s="139"/>
      <c r="B604" s="21"/>
      <c r="C604" s="21"/>
      <c r="D604" s="21"/>
      <c r="E604" s="21"/>
      <c r="F604" s="21"/>
      <c r="G604" s="21"/>
      <c r="H604" s="21"/>
      <c r="I604" s="21"/>
      <c r="J604" s="21"/>
      <c r="K604" s="204"/>
      <c r="L604" s="54"/>
      <c r="M604" s="213">
        <v>45596.50875388889</v>
      </c>
      <c r="N604" s="56">
        <v>1.08704041290143</v>
      </c>
      <c r="O604" s="16">
        <v>709910.2720980487</v>
      </c>
      <c r="P604" s="57">
        <v>653067.0467008861</v>
      </c>
      <c r="Q604" s="55">
        <v>9.790166999221366</v>
      </c>
      <c r="R604" s="16">
        <v>424125.25855298806</v>
      </c>
      <c r="S604" s="17">
        <v>281936.85256208864</v>
      </c>
      <c r="T604" s="16"/>
      <c r="U604" s="16">
        <v>709910.2720980487</v>
      </c>
      <c r="V604" s="16">
        <v>6.0869876733704587E-5</v>
      </c>
      <c r="W604" s="20"/>
      <c r="X604" s="21"/>
      <c r="Y604" s="21"/>
      <c r="Z604" s="21"/>
      <c r="AA604" s="21"/>
      <c r="AB604" s="21"/>
    </row>
    <row r="605" ht="20.25" customHeight="1">
      <c r="A605" s="139"/>
      <c r="B605" s="21"/>
      <c r="C605" s="21"/>
      <c r="D605" s="21"/>
      <c r="E605" s="21"/>
      <c r="F605" s="21"/>
      <c r="G605" s="21"/>
      <c r="H605" s="21"/>
      <c r="I605" s="21"/>
      <c r="J605" s="21"/>
      <c r="K605" s="204"/>
      <c r="L605" s="54"/>
      <c r="M605" s="213">
        <v>45597.50875206018</v>
      </c>
      <c r="N605" s="56">
        <v>1.08565845185105</v>
      </c>
      <c r="O605" s="16">
        <v>681900.504231634</v>
      </c>
      <c r="P605" s="57">
        <v>628098.5544477567</v>
      </c>
      <c r="Q605" s="55">
        <v>9.737506856420971</v>
      </c>
      <c r="R605" s="16">
        <v>409594.40181673405</v>
      </c>
      <c r="S605" s="17">
        <v>268508.31699374435</v>
      </c>
      <c r="T605" s="16"/>
      <c r="U605" s="16">
        <v>681900.504231634</v>
      </c>
      <c r="V605" s="16">
        <v>6.0869876733704587E-5</v>
      </c>
      <c r="W605" s="20"/>
      <c r="X605" s="21"/>
      <c r="Y605" s="21"/>
      <c r="Z605" s="21"/>
      <c r="AA605" s="21"/>
      <c r="AB605" s="21"/>
    </row>
    <row r="606" ht="20.25" customHeight="1">
      <c r="A606" s="139"/>
      <c r="B606" s="21"/>
      <c r="C606" s="21"/>
      <c r="D606" s="21"/>
      <c r="E606" s="21"/>
      <c r="F606" s="21"/>
      <c r="G606" s="21"/>
      <c r="H606" s="21"/>
      <c r="I606" s="21"/>
      <c r="J606" s="21"/>
      <c r="K606" s="204"/>
      <c r="L606" s="54"/>
      <c r="M606" s="213">
        <v>45598.508755428236</v>
      </c>
      <c r="N606" s="56">
        <v>1.08704986623851</v>
      </c>
      <c r="O606" s="16">
        <v>677429.1061784216</v>
      </c>
      <c r="P606" s="57">
        <v>623181.2607847621</v>
      </c>
      <c r="Q606" s="55">
        <v>9.735183550968483</v>
      </c>
      <c r="R606" s="16">
        <v>407005.6942351614</v>
      </c>
      <c r="S606" s="17">
        <v>266639.8359973515</v>
      </c>
      <c r="T606" s="16"/>
      <c r="U606" s="16">
        <v>677429.1061784216</v>
      </c>
      <c r="V606" s="16">
        <v>6.0869876733704587E-5</v>
      </c>
      <c r="W606" s="20"/>
      <c r="X606" s="21"/>
      <c r="Y606" s="21"/>
      <c r="Z606" s="21"/>
      <c r="AA606" s="21"/>
      <c r="AB606" s="21"/>
    </row>
    <row r="607" ht="20.25" customHeight="1">
      <c r="A607" s="139"/>
      <c r="B607" s="21"/>
      <c r="C607" s="21"/>
      <c r="D607" s="21"/>
      <c r="E607" s="21"/>
      <c r="F607" s="21"/>
      <c r="G607" s="21"/>
      <c r="H607" s="21"/>
      <c r="I607" s="21"/>
      <c r="J607" s="21"/>
      <c r="K607" s="204"/>
      <c r="L607" s="54"/>
      <c r="M607" s="213">
        <v>45599.50879962963</v>
      </c>
      <c r="N607" s="56">
        <v>1.08744942000885</v>
      </c>
      <c r="O607" s="16">
        <v>666268.2943756185</v>
      </c>
      <c r="P607" s="57">
        <v>612688.9969468154</v>
      </c>
      <c r="Q607" s="55">
        <v>9.73136242055563</v>
      </c>
      <c r="R607" s="16">
        <v>400457.3573481173</v>
      </c>
      <c r="S607" s="17">
        <v>262099.77497386</v>
      </c>
      <c r="T607" s="16"/>
      <c r="U607" s="16">
        <v>666268.2943756185</v>
      </c>
      <c r="V607" s="16">
        <v>6.0869876733704587E-5</v>
      </c>
      <c r="W607" s="20"/>
      <c r="X607" s="21"/>
      <c r="Y607" s="21"/>
      <c r="Z607" s="21"/>
      <c r="AA607" s="21"/>
      <c r="AB607" s="21"/>
    </row>
    <row r="608" ht="20.25" customHeight="1">
      <c r="A608" s="139"/>
      <c r="B608" s="21"/>
      <c r="C608" s="21"/>
      <c r="D608" s="21"/>
      <c r="E608" s="21"/>
      <c r="F608" s="21"/>
      <c r="G608" s="21"/>
      <c r="H608" s="21"/>
      <c r="I608" s="21"/>
      <c r="J608" s="21"/>
      <c r="K608" s="204"/>
      <c r="L608" s="54"/>
      <c r="M608" s="213">
        <v>45600.50876002315</v>
      </c>
      <c r="N608" s="56">
        <v>1.08957149332311</v>
      </c>
      <c r="O608" s="16">
        <v>667969.6440200016</v>
      </c>
      <c r="P608" s="57">
        <v>613057.195524403</v>
      </c>
      <c r="Q608" s="55">
        <v>9.728897213144913</v>
      </c>
      <c r="R608" s="16">
        <v>401581.67646990664</v>
      </c>
      <c r="S608" s="17">
        <v>262669.1669678267</v>
      </c>
      <c r="T608" s="16"/>
      <c r="U608" s="16">
        <v>667969.6440200016</v>
      </c>
      <c r="V608" s="16">
        <v>6.0869876733704587E-5</v>
      </c>
      <c r="W608" s="20"/>
      <c r="X608" s="21"/>
      <c r="Y608" s="21"/>
      <c r="Z608" s="21"/>
      <c r="AA608" s="21"/>
      <c r="AB608" s="21"/>
    </row>
    <row r="609" ht="20.25" customHeight="1">
      <c r="A609" s="139"/>
      <c r="B609" s="21"/>
      <c r="C609" s="21"/>
      <c r="D609" s="21"/>
      <c r="E609" s="21"/>
      <c r="F609" s="21"/>
      <c r="G609" s="21"/>
      <c r="H609" s="21"/>
      <c r="I609" s="21"/>
      <c r="J609" s="21"/>
      <c r="K609" s="204"/>
      <c r="L609" s="54"/>
      <c r="M609" s="213">
        <v>45601.50875835648</v>
      </c>
      <c r="N609" s="56">
        <v>1.08929732697329</v>
      </c>
      <c r="O609" s="16">
        <v>666018.56186126</v>
      </c>
      <c r="P609" s="57">
        <v>611420.3582155592</v>
      </c>
      <c r="Q609" s="55">
        <v>9.68041662700513</v>
      </c>
      <c r="R609" s="16">
        <v>402413.98131855397</v>
      </c>
      <c r="S609" s="17">
        <v>259880.81620323478</v>
      </c>
      <c r="T609" s="16"/>
      <c r="U609" s="16">
        <v>666018.56186126</v>
      </c>
      <c r="V609" s="16">
        <v>6.0869876733704587E-5</v>
      </c>
      <c r="W609" s="20"/>
      <c r="X609" s="21"/>
      <c r="Y609" s="21"/>
      <c r="Z609" s="21"/>
      <c r="AA609" s="21"/>
      <c r="AB609" s="21"/>
    </row>
    <row r="610" ht="20.25" customHeight="1">
      <c r="A610" s="139"/>
      <c r="B610" s="21"/>
      <c r="C610" s="21"/>
      <c r="D610" s="21"/>
      <c r="E610" s="21"/>
      <c r="F610" s="21"/>
      <c r="G610" s="21"/>
      <c r="H610" s="21"/>
      <c r="I610" s="21"/>
      <c r="J610" s="21"/>
      <c r="K610" s="204"/>
      <c r="L610" s="54"/>
      <c r="M610" s="213">
        <v>45602.508754675924</v>
      </c>
      <c r="N610" s="56">
        <v>1.07500180062802</v>
      </c>
      <c r="O610" s="16">
        <v>715275.2256412605</v>
      </c>
      <c r="P610" s="57">
        <v>665371.188423493</v>
      </c>
      <c r="Q610" s="55">
        <v>9.699720999933918</v>
      </c>
      <c r="R610" s="16">
        <v>431315.1545415501</v>
      </c>
      <c r="S610" s="17">
        <v>279537.1174714073</v>
      </c>
      <c r="T610" s="16"/>
      <c r="U610" s="16">
        <v>715275.2256412605</v>
      </c>
      <c r="V610" s="16">
        <v>6.0869876733704587E-5</v>
      </c>
      <c r="W610" s="20"/>
      <c r="X610" s="21"/>
      <c r="Y610" s="21"/>
      <c r="Z610" s="21"/>
      <c r="AA610" s="21"/>
      <c r="AB610" s="21"/>
    </row>
    <row r="611" ht="20.25" customHeight="1">
      <c r="A611" s="139"/>
      <c r="B611" s="21"/>
      <c r="C611" s="21"/>
      <c r="D611" s="21"/>
      <c r="E611" s="21"/>
      <c r="F611" s="21"/>
      <c r="G611" s="21"/>
      <c r="H611" s="21"/>
      <c r="I611" s="21"/>
      <c r="J611" s="21"/>
      <c r="K611" s="204"/>
      <c r="L611" s="54"/>
      <c r="M611" s="213">
        <v>45603.508755497685</v>
      </c>
      <c r="N611" s="56">
        <v>1.07596877538614</v>
      </c>
      <c r="O611" s="16">
        <v>744437.1524283986</v>
      </c>
      <c r="P611" s="57">
        <v>691876.1672811904</v>
      </c>
      <c r="Q611" s="55">
        <v>9.935483559597463</v>
      </c>
      <c r="R611" s="16">
        <v>438247.8632453891</v>
      </c>
      <c r="S611" s="17">
        <v>300328.4449727698</v>
      </c>
      <c r="T611" s="16"/>
      <c r="U611" s="16">
        <v>744437.1524283986</v>
      </c>
      <c r="V611" s="16">
        <v>6.0869876733704587E-5</v>
      </c>
      <c r="W611" s="20"/>
      <c r="X611" s="21"/>
      <c r="Y611" s="21"/>
      <c r="Z611" s="21"/>
      <c r="AA611" s="21"/>
      <c r="AB611" s="21"/>
    </row>
    <row r="612" ht="20.25" customHeight="1">
      <c r="A612" s="139"/>
      <c r="B612" s="21"/>
      <c r="C612" s="21"/>
      <c r="D612" s="21"/>
      <c r="E612" s="21"/>
      <c r="F612" s="21"/>
      <c r="G612" s="21"/>
      <c r="H612" s="21"/>
      <c r="I612" s="21"/>
      <c r="J612" s="21"/>
      <c r="K612" s="204"/>
      <c r="L612" s="54"/>
      <c r="M612" s="213">
        <v>45604.50875328704</v>
      </c>
      <c r="N612" s="56">
        <v>1.07770001573442</v>
      </c>
      <c r="O612" s="16">
        <v>765384.3729814086</v>
      </c>
      <c r="P612" s="57">
        <v>710201.690458195</v>
      </c>
      <c r="Q612" s="55">
        <v>10.035224437396911</v>
      </c>
      <c r="R612" s="16">
        <v>446101.0835457885</v>
      </c>
      <c r="S612" s="17">
        <v>312002.62804196036</v>
      </c>
      <c r="T612" s="16"/>
      <c r="U612" s="16">
        <v>765384.3729814086</v>
      </c>
      <c r="V612" s="16">
        <v>6.0869876733704587E-5</v>
      </c>
      <c r="W612" s="20"/>
      <c r="X612" s="21"/>
      <c r="Y612" s="21"/>
      <c r="Z612" s="21"/>
      <c r="AA612" s="21"/>
      <c r="AB612" s="21"/>
    </row>
    <row r="613" ht="20.25" customHeight="1">
      <c r="A613" s="139"/>
      <c r="B613" s="21"/>
      <c r="C613" s="21"/>
      <c r="D613" s="21"/>
      <c r="E613" s="21"/>
      <c r="F613" s="21"/>
      <c r="G613" s="21"/>
      <c r="H613" s="21"/>
      <c r="I613" s="21"/>
      <c r="J613" s="21"/>
      <c r="K613" s="204"/>
      <c r="L613" s="54"/>
      <c r="M613" s="213">
        <v>45605.50877163194</v>
      </c>
      <c r="N613" s="56">
        <v>1.07185042113003</v>
      </c>
      <c r="O613" s="16">
        <v>780590.7596876828</v>
      </c>
      <c r="P613" s="57">
        <v>728264.6387027791</v>
      </c>
      <c r="Q613" s="55">
        <v>10.202902154282672</v>
      </c>
      <c r="R613" s="16">
        <v>447487.0393792691</v>
      </c>
      <c r="S613" s="17">
        <v>325763.1201549344</v>
      </c>
      <c r="T613" s="16"/>
      <c r="U613" s="16">
        <v>780590.7596876828</v>
      </c>
      <c r="V613" s="16">
        <v>6.0869876733704587E-5</v>
      </c>
      <c r="W613" s="20"/>
      <c r="X613" s="21"/>
      <c r="Y613" s="21"/>
      <c r="Z613" s="21"/>
      <c r="AA613" s="21"/>
      <c r="AB613" s="21"/>
    </row>
    <row r="614" ht="20.25" customHeight="1">
      <c r="A614" s="139"/>
      <c r="B614" s="21"/>
      <c r="C614" s="21"/>
      <c r="D614" s="21"/>
      <c r="E614" s="21"/>
      <c r="F614" s="21"/>
      <c r="G614" s="21"/>
      <c r="H614" s="21"/>
      <c r="I614" s="21"/>
      <c r="J614" s="21"/>
      <c r="K614" s="204"/>
      <c r="L614" s="54"/>
      <c r="M614" s="213">
        <v>45606.50875462963</v>
      </c>
      <c r="N614" s="56">
        <v>1.07185042113003</v>
      </c>
      <c r="O614" s="16">
        <v>815946.1656041793</v>
      </c>
      <c r="P614" s="57">
        <v>761250.0303390691</v>
      </c>
      <c r="Q614" s="55">
        <v>10.24147368684181</v>
      </c>
      <c r="R614" s="16">
        <v>465993.46844415297</v>
      </c>
      <c r="S614" s="17">
        <v>341735.999135413</v>
      </c>
      <c r="T614" s="16"/>
      <c r="U614" s="16">
        <v>815946.1656041793</v>
      </c>
      <c r="V614" s="16">
        <v>6.0869876733704587E-5</v>
      </c>
      <c r="W614" s="20"/>
      <c r="X614" s="21"/>
      <c r="Y614" s="21"/>
      <c r="Z614" s="21"/>
      <c r="AA614" s="21"/>
      <c r="AB614" s="21"/>
    </row>
    <row r="615" ht="20.25" customHeight="1">
      <c r="A615" s="139"/>
      <c r="B615" s="21"/>
      <c r="C615" s="21"/>
      <c r="D615" s="21"/>
      <c r="E615" s="21"/>
      <c r="F615" s="21"/>
      <c r="G615" s="21"/>
      <c r="H615" s="21"/>
      <c r="I615" s="21"/>
      <c r="J615" s="21"/>
      <c r="K615" s="204"/>
      <c r="L615" s="54"/>
      <c r="M615" s="213">
        <v>45607.87494820602</v>
      </c>
      <c r="N615" s="56">
        <v>1.0653927410531</v>
      </c>
      <c r="O615" s="16">
        <v>872832.1613883824</v>
      </c>
      <c r="P615" s="57">
        <v>819258.5961545235</v>
      </c>
      <c r="Q615" s="55">
        <v>10.085306554218228</v>
      </c>
      <c r="R615" s="16">
        <v>506200.3182960964</v>
      </c>
      <c r="S615" s="17">
        <v>354244.02567015914</v>
      </c>
      <c r="T615" s="16"/>
      <c r="U615" s="16">
        <v>872832.1613883824</v>
      </c>
      <c r="V615" s="16">
        <v>6.0869876733704587E-5</v>
      </c>
      <c r="W615" s="20"/>
      <c r="X615" s="21"/>
      <c r="Y615" s="21"/>
      <c r="Z615" s="21"/>
      <c r="AA615" s="21"/>
      <c r="AB615" s="21"/>
    </row>
    <row r="616" ht="20.25" customHeight="1">
      <c r="A616" s="139"/>
      <c r="B616" s="21"/>
      <c r="C616" s="21"/>
      <c r="D616" s="21"/>
      <c r="E616" s="21"/>
      <c r="F616" s="21"/>
      <c r="G616" s="21"/>
      <c r="H616" s="21"/>
      <c r="I616" s="21"/>
      <c r="J616" s="21"/>
      <c r="K616" s="204"/>
      <c r="L616" s="54"/>
      <c r="M616" s="213">
        <v>45608.67105956018</v>
      </c>
      <c r="N616" s="56">
        <v>1.06240345408611</v>
      </c>
      <c r="O616" s="16">
        <v>872998.8876111779</v>
      </c>
      <c r="P616" s="57">
        <v>821720.6789506724</v>
      </c>
      <c r="Q616" s="55">
        <v>10.02724832143082</v>
      </c>
      <c r="R616" s="16">
        <v>509228.4945938003</v>
      </c>
      <c r="S616" s="17">
        <v>350692.0511191975</v>
      </c>
      <c r="T616" s="16"/>
      <c r="U616" s="16">
        <v>872998.8876111779</v>
      </c>
      <c r="V616" s="16">
        <v>6.0869876733704587E-5</v>
      </c>
      <c r="W616" s="20"/>
      <c r="X616" s="21"/>
      <c r="Y616" s="21"/>
      <c r="Z616" s="21"/>
      <c r="AA616" s="21"/>
      <c r="AB616" s="21"/>
    </row>
    <row r="617" ht="20.25" customHeight="1">
      <c r="A617" s="139"/>
      <c r="B617" s="21"/>
      <c r="C617" s="21"/>
      <c r="D617" s="21"/>
      <c r="E617" s="21"/>
      <c r="F617" s="21"/>
      <c r="G617" s="21"/>
      <c r="H617" s="21"/>
      <c r="I617" s="21"/>
      <c r="J617" s="21"/>
      <c r="K617" s="204"/>
      <c r="L617" s="54"/>
      <c r="M617" s="213">
        <v>45609.50876936343</v>
      </c>
      <c r="N617" s="56">
        <v>1.06255359254682</v>
      </c>
      <c r="O617" s="16">
        <v>863115.1622043113</v>
      </c>
      <c r="P617" s="57">
        <v>812302.7094901846</v>
      </c>
      <c r="Q617" s="55">
        <v>9.85300496454462</v>
      </c>
      <c r="R617" s="16">
        <v>512366.6118387006</v>
      </c>
      <c r="S617" s="17">
        <v>338911.6540146997</v>
      </c>
      <c r="T617" s="16"/>
      <c r="U617" s="16">
        <v>863115.1622043113</v>
      </c>
      <c r="V617" s="16">
        <v>6.0869876733704587E-5</v>
      </c>
      <c r="W617" s="20"/>
      <c r="X617" s="21"/>
      <c r="Y617" s="21"/>
      <c r="Z617" s="21"/>
      <c r="AA617" s="21"/>
      <c r="AB617" s="21"/>
    </row>
    <row r="618" ht="20.25" customHeight="1">
      <c r="A618" s="139"/>
      <c r="B618" s="21"/>
      <c r="C618" s="21"/>
      <c r="D618" s="21"/>
      <c r="E618" s="21"/>
      <c r="F618" s="21"/>
      <c r="G618" s="21"/>
      <c r="H618" s="21"/>
      <c r="I618" s="21"/>
      <c r="J618" s="21"/>
      <c r="K618" s="204"/>
      <c r="L618" s="54"/>
      <c r="M618" s="213">
        <v>45610.508747025466</v>
      </c>
      <c r="N618" s="56">
        <v>1.0513566706478</v>
      </c>
      <c r="O618" s="16">
        <v>879601.4332876486</v>
      </c>
      <c r="P618" s="57">
        <v>836634.6624744168</v>
      </c>
      <c r="Q618" s="55">
        <v>9.693762406531999</v>
      </c>
      <c r="R618" s="16">
        <v>530730.8521162461</v>
      </c>
      <c r="S618" s="17">
        <v>337525.16521350894</v>
      </c>
      <c r="T618" s="16"/>
      <c r="U618" s="16">
        <v>879601.4332876486</v>
      </c>
      <c r="V618" s="16">
        <v>6.0869876733704587E-5</v>
      </c>
      <c r="W618" s="20"/>
      <c r="X618" s="21"/>
      <c r="Y618" s="21"/>
      <c r="Z618" s="21"/>
      <c r="AA618" s="21"/>
      <c r="AB618" s="21"/>
    </row>
    <row r="619" ht="20.25" customHeight="1">
      <c r="A619" s="139"/>
      <c r="B619" s="21"/>
      <c r="C619" s="21"/>
      <c r="D619" s="21"/>
      <c r="E619" s="21"/>
      <c r="F619" s="21"/>
      <c r="G619" s="21"/>
      <c r="H619" s="21"/>
      <c r="I619" s="21"/>
      <c r="J619" s="21"/>
      <c r="K619" s="204"/>
      <c r="L619" s="54"/>
      <c r="M619" s="213">
        <v>45611.50874871528</v>
      </c>
      <c r="N619" s="56">
        <v>1.05667475022851</v>
      </c>
      <c r="O619" s="16">
        <v>865669.9742349061</v>
      </c>
      <c r="P619" s="57">
        <v>819239.7651668137</v>
      </c>
      <c r="Q619" s="55">
        <v>9.679986123198967</v>
      </c>
      <c r="R619" s="16">
        <v>523068.294953204</v>
      </c>
      <c r="S619" s="17">
        <v>330234.4062181158</v>
      </c>
      <c r="T619" s="16"/>
      <c r="U619" s="16">
        <v>865669.9742349061</v>
      </c>
      <c r="V619" s="16">
        <v>6.0869876733704587E-5</v>
      </c>
      <c r="W619" s="20"/>
      <c r="X619" s="21"/>
      <c r="Y619" s="21"/>
      <c r="Z619" s="21"/>
      <c r="AA619" s="21"/>
      <c r="AB619" s="21"/>
    </row>
    <row r="620" ht="20.25" customHeight="1">
      <c r="A620" s="139"/>
      <c r="B620" s="21"/>
      <c r="C620" s="21"/>
      <c r="D620" s="21"/>
      <c r="E620" s="21"/>
      <c r="F620" s="21"/>
      <c r="G620" s="21"/>
      <c r="H620" s="21"/>
      <c r="I620" s="21"/>
      <c r="J620" s="21"/>
      <c r="K620" s="204"/>
      <c r="L620" s="54"/>
      <c r="M620" s="213">
        <v>45612.50874939815</v>
      </c>
      <c r="N620" s="56">
        <v>1.0544496721716</v>
      </c>
      <c r="O620" s="16">
        <v>879959.6996706853</v>
      </c>
      <c r="P620" s="57">
        <v>834520.3406990882</v>
      </c>
      <c r="Q620" s="55">
        <v>9.634540760486226</v>
      </c>
      <c r="R620" s="16">
        <v>534210.6495974081</v>
      </c>
      <c r="S620" s="17">
        <v>333667.2375976805</v>
      </c>
      <c r="T620" s="16"/>
      <c r="U620" s="16">
        <v>879959.6996706853</v>
      </c>
      <c r="V620" s="16">
        <v>6.0869876733704587E-5</v>
      </c>
      <c r="W620" s="20"/>
      <c r="X620" s="21"/>
      <c r="Y620" s="21"/>
      <c r="Z620" s="21"/>
      <c r="AA620" s="21"/>
      <c r="AB620" s="21"/>
    </row>
    <row r="621" ht="20.25" customHeight="1">
      <c r="A621" s="139"/>
      <c r="B621" s="21"/>
      <c r="C621" s="21"/>
      <c r="D621" s="21"/>
      <c r="E621" s="21"/>
      <c r="F621" s="21"/>
      <c r="G621" s="21"/>
      <c r="H621" s="21"/>
      <c r="I621" s="21"/>
      <c r="J621" s="21"/>
      <c r="K621" s="204"/>
      <c r="L621" s="54"/>
      <c r="M621" s="213">
        <v>45613.50876561343</v>
      </c>
      <c r="N621" s="56">
        <v>1.0544496721716</v>
      </c>
      <c r="O621" s="16">
        <v>875798.4392373576</v>
      </c>
      <c r="P621" s="57">
        <v>830573.9594320166</v>
      </c>
      <c r="Q621" s="55">
        <v>9.632942435121224</v>
      </c>
      <c r="R621" s="16">
        <v>531772.627914244</v>
      </c>
      <c r="S621" s="17">
        <v>332342.7261325717</v>
      </c>
      <c r="T621" s="16"/>
      <c r="U621" s="16">
        <v>875798.4392373576</v>
      </c>
      <c r="V621" s="16">
        <v>6.0869876733704587E-5</v>
      </c>
      <c r="W621" s="20"/>
      <c r="X621" s="21"/>
      <c r="Y621" s="21"/>
      <c r="Z621" s="21"/>
      <c r="AA621" s="21"/>
      <c r="AB621" s="21"/>
    </row>
    <row r="622" ht="20.25" customHeight="1">
      <c r="A622" s="139"/>
      <c r="B622" s="21"/>
      <c r="C622" s="21"/>
      <c r="D622" s="21"/>
      <c r="E622" s="21"/>
      <c r="F622" s="21"/>
      <c r="G622" s="21"/>
      <c r="H622" s="21"/>
      <c r="I622" s="21"/>
      <c r="J622" s="21"/>
      <c r="K622" s="204"/>
      <c r="L622" s="54"/>
      <c r="M622" s="213">
        <v>45614.5087547338</v>
      </c>
      <c r="N622" s="56">
        <v>1.05570423390183</v>
      </c>
      <c r="O622" s="16">
        <v>880871.0048458475</v>
      </c>
      <c r="P622" s="57">
        <v>834391.8462751564</v>
      </c>
      <c r="Q622" s="55">
        <v>9.61986691773793</v>
      </c>
      <c r="R622" s="16">
        <v>535579.6016616366</v>
      </c>
      <c r="S622" s="17">
        <v>331630.04417456203</v>
      </c>
      <c r="T622" s="16"/>
      <c r="U622" s="16">
        <v>880871.0048458475</v>
      </c>
      <c r="V622" s="16">
        <v>6.0869876733704587E-5</v>
      </c>
      <c r="W622" s="20"/>
      <c r="X622" s="21"/>
      <c r="Y622" s="21"/>
      <c r="Z622" s="21"/>
      <c r="AA622" s="21"/>
      <c r="AB622" s="21"/>
    </row>
    <row r="623" ht="20.25" customHeight="1">
      <c r="A623" s="139"/>
      <c r="B623" s="21"/>
      <c r="C623" s="21"/>
      <c r="D623" s="21"/>
      <c r="E623" s="21"/>
      <c r="F623" s="21"/>
      <c r="G623" s="21"/>
      <c r="H623" s="21"/>
      <c r="I623" s="21"/>
      <c r="J623" s="21"/>
      <c r="K623" s="204"/>
      <c r="L623" s="54"/>
      <c r="M623" s="213">
        <v>45615.508752118054</v>
      </c>
      <c r="N623" s="56">
        <v>1.05582907394288</v>
      </c>
      <c r="O623" s="16">
        <v>882762.708200332</v>
      </c>
      <c r="P623" s="57">
        <v>836084.8644788212</v>
      </c>
      <c r="Q623" s="55">
        <v>9.609763888051726</v>
      </c>
      <c r="R623" s="16">
        <v>537294.0587719837</v>
      </c>
      <c r="S623" s="17">
        <v>333251.9032723076</v>
      </c>
      <c r="T623" s="16"/>
      <c r="U623" s="16">
        <v>882762.708200332</v>
      </c>
      <c r="V623" s="16">
        <v>6.0869876733704587E-5</v>
      </c>
      <c r="W623" s="20"/>
      <c r="X623" s="21"/>
      <c r="Y623" s="21"/>
      <c r="Z623" s="21"/>
      <c r="AA623" s="21"/>
      <c r="AB623" s="21"/>
    </row>
    <row r="624" ht="20.25" customHeight="1">
      <c r="A624" s="139"/>
      <c r="B624" s="21"/>
      <c r="C624" s="21"/>
      <c r="D624" s="21"/>
      <c r="E624" s="21"/>
      <c r="F624" s="21"/>
      <c r="G624" s="21"/>
      <c r="H624" s="21"/>
      <c r="I624" s="21"/>
      <c r="J624" s="21"/>
      <c r="K624" s="204"/>
      <c r="L624" s="54"/>
      <c r="M624" s="213">
        <v>45616.508760173616</v>
      </c>
      <c r="N624" s="56">
        <v>1.05576107704522</v>
      </c>
      <c r="O624" s="16">
        <v>888025.9895099939</v>
      </c>
      <c r="P624" s="57">
        <v>841124.0088480344</v>
      </c>
      <c r="Q624" s="55">
        <v>9.525701939783747</v>
      </c>
      <c r="R624" s="16">
        <v>491810.28543466417</v>
      </c>
      <c r="S624" s="17">
        <v>295930.87136419956</v>
      </c>
      <c r="T624" s="16"/>
      <c r="U624" s="16">
        <v>888025.9895099939</v>
      </c>
      <c r="V624" s="16">
        <v>86957.04226086987</v>
      </c>
      <c r="W624" s="20"/>
      <c r="X624" s="21"/>
      <c r="Y624" s="21"/>
      <c r="Z624" s="21"/>
      <c r="AA624" s="21"/>
      <c r="AB624" s="21"/>
    </row>
    <row r="625" ht="20.25" customHeight="1">
      <c r="A625" s="139"/>
      <c r="B625" s="21"/>
      <c r="C625" s="21"/>
      <c r="D625" s="21"/>
      <c r="E625" s="21"/>
      <c r="F625" s="21"/>
      <c r="G625" s="21"/>
      <c r="H625" s="21"/>
      <c r="I625" s="21"/>
      <c r="J625" s="21"/>
      <c r="K625" s="204"/>
      <c r="L625" s="54"/>
      <c r="M625" s="213">
        <v>45617.50874792824</v>
      </c>
      <c r="N625" s="56">
        <v>1.05160985694951</v>
      </c>
      <c r="O625" s="16">
        <v>916579.791758168</v>
      </c>
      <c r="P625" s="57">
        <v>871596.8053180533</v>
      </c>
      <c r="Q625" s="55">
        <v>9.338121480254802</v>
      </c>
      <c r="R625" s="16">
        <v>517821.02207534015</v>
      </c>
      <c r="S625" s="17">
        <v>218654.0136640437</v>
      </c>
      <c r="T625" s="16"/>
      <c r="U625" s="16">
        <v>916579.791758168</v>
      </c>
      <c r="V625" s="16">
        <v>167327.24956086985</v>
      </c>
      <c r="W625" s="20"/>
      <c r="X625" s="21"/>
      <c r="Y625" s="21"/>
      <c r="Z625" s="21"/>
      <c r="AA625" s="21"/>
      <c r="AB625" s="21"/>
    </row>
    <row r="626" ht="20.25" customHeight="1">
      <c r="A626" s="139"/>
      <c r="B626" s="21"/>
      <c r="C626" s="21"/>
      <c r="D626" s="21"/>
      <c r="E626" s="21"/>
      <c r="F626" s="21"/>
      <c r="G626" s="21"/>
      <c r="H626" s="21"/>
      <c r="I626" s="21"/>
      <c r="J626" s="21"/>
      <c r="K626" s="204"/>
      <c r="L626" s="54"/>
      <c r="M626" s="213">
        <v>45618.5087565625</v>
      </c>
      <c r="N626" s="56">
        <v>1.04026123040018</v>
      </c>
      <c r="O626" s="16">
        <v>933581.1495437409</v>
      </c>
      <c r="P626" s="57">
        <v>897448.7583129479</v>
      </c>
      <c r="Q626" s="55">
        <v>9.467532372464047</v>
      </c>
      <c r="R626" s="16">
        <v>520216.5856162221</v>
      </c>
      <c r="S626" s="17">
        <v>231830.21599559384</v>
      </c>
      <c r="T626" s="16"/>
      <c r="U626" s="16">
        <v>933581.1495437409</v>
      </c>
      <c r="V626" s="16">
        <v>167327.24956086985</v>
      </c>
      <c r="W626" s="20"/>
      <c r="X626" s="21"/>
      <c r="Y626" s="21"/>
      <c r="Z626" s="21"/>
      <c r="AA626" s="21"/>
      <c r="AB626" s="21"/>
    </row>
    <row r="627" ht="20.25" customHeight="1">
      <c r="A627" s="139"/>
      <c r="B627" s="21"/>
      <c r="C627" s="21"/>
      <c r="D627" s="21"/>
      <c r="E627" s="21"/>
      <c r="F627" s="21"/>
      <c r="G627" s="21"/>
      <c r="H627" s="21"/>
      <c r="I627" s="21"/>
      <c r="J627" s="21"/>
      <c r="K627" s="204"/>
      <c r="L627" s="54"/>
      <c r="M627" s="213">
        <v>45619.50875415509</v>
      </c>
      <c r="N627" s="56">
        <v>1.04180014731054</v>
      </c>
      <c r="O627" s="16">
        <v>934935.4332465332</v>
      </c>
      <c r="P627" s="57">
        <v>897423.0188583832</v>
      </c>
      <c r="Q627" s="55">
        <v>9.482616061762368</v>
      </c>
      <c r="R627" s="16">
        <v>520142.5369978602</v>
      </c>
      <c r="S627" s="17">
        <v>233576.9440647714</v>
      </c>
      <c r="T627" s="16"/>
      <c r="U627" s="16">
        <v>934935.4332465332</v>
      </c>
      <c r="V627" s="16">
        <v>167327.24956086985</v>
      </c>
      <c r="W627" s="20"/>
      <c r="X627" s="21"/>
      <c r="Y627" s="21"/>
      <c r="Z627" s="21"/>
      <c r="AA627" s="21"/>
      <c r="AB627" s="21"/>
    </row>
    <row r="628" ht="20.25" customHeight="1">
      <c r="A628" s="139"/>
      <c r="B628" s="21"/>
      <c r="C628" s="21"/>
      <c r="D628" s="21"/>
      <c r="E628" s="21"/>
      <c r="F628" s="21"/>
      <c r="G628" s="21"/>
      <c r="H628" s="21"/>
      <c r="I628" s="21"/>
      <c r="J628" s="21"/>
      <c r="K628" s="204"/>
      <c r="L628" s="54"/>
      <c r="M628" s="213">
        <v>45620.50875496528</v>
      </c>
      <c r="N628" s="56">
        <v>1.04198000959268</v>
      </c>
      <c r="O628" s="16">
        <v>928558.0367839163</v>
      </c>
      <c r="P628" s="57">
        <v>891147.6498929175</v>
      </c>
      <c r="Q628" s="55">
        <v>9.516440152850679</v>
      </c>
      <c r="R628" s="16">
        <v>489389.1461929959</v>
      </c>
      <c r="S628" s="17">
        <v>325290.86344708543</v>
      </c>
      <c r="T628" s="16"/>
      <c r="U628" s="16">
        <v>928558.0367839163</v>
      </c>
      <c r="V628" s="16">
        <v>99887.24956086985</v>
      </c>
      <c r="W628" s="20"/>
      <c r="X628" s="21"/>
      <c r="Y628" s="21"/>
      <c r="Z628" s="21"/>
      <c r="AA628" s="21"/>
      <c r="AB628" s="21"/>
    </row>
    <row r="629" ht="20.25" customHeight="1">
      <c r="A629" s="139"/>
      <c r="B629" s="21"/>
      <c r="C629" s="21"/>
      <c r="D629" s="21"/>
      <c r="E629" s="21"/>
      <c r="F629" s="21"/>
      <c r="G629" s="21"/>
      <c r="H629" s="21"/>
      <c r="I629" s="21"/>
      <c r="J629" s="21"/>
      <c r="K629" s="204"/>
      <c r="L629" s="54"/>
      <c r="M629" s="213">
        <v>45621.50875033565</v>
      </c>
      <c r="N629" s="56">
        <v>1.0491054802123</v>
      </c>
      <c r="O629" s="16">
        <v>946155.6931723966</v>
      </c>
      <c r="P629" s="57">
        <v>901868.9836420736</v>
      </c>
      <c r="Q629" s="55">
        <v>9.606518871702098</v>
      </c>
      <c r="R629" s="16">
        <v>493987.963941125</v>
      </c>
      <c r="S629" s="17">
        <v>338345.68027166836</v>
      </c>
      <c r="T629" s="16"/>
      <c r="U629" s="16">
        <v>946155.6931723966</v>
      </c>
      <c r="V629" s="16">
        <v>99887.24956086985</v>
      </c>
      <c r="W629" s="20"/>
      <c r="X629" s="21"/>
      <c r="Y629" s="21"/>
      <c r="Z629" s="21"/>
      <c r="AA629" s="21"/>
      <c r="AB629" s="21"/>
    </row>
    <row r="630" ht="20.25" customHeight="1">
      <c r="A630" s="139"/>
      <c r="B630" s="21"/>
      <c r="C630" s="21"/>
      <c r="D630" s="21"/>
      <c r="E630" s="21"/>
      <c r="F630" s="21"/>
      <c r="G630" s="21"/>
      <c r="H630" s="21"/>
      <c r="I630" s="21"/>
      <c r="J630" s="21"/>
      <c r="K630" s="204"/>
      <c r="L630" s="54"/>
      <c r="M630" s="213">
        <v>45622.50875130787</v>
      </c>
      <c r="N630" s="56">
        <v>1.05093570060103</v>
      </c>
      <c r="O630" s="16">
        <v>898572.9904324841</v>
      </c>
      <c r="P630" s="57">
        <v>855021.8533051929</v>
      </c>
      <c r="Q630" s="55">
        <v>9.703641297784326</v>
      </c>
      <c r="R630" s="16">
        <v>464449.4221787668</v>
      </c>
      <c r="S630" s="17">
        <v>322006.62434288714</v>
      </c>
      <c r="T630" s="16"/>
      <c r="U630" s="16">
        <v>898572.9904324841</v>
      </c>
      <c r="V630" s="16">
        <v>99887.24956086985</v>
      </c>
      <c r="W630" s="20"/>
      <c r="X630" s="21"/>
      <c r="Y630" s="21"/>
      <c r="Z630" s="21"/>
      <c r="AA630" s="21"/>
      <c r="AB630" s="21"/>
    </row>
    <row r="631" ht="20.25" customHeight="1">
      <c r="A631" s="139"/>
      <c r="B631" s="21"/>
      <c r="C631" s="21"/>
      <c r="D631" s="21"/>
      <c r="E631" s="21"/>
      <c r="F631" s="21"/>
      <c r="G631" s="21"/>
      <c r="H631" s="21"/>
      <c r="I631" s="21"/>
      <c r="J631" s="21"/>
      <c r="K631" s="204"/>
      <c r="L631" s="54"/>
      <c r="M631" s="213">
        <v>45623.92655729166</v>
      </c>
      <c r="N631" s="56">
        <v>1.05611007201615</v>
      </c>
      <c r="O631" s="16">
        <v>950743.0769187775</v>
      </c>
      <c r="P631" s="57">
        <v>900231.0479851562</v>
      </c>
      <c r="Q631" s="55">
        <v>9.840580399154302</v>
      </c>
      <c r="R631" s="16">
        <v>484576.39921939146</v>
      </c>
      <c r="S631" s="17">
        <v>352940.39783479436</v>
      </c>
      <c r="T631" s="16"/>
      <c r="U631" s="16">
        <v>950743.0769187775</v>
      </c>
      <c r="V631" s="16">
        <v>99887.24956086985</v>
      </c>
      <c r="W631" s="20"/>
      <c r="X631" s="21"/>
      <c r="Y631" s="21"/>
      <c r="Z631" s="21"/>
      <c r="AA631" s="21"/>
      <c r="AB631" s="21"/>
    </row>
    <row r="632" ht="20.25" customHeight="1">
      <c r="A632" s="139"/>
      <c r="B632" s="21"/>
      <c r="C632" s="21"/>
      <c r="D632" s="21"/>
      <c r="E632" s="21"/>
      <c r="F632" s="21"/>
      <c r="G632" s="21"/>
      <c r="H632" s="21"/>
      <c r="I632" s="21"/>
      <c r="J632" s="21"/>
      <c r="K632" s="204"/>
      <c r="L632" s="54"/>
      <c r="M632" s="213">
        <v>45624.508753182876</v>
      </c>
      <c r="N632" s="56">
        <v>1.05354539094962</v>
      </c>
      <c r="O632" s="16">
        <v>938804.5937781899</v>
      </c>
      <c r="P632" s="57">
        <v>891090.7891040103</v>
      </c>
      <c r="Q632" s="55">
        <v>9.876641309990882</v>
      </c>
      <c r="R632" s="16">
        <v>476744.5367982233</v>
      </c>
      <c r="S632" s="17">
        <v>349269.61666125245</v>
      </c>
      <c r="T632" s="16"/>
      <c r="U632" s="16">
        <v>938804.5937781899</v>
      </c>
      <c r="V632" s="16">
        <v>99887.24956086985</v>
      </c>
      <c r="W632" s="20"/>
      <c r="X632" s="21"/>
      <c r="Y632" s="21"/>
      <c r="Z632" s="21"/>
      <c r="AA632" s="21"/>
      <c r="AB632" s="21"/>
    </row>
    <row r="633" ht="20.25" customHeight="1">
      <c r="A633" s="139"/>
      <c r="B633" s="21"/>
      <c r="C633" s="21"/>
      <c r="D633" s="21"/>
      <c r="E633" s="21"/>
      <c r="F633" s="21"/>
      <c r="G633" s="21"/>
      <c r="H633" s="21"/>
      <c r="I633" s="21"/>
      <c r="J633" s="21"/>
      <c r="K633" s="204"/>
      <c r="L633" s="54"/>
      <c r="M633" s="213">
        <v>45625.5087541088</v>
      </c>
      <c r="N633" s="56">
        <v>1.05622608308063</v>
      </c>
      <c r="O633" s="16">
        <v>944782.1953883824</v>
      </c>
      <c r="P633" s="57">
        <v>894488.6047812736</v>
      </c>
      <c r="Q633" s="55">
        <v>9.767432446318063</v>
      </c>
      <c r="R633" s="16">
        <v>485144.4694000646</v>
      </c>
      <c r="S633" s="17">
        <v>346247.30599477293</v>
      </c>
      <c r="T633" s="16"/>
      <c r="U633" s="16">
        <v>944782.1953883824</v>
      </c>
      <c r="V633" s="16">
        <v>99887.24956086985</v>
      </c>
      <c r="W633" s="20"/>
      <c r="X633" s="21"/>
      <c r="Y633" s="21"/>
      <c r="Z633" s="21"/>
      <c r="AA633" s="21"/>
      <c r="AB633" s="21"/>
    </row>
    <row r="634" ht="20.25" customHeight="1">
      <c r="A634" s="139"/>
      <c r="B634" s="21"/>
      <c r="C634" s="21"/>
      <c r="D634" s="21"/>
      <c r="E634" s="21"/>
      <c r="F634" s="21"/>
      <c r="G634" s="21"/>
      <c r="H634" s="21"/>
      <c r="I634" s="21"/>
      <c r="J634" s="21"/>
      <c r="K634" s="204"/>
      <c r="L634" s="54"/>
      <c r="M634" s="213">
        <v>45626.508757777774</v>
      </c>
      <c r="N634" s="56">
        <v>1.05789992055172</v>
      </c>
      <c r="O634" s="16">
        <v>950070.3130080663</v>
      </c>
      <c r="P634" s="57">
        <v>898072.0147068183</v>
      </c>
      <c r="Q634" s="55">
        <v>9.861372396452019</v>
      </c>
      <c r="R634" s="16">
        <v>483212.53207374114</v>
      </c>
      <c r="S634" s="17">
        <v>353568.26803849253</v>
      </c>
      <c r="T634" s="16"/>
      <c r="U634" s="16">
        <v>950070.3130080663</v>
      </c>
      <c r="V634" s="16">
        <v>89887.24956086985</v>
      </c>
      <c r="W634" s="20"/>
      <c r="X634" s="21"/>
      <c r="Y634" s="21"/>
      <c r="Z634" s="21"/>
      <c r="AA634" s="21"/>
      <c r="AB634" s="21"/>
    </row>
    <row r="635" ht="20.25" customHeight="1">
      <c r="A635" s="139"/>
      <c r="B635" s="21"/>
      <c r="C635" s="21"/>
      <c r="D635" s="21"/>
      <c r="E635" s="21"/>
      <c r="F635" s="21"/>
      <c r="G635" s="21"/>
      <c r="H635" s="21"/>
      <c r="I635" s="21"/>
      <c r="J635" s="21"/>
      <c r="K635" s="204"/>
      <c r="L635" s="54"/>
      <c r="M635" s="213">
        <v>45627.50876134259</v>
      </c>
      <c r="N635" s="56">
        <v>1.05780032537938</v>
      </c>
      <c r="O635" s="16">
        <v>963756.9835888428</v>
      </c>
      <c r="P635" s="57">
        <v>911095.3744915813</v>
      </c>
      <c r="Q635" s="55">
        <v>9.938291336766111</v>
      </c>
      <c r="R635" s="16">
        <v>486379.8954661803</v>
      </c>
      <c r="S635" s="17">
        <v>363715.76603484695</v>
      </c>
      <c r="T635" s="16"/>
      <c r="U635" s="16">
        <v>963756.9835888428</v>
      </c>
      <c r="V635" s="16">
        <v>89887.24956086985</v>
      </c>
      <c r="W635" s="20"/>
      <c r="X635" s="21"/>
      <c r="Y635" s="21"/>
      <c r="Z635" s="21"/>
      <c r="AA635" s="21"/>
      <c r="AB635" s="21"/>
    </row>
    <row r="636" ht="20.25" customHeight="1">
      <c r="A636" s="139"/>
      <c r="B636" s="21"/>
      <c r="C636" s="21"/>
      <c r="D636" s="21"/>
      <c r="E636" s="21"/>
      <c r="F636" s="21"/>
      <c r="G636" s="21"/>
      <c r="H636" s="21"/>
      <c r="I636" s="21"/>
      <c r="J636" s="21"/>
      <c r="K636" s="204"/>
      <c r="L636" s="54"/>
      <c r="M636" s="213">
        <v>45628.508775497685</v>
      </c>
      <c r="N636" s="56">
        <v>1.05123620121081</v>
      </c>
      <c r="O636" s="16">
        <v>941782.0165673833</v>
      </c>
      <c r="P636" s="57">
        <v>895880.5028619089</v>
      </c>
      <c r="Q636" s="55">
        <v>9.916207840844008</v>
      </c>
      <c r="R636" s="16">
        <v>476348.24901367683</v>
      </c>
      <c r="S636" s="17">
        <v>352765.0279826096</v>
      </c>
      <c r="T636" s="16"/>
      <c r="U636" s="16">
        <v>941782.0165673833</v>
      </c>
      <c r="V636" s="16">
        <v>89887.24956086985</v>
      </c>
      <c r="W636" s="20"/>
      <c r="X636" s="21"/>
      <c r="Y636" s="21"/>
      <c r="Z636" s="21"/>
      <c r="AA636" s="21"/>
      <c r="AB636" s="21"/>
    </row>
    <row r="637" ht="20.25" customHeight="1">
      <c r="A637" s="139"/>
      <c r="B637" s="21"/>
      <c r="C637" s="21"/>
      <c r="D637" s="21"/>
      <c r="E637" s="21"/>
      <c r="F637" s="21"/>
      <c r="G637" s="21"/>
      <c r="H637" s="21"/>
      <c r="I637" s="21"/>
      <c r="J637" s="21"/>
      <c r="K637" s="204"/>
      <c r="L637" s="54"/>
      <c r="M637" s="213">
        <v>45629.50875219908</v>
      </c>
      <c r="N637" s="56">
        <v>1.05268033466813</v>
      </c>
      <c r="O637" s="16">
        <v>946975.9750929804</v>
      </c>
      <c r="P637" s="57">
        <v>899585.509395429</v>
      </c>
      <c r="Q637" s="55">
        <v>9.974368721720044</v>
      </c>
      <c r="R637" s="16">
        <v>476182.40383993625</v>
      </c>
      <c r="S637" s="17">
        <v>355312.83187115163</v>
      </c>
      <c r="T637" s="16"/>
      <c r="U637" s="16">
        <v>946975.9750929804</v>
      </c>
      <c r="V637" s="16">
        <v>89887.24956086985</v>
      </c>
      <c r="W637" s="20"/>
      <c r="X637" s="21"/>
      <c r="Y637" s="21"/>
      <c r="Z637" s="21"/>
      <c r="AA637" s="21"/>
      <c r="AB637" s="21"/>
    </row>
    <row r="638" ht="20.25" customHeight="1">
      <c r="A638" s="139"/>
      <c r="B638" s="21"/>
      <c r="C638" s="21"/>
      <c r="D638" s="21"/>
      <c r="E638" s="21"/>
      <c r="F638" s="21"/>
      <c r="G638" s="21"/>
      <c r="H638" s="21"/>
      <c r="I638" s="21"/>
      <c r="J638" s="21"/>
      <c r="K638" s="204"/>
      <c r="L638" s="54"/>
      <c r="M638" s="213">
        <v>45630.50876119213</v>
      </c>
      <c r="N638" s="56">
        <v>1.05076784860537</v>
      </c>
      <c r="O638" s="16">
        <v>968571.0569413835</v>
      </c>
      <c r="P638" s="57">
        <v>921774.5463252591</v>
      </c>
      <c r="Q638" s="55">
        <v>10.034280909283899</v>
      </c>
      <c r="R638" s="16">
        <v>484133.38631395146</v>
      </c>
      <c r="S638" s="17">
        <v>367645.0541588768</v>
      </c>
      <c r="T638" s="16"/>
      <c r="U638" s="16">
        <v>968571.0569413835</v>
      </c>
      <c r="V638" s="16">
        <v>89887.24956086985</v>
      </c>
      <c r="W638" s="20"/>
      <c r="X638" s="21"/>
      <c r="Y638" s="21"/>
      <c r="Z638" s="21"/>
      <c r="AA638" s="21"/>
      <c r="AB638" s="21"/>
    </row>
    <row r="639" ht="20.25" customHeight="1">
      <c r="A639" s="139"/>
      <c r="B639" s="21"/>
      <c r="C639" s="21"/>
      <c r="D639" s="21"/>
      <c r="E639" s="21"/>
      <c r="F639" s="21"/>
      <c r="G639" s="21"/>
      <c r="H639" s="21"/>
      <c r="I639" s="21"/>
      <c r="J639" s="21"/>
      <c r="K639" s="204"/>
      <c r="L639" s="54"/>
      <c r="M639" s="213">
        <v>45631.508755</v>
      </c>
      <c r="N639" s="56">
        <v>1.05314706672213</v>
      </c>
      <c r="O639" s="16">
        <v>1018438.2934387781</v>
      </c>
      <c r="P639" s="57">
        <v>967042.8049603923</v>
      </c>
      <c r="Q639" s="55">
        <v>9.949214115040784</v>
      </c>
      <c r="R639" s="16">
        <v>513411.679243447</v>
      </c>
      <c r="S639" s="17">
        <v>387504.3858246867</v>
      </c>
      <c r="T639" s="16"/>
      <c r="U639" s="16">
        <v>1018438.2934387781</v>
      </c>
      <c r="V639" s="16">
        <v>89887.24956086985</v>
      </c>
      <c r="W639" s="20"/>
      <c r="X639" s="21"/>
      <c r="Y639" s="21"/>
      <c r="Z639" s="21"/>
      <c r="AA639" s="21"/>
      <c r="AB639" s="21"/>
    </row>
    <row r="640" ht="20.25" customHeight="1">
      <c r="A640" s="139"/>
      <c r="B640" s="21"/>
      <c r="C640" s="21"/>
      <c r="D640" s="21"/>
      <c r="E640" s="21"/>
      <c r="F640" s="21"/>
      <c r="G640" s="21"/>
      <c r="H640" s="21"/>
      <c r="I640" s="21"/>
      <c r="J640" s="21"/>
      <c r="K640" s="204"/>
      <c r="L640" s="54"/>
      <c r="M640" s="213">
        <v>45632.508755636576</v>
      </c>
      <c r="N640" s="56">
        <v>1.05754303142595</v>
      </c>
      <c r="O640" s="16">
        <v>992244.984208417</v>
      </c>
      <c r="P640" s="57">
        <v>938254.9501276675</v>
      </c>
      <c r="Q640" s="55">
        <v>10.092130295377023</v>
      </c>
      <c r="R640" s="16">
        <v>493123.68688745535</v>
      </c>
      <c r="S640" s="17">
        <v>382284.87512832624</v>
      </c>
      <c r="T640" s="16"/>
      <c r="U640" s="16">
        <v>992244.984208417</v>
      </c>
      <c r="V640" s="16">
        <v>89887.24956086985</v>
      </c>
      <c r="W640" s="20"/>
      <c r="X640" s="21"/>
      <c r="Y640" s="21"/>
      <c r="Z640" s="21"/>
      <c r="AA640" s="21"/>
      <c r="AB640" s="21"/>
    </row>
    <row r="641" ht="20.25" customHeight="1">
      <c r="A641" s="139"/>
      <c r="B641" s="21"/>
      <c r="C641" s="21"/>
      <c r="D641" s="21"/>
      <c r="E641" s="21"/>
      <c r="F641" s="21"/>
      <c r="G641" s="21"/>
      <c r="H641" s="21"/>
      <c r="I641" s="21"/>
      <c r="J641" s="21"/>
      <c r="K641" s="204"/>
      <c r="L641" s="54"/>
      <c r="M641" s="213">
        <v>45633.50876467593</v>
      </c>
      <c r="N641" s="56">
        <v>1.05705004814863</v>
      </c>
      <c r="O641" s="16">
        <v>1010002.7534457318</v>
      </c>
      <c r="P641" s="57">
        <v>955491.894839512</v>
      </c>
      <c r="Q641" s="55">
        <v>10.143112973282568</v>
      </c>
      <c r="R641" s="16">
        <v>499425.9401652568</v>
      </c>
      <c r="S641" s="17">
        <v>393049.6685372749</v>
      </c>
      <c r="T641" s="16"/>
      <c r="U641" s="16">
        <v>1010002.7534457318</v>
      </c>
      <c r="V641" s="16">
        <v>87387.24956086985</v>
      </c>
      <c r="W641" s="20"/>
      <c r="X641" s="21"/>
      <c r="Y641" s="21"/>
      <c r="Z641" s="21"/>
      <c r="AA641" s="21"/>
      <c r="AB641" s="21"/>
    </row>
    <row r="642" ht="20.25" customHeight="1">
      <c r="A642" s="139"/>
      <c r="B642" s="21"/>
      <c r="C642" s="21"/>
      <c r="D642" s="21"/>
      <c r="E642" s="21"/>
      <c r="F642" s="21"/>
      <c r="G642" s="21"/>
      <c r="H642" s="21"/>
      <c r="I642" s="21"/>
      <c r="J642" s="21"/>
      <c r="K642" s="204"/>
      <c r="L642" s="54"/>
      <c r="M642" s="213">
        <v>45634.508756192125</v>
      </c>
      <c r="N642" s="56">
        <v>1.05705004814863</v>
      </c>
      <c r="O642" s="16">
        <v>1005868.6256358349</v>
      </c>
      <c r="P642" s="57">
        <v>951580.8900416429</v>
      </c>
      <c r="Q642" s="55">
        <v>10.133810450151502</v>
      </c>
      <c r="R642" s="16">
        <v>497838.278496354</v>
      </c>
      <c r="S642" s="17">
        <v>390392.3035829934</v>
      </c>
      <c r="T642" s="16"/>
      <c r="U642" s="16">
        <v>1005868.6256358349</v>
      </c>
      <c r="V642" s="16">
        <v>87387.24956086985</v>
      </c>
      <c r="W642" s="20"/>
      <c r="X642" s="21"/>
      <c r="Y642" s="21"/>
      <c r="Z642" s="21"/>
      <c r="AA642" s="21"/>
      <c r="AB642" s="21"/>
    </row>
    <row r="643" ht="20.25" customHeight="1">
      <c r="A643" s="139"/>
      <c r="B643" s="21"/>
      <c r="C643" s="21"/>
      <c r="D643" s="21"/>
      <c r="E643" s="21"/>
      <c r="F643" s="21"/>
      <c r="G643" s="21"/>
      <c r="H643" s="21"/>
      <c r="I643" s="21"/>
      <c r="J643" s="21"/>
      <c r="K643" s="204"/>
      <c r="L643" s="54"/>
      <c r="M643" s="213">
        <v>45635.50875570602</v>
      </c>
      <c r="N643" s="56">
        <v>1.05831080895162</v>
      </c>
      <c r="O643" s="16">
        <v>1032514.3452511469</v>
      </c>
      <c r="P643" s="57">
        <v>975624.8698564956</v>
      </c>
      <c r="Q643" s="55">
        <v>10.48950401120453</v>
      </c>
      <c r="R643" s="16">
        <v>493697.5154495</v>
      </c>
      <c r="S643" s="17">
        <v>381008.42389861966</v>
      </c>
      <c r="T643" s="16"/>
      <c r="U643" s="16">
        <v>1032514.3452511469</v>
      </c>
      <c r="V643" s="16">
        <v>72387.24956086985</v>
      </c>
      <c r="W643" s="20"/>
      <c r="X643" s="21"/>
      <c r="Y643" s="21"/>
      <c r="Z643" s="21"/>
      <c r="AA643" s="21"/>
      <c r="AB643" s="21"/>
    </row>
    <row r="644" ht="20.25" customHeight="1">
      <c r="A644" s="139"/>
      <c r="B644" s="21"/>
      <c r="C644" s="21"/>
      <c r="D644" s="21"/>
      <c r="E644" s="21"/>
      <c r="F644" s="21"/>
      <c r="G644" s="21"/>
      <c r="H644" s="21"/>
      <c r="I644" s="21"/>
      <c r="J644" s="21"/>
      <c r="K644" s="204"/>
      <c r="L644" s="54"/>
      <c r="M644" s="213">
        <v>45636.50875594908</v>
      </c>
      <c r="N644" s="56">
        <v>1.05323136649397</v>
      </c>
      <c r="O644" s="16">
        <v>974597.3877833078</v>
      </c>
      <c r="P644" s="57">
        <v>925340.2612073532</v>
      </c>
      <c r="Q644" s="55">
        <v>9.97093280207488</v>
      </c>
      <c r="R644" s="16">
        <v>490240.57654165284</v>
      </c>
      <c r="S644" s="17">
        <v>370768.23599930236</v>
      </c>
      <c r="T644" s="16"/>
      <c r="U644" s="16">
        <v>974597.3877833078</v>
      </c>
      <c r="V644" s="16">
        <v>72387.24956086985</v>
      </c>
      <c r="W644" s="20"/>
      <c r="X644" s="21"/>
      <c r="Y644" s="21"/>
      <c r="Z644" s="21"/>
      <c r="AA644" s="21"/>
      <c r="AB644" s="21"/>
    </row>
    <row r="645" ht="20.25" customHeight="1">
      <c r="A645" s="139"/>
      <c r="B645" s="21"/>
      <c r="C645" s="21"/>
      <c r="D645" s="21"/>
      <c r="E645" s="21"/>
      <c r="F645" s="21"/>
      <c r="G645" s="21"/>
      <c r="H645" s="21"/>
      <c r="I645" s="21"/>
      <c r="J645" s="21"/>
      <c r="K645" s="204"/>
      <c r="L645" s="54"/>
      <c r="M645" s="213">
        <v>45637.5087731713</v>
      </c>
      <c r="N645" s="56">
        <v>1.04941154247756</v>
      </c>
      <c r="O645" s="16">
        <v>971359.6807333003</v>
      </c>
      <c r="P645" s="57">
        <v>925623.210165969</v>
      </c>
      <c r="Q645" s="55">
        <v>9.884044817999808</v>
      </c>
      <c r="R645" s="16">
        <v>492907.20625284</v>
      </c>
      <c r="S645" s="17">
        <v>365703.4499944762</v>
      </c>
      <c r="T645" s="16"/>
      <c r="U645" s="16">
        <v>971359.6807333003</v>
      </c>
      <c r="V645" s="16">
        <v>67387.24956086985</v>
      </c>
      <c r="W645" s="20"/>
      <c r="X645" s="21"/>
      <c r="Y645" s="21"/>
      <c r="Z645" s="21"/>
      <c r="AA645" s="21"/>
      <c r="AB645" s="21"/>
    </row>
    <row r="646" ht="20.25" customHeight="1">
      <c r="A646" s="139"/>
      <c r="B646" s="21"/>
      <c r="C646" s="21"/>
      <c r="D646" s="21"/>
      <c r="E646" s="21"/>
      <c r="F646" s="21"/>
      <c r="G646" s="21"/>
      <c r="H646" s="21"/>
      <c r="I646" s="21"/>
      <c r="J646" s="21"/>
      <c r="K646" s="204"/>
      <c r="L646" s="54"/>
      <c r="M646" s="213">
        <v>45638.50874925926</v>
      </c>
      <c r="N646" s="56">
        <v>1.05102516995077</v>
      </c>
      <c r="O646" s="16">
        <v>1012475.4356492503</v>
      </c>
      <c r="P646" s="57">
        <v>963321.7781993505</v>
      </c>
      <c r="Q646" s="55">
        <v>10.065168395292506</v>
      </c>
      <c r="R646" s="16">
        <v>504525.65024097066</v>
      </c>
      <c r="S646" s="17">
        <v>387895.42382331216</v>
      </c>
      <c r="T646" s="16"/>
      <c r="U646" s="16">
        <v>1012475.4356492503</v>
      </c>
      <c r="V646" s="16">
        <v>67387.59956086984</v>
      </c>
      <c r="W646" s="20"/>
      <c r="X646" s="21"/>
      <c r="Y646" s="21"/>
      <c r="Z646" s="21"/>
      <c r="AA646" s="21"/>
      <c r="AB646" s="21"/>
    </row>
    <row r="647" ht="20.25" customHeight="1">
      <c r="A647" s="214"/>
      <c r="B647" s="215"/>
      <c r="C647" s="215"/>
      <c r="D647" s="215"/>
      <c r="E647" s="215"/>
      <c r="F647" s="215"/>
      <c r="G647" s="215"/>
      <c r="H647" s="215"/>
      <c r="I647" s="215"/>
      <c r="J647" s="215"/>
      <c r="K647" s="216"/>
      <c r="L647" s="217"/>
      <c r="M647" s="218">
        <v>45639.508764375</v>
      </c>
      <c r="N647" s="219">
        <v>1.04889530346639</v>
      </c>
      <c r="O647" s="220">
        <v>1057780.6462986404</v>
      </c>
      <c r="P647" s="221">
        <v>1008471.1436907822</v>
      </c>
      <c r="Q647" s="222">
        <v>10.522219244981713</v>
      </c>
      <c r="R647" s="220">
        <v>504206.0711841778</v>
      </c>
      <c r="S647" s="223">
        <v>384569.05803326017</v>
      </c>
      <c r="T647" s="220"/>
      <c r="U647" s="220">
        <v>1057780.6462986404</v>
      </c>
      <c r="V647" s="220">
        <v>62387.59956086985</v>
      </c>
      <c r="W647" s="224" t="s">
        <v>69</v>
      </c>
      <c r="X647" s="215"/>
      <c r="Y647" s="215"/>
      <c r="Z647" s="215"/>
      <c r="AA647" s="215"/>
      <c r="AB647" s="215"/>
    </row>
    <row r="648" ht="20.25" customHeight="1">
      <c r="A648" s="139"/>
      <c r="B648" s="21"/>
      <c r="C648" s="21"/>
      <c r="D648" s="21"/>
      <c r="E648" s="21"/>
      <c r="F648" s="21"/>
      <c r="G648" s="21"/>
      <c r="H648" s="21"/>
      <c r="I648" s="21"/>
      <c r="J648" s="21"/>
      <c r="K648" s="204"/>
      <c r="L648" s="54"/>
      <c r="M648" s="213">
        <v>45640.5087546412</v>
      </c>
      <c r="N648" s="56">
        <v>1.0501995379122</v>
      </c>
      <c r="O648" s="16">
        <v>1059766.9217531802</v>
      </c>
      <c r="P648" s="57">
        <v>1009110.0628933813</v>
      </c>
      <c r="Q648" s="55">
        <v>10.442720758873227</v>
      </c>
      <c r="R648" s="16">
        <v>508998.49192599993</v>
      </c>
      <c r="S648" s="17">
        <v>384452.61525004485</v>
      </c>
      <c r="T648" s="16"/>
      <c r="U648" s="16">
        <v>1059766.9217531802</v>
      </c>
      <c r="V648" s="16">
        <v>57387.59956086985</v>
      </c>
      <c r="W648" s="20"/>
      <c r="X648" s="21"/>
      <c r="Y648" s="21"/>
      <c r="Z648" s="21"/>
      <c r="AA648" s="21"/>
      <c r="AB648" s="21"/>
    </row>
    <row r="649" ht="20.25" customHeight="1">
      <c r="A649" s="139"/>
      <c r="B649" s="21"/>
      <c r="C649" s="21"/>
      <c r="D649" s="21"/>
      <c r="E649" s="21"/>
      <c r="F649" s="21"/>
      <c r="G649" s="21"/>
      <c r="H649" s="21"/>
      <c r="I649" s="21"/>
      <c r="J649" s="21"/>
      <c r="K649" s="204"/>
      <c r="L649" s="54"/>
      <c r="M649" s="213">
        <v>45641.508752650465</v>
      </c>
      <c r="N649" s="56">
        <v>1.0501995379122</v>
      </c>
      <c r="O649" s="16">
        <v>1062176.6438800155</v>
      </c>
      <c r="P649" s="57">
        <v>1011404.600302554</v>
      </c>
      <c r="Q649" s="55">
        <v>10.389420896694007</v>
      </c>
      <c r="R649" s="16">
        <v>512773.06859231304</v>
      </c>
      <c r="S649" s="17">
        <v>380695.95573115547</v>
      </c>
      <c r="T649" s="16"/>
      <c r="U649" s="16">
        <v>1062176.6438800155</v>
      </c>
      <c r="V649" s="16">
        <v>52387.59956086985</v>
      </c>
      <c r="W649" s="20"/>
      <c r="X649" s="21"/>
      <c r="Y649" s="21"/>
      <c r="Z649" s="21"/>
      <c r="AA649" s="21"/>
      <c r="AB649" s="21"/>
    </row>
    <row r="650" ht="20.25" customHeight="1">
      <c r="A650" s="139"/>
      <c r="B650" s="21"/>
      <c r="C650" s="21"/>
      <c r="D650" s="21"/>
      <c r="E650" s="21"/>
      <c r="F650" s="21"/>
      <c r="G650" s="21"/>
      <c r="H650" s="21"/>
      <c r="I650" s="21"/>
      <c r="J650" s="21"/>
      <c r="K650" s="204"/>
      <c r="L650" s="54"/>
      <c r="M650" s="213">
        <v>45642.50876049769</v>
      </c>
      <c r="N650" s="56">
        <v>1.05020615546832</v>
      </c>
      <c r="O650" s="16">
        <v>1085411.9930538307</v>
      </c>
      <c r="P650" s="57">
        <v>1033522.7873138977</v>
      </c>
      <c r="Q650" s="55">
        <v>10.365101760708615</v>
      </c>
      <c r="R650" s="16">
        <v>525219.5055219817</v>
      </c>
      <c r="S650" s="17">
        <v>388970.1928845436</v>
      </c>
      <c r="T650" s="16"/>
      <c r="U650" s="16">
        <v>1085411.9930538307</v>
      </c>
      <c r="V650" s="16">
        <v>52387.59956086985</v>
      </c>
      <c r="W650" s="20"/>
      <c r="X650" s="21"/>
      <c r="Y650" s="21"/>
      <c r="Z650" s="21"/>
      <c r="AA650" s="21"/>
      <c r="AB650" s="21"/>
    </row>
    <row r="651" ht="20.25" customHeight="1">
      <c r="A651" s="139"/>
      <c r="B651" s="21"/>
      <c r="C651" s="21"/>
      <c r="D651" s="21"/>
      <c r="E651" s="21"/>
      <c r="F651" s="21"/>
      <c r="G651" s="21"/>
      <c r="H651" s="21"/>
      <c r="I651" s="21"/>
      <c r="J651" s="21"/>
      <c r="K651" s="204"/>
      <c r="L651" s="54"/>
      <c r="M651" s="213">
        <v>45643.50874621527</v>
      </c>
      <c r="N651" s="56">
        <v>1.04851367943372</v>
      </c>
      <c r="O651" s="16">
        <v>1105663.6538452916</v>
      </c>
      <c r="P651" s="57">
        <v>1054505.7022455225</v>
      </c>
      <c r="Q651" s="55">
        <v>10.322561046100642</v>
      </c>
      <c r="R651" s="16">
        <v>537223.9605224285</v>
      </c>
      <c r="S651" s="17">
        <v>395218.88306335907</v>
      </c>
      <c r="T651" s="16"/>
      <c r="U651" s="16">
        <v>1105663.6538452916</v>
      </c>
      <c r="V651" s="16">
        <v>52387.59956086985</v>
      </c>
      <c r="W651" s="20"/>
      <c r="X651" s="21"/>
      <c r="Y651" s="21"/>
      <c r="Z651" s="21"/>
      <c r="AA651" s="21"/>
      <c r="AB651" s="21"/>
    </row>
    <row r="652" ht="20.25" customHeight="1">
      <c r="A652" s="139"/>
      <c r="B652" s="21"/>
      <c r="C652" s="21"/>
      <c r="D652" s="21"/>
      <c r="E652" s="21"/>
      <c r="F652" s="21"/>
      <c r="G652" s="21"/>
      <c r="H652" s="21"/>
      <c r="I652" s="21"/>
      <c r="J652" s="21"/>
      <c r="K652" s="204"/>
      <c r="L652" s="54"/>
      <c r="M652" s="213">
        <v>45644.50876571759</v>
      </c>
      <c r="N652" s="56">
        <v>1.04931684226984</v>
      </c>
      <c r="O652" s="16">
        <v>1078005.1194613297</v>
      </c>
      <c r="P652" s="57">
        <v>1027339.9568517668</v>
      </c>
      <c r="Q652" s="55">
        <v>10.298871920793626</v>
      </c>
      <c r="R652" s="16">
        <v>524989.9224313038</v>
      </c>
      <c r="S652" s="17">
        <v>382377.71834039595</v>
      </c>
      <c r="T652" s="16"/>
      <c r="U652" s="16">
        <v>1078005.1194613297</v>
      </c>
      <c r="V652" s="16">
        <v>52387.59956086985</v>
      </c>
      <c r="W652" s="20"/>
      <c r="X652" s="21"/>
      <c r="Y652" s="21"/>
      <c r="Z652" s="21"/>
      <c r="AA652" s="21"/>
      <c r="AB652" s="21"/>
    </row>
    <row r="653" ht="20.25" customHeight="1">
      <c r="A653" s="139"/>
      <c r="B653" s="21"/>
      <c r="C653" s="21"/>
      <c r="D653" s="21"/>
      <c r="E653" s="21"/>
      <c r="F653" s="21"/>
      <c r="G653" s="21"/>
      <c r="H653" s="21"/>
      <c r="I653" s="21"/>
      <c r="J653" s="21"/>
      <c r="K653" s="204"/>
      <c r="L653" s="54"/>
      <c r="M653" s="213">
        <v>45645.50875699074</v>
      </c>
      <c r="N653" s="56">
        <v>1.0414095686794</v>
      </c>
      <c r="O653" s="16">
        <v>1042166.4143431316</v>
      </c>
      <c r="P653" s="57">
        <v>1000726.7512096046</v>
      </c>
      <c r="Q653" s="55">
        <v>10.184649545223184</v>
      </c>
      <c r="R653" s="16">
        <v>513228.5228259709</v>
      </c>
      <c r="S653" s="17">
        <v>364697.21713592164</v>
      </c>
      <c r="T653" s="16"/>
      <c r="U653" s="16">
        <v>1042166.4143431316</v>
      </c>
      <c r="V653" s="16">
        <v>52387.59956086985</v>
      </c>
      <c r="W653" s="20"/>
      <c r="X653" s="21"/>
      <c r="Y653" s="21"/>
      <c r="Z653" s="21"/>
      <c r="AA653" s="21"/>
      <c r="AB653" s="21"/>
    </row>
    <row r="654" ht="20.25" customHeight="1">
      <c r="A654" s="139"/>
      <c r="B654" s="21"/>
      <c r="C654" s="21"/>
      <c r="D654" s="21"/>
      <c r="E654" s="21"/>
      <c r="F654" s="21"/>
      <c r="G654" s="21"/>
      <c r="H654" s="21"/>
      <c r="I654" s="21"/>
      <c r="J654" s="21"/>
      <c r="K654" s="204"/>
      <c r="L654" s="54"/>
      <c r="M654" s="213">
        <v>45646.508765729166</v>
      </c>
      <c r="N654" s="56">
        <v>1.0385499350387</v>
      </c>
      <c r="O654" s="16">
        <v>934541.083077259</v>
      </c>
      <c r="P654" s="57">
        <v>899851.8526145156</v>
      </c>
      <c r="Q654" s="55">
        <v>9.89640718429325</v>
      </c>
      <c r="R654" s="16">
        <v>473631.57024440396</v>
      </c>
      <c r="S654" s="17">
        <v>316212.2525527081</v>
      </c>
      <c r="T654" s="16"/>
      <c r="U654" s="16">
        <v>934541.083077259</v>
      </c>
      <c r="V654" s="16">
        <v>29887.599560869854</v>
      </c>
      <c r="W654" s="20"/>
      <c r="X654" s="21"/>
      <c r="Y654" s="21"/>
      <c r="Z654" s="21"/>
      <c r="AA654" s="21"/>
      <c r="AB654" s="21"/>
    </row>
    <row r="655" ht="20.25" customHeight="1">
      <c r="A655" s="139"/>
      <c r="B655" s="21"/>
      <c r="C655" s="21"/>
      <c r="D655" s="21"/>
      <c r="E655" s="21"/>
      <c r="F655" s="21"/>
      <c r="G655" s="21"/>
      <c r="H655" s="21"/>
      <c r="I655" s="21"/>
      <c r="J655" s="21"/>
      <c r="K655" s="204"/>
      <c r="L655" s="54"/>
      <c r="M655" s="213">
        <v>45647.508754594906</v>
      </c>
      <c r="N655" s="56">
        <v>1.04314989542422</v>
      </c>
      <c r="O655" s="16">
        <v>995634.7858819135</v>
      </c>
      <c r="P655" s="57">
        <v>954450.3529639109</v>
      </c>
      <c r="Q655" s="55">
        <v>10.143734457685136</v>
      </c>
      <c r="R655" s="16">
        <v>492291.1072668557</v>
      </c>
      <c r="S655" s="17">
        <v>341734.9528468712</v>
      </c>
      <c r="T655" s="16"/>
      <c r="U655" s="16">
        <v>995634.7858819135</v>
      </c>
      <c r="V655" s="16">
        <v>29887.599560869854</v>
      </c>
      <c r="W655" s="20"/>
      <c r="X655" s="21"/>
      <c r="Y655" s="21"/>
      <c r="Z655" s="21"/>
      <c r="AA655" s="21"/>
      <c r="AB655" s="21"/>
    </row>
    <row r="656" ht="20.25" customHeight="1">
      <c r="A656" s="139"/>
      <c r="B656" s="21"/>
      <c r="C656" s="21"/>
      <c r="D656" s="21"/>
      <c r="E656" s="21"/>
      <c r="F656" s="21"/>
      <c r="G656" s="21"/>
      <c r="H656" s="21"/>
      <c r="I656" s="21"/>
      <c r="J656" s="21"/>
      <c r="K656" s="204"/>
      <c r="L656" s="54"/>
      <c r="M656" s="213">
        <v>45648.508746747684</v>
      </c>
      <c r="N656" s="56">
        <v>1.04299975072306</v>
      </c>
      <c r="O656" s="16">
        <v>977805.9322885025</v>
      </c>
      <c r="P656" s="57">
        <v>937493.927118044</v>
      </c>
      <c r="Q656" s="55">
        <v>10.078773870832109</v>
      </c>
      <c r="R656" s="16">
        <v>486591.77888206905</v>
      </c>
      <c r="S656" s="17">
        <v>333223.07073806855</v>
      </c>
      <c r="T656" s="16"/>
      <c r="U656" s="16">
        <v>977805.9322885025</v>
      </c>
      <c r="V656" s="16">
        <v>29887.599560869854</v>
      </c>
      <c r="W656" s="20"/>
      <c r="X656" s="21"/>
      <c r="Y656" s="21"/>
      <c r="Z656" s="21"/>
      <c r="AA656" s="21"/>
      <c r="AB656" s="21"/>
    </row>
    <row r="657" ht="20.25" customHeight="1">
      <c r="A657" s="139"/>
      <c r="B657" s="21"/>
      <c r="C657" s="21"/>
      <c r="D657" s="21"/>
      <c r="E657" s="21"/>
      <c r="F657" s="21"/>
      <c r="G657" s="21"/>
      <c r="H657" s="21"/>
      <c r="I657" s="21"/>
      <c r="J657" s="21"/>
      <c r="K657" s="204"/>
      <c r="L657" s="54"/>
      <c r="M657" s="213">
        <v>45649.50875523148</v>
      </c>
      <c r="N657" s="56">
        <v>1.04092500759875</v>
      </c>
      <c r="O657" s="16">
        <v>967708.9152852244</v>
      </c>
      <c r="P657" s="57">
        <v>929662.471571873</v>
      </c>
      <c r="Q657" s="55">
        <v>10.068547591494022</v>
      </c>
      <c r="R657" s="16">
        <v>482056.2474216716</v>
      </c>
      <c r="S657" s="17">
        <v>329366.23411599855</v>
      </c>
      <c r="T657" s="16"/>
      <c r="U657" s="16">
        <v>967708.9152852244</v>
      </c>
      <c r="V657" s="16">
        <v>29887.599560869854</v>
      </c>
      <c r="W657" s="20"/>
      <c r="X657" s="21"/>
      <c r="Y657" s="21"/>
      <c r="Z657" s="21"/>
      <c r="AA657" s="21"/>
      <c r="AB657" s="21"/>
    </row>
    <row r="658" ht="20.25" customHeight="1">
      <c r="A658" s="139"/>
      <c r="B658" s="21"/>
      <c r="C658" s="21"/>
      <c r="D658" s="21"/>
      <c r="E658" s="21"/>
      <c r="F658" s="21"/>
      <c r="G658" s="21"/>
      <c r="H658" s="21"/>
      <c r="I658" s="21"/>
      <c r="J658" s="21"/>
      <c r="K658" s="204"/>
      <c r="L658" s="54"/>
      <c r="M658" s="213">
        <v>45650.508753773145</v>
      </c>
      <c r="N658" s="56">
        <v>1.03944053152831</v>
      </c>
      <c r="O658" s="16">
        <v>957257.6435599638</v>
      </c>
      <c r="P658" s="57">
        <v>920935.4595327247</v>
      </c>
      <c r="Q658" s="55">
        <v>10.196712503675704</v>
      </c>
      <c r="R658" s="16">
        <v>470856.39043619187</v>
      </c>
      <c r="S658" s="17">
        <v>334334.39192002924</v>
      </c>
      <c r="T658" s="16"/>
      <c r="U658" s="16">
        <v>957257.6435599638</v>
      </c>
      <c r="V658" s="16">
        <v>29887.599560869854</v>
      </c>
      <c r="W658" s="20"/>
      <c r="X658" s="21"/>
      <c r="Y658" s="21"/>
      <c r="Z658" s="21"/>
      <c r="AA658" s="21"/>
      <c r="AB658" s="21"/>
    </row>
    <row r="659" ht="20.25" customHeight="1">
      <c r="A659" s="139"/>
      <c r="B659" s="21"/>
      <c r="C659" s="21"/>
      <c r="D659" s="21"/>
      <c r="E659" s="21"/>
      <c r="F659" s="21"/>
      <c r="G659" s="21"/>
      <c r="H659" s="21"/>
      <c r="I659" s="21"/>
      <c r="J659" s="21"/>
      <c r="K659" s="204"/>
      <c r="L659" s="54"/>
      <c r="M659" s="213">
        <v>45651.50875679398</v>
      </c>
      <c r="N659" s="56">
        <v>1.04134992273184</v>
      </c>
      <c r="O659" s="16">
        <v>997294.3722506511</v>
      </c>
      <c r="P659" s="57">
        <v>957693.8073173184</v>
      </c>
      <c r="Q659" s="55">
        <v>10.121833359588301</v>
      </c>
      <c r="R659" s="16">
        <v>494178.6583916693</v>
      </c>
      <c r="S659" s="17">
        <v>346434.12411740475</v>
      </c>
      <c r="T659" s="16"/>
      <c r="U659" s="16">
        <v>997294.3722506511</v>
      </c>
      <c r="V659" s="16">
        <v>29887.599560869854</v>
      </c>
      <c r="W659" s="20"/>
      <c r="X659" s="21"/>
      <c r="Y659" s="21"/>
      <c r="Z659" s="21"/>
      <c r="AA659" s="21"/>
      <c r="AB659" s="21"/>
    </row>
    <row r="660" ht="20.25" customHeight="1">
      <c r="A660" s="139"/>
      <c r="B660" s="21"/>
      <c r="C660" s="21"/>
      <c r="D660" s="21"/>
      <c r="E660" s="21"/>
      <c r="F660" s="21"/>
      <c r="G660" s="21"/>
      <c r="H660" s="21"/>
      <c r="I660" s="21"/>
      <c r="J660" s="21"/>
      <c r="K660" s="204"/>
      <c r="L660" s="54"/>
      <c r="M660" s="213">
        <v>45652.508758842596</v>
      </c>
      <c r="N660" s="56">
        <v>1.0400589089366</v>
      </c>
      <c r="O660" s="16">
        <v>964896.3023347505</v>
      </c>
      <c r="P660" s="57">
        <v>927732.3563540273</v>
      </c>
      <c r="Q660" s="55">
        <v>10.087907994981926</v>
      </c>
      <c r="R660" s="16">
        <v>479732.7087342183</v>
      </c>
      <c r="S660" s="17">
        <v>332301.17108571663</v>
      </c>
      <c r="T660" s="16"/>
      <c r="U660" s="16">
        <v>964896.3023347505</v>
      </c>
      <c r="V660" s="16">
        <v>29887.599560869854</v>
      </c>
      <c r="W660" s="20"/>
      <c r="X660" s="21"/>
      <c r="Y660" s="21"/>
      <c r="Z660" s="21"/>
      <c r="AA660" s="21"/>
      <c r="AB660" s="21"/>
    </row>
    <row r="661" ht="20.25" customHeight="1">
      <c r="A661" s="139"/>
      <c r="B661" s="21"/>
      <c r="C661" s="21"/>
      <c r="D661" s="21"/>
      <c r="E661" s="21"/>
      <c r="F661" s="21"/>
      <c r="G661" s="21"/>
      <c r="H661" s="21"/>
      <c r="I661" s="21"/>
      <c r="J661" s="21"/>
      <c r="K661" s="204"/>
      <c r="L661" s="54"/>
      <c r="M661" s="213">
        <v>45653.50875059028</v>
      </c>
      <c r="N661" s="56">
        <v>1.04158963243343</v>
      </c>
      <c r="O661" s="16">
        <v>977256.4949384121</v>
      </c>
      <c r="P661" s="57">
        <v>938235.6203520205</v>
      </c>
      <c r="Q661" s="55">
        <v>10.12972592745662</v>
      </c>
      <c r="R661" s="16">
        <v>483872.1998514891</v>
      </c>
      <c r="S661" s="17">
        <v>335621.0095317027</v>
      </c>
      <c r="T661" s="16"/>
      <c r="U661" s="16">
        <v>977256.4949384121</v>
      </c>
      <c r="V661" s="16">
        <v>29887.599560869854</v>
      </c>
      <c r="W661" s="20"/>
      <c r="X661" s="21"/>
      <c r="Y661" s="21"/>
      <c r="Z661" s="21"/>
      <c r="AA661" s="21"/>
      <c r="AB661" s="21"/>
    </row>
    <row r="662" ht="20.25" customHeight="1">
      <c r="A662" s="139"/>
      <c r="B662" s="21"/>
      <c r="C662" s="21"/>
      <c r="D662" s="21"/>
      <c r="E662" s="21"/>
      <c r="F662" s="21"/>
      <c r="G662" s="21"/>
      <c r="H662" s="21"/>
      <c r="I662" s="21"/>
      <c r="J662" s="21"/>
      <c r="K662" s="204"/>
      <c r="L662" s="54"/>
      <c r="M662" s="213">
        <v>45654.50875892361</v>
      </c>
      <c r="N662" s="56">
        <v>1.04279962500925</v>
      </c>
      <c r="O662" s="16">
        <v>955544.3455977007</v>
      </c>
      <c r="P662" s="57">
        <v>916325.9390213386</v>
      </c>
      <c r="Q662" s="55">
        <v>10.11335849513595</v>
      </c>
      <c r="R662" s="16">
        <v>473887.4914837456</v>
      </c>
      <c r="S662" s="17">
        <v>328848.3107707434</v>
      </c>
      <c r="T662" s="16"/>
      <c r="U662" s="16">
        <v>955544.3455977007</v>
      </c>
      <c r="V662" s="16">
        <v>29887.599560869854</v>
      </c>
      <c r="W662" s="20"/>
      <c r="X662" s="21"/>
      <c r="Y662" s="21"/>
      <c r="Z662" s="21"/>
      <c r="AA662" s="21"/>
      <c r="AB662" s="21"/>
    </row>
    <row r="663" ht="20.25" customHeight="1">
      <c r="A663" s="139"/>
      <c r="B663" s="21"/>
      <c r="C663" s="21"/>
      <c r="D663" s="21"/>
      <c r="E663" s="21"/>
      <c r="F663" s="21"/>
      <c r="G663" s="21"/>
      <c r="H663" s="21"/>
      <c r="I663" s="21"/>
      <c r="J663" s="21"/>
      <c r="K663" s="204"/>
      <c r="L663" s="54"/>
      <c r="M663" s="213">
        <v>45655.508802916665</v>
      </c>
      <c r="N663" s="56">
        <v>1.04279962500925</v>
      </c>
      <c r="O663" s="16">
        <v>966618.7308863201</v>
      </c>
      <c r="P663" s="57">
        <v>926945.7983145573</v>
      </c>
      <c r="Q663" s="55">
        <v>10.177139024530863</v>
      </c>
      <c r="R663" s="16">
        <v>476375.3710474488</v>
      </c>
      <c r="S663" s="17">
        <v>334866.405445479</v>
      </c>
      <c r="T663" s="16"/>
      <c r="U663" s="16">
        <v>966618.7308863201</v>
      </c>
      <c r="V663" s="16">
        <v>29887.599560869854</v>
      </c>
      <c r="W663" s="20"/>
      <c r="X663" s="21"/>
      <c r="Y663" s="21"/>
      <c r="Z663" s="21"/>
      <c r="AA663" s="21"/>
      <c r="AB663" s="21"/>
    </row>
    <row r="664" ht="20.25" customHeight="1">
      <c r="A664" s="139"/>
      <c r="B664" s="21"/>
      <c r="C664" s="21"/>
      <c r="D664" s="21"/>
      <c r="E664" s="21"/>
      <c r="F664" s="21"/>
      <c r="G664" s="21"/>
      <c r="H664" s="21"/>
      <c r="I664" s="21"/>
      <c r="J664" s="21"/>
      <c r="K664" s="204"/>
      <c r="L664" s="54"/>
      <c r="M664" s="213">
        <v>45656.50874950232</v>
      </c>
      <c r="N664" s="56">
        <v>1.04413452211529</v>
      </c>
      <c r="O664" s="16">
        <v>956804.2791139582</v>
      </c>
      <c r="P664" s="57">
        <v>916361.1190400914</v>
      </c>
      <c r="Q664" s="55">
        <v>10.24561825155122</v>
      </c>
      <c r="R664" s="16">
        <v>468386.89939951146</v>
      </c>
      <c r="S664" s="17">
        <v>334301.6260626858</v>
      </c>
      <c r="T664" s="16"/>
      <c r="U664" s="16">
        <v>956804.2791139582</v>
      </c>
      <c r="V664" s="16">
        <v>29887.599560869854</v>
      </c>
      <c r="W664" s="20"/>
      <c r="X664" s="21"/>
      <c r="Y664" s="21"/>
      <c r="Z664" s="21"/>
      <c r="AA664" s="21"/>
      <c r="AB664" s="21"/>
    </row>
    <row r="665" ht="20.25" customHeight="1">
      <c r="A665" s="139"/>
      <c r="B665" s="21"/>
      <c r="C665" s="21"/>
      <c r="D665" s="21"/>
      <c r="E665" s="21"/>
      <c r="F665" s="21"/>
      <c r="G665" s="21"/>
      <c r="H665" s="21"/>
      <c r="I665" s="21"/>
      <c r="J665" s="21"/>
      <c r="K665" s="204"/>
      <c r="L665" s="54"/>
      <c r="M665" s="213">
        <v>45657.508754016206</v>
      </c>
      <c r="N665" s="56">
        <v>1.0408849187225</v>
      </c>
      <c r="O665" s="16">
        <v>956530.4041803785</v>
      </c>
      <c r="P665" s="57">
        <v>918958.8464345784</v>
      </c>
      <c r="Q665" s="55">
        <v>10.16881709566698</v>
      </c>
      <c r="R665" s="16">
        <v>471789.36181134987</v>
      </c>
      <c r="S665" s="17">
        <v>334268.6840995589</v>
      </c>
      <c r="T665" s="16"/>
      <c r="U665" s="16">
        <v>956530.4041803785</v>
      </c>
      <c r="V665" s="16">
        <v>29887.599560869854</v>
      </c>
      <c r="W665" s="20"/>
      <c r="X665" s="21"/>
      <c r="Y665" s="21"/>
      <c r="Z665" s="21"/>
      <c r="AA665" s="21"/>
      <c r="AB665" s="21"/>
    </row>
    <row r="666" ht="20.25" customHeight="1">
      <c r="A666" s="139"/>
      <c r="B666" s="21"/>
      <c r="C666" s="21"/>
      <c r="D666" s="21"/>
      <c r="E666" s="21"/>
      <c r="F666" s="21"/>
      <c r="G666" s="21"/>
      <c r="H666" s="21"/>
      <c r="I666" s="21"/>
      <c r="J666" s="21"/>
      <c r="K666" s="204"/>
      <c r="L666" s="54"/>
      <c r="M666" s="213">
        <v>45658.50875300926</v>
      </c>
      <c r="N666" s="56">
        <v>1.03499847337725</v>
      </c>
      <c r="O666" s="16">
        <v>940656.0968879662</v>
      </c>
      <c r="P666" s="57">
        <v>908847.8109717012</v>
      </c>
      <c r="Q666" s="55">
        <v>10.09968608357437</v>
      </c>
      <c r="R666" s="16">
        <v>467135.4218611305</v>
      </c>
      <c r="S666" s="17">
        <v>327438.5577183383</v>
      </c>
      <c r="T666" s="16"/>
      <c r="U666" s="16">
        <v>940656.0968879662</v>
      </c>
      <c r="V666" s="16">
        <v>29887.599560869854</v>
      </c>
      <c r="W666" s="20"/>
      <c r="X666" s="21"/>
      <c r="Y666" s="21"/>
      <c r="Z666" s="21"/>
      <c r="AA666" s="21"/>
      <c r="AB666" s="21"/>
    </row>
    <row r="667" ht="20.25" customHeight="1">
      <c r="A667" s="139"/>
      <c r="B667" s="21"/>
      <c r="C667" s="21"/>
      <c r="D667" s="21"/>
      <c r="E667" s="21"/>
      <c r="F667" s="21"/>
      <c r="G667" s="21"/>
      <c r="H667" s="21"/>
      <c r="I667" s="21"/>
      <c r="J667" s="21"/>
      <c r="K667" s="204"/>
      <c r="L667" s="54"/>
      <c r="M667" s="213">
        <v>45659.50875949074</v>
      </c>
      <c r="N667" s="56">
        <v>1.03536388899243</v>
      </c>
      <c r="O667" s="16">
        <v>982008.6282718056</v>
      </c>
      <c r="P667" s="57">
        <v>948467.1415645495</v>
      </c>
      <c r="Q667" s="55">
        <v>10.150804374884437</v>
      </c>
      <c r="R667" s="16">
        <v>485215.4781741559</v>
      </c>
      <c r="S667" s="17">
        <v>341650.2226389543</v>
      </c>
      <c r="T667" s="16"/>
      <c r="U667" s="16">
        <v>982008.6282718056</v>
      </c>
      <c r="V667" s="16">
        <v>29887.599560869854</v>
      </c>
      <c r="W667" s="20"/>
      <c r="X667" s="21"/>
      <c r="Y667" s="21"/>
      <c r="Z667" s="21"/>
      <c r="AA667" s="21"/>
      <c r="AB667" s="21"/>
    </row>
    <row r="668" ht="20.25" customHeight="1">
      <c r="A668" s="139"/>
      <c r="B668" s="21"/>
      <c r="C668" s="21"/>
      <c r="D668" s="21"/>
      <c r="E668" s="21"/>
      <c r="F668" s="21"/>
      <c r="G668" s="21"/>
      <c r="H668" s="21"/>
      <c r="I668" s="21"/>
      <c r="J668" s="21"/>
      <c r="K668" s="204"/>
      <c r="L668" s="54"/>
      <c r="M668" s="213">
        <v>45660.50875001158</v>
      </c>
      <c r="N668" s="56">
        <v>1.02833896520307</v>
      </c>
      <c r="O668" s="16">
        <v>954540.9355892215</v>
      </c>
      <c r="P668" s="57">
        <v>928235.6964862501</v>
      </c>
      <c r="Q668" s="55">
        <v>9.8971662881266</v>
      </c>
      <c r="R668" s="16">
        <v>483730.5225519558</v>
      </c>
      <c r="S668" s="17">
        <v>339656.8227527218</v>
      </c>
      <c r="T668" s="16"/>
      <c r="U668" s="16">
        <v>954540.9355892215</v>
      </c>
      <c r="V668" s="16">
        <v>29887.599560869854</v>
      </c>
      <c r="W668" s="20"/>
      <c r="X668" s="21"/>
      <c r="Y668" s="21"/>
      <c r="Z668" s="21"/>
      <c r="AA668" s="21"/>
      <c r="AB668" s="21"/>
    </row>
    <row r="669" ht="20.25" customHeight="1">
      <c r="A669" s="139"/>
      <c r="B669" s="21"/>
      <c r="C669" s="21"/>
      <c r="D669" s="21"/>
      <c r="E669" s="21"/>
      <c r="F669" s="21"/>
      <c r="G669" s="21"/>
      <c r="H669" s="21"/>
      <c r="I669" s="21"/>
      <c r="J669" s="21"/>
      <c r="K669" s="204"/>
      <c r="L669" s="54"/>
      <c r="M669" s="213">
        <v>45661.508757303236</v>
      </c>
      <c r="N669" s="56">
        <v>1.0311500106724</v>
      </c>
      <c r="O669" s="16">
        <v>978290.2814360363</v>
      </c>
      <c r="P669" s="57">
        <v>948737.1103241375</v>
      </c>
      <c r="Q669" s="55">
        <v>10.008661318836321</v>
      </c>
      <c r="R669" s="16">
        <v>490243.1638692134</v>
      </c>
      <c r="S669" s="17">
        <v>353347.91788201494</v>
      </c>
      <c r="T669" s="16"/>
      <c r="U669" s="16">
        <v>978290.2814360363</v>
      </c>
      <c r="V669" s="16">
        <v>29887.599560869854</v>
      </c>
      <c r="W669" s="20"/>
      <c r="X669" s="21"/>
      <c r="Y669" s="21"/>
      <c r="Z669" s="21"/>
      <c r="AA669" s="21"/>
      <c r="AB669" s="21"/>
    </row>
    <row r="670" ht="20.25" customHeight="1">
      <c r="A670" s="139"/>
      <c r="B670" s="21"/>
      <c r="C670" s="21"/>
      <c r="D670" s="21"/>
      <c r="E670" s="21"/>
      <c r="F670" s="21"/>
      <c r="G670" s="21"/>
      <c r="H670" s="21"/>
      <c r="I670" s="21"/>
      <c r="J670" s="21"/>
      <c r="K670" s="204"/>
      <c r="L670" s="54"/>
      <c r="M670" s="213">
        <v>45662.508757222226</v>
      </c>
      <c r="N670" s="56">
        <v>1.0311500106724</v>
      </c>
      <c r="O670" s="16">
        <v>1007622.3498629594</v>
      </c>
      <c r="P670" s="57">
        <v>977183.0862959516</v>
      </c>
      <c r="Q670" s="55">
        <v>10.31703724054796</v>
      </c>
      <c r="R670" s="16">
        <v>489849.4158613606</v>
      </c>
      <c r="S670" s="17">
        <v>355869.7467264014</v>
      </c>
      <c r="T670" s="16"/>
      <c r="U670" s="16">
        <v>1007622.3498629594</v>
      </c>
      <c r="V670" s="16">
        <v>37589.59956086985</v>
      </c>
      <c r="W670" s="20"/>
      <c r="X670" s="21"/>
      <c r="Y670" s="21"/>
      <c r="Z670" s="21"/>
      <c r="AA670" s="21"/>
      <c r="AB670" s="21"/>
    </row>
    <row r="671" ht="20.25" customHeight="1">
      <c r="A671" s="139"/>
      <c r="B671" s="21"/>
      <c r="C671" s="21"/>
      <c r="D671" s="21"/>
      <c r="E671" s="21"/>
      <c r="F671" s="21"/>
      <c r="G671" s="21"/>
      <c r="H671" s="21"/>
      <c r="I671" s="21"/>
      <c r="J671" s="21"/>
      <c r="K671" s="204"/>
      <c r="L671" s="54"/>
      <c r="M671" s="213">
        <v>45663.50875886574</v>
      </c>
      <c r="N671" s="56">
        <v>1.03488279434913</v>
      </c>
      <c r="O671" s="16">
        <v>1016913.2280651212</v>
      </c>
      <c r="P671" s="57">
        <v>982636.1338867262</v>
      </c>
      <c r="Q671" s="55">
        <v>10.280945045524655</v>
      </c>
      <c r="R671" s="16">
        <v>496101.6365672669</v>
      </c>
      <c r="S671" s="17">
        <v>358858.039552956</v>
      </c>
      <c r="T671" s="16"/>
      <c r="U671" s="16">
        <v>1016913.2280651212</v>
      </c>
      <c r="V671" s="16">
        <v>36589.59956086985</v>
      </c>
      <c r="W671" s="20"/>
      <c r="X671" s="21"/>
      <c r="Y671" s="21"/>
      <c r="Z671" s="21"/>
      <c r="AA671" s="21"/>
      <c r="AB671" s="21"/>
    </row>
    <row r="672" ht="20.25" customHeight="1">
      <c r="A672" s="139"/>
      <c r="B672" s="21"/>
      <c r="C672" s="21"/>
      <c r="D672" s="21"/>
      <c r="E672" s="21"/>
      <c r="F672" s="21"/>
      <c r="G672" s="21"/>
      <c r="H672" s="21"/>
      <c r="I672" s="21"/>
      <c r="J672" s="21"/>
      <c r="K672" s="204"/>
      <c r="L672" s="54"/>
      <c r="M672" s="213">
        <v>45664.50875163195</v>
      </c>
      <c r="N672" s="56">
        <v>1.04328484493136</v>
      </c>
      <c r="O672" s="16">
        <v>1036469.0959539884</v>
      </c>
      <c r="P672" s="57">
        <v>993467.0296319504</v>
      </c>
      <c r="Q672" s="55">
        <v>10.217527437168805</v>
      </c>
      <c r="R672" s="16">
        <v>508780.36853416794</v>
      </c>
      <c r="S672" s="17">
        <v>360420.4067451027</v>
      </c>
      <c r="T672" s="16"/>
      <c r="U672" s="16">
        <v>1036469.0959539884</v>
      </c>
      <c r="V672" s="16">
        <v>34589.59956086985</v>
      </c>
      <c r="W672" s="20"/>
      <c r="X672" s="21"/>
      <c r="Y672" s="21"/>
      <c r="Z672" s="21"/>
      <c r="AA672" s="21"/>
      <c r="AB672" s="21"/>
    </row>
    <row r="673" ht="20.25" customHeight="1">
      <c r="A673" s="139"/>
      <c r="B673" s="21"/>
      <c r="C673" s="21"/>
      <c r="D673" s="21"/>
      <c r="E673" s="21"/>
      <c r="F673" s="21"/>
      <c r="G673" s="21"/>
      <c r="H673" s="21"/>
      <c r="I673" s="21"/>
      <c r="J673" s="21"/>
      <c r="K673" s="204"/>
      <c r="L673" s="54"/>
      <c r="M673" s="55"/>
      <c r="N673" s="56"/>
      <c r="O673" s="16"/>
      <c r="P673" s="57"/>
      <c r="Q673" s="55"/>
      <c r="R673" s="16"/>
      <c r="S673" s="17"/>
      <c r="T673" s="16"/>
      <c r="U673" s="16"/>
      <c r="V673" s="16"/>
      <c r="W673" s="20"/>
      <c r="X673" s="21"/>
      <c r="Y673" s="21"/>
      <c r="Z673" s="21"/>
      <c r="AA673" s="21"/>
      <c r="AB673" s="21"/>
    </row>
    <row r="674" ht="20.25" customHeight="1">
      <c r="A674" s="139"/>
      <c r="B674" s="21"/>
      <c r="C674" s="21"/>
      <c r="D674" s="21"/>
      <c r="E674" s="21"/>
      <c r="F674" s="21"/>
      <c r="G674" s="21"/>
      <c r="H674" s="21"/>
      <c r="I674" s="21"/>
      <c r="J674" s="21"/>
      <c r="K674" s="204"/>
      <c r="L674" s="54"/>
      <c r="M674" s="55"/>
      <c r="N674" s="56"/>
      <c r="O674" s="16"/>
      <c r="P674" s="57"/>
      <c r="Q674" s="55"/>
      <c r="R674" s="16"/>
      <c r="S674" s="17"/>
      <c r="T674" s="16"/>
      <c r="U674" s="16"/>
      <c r="V674" s="16"/>
      <c r="W674" s="20"/>
      <c r="X674" s="21"/>
      <c r="Y674" s="21"/>
      <c r="Z674" s="21"/>
      <c r="AA674" s="21"/>
      <c r="AB674" s="21"/>
    </row>
    <row r="675" ht="20.25" customHeight="1">
      <c r="A675" s="139"/>
      <c r="B675" s="21"/>
      <c r="C675" s="21"/>
      <c r="D675" s="21"/>
      <c r="E675" s="21"/>
      <c r="F675" s="21"/>
      <c r="G675" s="21"/>
      <c r="H675" s="21"/>
      <c r="I675" s="21"/>
      <c r="J675" s="21"/>
      <c r="K675" s="204"/>
      <c r="L675" s="54"/>
      <c r="M675" s="55"/>
      <c r="N675" s="56"/>
      <c r="O675" s="16"/>
      <c r="P675" s="57"/>
      <c r="Q675" s="55"/>
      <c r="R675" s="16"/>
      <c r="S675" s="17"/>
      <c r="T675" s="16"/>
      <c r="U675" s="16"/>
      <c r="V675" s="16"/>
      <c r="W675" s="20"/>
      <c r="X675" s="21"/>
      <c r="Y675" s="21"/>
      <c r="Z675" s="21"/>
      <c r="AA675" s="21"/>
      <c r="AB675" s="21"/>
    </row>
    <row r="676" ht="20.25" customHeight="1">
      <c r="A676" s="139"/>
      <c r="B676" s="21"/>
      <c r="C676" s="21"/>
      <c r="D676" s="21"/>
      <c r="E676" s="21"/>
      <c r="F676" s="21"/>
      <c r="G676" s="21"/>
      <c r="H676" s="21"/>
      <c r="I676" s="21"/>
      <c r="J676" s="21"/>
      <c r="K676" s="204"/>
      <c r="L676" s="54"/>
      <c r="M676" s="55"/>
      <c r="N676" s="56"/>
      <c r="O676" s="16"/>
      <c r="P676" s="57"/>
      <c r="Q676" s="55"/>
      <c r="R676" s="16"/>
      <c r="S676" s="17"/>
      <c r="T676" s="16"/>
      <c r="U676" s="16"/>
      <c r="V676" s="16"/>
      <c r="W676" s="20"/>
      <c r="X676" s="21"/>
      <c r="Y676" s="21"/>
      <c r="Z676" s="21"/>
      <c r="AA676" s="21"/>
      <c r="AB676" s="21"/>
    </row>
    <row r="677" ht="20.25" customHeight="1">
      <c r="A677" s="139"/>
      <c r="B677" s="21"/>
      <c r="C677" s="21"/>
      <c r="D677" s="21"/>
      <c r="E677" s="21"/>
      <c r="F677" s="21"/>
      <c r="G677" s="21"/>
      <c r="H677" s="21"/>
      <c r="I677" s="21"/>
      <c r="J677" s="21"/>
      <c r="K677" s="204"/>
      <c r="L677" s="54"/>
      <c r="M677" s="55"/>
      <c r="N677" s="56"/>
      <c r="O677" s="16"/>
      <c r="P677" s="57"/>
      <c r="Q677" s="55"/>
      <c r="R677" s="16"/>
      <c r="S677" s="17"/>
      <c r="T677" s="16"/>
      <c r="U677" s="16"/>
      <c r="V677" s="16"/>
      <c r="W677" s="20"/>
      <c r="X677" s="21"/>
      <c r="Y677" s="21"/>
      <c r="Z677" s="21"/>
      <c r="AA677" s="21"/>
      <c r="AB677" s="21"/>
    </row>
    <row r="678" ht="20.25" customHeight="1">
      <c r="A678" s="139"/>
      <c r="B678" s="21"/>
      <c r="C678" s="21"/>
      <c r="D678" s="21"/>
      <c r="E678" s="21"/>
      <c r="F678" s="21"/>
      <c r="G678" s="21"/>
      <c r="H678" s="21"/>
      <c r="I678" s="21"/>
      <c r="J678" s="21"/>
      <c r="K678" s="204"/>
      <c r="L678" s="54"/>
      <c r="M678" s="55"/>
      <c r="N678" s="56"/>
      <c r="O678" s="16"/>
      <c r="P678" s="57"/>
      <c r="Q678" s="55"/>
      <c r="R678" s="16"/>
      <c r="S678" s="17"/>
      <c r="T678" s="16"/>
      <c r="U678" s="16"/>
      <c r="V678" s="16"/>
      <c r="W678" s="20"/>
      <c r="X678" s="21"/>
      <c r="Y678" s="21"/>
      <c r="Z678" s="21"/>
      <c r="AA678" s="21"/>
      <c r="AB678" s="21"/>
    </row>
    <row r="679" ht="20.25" customHeight="1">
      <c r="A679" s="139"/>
      <c r="B679" s="21"/>
      <c r="C679" s="21"/>
      <c r="D679" s="21"/>
      <c r="E679" s="21"/>
      <c r="F679" s="21"/>
      <c r="G679" s="21"/>
      <c r="H679" s="21"/>
      <c r="I679" s="21"/>
      <c r="J679" s="21"/>
      <c r="K679" s="204"/>
      <c r="L679" s="54"/>
      <c r="M679" s="55"/>
      <c r="N679" s="56"/>
      <c r="O679" s="16"/>
      <c r="P679" s="57"/>
      <c r="Q679" s="55"/>
      <c r="R679" s="16"/>
      <c r="S679" s="17"/>
      <c r="T679" s="16"/>
      <c r="U679" s="16"/>
      <c r="V679" s="16"/>
      <c r="W679" s="20"/>
      <c r="X679" s="21"/>
      <c r="Y679" s="21"/>
      <c r="Z679" s="21"/>
      <c r="AA679" s="21"/>
      <c r="AB679" s="21"/>
    </row>
    <row r="680" ht="20.25" customHeight="1">
      <c r="A680" s="139"/>
      <c r="B680" s="21"/>
      <c r="C680" s="21"/>
      <c r="D680" s="21"/>
      <c r="E680" s="21"/>
      <c r="F680" s="21"/>
      <c r="G680" s="21"/>
      <c r="H680" s="21"/>
      <c r="I680" s="21"/>
      <c r="J680" s="21"/>
      <c r="K680" s="204"/>
      <c r="L680" s="54"/>
      <c r="M680" s="55"/>
      <c r="N680" s="56"/>
      <c r="O680" s="16"/>
      <c r="P680" s="57"/>
      <c r="Q680" s="55"/>
      <c r="R680" s="16"/>
      <c r="S680" s="17"/>
      <c r="T680" s="16"/>
      <c r="U680" s="16"/>
      <c r="V680" s="16"/>
      <c r="W680" s="20"/>
      <c r="X680" s="21"/>
      <c r="Y680" s="21"/>
      <c r="Z680" s="21"/>
      <c r="AA680" s="21"/>
      <c r="AB680" s="21"/>
    </row>
    <row r="681" ht="20.25" customHeight="1">
      <c r="A681" s="139"/>
      <c r="B681" s="21"/>
      <c r="C681" s="21"/>
      <c r="D681" s="21"/>
      <c r="E681" s="21"/>
      <c r="F681" s="21"/>
      <c r="G681" s="21"/>
      <c r="H681" s="21"/>
      <c r="I681" s="21"/>
      <c r="J681" s="21"/>
      <c r="K681" s="204"/>
      <c r="L681" s="54"/>
      <c r="M681" s="55"/>
      <c r="N681" s="56"/>
      <c r="O681" s="16"/>
      <c r="P681" s="57"/>
      <c r="Q681" s="55"/>
      <c r="R681" s="16"/>
      <c r="S681" s="17"/>
      <c r="T681" s="16"/>
      <c r="U681" s="16"/>
      <c r="V681" s="16"/>
      <c r="W681" s="20"/>
      <c r="X681" s="21"/>
      <c r="Y681" s="21"/>
      <c r="Z681" s="21"/>
      <c r="AA681" s="21"/>
      <c r="AB681" s="21"/>
    </row>
    <row r="682" ht="20.25" customHeight="1">
      <c r="A682" s="139"/>
      <c r="B682" s="21"/>
      <c r="C682" s="21"/>
      <c r="D682" s="21"/>
      <c r="E682" s="21"/>
      <c r="F682" s="21"/>
      <c r="G682" s="21"/>
      <c r="H682" s="21"/>
      <c r="I682" s="21"/>
      <c r="J682" s="21"/>
      <c r="K682" s="204"/>
      <c r="L682" s="54"/>
      <c r="M682" s="55"/>
      <c r="N682" s="56"/>
      <c r="O682" s="16"/>
      <c r="P682" s="57"/>
      <c r="Q682" s="55"/>
      <c r="R682" s="16"/>
      <c r="S682" s="17"/>
      <c r="T682" s="16"/>
      <c r="U682" s="16"/>
      <c r="V682" s="16"/>
      <c r="W682" s="20"/>
      <c r="X682" s="21"/>
      <c r="Y682" s="21"/>
      <c r="Z682" s="21"/>
      <c r="AA682" s="21"/>
      <c r="AB682" s="21"/>
    </row>
    <row r="683" ht="20.25" customHeight="1">
      <c r="A683" s="139"/>
      <c r="B683" s="21"/>
      <c r="C683" s="21"/>
      <c r="D683" s="21"/>
      <c r="E683" s="21"/>
      <c r="F683" s="21"/>
      <c r="G683" s="21"/>
      <c r="H683" s="21"/>
      <c r="I683" s="21"/>
      <c r="J683" s="21"/>
      <c r="K683" s="204"/>
      <c r="L683" s="54"/>
      <c r="M683" s="55"/>
      <c r="N683" s="56"/>
      <c r="O683" s="16"/>
      <c r="P683" s="57"/>
      <c r="Q683" s="55"/>
      <c r="R683" s="16"/>
      <c r="S683" s="17"/>
      <c r="T683" s="16"/>
      <c r="U683" s="16"/>
      <c r="V683" s="16"/>
      <c r="W683" s="20"/>
      <c r="X683" s="21"/>
      <c r="Y683" s="21"/>
      <c r="Z683" s="21"/>
      <c r="AA683" s="21"/>
      <c r="AB683" s="21"/>
    </row>
    <row r="684" ht="20.25" customHeight="1">
      <c r="A684" s="139"/>
      <c r="B684" s="21"/>
      <c r="C684" s="21"/>
      <c r="D684" s="21"/>
      <c r="E684" s="21"/>
      <c r="F684" s="21"/>
      <c r="G684" s="21"/>
      <c r="H684" s="21"/>
      <c r="I684" s="21"/>
      <c r="J684" s="21"/>
      <c r="K684" s="204"/>
      <c r="L684" s="54"/>
      <c r="M684" s="55"/>
      <c r="N684" s="56"/>
      <c r="O684" s="16"/>
      <c r="P684" s="57"/>
      <c r="Q684" s="55"/>
      <c r="R684" s="16"/>
      <c r="S684" s="17"/>
      <c r="T684" s="16"/>
      <c r="U684" s="16"/>
      <c r="V684" s="16"/>
      <c r="W684" s="20"/>
      <c r="X684" s="21"/>
      <c r="Y684" s="21"/>
      <c r="Z684" s="21"/>
      <c r="AA684" s="21"/>
      <c r="AB684" s="21"/>
    </row>
    <row r="685" ht="20.25" customHeight="1">
      <c r="A685" s="139"/>
      <c r="B685" s="21"/>
      <c r="C685" s="21"/>
      <c r="D685" s="21"/>
      <c r="E685" s="21"/>
      <c r="F685" s="21"/>
      <c r="G685" s="21"/>
      <c r="H685" s="21"/>
      <c r="I685" s="21"/>
      <c r="J685" s="21"/>
      <c r="K685" s="204"/>
      <c r="L685" s="54"/>
      <c r="M685" s="55"/>
      <c r="N685" s="56"/>
      <c r="O685" s="16"/>
      <c r="P685" s="57"/>
      <c r="Q685" s="55"/>
      <c r="R685" s="16"/>
      <c r="S685" s="17"/>
      <c r="T685" s="16"/>
      <c r="U685" s="16"/>
      <c r="V685" s="16"/>
      <c r="W685" s="20"/>
      <c r="X685" s="21"/>
      <c r="Y685" s="21"/>
      <c r="Z685" s="21"/>
      <c r="AA685" s="21"/>
      <c r="AB685" s="21"/>
    </row>
    <row r="686" ht="20.25" customHeight="1">
      <c r="A686" s="139"/>
      <c r="B686" s="21"/>
      <c r="C686" s="21"/>
      <c r="D686" s="21"/>
      <c r="E686" s="21"/>
      <c r="F686" s="21"/>
      <c r="G686" s="21"/>
      <c r="H686" s="21"/>
      <c r="I686" s="21"/>
      <c r="J686" s="21"/>
      <c r="K686" s="204"/>
      <c r="L686" s="54"/>
      <c r="M686" s="55"/>
      <c r="N686" s="56"/>
      <c r="O686" s="16"/>
      <c r="P686" s="57"/>
      <c r="Q686" s="55"/>
      <c r="R686" s="16"/>
      <c r="S686" s="17"/>
      <c r="T686" s="16"/>
      <c r="U686" s="16"/>
      <c r="V686" s="16"/>
      <c r="W686" s="20"/>
      <c r="X686" s="21"/>
      <c r="Y686" s="21"/>
      <c r="Z686" s="21"/>
      <c r="AA686" s="21"/>
      <c r="AB686" s="21"/>
    </row>
    <row r="687" ht="20.25" customHeight="1">
      <c r="A687" s="139"/>
      <c r="B687" s="21"/>
      <c r="C687" s="21"/>
      <c r="D687" s="21"/>
      <c r="E687" s="21"/>
      <c r="F687" s="21"/>
      <c r="G687" s="21"/>
      <c r="H687" s="21"/>
      <c r="I687" s="21"/>
      <c r="J687" s="21"/>
      <c r="K687" s="204"/>
      <c r="L687" s="54"/>
      <c r="M687" s="55"/>
      <c r="N687" s="56"/>
      <c r="O687" s="16"/>
      <c r="P687" s="57"/>
      <c r="Q687" s="55"/>
      <c r="R687" s="16"/>
      <c r="S687" s="17"/>
      <c r="T687" s="16"/>
      <c r="U687" s="16"/>
      <c r="V687" s="16"/>
      <c r="W687" s="20"/>
      <c r="X687" s="21"/>
      <c r="Y687" s="21"/>
      <c r="Z687" s="21"/>
      <c r="AA687" s="21"/>
      <c r="AB687" s="21"/>
    </row>
    <row r="688" ht="20.25" customHeight="1">
      <c r="A688" s="139"/>
      <c r="B688" s="21"/>
      <c r="C688" s="21"/>
      <c r="D688" s="21"/>
      <c r="E688" s="21"/>
      <c r="F688" s="21"/>
      <c r="G688" s="21"/>
      <c r="H688" s="21"/>
      <c r="I688" s="21"/>
      <c r="J688" s="21"/>
      <c r="K688" s="204"/>
      <c r="L688" s="54"/>
      <c r="M688" s="55"/>
      <c r="N688" s="56"/>
      <c r="O688" s="16"/>
      <c r="P688" s="57"/>
      <c r="Q688" s="55"/>
      <c r="R688" s="16"/>
      <c r="S688" s="17"/>
      <c r="T688" s="16"/>
      <c r="U688" s="16"/>
      <c r="V688" s="16"/>
      <c r="W688" s="20"/>
      <c r="X688" s="21"/>
      <c r="Y688" s="21"/>
      <c r="Z688" s="21"/>
      <c r="AA688" s="21"/>
      <c r="AB688" s="21"/>
    </row>
    <row r="689" ht="20.25" customHeight="1">
      <c r="A689" s="139"/>
      <c r="B689" s="21"/>
      <c r="C689" s="21"/>
      <c r="D689" s="21"/>
      <c r="E689" s="21"/>
      <c r="F689" s="21"/>
      <c r="G689" s="21"/>
      <c r="H689" s="21"/>
      <c r="I689" s="21"/>
      <c r="J689" s="21"/>
      <c r="K689" s="204"/>
      <c r="L689" s="54"/>
      <c r="M689" s="55"/>
      <c r="N689" s="56"/>
      <c r="O689" s="16"/>
      <c r="P689" s="57"/>
      <c r="Q689" s="55"/>
      <c r="R689" s="16"/>
      <c r="S689" s="17"/>
      <c r="T689" s="16"/>
      <c r="U689" s="16"/>
      <c r="V689" s="16"/>
      <c r="W689" s="20"/>
      <c r="X689" s="21"/>
      <c r="Y689" s="21"/>
      <c r="Z689" s="21"/>
      <c r="AA689" s="21"/>
      <c r="AB689" s="21"/>
    </row>
    <row r="690" ht="20.25" customHeight="1">
      <c r="A690" s="139"/>
      <c r="B690" s="21"/>
      <c r="C690" s="21"/>
      <c r="D690" s="21"/>
      <c r="E690" s="21"/>
      <c r="F690" s="21"/>
      <c r="G690" s="21"/>
      <c r="H690" s="21"/>
      <c r="I690" s="21"/>
      <c r="J690" s="21"/>
      <c r="K690" s="204"/>
      <c r="L690" s="54"/>
      <c r="M690" s="55"/>
      <c r="N690" s="56"/>
      <c r="O690" s="16"/>
      <c r="P690" s="57"/>
      <c r="Q690" s="55"/>
      <c r="R690" s="16"/>
      <c r="S690" s="17"/>
      <c r="T690" s="16"/>
      <c r="U690" s="16"/>
      <c r="V690" s="16"/>
      <c r="W690" s="20"/>
      <c r="X690" s="21"/>
      <c r="Y690" s="21"/>
      <c r="Z690" s="21"/>
      <c r="AA690" s="21"/>
      <c r="AB690" s="21"/>
    </row>
    <row r="691" ht="20.25" customHeight="1">
      <c r="A691" s="139"/>
      <c r="B691" s="21"/>
      <c r="C691" s="21"/>
      <c r="D691" s="21"/>
      <c r="E691" s="21"/>
      <c r="F691" s="21"/>
      <c r="G691" s="21"/>
      <c r="H691" s="21"/>
      <c r="I691" s="21"/>
      <c r="J691" s="21"/>
      <c r="K691" s="204"/>
      <c r="L691" s="54"/>
      <c r="M691" s="55"/>
      <c r="N691" s="56"/>
      <c r="O691" s="16"/>
      <c r="P691" s="57"/>
      <c r="Q691" s="55"/>
      <c r="R691" s="16"/>
      <c r="S691" s="17"/>
      <c r="T691" s="16"/>
      <c r="U691" s="16"/>
      <c r="V691" s="16"/>
      <c r="W691" s="20"/>
      <c r="X691" s="21"/>
      <c r="Y691" s="21"/>
      <c r="Z691" s="21"/>
      <c r="AA691" s="21"/>
      <c r="AB691" s="21"/>
    </row>
    <row r="692" ht="20.25" customHeight="1">
      <c r="A692" s="139"/>
      <c r="B692" s="21"/>
      <c r="C692" s="21"/>
      <c r="D692" s="21"/>
      <c r="E692" s="21"/>
      <c r="F692" s="21"/>
      <c r="G692" s="21"/>
      <c r="H692" s="21"/>
      <c r="I692" s="21"/>
      <c r="J692" s="21"/>
      <c r="K692" s="204"/>
      <c r="L692" s="54"/>
      <c r="M692" s="55"/>
      <c r="N692" s="56"/>
      <c r="O692" s="16"/>
      <c r="P692" s="57"/>
      <c r="Q692" s="55"/>
      <c r="R692" s="16"/>
      <c r="S692" s="17"/>
      <c r="T692" s="16"/>
      <c r="U692" s="16"/>
      <c r="V692" s="16"/>
      <c r="W692" s="20"/>
      <c r="X692" s="21"/>
      <c r="Y692" s="21"/>
      <c r="Z692" s="21"/>
      <c r="AA692" s="21"/>
      <c r="AB692" s="21"/>
    </row>
    <row r="693" ht="20.25" customHeight="1">
      <c r="A693" s="139"/>
      <c r="B693" s="21"/>
      <c r="C693" s="21"/>
      <c r="D693" s="21"/>
      <c r="E693" s="21"/>
      <c r="F693" s="21"/>
      <c r="G693" s="21"/>
      <c r="H693" s="21"/>
      <c r="I693" s="21"/>
      <c r="J693" s="21"/>
      <c r="K693" s="204"/>
      <c r="L693" s="54"/>
      <c r="M693" s="55"/>
      <c r="N693" s="56"/>
      <c r="O693" s="16"/>
      <c r="P693" s="57"/>
      <c r="Q693" s="55"/>
      <c r="R693" s="16"/>
      <c r="S693" s="17"/>
      <c r="T693" s="16"/>
      <c r="U693" s="16"/>
      <c r="V693" s="16"/>
      <c r="W693" s="20"/>
      <c r="X693" s="21"/>
      <c r="Y693" s="21"/>
      <c r="Z693" s="21"/>
      <c r="AA693" s="21"/>
      <c r="AB693" s="21"/>
    </row>
    <row r="694" ht="20.25" customHeight="1">
      <c r="A694" s="139"/>
      <c r="B694" s="21"/>
      <c r="C694" s="21"/>
      <c r="D694" s="21"/>
      <c r="E694" s="21"/>
      <c r="F694" s="21"/>
      <c r="G694" s="21"/>
      <c r="H694" s="21"/>
      <c r="I694" s="21"/>
      <c r="J694" s="21"/>
      <c r="K694" s="204"/>
      <c r="L694" s="54"/>
      <c r="M694" s="55"/>
      <c r="N694" s="56"/>
      <c r="O694" s="16"/>
      <c r="P694" s="57"/>
      <c r="Q694" s="55"/>
      <c r="R694" s="16"/>
      <c r="S694" s="17"/>
      <c r="T694" s="16"/>
      <c r="U694" s="16"/>
      <c r="V694" s="16"/>
      <c r="W694" s="20"/>
      <c r="X694" s="21"/>
      <c r="Y694" s="21"/>
      <c r="Z694" s="21"/>
      <c r="AA694" s="21"/>
      <c r="AB694" s="21"/>
    </row>
    <row r="695" ht="20.25" customHeight="1">
      <c r="A695" s="139"/>
      <c r="B695" s="21"/>
      <c r="C695" s="21"/>
      <c r="D695" s="21"/>
      <c r="E695" s="21"/>
      <c r="F695" s="21"/>
      <c r="G695" s="21"/>
      <c r="H695" s="21"/>
      <c r="I695" s="21"/>
      <c r="J695" s="21"/>
      <c r="K695" s="204"/>
      <c r="L695" s="54"/>
      <c r="M695" s="55"/>
      <c r="N695" s="56"/>
      <c r="O695" s="16"/>
      <c r="P695" s="57"/>
      <c r="Q695" s="55"/>
      <c r="R695" s="16"/>
      <c r="S695" s="17"/>
      <c r="T695" s="16"/>
      <c r="U695" s="16"/>
      <c r="V695" s="16"/>
      <c r="W695" s="20"/>
      <c r="X695" s="21"/>
      <c r="Y695" s="21"/>
      <c r="Z695" s="21"/>
      <c r="AA695" s="21"/>
      <c r="AB695" s="21"/>
    </row>
    <row r="696" ht="20.25" customHeight="1">
      <c r="A696" s="139"/>
      <c r="B696" s="21"/>
      <c r="C696" s="21"/>
      <c r="D696" s="21"/>
      <c r="E696" s="21"/>
      <c r="F696" s="21"/>
      <c r="G696" s="21"/>
      <c r="H696" s="21"/>
      <c r="I696" s="21"/>
      <c r="J696" s="21"/>
      <c r="K696" s="204"/>
      <c r="L696" s="54"/>
      <c r="M696" s="55"/>
      <c r="N696" s="56"/>
      <c r="O696" s="16"/>
      <c r="P696" s="57"/>
      <c r="Q696" s="55"/>
      <c r="R696" s="16"/>
      <c r="S696" s="17"/>
      <c r="T696" s="16"/>
      <c r="U696" s="16"/>
      <c r="V696" s="16"/>
      <c r="W696" s="20"/>
      <c r="X696" s="21"/>
      <c r="Y696" s="21"/>
      <c r="Z696" s="21"/>
      <c r="AA696" s="21"/>
      <c r="AB696" s="21"/>
    </row>
    <row r="697" ht="20.25" customHeight="1">
      <c r="A697" s="139"/>
      <c r="B697" s="21"/>
      <c r="C697" s="21"/>
      <c r="D697" s="21"/>
      <c r="E697" s="21"/>
      <c r="F697" s="21"/>
      <c r="G697" s="21"/>
      <c r="H697" s="21"/>
      <c r="I697" s="21"/>
      <c r="J697" s="21"/>
      <c r="K697" s="204"/>
      <c r="L697" s="54"/>
      <c r="M697" s="55"/>
      <c r="N697" s="56"/>
      <c r="O697" s="16"/>
      <c r="P697" s="57"/>
      <c r="Q697" s="55"/>
      <c r="R697" s="16"/>
      <c r="S697" s="17"/>
      <c r="T697" s="16"/>
      <c r="U697" s="16"/>
      <c r="V697" s="16"/>
      <c r="W697" s="20"/>
      <c r="X697" s="21"/>
      <c r="Y697" s="21"/>
      <c r="Z697" s="21"/>
      <c r="AA697" s="21"/>
      <c r="AB697" s="21"/>
    </row>
    <row r="698" ht="20.25" customHeight="1">
      <c r="A698" s="139"/>
      <c r="B698" s="21"/>
      <c r="C698" s="21"/>
      <c r="D698" s="21"/>
      <c r="E698" s="21"/>
      <c r="F698" s="21"/>
      <c r="G698" s="21"/>
      <c r="H698" s="21"/>
      <c r="I698" s="21"/>
      <c r="J698" s="21"/>
      <c r="K698" s="204"/>
      <c r="L698" s="54"/>
      <c r="M698" s="55"/>
      <c r="N698" s="56"/>
      <c r="O698" s="16"/>
      <c r="P698" s="57"/>
      <c r="Q698" s="55"/>
      <c r="R698" s="16"/>
      <c r="S698" s="17"/>
      <c r="T698" s="16"/>
      <c r="U698" s="16"/>
      <c r="V698" s="16"/>
      <c r="W698" s="20"/>
      <c r="X698" s="21"/>
      <c r="Y698" s="21"/>
      <c r="Z698" s="21"/>
      <c r="AA698" s="21"/>
      <c r="AB698" s="21"/>
    </row>
    <row r="699" ht="20.25" customHeight="1">
      <c r="A699" s="139"/>
      <c r="B699" s="21"/>
      <c r="C699" s="21"/>
      <c r="D699" s="21"/>
      <c r="E699" s="21"/>
      <c r="F699" s="21"/>
      <c r="G699" s="21"/>
      <c r="H699" s="21"/>
      <c r="I699" s="21"/>
      <c r="J699" s="21"/>
      <c r="K699" s="204"/>
      <c r="L699" s="54"/>
      <c r="M699" s="55"/>
      <c r="N699" s="56"/>
      <c r="O699" s="16"/>
      <c r="P699" s="57"/>
      <c r="Q699" s="55"/>
      <c r="R699" s="16"/>
      <c r="S699" s="17"/>
      <c r="T699" s="16"/>
      <c r="U699" s="16"/>
      <c r="V699" s="16"/>
      <c r="W699" s="20"/>
      <c r="X699" s="21"/>
      <c r="Y699" s="21"/>
      <c r="Z699" s="21"/>
      <c r="AA699" s="21"/>
      <c r="AB699" s="21"/>
    </row>
    <row r="700" ht="20.25" customHeight="1">
      <c r="A700" s="139"/>
      <c r="B700" s="21"/>
      <c r="C700" s="21"/>
      <c r="D700" s="21"/>
      <c r="E700" s="21"/>
      <c r="F700" s="21"/>
      <c r="G700" s="21"/>
      <c r="H700" s="21"/>
      <c r="I700" s="21"/>
      <c r="J700" s="21"/>
      <c r="K700" s="204"/>
      <c r="L700" s="54"/>
      <c r="M700" s="55"/>
      <c r="N700" s="56"/>
      <c r="O700" s="16"/>
      <c r="P700" s="57"/>
      <c r="Q700" s="55"/>
      <c r="R700" s="16"/>
      <c r="S700" s="17"/>
      <c r="T700" s="16"/>
      <c r="U700" s="16"/>
      <c r="V700" s="16"/>
      <c r="W700" s="20"/>
      <c r="X700" s="21"/>
      <c r="Y700" s="21"/>
      <c r="Z700" s="21"/>
      <c r="AA700" s="21"/>
      <c r="AB700" s="21"/>
    </row>
    <row r="701" ht="20.25" customHeight="1">
      <c r="A701" s="139"/>
      <c r="B701" s="21"/>
      <c r="C701" s="21"/>
      <c r="D701" s="21"/>
      <c r="E701" s="21"/>
      <c r="F701" s="21"/>
      <c r="G701" s="21"/>
      <c r="H701" s="21"/>
      <c r="I701" s="21"/>
      <c r="J701" s="21"/>
      <c r="K701" s="204"/>
      <c r="L701" s="54"/>
      <c r="M701" s="55"/>
      <c r="N701" s="56"/>
      <c r="O701" s="16"/>
      <c r="P701" s="57"/>
      <c r="Q701" s="55"/>
      <c r="R701" s="16"/>
      <c r="S701" s="17"/>
      <c r="T701" s="16"/>
      <c r="U701" s="16"/>
      <c r="V701" s="16"/>
      <c r="W701" s="20"/>
      <c r="X701" s="21"/>
      <c r="Y701" s="21"/>
      <c r="Z701" s="21"/>
      <c r="AA701" s="21"/>
      <c r="AB701" s="21"/>
    </row>
    <row r="702" ht="20.25" customHeight="1">
      <c r="A702" s="139"/>
      <c r="B702" s="21"/>
      <c r="C702" s="21"/>
      <c r="D702" s="21"/>
      <c r="E702" s="21"/>
      <c r="F702" s="21"/>
      <c r="G702" s="21"/>
      <c r="H702" s="21"/>
      <c r="I702" s="21"/>
      <c r="J702" s="21"/>
      <c r="K702" s="204"/>
      <c r="L702" s="54"/>
      <c r="M702" s="55"/>
      <c r="N702" s="56"/>
      <c r="O702" s="16"/>
      <c r="P702" s="57"/>
      <c r="Q702" s="55"/>
      <c r="R702" s="16"/>
      <c r="S702" s="17"/>
      <c r="T702" s="16"/>
      <c r="U702" s="16"/>
      <c r="V702" s="16"/>
      <c r="W702" s="20"/>
      <c r="X702" s="21"/>
      <c r="Y702" s="21"/>
      <c r="Z702" s="21"/>
      <c r="AA702" s="21"/>
      <c r="AB702" s="21"/>
    </row>
    <row r="703" ht="20.25" customHeight="1">
      <c r="A703" s="139"/>
      <c r="B703" s="21"/>
      <c r="C703" s="21"/>
      <c r="D703" s="21"/>
      <c r="E703" s="21"/>
      <c r="F703" s="21"/>
      <c r="G703" s="21"/>
      <c r="H703" s="21"/>
      <c r="I703" s="21"/>
      <c r="J703" s="21"/>
      <c r="K703" s="204"/>
      <c r="L703" s="54"/>
      <c r="M703" s="55"/>
      <c r="N703" s="56"/>
      <c r="O703" s="16"/>
      <c r="P703" s="57"/>
      <c r="Q703" s="55"/>
      <c r="R703" s="16"/>
      <c r="S703" s="17"/>
      <c r="T703" s="16"/>
      <c r="U703" s="16"/>
      <c r="V703" s="16"/>
      <c r="W703" s="20"/>
      <c r="X703" s="21"/>
      <c r="Y703" s="21"/>
      <c r="Z703" s="21"/>
      <c r="AA703" s="21"/>
      <c r="AB703" s="21"/>
    </row>
    <row r="704" ht="20.25" customHeight="1">
      <c r="A704" s="139"/>
      <c r="B704" s="21"/>
      <c r="C704" s="21"/>
      <c r="D704" s="21"/>
      <c r="E704" s="21"/>
      <c r="F704" s="21"/>
      <c r="G704" s="21"/>
      <c r="H704" s="21"/>
      <c r="I704" s="21"/>
      <c r="J704" s="21"/>
      <c r="K704" s="204"/>
      <c r="L704" s="54"/>
      <c r="M704" s="55"/>
      <c r="N704" s="56"/>
      <c r="O704" s="16"/>
      <c r="P704" s="57"/>
      <c r="Q704" s="55"/>
      <c r="R704" s="16"/>
      <c r="S704" s="17"/>
      <c r="T704" s="16"/>
      <c r="U704" s="16"/>
      <c r="V704" s="16"/>
      <c r="W704" s="20"/>
      <c r="X704" s="21"/>
      <c r="Y704" s="21"/>
      <c r="Z704" s="21"/>
      <c r="AA704" s="21"/>
      <c r="AB704" s="21"/>
    </row>
    <row r="705" ht="20.25" customHeight="1">
      <c r="A705" s="139"/>
      <c r="B705" s="21"/>
      <c r="C705" s="21"/>
      <c r="D705" s="21"/>
      <c r="E705" s="21"/>
      <c r="F705" s="21"/>
      <c r="G705" s="21"/>
      <c r="H705" s="21"/>
      <c r="I705" s="21"/>
      <c r="J705" s="21"/>
      <c r="K705" s="204"/>
      <c r="L705" s="54"/>
      <c r="M705" s="55"/>
      <c r="N705" s="56"/>
      <c r="O705" s="16"/>
      <c r="P705" s="57"/>
      <c r="Q705" s="55"/>
      <c r="R705" s="16"/>
      <c r="S705" s="17"/>
      <c r="T705" s="16"/>
      <c r="U705" s="16"/>
      <c r="V705" s="16"/>
      <c r="W705" s="20"/>
      <c r="X705" s="21"/>
      <c r="Y705" s="21"/>
      <c r="Z705" s="21"/>
      <c r="AA705" s="21"/>
      <c r="AB705" s="21"/>
    </row>
    <row r="706" ht="20.25" customHeight="1">
      <c r="A706" s="139"/>
      <c r="B706" s="21"/>
      <c r="C706" s="21"/>
      <c r="D706" s="21"/>
      <c r="E706" s="21"/>
      <c r="F706" s="21"/>
      <c r="G706" s="21"/>
      <c r="H706" s="21"/>
      <c r="I706" s="21"/>
      <c r="J706" s="21"/>
      <c r="K706" s="204"/>
      <c r="L706" s="54"/>
      <c r="M706" s="55"/>
      <c r="N706" s="56"/>
      <c r="O706" s="16"/>
      <c r="P706" s="57"/>
      <c r="Q706" s="55"/>
      <c r="R706" s="16"/>
      <c r="S706" s="17"/>
      <c r="T706" s="16"/>
      <c r="U706" s="16"/>
      <c r="V706" s="16"/>
      <c r="W706" s="20"/>
      <c r="X706" s="21"/>
      <c r="Y706" s="21"/>
      <c r="Z706" s="21"/>
      <c r="AA706" s="21"/>
      <c r="AB706" s="21"/>
    </row>
    <row r="707" ht="20.25" customHeight="1">
      <c r="A707" s="139"/>
      <c r="B707" s="21"/>
      <c r="C707" s="21"/>
      <c r="D707" s="21"/>
      <c r="E707" s="21"/>
      <c r="F707" s="21"/>
      <c r="G707" s="21"/>
      <c r="H707" s="21"/>
      <c r="I707" s="21"/>
      <c r="J707" s="21"/>
      <c r="K707" s="204"/>
      <c r="L707" s="54"/>
      <c r="M707" s="55"/>
      <c r="N707" s="56"/>
      <c r="O707" s="16"/>
      <c r="P707" s="57"/>
      <c r="Q707" s="55"/>
      <c r="R707" s="16"/>
      <c r="S707" s="17"/>
      <c r="T707" s="16"/>
      <c r="U707" s="16"/>
      <c r="V707" s="16"/>
      <c r="W707" s="20"/>
      <c r="X707" s="21"/>
      <c r="Y707" s="21"/>
      <c r="Z707" s="21"/>
      <c r="AA707" s="21"/>
      <c r="AB707" s="21"/>
    </row>
    <row r="708" ht="20.25" customHeight="1">
      <c r="A708" s="139"/>
      <c r="B708" s="21"/>
      <c r="C708" s="21"/>
      <c r="D708" s="21"/>
      <c r="E708" s="21"/>
      <c r="F708" s="21"/>
      <c r="G708" s="21"/>
      <c r="H708" s="21"/>
      <c r="I708" s="21"/>
      <c r="J708" s="21"/>
      <c r="K708" s="204"/>
      <c r="L708" s="54"/>
      <c r="M708" s="55"/>
      <c r="N708" s="56"/>
      <c r="O708" s="16"/>
      <c r="P708" s="57"/>
      <c r="Q708" s="55"/>
      <c r="R708" s="16"/>
      <c r="S708" s="17"/>
      <c r="T708" s="16"/>
      <c r="U708" s="16"/>
      <c r="V708" s="16"/>
      <c r="W708" s="20"/>
      <c r="X708" s="21"/>
      <c r="Y708" s="21"/>
      <c r="Z708" s="21"/>
      <c r="AA708" s="21"/>
      <c r="AB708" s="21"/>
    </row>
    <row r="709" ht="20.25" customHeight="1">
      <c r="A709" s="139"/>
      <c r="B709" s="21"/>
      <c r="C709" s="21"/>
      <c r="D709" s="21"/>
      <c r="E709" s="21"/>
      <c r="F709" s="21"/>
      <c r="G709" s="21"/>
      <c r="H709" s="21"/>
      <c r="I709" s="21"/>
      <c r="J709" s="21"/>
      <c r="K709" s="204"/>
      <c r="L709" s="54"/>
      <c r="M709" s="55"/>
      <c r="N709" s="56"/>
      <c r="O709" s="16"/>
      <c r="P709" s="57"/>
      <c r="Q709" s="55"/>
      <c r="R709" s="16"/>
      <c r="S709" s="17"/>
      <c r="T709" s="16"/>
      <c r="U709" s="16"/>
      <c r="V709" s="16"/>
      <c r="W709" s="20"/>
      <c r="X709" s="21"/>
      <c r="Y709" s="21"/>
      <c r="Z709" s="21"/>
      <c r="AA709" s="21"/>
      <c r="AB709" s="21"/>
    </row>
    <row r="710" ht="20.25" customHeight="1">
      <c r="A710" s="139"/>
      <c r="B710" s="21"/>
      <c r="C710" s="21"/>
      <c r="D710" s="21"/>
      <c r="E710" s="21"/>
      <c r="F710" s="21"/>
      <c r="G710" s="21"/>
      <c r="H710" s="21"/>
      <c r="I710" s="21"/>
      <c r="J710" s="21"/>
      <c r="K710" s="204"/>
      <c r="L710" s="54"/>
      <c r="M710" s="55"/>
      <c r="N710" s="56"/>
      <c r="O710" s="16"/>
      <c r="P710" s="57"/>
      <c r="Q710" s="55"/>
      <c r="R710" s="16"/>
      <c r="S710" s="17"/>
      <c r="T710" s="16"/>
      <c r="U710" s="16"/>
      <c r="V710" s="16"/>
      <c r="W710" s="20"/>
      <c r="X710" s="21"/>
      <c r="Y710" s="21"/>
      <c r="Z710" s="21"/>
      <c r="AA710" s="21"/>
      <c r="AB710" s="21"/>
    </row>
    <row r="711" ht="20.25" customHeight="1">
      <c r="A711" s="139"/>
      <c r="B711" s="21"/>
      <c r="C711" s="21"/>
      <c r="D711" s="21"/>
      <c r="E711" s="21"/>
      <c r="F711" s="21"/>
      <c r="G711" s="21"/>
      <c r="H711" s="21"/>
      <c r="I711" s="21"/>
      <c r="J711" s="21"/>
      <c r="K711" s="204"/>
      <c r="L711" s="54"/>
      <c r="M711" s="55"/>
      <c r="N711" s="56"/>
      <c r="O711" s="16"/>
      <c r="P711" s="57"/>
      <c r="Q711" s="55"/>
      <c r="R711" s="16"/>
      <c r="S711" s="17"/>
      <c r="T711" s="16"/>
      <c r="U711" s="16"/>
      <c r="V711" s="16"/>
      <c r="W711" s="20"/>
      <c r="X711" s="21"/>
      <c r="Y711" s="21"/>
      <c r="Z711" s="21"/>
      <c r="AA711" s="21"/>
      <c r="AB711" s="21"/>
    </row>
    <row r="712" ht="20.25" customHeight="1">
      <c r="A712" s="139"/>
      <c r="B712" s="21"/>
      <c r="C712" s="21"/>
      <c r="D712" s="21"/>
      <c r="E712" s="21"/>
      <c r="F712" s="21"/>
      <c r="G712" s="21"/>
      <c r="H712" s="21"/>
      <c r="I712" s="21"/>
      <c r="J712" s="21"/>
      <c r="K712" s="204"/>
      <c r="L712" s="54"/>
      <c r="M712" s="55"/>
      <c r="N712" s="56"/>
      <c r="O712" s="16"/>
      <c r="P712" s="57"/>
      <c r="Q712" s="55"/>
      <c r="R712" s="16"/>
      <c r="S712" s="17"/>
      <c r="T712" s="16"/>
      <c r="U712" s="16"/>
      <c r="V712" s="16"/>
      <c r="W712" s="20"/>
      <c r="X712" s="21"/>
      <c r="Y712" s="21"/>
      <c r="Z712" s="21"/>
      <c r="AA712" s="21"/>
      <c r="AB712" s="21"/>
    </row>
    <row r="713" ht="20.25" customHeight="1">
      <c r="A713" s="139"/>
      <c r="B713" s="21"/>
      <c r="C713" s="21"/>
      <c r="D713" s="21"/>
      <c r="E713" s="21"/>
      <c r="F713" s="21"/>
      <c r="G713" s="21"/>
      <c r="H713" s="21"/>
      <c r="I713" s="21"/>
      <c r="J713" s="21"/>
      <c r="K713" s="204"/>
      <c r="L713" s="54"/>
      <c r="M713" s="55"/>
      <c r="N713" s="56"/>
      <c r="O713" s="16"/>
      <c r="P713" s="57"/>
      <c r="Q713" s="55"/>
      <c r="R713" s="16"/>
      <c r="S713" s="17"/>
      <c r="T713" s="16"/>
      <c r="U713" s="16"/>
      <c r="V713" s="16"/>
      <c r="W713" s="20"/>
      <c r="X713" s="21"/>
      <c r="Y713" s="21"/>
      <c r="Z713" s="21"/>
      <c r="AA713" s="21"/>
      <c r="AB713" s="21"/>
    </row>
    <row r="714" ht="20.25" customHeight="1">
      <c r="A714" s="139"/>
      <c r="B714" s="21"/>
      <c r="C714" s="21"/>
      <c r="D714" s="21"/>
      <c r="E714" s="21"/>
      <c r="F714" s="21"/>
      <c r="G714" s="21"/>
      <c r="H714" s="21"/>
      <c r="I714" s="21"/>
      <c r="J714" s="21"/>
      <c r="K714" s="204"/>
      <c r="L714" s="54"/>
      <c r="M714" s="55"/>
      <c r="N714" s="56"/>
      <c r="O714" s="16"/>
      <c r="P714" s="57"/>
      <c r="Q714" s="55"/>
      <c r="R714" s="16"/>
      <c r="S714" s="17"/>
      <c r="T714" s="16"/>
      <c r="U714" s="16"/>
      <c r="V714" s="16"/>
      <c r="W714" s="20"/>
      <c r="X714" s="21"/>
      <c r="Y714" s="21"/>
      <c r="Z714" s="21"/>
      <c r="AA714" s="21"/>
      <c r="AB714" s="21"/>
    </row>
    <row r="715" ht="20.25" customHeight="1">
      <c r="A715" s="139"/>
      <c r="B715" s="21"/>
      <c r="C715" s="21"/>
      <c r="D715" s="21"/>
      <c r="E715" s="21"/>
      <c r="F715" s="21"/>
      <c r="G715" s="21"/>
      <c r="H715" s="21"/>
      <c r="I715" s="21"/>
      <c r="J715" s="21"/>
      <c r="K715" s="204"/>
      <c r="L715" s="54"/>
      <c r="M715" s="55"/>
      <c r="N715" s="56"/>
      <c r="O715" s="16"/>
      <c r="P715" s="57"/>
      <c r="Q715" s="55"/>
      <c r="R715" s="16"/>
      <c r="S715" s="17"/>
      <c r="T715" s="16"/>
      <c r="U715" s="16"/>
      <c r="V715" s="16"/>
      <c r="W715" s="20"/>
      <c r="X715" s="21"/>
      <c r="Y715" s="21"/>
      <c r="Z715" s="21"/>
      <c r="AA715" s="21"/>
      <c r="AB715" s="21"/>
    </row>
    <row r="716" ht="20.25" customHeight="1">
      <c r="A716" s="139"/>
      <c r="B716" s="21"/>
      <c r="C716" s="21"/>
      <c r="D716" s="21"/>
      <c r="E716" s="21"/>
      <c r="F716" s="21"/>
      <c r="G716" s="21"/>
      <c r="H716" s="21"/>
      <c r="I716" s="21"/>
      <c r="J716" s="21"/>
      <c r="K716" s="204"/>
      <c r="L716" s="54"/>
      <c r="M716" s="55"/>
      <c r="N716" s="56"/>
      <c r="O716" s="16"/>
      <c r="P716" s="57"/>
      <c r="Q716" s="55"/>
      <c r="R716" s="16"/>
      <c r="S716" s="17"/>
      <c r="T716" s="16"/>
      <c r="U716" s="16"/>
      <c r="V716" s="16"/>
      <c r="W716" s="20"/>
      <c r="X716" s="21"/>
      <c r="Y716" s="21"/>
      <c r="Z716" s="21"/>
      <c r="AA716" s="21"/>
      <c r="AB716" s="21"/>
    </row>
    <row r="717" ht="20.25" customHeight="1">
      <c r="A717" s="139"/>
      <c r="B717" s="21"/>
      <c r="C717" s="21"/>
      <c r="D717" s="21"/>
      <c r="E717" s="21"/>
      <c r="F717" s="21"/>
      <c r="G717" s="21"/>
      <c r="H717" s="21"/>
      <c r="I717" s="21"/>
      <c r="J717" s="21"/>
      <c r="K717" s="204"/>
      <c r="L717" s="54"/>
      <c r="M717" s="55"/>
      <c r="N717" s="56"/>
      <c r="O717" s="16"/>
      <c r="P717" s="57"/>
      <c r="Q717" s="55"/>
      <c r="R717" s="16"/>
      <c r="S717" s="17"/>
      <c r="T717" s="16"/>
      <c r="U717" s="16"/>
      <c r="V717" s="16"/>
      <c r="W717" s="20"/>
      <c r="X717" s="21"/>
      <c r="Y717" s="21"/>
      <c r="Z717" s="21"/>
      <c r="AA717" s="21"/>
      <c r="AB717" s="21"/>
    </row>
    <row r="718" ht="20.25" customHeight="1">
      <c r="A718" s="139"/>
      <c r="B718" s="21"/>
      <c r="C718" s="21"/>
      <c r="D718" s="21"/>
      <c r="E718" s="21"/>
      <c r="F718" s="21"/>
      <c r="G718" s="21"/>
      <c r="H718" s="21"/>
      <c r="I718" s="21"/>
      <c r="J718" s="21"/>
      <c r="K718" s="204"/>
      <c r="L718" s="54"/>
      <c r="M718" s="55"/>
      <c r="N718" s="56"/>
      <c r="O718" s="16"/>
      <c r="P718" s="57"/>
      <c r="Q718" s="55"/>
      <c r="R718" s="16"/>
      <c r="S718" s="17"/>
      <c r="T718" s="16"/>
      <c r="U718" s="16"/>
      <c r="V718" s="16"/>
      <c r="W718" s="20"/>
      <c r="X718" s="21"/>
      <c r="Y718" s="21"/>
      <c r="Z718" s="21"/>
      <c r="AA718" s="21"/>
      <c r="AB718" s="21"/>
    </row>
    <row r="719" ht="20.25" customHeight="1">
      <c r="A719" s="139"/>
      <c r="B719" s="21"/>
      <c r="C719" s="21"/>
      <c r="D719" s="21"/>
      <c r="E719" s="21"/>
      <c r="F719" s="21"/>
      <c r="G719" s="21"/>
      <c r="H719" s="21"/>
      <c r="I719" s="21"/>
      <c r="J719" s="21"/>
      <c r="K719" s="204"/>
      <c r="L719" s="54"/>
      <c r="M719" s="55"/>
      <c r="N719" s="56"/>
      <c r="O719" s="16"/>
      <c r="P719" s="57"/>
      <c r="Q719" s="55"/>
      <c r="R719" s="16"/>
      <c r="S719" s="17"/>
      <c r="T719" s="16"/>
      <c r="U719" s="16"/>
      <c r="V719" s="16"/>
      <c r="W719" s="20"/>
      <c r="X719" s="21"/>
      <c r="Y719" s="21"/>
      <c r="Z719" s="21"/>
      <c r="AA719" s="21"/>
      <c r="AB719" s="21"/>
    </row>
    <row r="720" ht="20.25" customHeight="1">
      <c r="A720" s="139"/>
      <c r="B720" s="21"/>
      <c r="C720" s="21"/>
      <c r="D720" s="21"/>
      <c r="E720" s="21"/>
      <c r="F720" s="21"/>
      <c r="G720" s="21"/>
      <c r="H720" s="21"/>
      <c r="I720" s="21"/>
      <c r="J720" s="21"/>
      <c r="K720" s="204"/>
      <c r="L720" s="54"/>
      <c r="M720" s="55"/>
      <c r="N720" s="56"/>
      <c r="O720" s="16"/>
      <c r="P720" s="57"/>
      <c r="Q720" s="55"/>
      <c r="R720" s="16"/>
      <c r="S720" s="17"/>
      <c r="T720" s="16"/>
      <c r="U720" s="16"/>
      <c r="V720" s="16"/>
      <c r="W720" s="20"/>
      <c r="X720" s="21"/>
      <c r="Y720" s="21"/>
      <c r="Z720" s="21"/>
      <c r="AA720" s="21"/>
      <c r="AB720" s="21"/>
    </row>
    <row r="721" ht="20.25" customHeight="1">
      <c r="A721" s="139"/>
      <c r="B721" s="21"/>
      <c r="C721" s="21"/>
      <c r="D721" s="21"/>
      <c r="E721" s="21"/>
      <c r="F721" s="21"/>
      <c r="G721" s="21"/>
      <c r="H721" s="21"/>
      <c r="I721" s="21"/>
      <c r="J721" s="21"/>
      <c r="K721" s="204"/>
      <c r="L721" s="54"/>
      <c r="M721" s="55"/>
      <c r="N721" s="56"/>
      <c r="O721" s="16"/>
      <c r="P721" s="57"/>
      <c r="Q721" s="55"/>
      <c r="R721" s="16"/>
      <c r="S721" s="17"/>
      <c r="T721" s="16"/>
      <c r="U721" s="16"/>
      <c r="V721" s="16"/>
      <c r="W721" s="20"/>
      <c r="X721" s="21"/>
      <c r="Y721" s="21"/>
      <c r="Z721" s="21"/>
      <c r="AA721" s="21"/>
      <c r="AB721" s="21"/>
    </row>
    <row r="722" ht="20.25" customHeight="1">
      <c r="A722" s="139"/>
      <c r="B722" s="21"/>
      <c r="C722" s="21"/>
      <c r="D722" s="21"/>
      <c r="E722" s="21"/>
      <c r="F722" s="21"/>
      <c r="G722" s="21"/>
      <c r="H722" s="21"/>
      <c r="I722" s="21"/>
      <c r="J722" s="21"/>
      <c r="K722" s="204"/>
      <c r="L722" s="54"/>
      <c r="M722" s="55"/>
      <c r="N722" s="56"/>
      <c r="O722" s="16"/>
      <c r="P722" s="57"/>
      <c r="Q722" s="55"/>
      <c r="R722" s="16"/>
      <c r="S722" s="17"/>
      <c r="T722" s="16"/>
      <c r="U722" s="16"/>
      <c r="V722" s="16"/>
      <c r="W722" s="20"/>
      <c r="X722" s="21"/>
      <c r="Y722" s="21"/>
      <c r="Z722" s="21"/>
      <c r="AA722" s="21"/>
      <c r="AB722" s="21"/>
    </row>
    <row r="723" ht="20.25" customHeight="1">
      <c r="A723" s="139"/>
      <c r="B723" s="21"/>
      <c r="C723" s="21"/>
      <c r="D723" s="21"/>
      <c r="E723" s="21"/>
      <c r="F723" s="21"/>
      <c r="G723" s="21"/>
      <c r="H723" s="21"/>
      <c r="I723" s="21"/>
      <c r="J723" s="21"/>
      <c r="K723" s="204"/>
      <c r="L723" s="54"/>
      <c r="M723" s="55"/>
      <c r="N723" s="56"/>
      <c r="O723" s="16"/>
      <c r="P723" s="57"/>
      <c r="Q723" s="55"/>
      <c r="R723" s="16"/>
      <c r="S723" s="17"/>
      <c r="T723" s="16"/>
      <c r="U723" s="16"/>
      <c r="V723" s="16"/>
      <c r="W723" s="20"/>
      <c r="X723" s="21"/>
      <c r="Y723" s="21"/>
      <c r="Z723" s="21"/>
      <c r="AA723" s="21"/>
      <c r="AB723" s="21"/>
    </row>
    <row r="724" ht="20.25" customHeight="1">
      <c r="A724" s="139"/>
      <c r="B724" s="21"/>
      <c r="C724" s="21"/>
      <c r="D724" s="21"/>
      <c r="E724" s="21"/>
      <c r="F724" s="21"/>
      <c r="G724" s="21"/>
      <c r="H724" s="21"/>
      <c r="I724" s="21"/>
      <c r="J724" s="21"/>
      <c r="K724" s="204"/>
      <c r="L724" s="54"/>
      <c r="M724" s="55"/>
      <c r="N724" s="56"/>
      <c r="O724" s="16"/>
      <c r="P724" s="57"/>
      <c r="Q724" s="55"/>
      <c r="R724" s="16"/>
      <c r="S724" s="17"/>
      <c r="T724" s="16"/>
      <c r="U724" s="16"/>
      <c r="V724" s="16"/>
      <c r="W724" s="20"/>
      <c r="X724" s="21"/>
      <c r="Y724" s="21"/>
      <c r="Z724" s="21"/>
      <c r="AA724" s="21"/>
      <c r="AB724" s="21"/>
    </row>
    <row r="725" ht="20.25" customHeight="1">
      <c r="A725" s="139"/>
      <c r="B725" s="21"/>
      <c r="C725" s="21"/>
      <c r="D725" s="21"/>
      <c r="E725" s="21"/>
      <c r="F725" s="21"/>
      <c r="G725" s="21"/>
      <c r="H725" s="21"/>
      <c r="I725" s="21"/>
      <c r="J725" s="21"/>
      <c r="K725" s="204"/>
      <c r="L725" s="54"/>
      <c r="M725" s="55"/>
      <c r="N725" s="56"/>
      <c r="O725" s="16"/>
      <c r="P725" s="57"/>
      <c r="Q725" s="55"/>
      <c r="R725" s="16"/>
      <c r="S725" s="17"/>
      <c r="T725" s="16"/>
      <c r="U725" s="16"/>
      <c r="V725" s="16"/>
      <c r="W725" s="20"/>
      <c r="X725" s="21"/>
      <c r="Y725" s="21"/>
      <c r="Z725" s="21"/>
      <c r="AA725" s="21"/>
      <c r="AB725" s="21"/>
    </row>
    <row r="726" ht="20.25" customHeight="1">
      <c r="A726" s="139"/>
      <c r="B726" s="21"/>
      <c r="C726" s="21"/>
      <c r="D726" s="21"/>
      <c r="E726" s="21"/>
      <c r="F726" s="21"/>
      <c r="G726" s="21"/>
      <c r="H726" s="21"/>
      <c r="I726" s="21"/>
      <c r="J726" s="21"/>
      <c r="K726" s="204"/>
      <c r="L726" s="54"/>
      <c r="M726" s="55"/>
      <c r="N726" s="56"/>
      <c r="O726" s="16"/>
      <c r="P726" s="57"/>
      <c r="Q726" s="55"/>
      <c r="R726" s="16"/>
      <c r="S726" s="17"/>
      <c r="T726" s="16"/>
      <c r="U726" s="16"/>
      <c r="V726" s="16"/>
      <c r="W726" s="20"/>
      <c r="X726" s="21"/>
      <c r="Y726" s="21"/>
      <c r="Z726" s="21"/>
      <c r="AA726" s="21"/>
      <c r="AB726" s="21"/>
    </row>
    <row r="727" ht="20.25" customHeight="1">
      <c r="A727" s="139"/>
      <c r="B727" s="21"/>
      <c r="C727" s="21"/>
      <c r="D727" s="21"/>
      <c r="E727" s="21"/>
      <c r="F727" s="21"/>
      <c r="G727" s="21"/>
      <c r="H727" s="21"/>
      <c r="I727" s="21"/>
      <c r="J727" s="21"/>
      <c r="K727" s="204"/>
      <c r="L727" s="54"/>
      <c r="M727" s="55"/>
      <c r="N727" s="56"/>
      <c r="O727" s="16"/>
      <c r="P727" s="57"/>
      <c r="Q727" s="55"/>
      <c r="R727" s="16"/>
      <c r="S727" s="17"/>
      <c r="T727" s="16"/>
      <c r="U727" s="16"/>
      <c r="V727" s="16"/>
      <c r="W727" s="20"/>
      <c r="X727" s="21"/>
      <c r="Y727" s="21"/>
      <c r="Z727" s="21"/>
      <c r="AA727" s="21"/>
      <c r="AB727" s="21"/>
    </row>
    <row r="728" ht="20.25" customHeight="1">
      <c r="A728" s="139"/>
      <c r="B728" s="21"/>
      <c r="C728" s="21"/>
      <c r="D728" s="21"/>
      <c r="E728" s="21"/>
      <c r="F728" s="21"/>
      <c r="G728" s="21"/>
      <c r="H728" s="21"/>
      <c r="I728" s="21"/>
      <c r="J728" s="21"/>
      <c r="K728" s="204"/>
      <c r="L728" s="54"/>
      <c r="M728" s="55"/>
      <c r="N728" s="56"/>
      <c r="O728" s="16"/>
      <c r="P728" s="57"/>
      <c r="Q728" s="55"/>
      <c r="R728" s="16"/>
      <c r="S728" s="17"/>
      <c r="T728" s="16"/>
      <c r="U728" s="16"/>
      <c r="V728" s="16"/>
      <c r="W728" s="20"/>
      <c r="X728" s="21"/>
      <c r="Y728" s="21"/>
      <c r="Z728" s="21"/>
      <c r="AA728" s="21"/>
      <c r="AB728" s="21"/>
    </row>
    <row r="729" ht="20.25" customHeight="1">
      <c r="A729" s="139"/>
      <c r="B729" s="21"/>
      <c r="C729" s="21"/>
      <c r="D729" s="21"/>
      <c r="E729" s="21"/>
      <c r="F729" s="21"/>
      <c r="G729" s="21"/>
      <c r="H729" s="21"/>
      <c r="I729" s="21"/>
      <c r="J729" s="21"/>
      <c r="K729" s="204"/>
      <c r="L729" s="54"/>
      <c r="M729" s="55"/>
      <c r="N729" s="56"/>
      <c r="O729" s="16"/>
      <c r="P729" s="57"/>
      <c r="Q729" s="55"/>
      <c r="R729" s="16"/>
      <c r="S729" s="17"/>
      <c r="T729" s="16"/>
      <c r="U729" s="16"/>
      <c r="V729" s="16"/>
      <c r="W729" s="20"/>
      <c r="X729" s="21"/>
      <c r="Y729" s="21"/>
      <c r="Z729" s="21"/>
      <c r="AA729" s="21"/>
      <c r="AB729" s="21"/>
    </row>
    <row r="730" ht="20.25" customHeight="1">
      <c r="A730" s="139"/>
      <c r="B730" s="21"/>
      <c r="C730" s="21"/>
      <c r="D730" s="21"/>
      <c r="E730" s="21"/>
      <c r="F730" s="21"/>
      <c r="G730" s="21"/>
      <c r="H730" s="21"/>
      <c r="I730" s="21"/>
      <c r="J730" s="21"/>
      <c r="K730" s="204"/>
      <c r="L730" s="54"/>
      <c r="M730" s="55"/>
      <c r="N730" s="56"/>
      <c r="O730" s="16"/>
      <c r="P730" s="57"/>
      <c r="Q730" s="55"/>
      <c r="R730" s="16"/>
      <c r="S730" s="17"/>
      <c r="T730" s="16"/>
      <c r="U730" s="16"/>
      <c r="V730" s="16"/>
      <c r="W730" s="20"/>
      <c r="X730" s="21"/>
      <c r="Y730" s="21"/>
      <c r="Z730" s="21"/>
      <c r="AA730" s="21"/>
      <c r="AB730" s="21"/>
    </row>
    <row r="731" ht="20.25" customHeight="1">
      <c r="A731" s="139"/>
      <c r="B731" s="21"/>
      <c r="C731" s="21"/>
      <c r="D731" s="21"/>
      <c r="E731" s="21"/>
      <c r="F731" s="21"/>
      <c r="G731" s="21"/>
      <c r="H731" s="21"/>
      <c r="I731" s="21"/>
      <c r="J731" s="21"/>
      <c r="K731" s="204"/>
      <c r="L731" s="54"/>
      <c r="M731" s="55"/>
      <c r="N731" s="56"/>
      <c r="O731" s="16"/>
      <c r="P731" s="57"/>
      <c r="Q731" s="55"/>
      <c r="R731" s="16"/>
      <c r="S731" s="17"/>
      <c r="T731" s="16"/>
      <c r="U731" s="16"/>
      <c r="V731" s="16"/>
      <c r="W731" s="20"/>
      <c r="X731" s="21"/>
      <c r="Y731" s="21"/>
      <c r="Z731" s="21"/>
      <c r="AA731" s="21"/>
      <c r="AB731" s="21"/>
    </row>
    <row r="732" ht="20.25" customHeight="1">
      <c r="A732" s="139"/>
      <c r="B732" s="21"/>
      <c r="C732" s="21"/>
      <c r="D732" s="21"/>
      <c r="E732" s="21"/>
      <c r="F732" s="21"/>
      <c r="G732" s="21"/>
      <c r="H732" s="21"/>
      <c r="I732" s="21"/>
      <c r="J732" s="21"/>
      <c r="K732" s="204"/>
      <c r="L732" s="54"/>
      <c r="M732" s="55"/>
      <c r="N732" s="56"/>
      <c r="O732" s="16"/>
      <c r="P732" s="57"/>
      <c r="Q732" s="55"/>
      <c r="R732" s="16"/>
      <c r="S732" s="17"/>
      <c r="T732" s="16"/>
      <c r="U732" s="16"/>
      <c r="V732" s="16"/>
      <c r="W732" s="20"/>
      <c r="X732" s="21"/>
      <c r="Y732" s="21"/>
      <c r="Z732" s="21"/>
      <c r="AA732" s="21"/>
      <c r="AB732" s="21"/>
    </row>
    <row r="733" ht="20.25" customHeight="1">
      <c r="A733" s="139"/>
      <c r="B733" s="21"/>
      <c r="C733" s="21"/>
      <c r="D733" s="21"/>
      <c r="E733" s="21"/>
      <c r="F733" s="21"/>
      <c r="G733" s="21"/>
      <c r="H733" s="21"/>
      <c r="I733" s="21"/>
      <c r="J733" s="21"/>
      <c r="K733" s="204"/>
      <c r="L733" s="54"/>
      <c r="M733" s="55"/>
      <c r="N733" s="56"/>
      <c r="O733" s="16"/>
      <c r="P733" s="57"/>
      <c r="Q733" s="55"/>
      <c r="R733" s="16"/>
      <c r="S733" s="17"/>
      <c r="T733" s="16"/>
      <c r="U733" s="16"/>
      <c r="V733" s="16"/>
      <c r="W733" s="20"/>
      <c r="X733" s="21"/>
      <c r="Y733" s="21"/>
      <c r="Z733" s="21"/>
      <c r="AA733" s="21"/>
      <c r="AB733" s="21"/>
    </row>
    <row r="734" ht="20.25" customHeight="1">
      <c r="A734" s="139"/>
      <c r="B734" s="21"/>
      <c r="C734" s="21"/>
      <c r="D734" s="21"/>
      <c r="E734" s="21"/>
      <c r="F734" s="21"/>
      <c r="G734" s="21"/>
      <c r="H734" s="21"/>
      <c r="I734" s="21"/>
      <c r="J734" s="21"/>
      <c r="K734" s="204"/>
      <c r="L734" s="54"/>
      <c r="M734" s="55"/>
      <c r="N734" s="56"/>
      <c r="O734" s="16"/>
      <c r="P734" s="57"/>
      <c r="Q734" s="55"/>
      <c r="R734" s="16"/>
      <c r="S734" s="17"/>
      <c r="T734" s="16"/>
      <c r="U734" s="16"/>
      <c r="V734" s="16"/>
      <c r="W734" s="20"/>
      <c r="X734" s="21"/>
      <c r="Y734" s="21"/>
      <c r="Z734" s="21"/>
      <c r="AA734" s="21"/>
      <c r="AB734" s="21"/>
    </row>
    <row r="735" ht="20.25" customHeight="1">
      <c r="A735" s="139"/>
      <c r="B735" s="21"/>
      <c r="C735" s="21"/>
      <c r="D735" s="21"/>
      <c r="E735" s="21"/>
      <c r="F735" s="21"/>
      <c r="G735" s="21"/>
      <c r="H735" s="21"/>
      <c r="I735" s="21"/>
      <c r="J735" s="21"/>
      <c r="K735" s="204"/>
      <c r="L735" s="54"/>
      <c r="M735" s="55"/>
      <c r="N735" s="56"/>
      <c r="O735" s="16"/>
      <c r="P735" s="57"/>
      <c r="Q735" s="55"/>
      <c r="R735" s="16"/>
      <c r="S735" s="17"/>
      <c r="T735" s="16"/>
      <c r="U735" s="16"/>
      <c r="V735" s="16"/>
      <c r="W735" s="20"/>
      <c r="X735" s="21"/>
      <c r="Y735" s="21"/>
      <c r="Z735" s="21"/>
      <c r="AA735" s="21"/>
      <c r="AB735" s="21"/>
    </row>
    <row r="736" ht="20.25" customHeight="1">
      <c r="A736" s="139"/>
      <c r="B736" s="21"/>
      <c r="C736" s="21"/>
      <c r="D736" s="21"/>
      <c r="E736" s="21"/>
      <c r="F736" s="21"/>
      <c r="G736" s="21"/>
      <c r="H736" s="21"/>
      <c r="I736" s="21"/>
      <c r="J736" s="21"/>
      <c r="K736" s="204"/>
      <c r="L736" s="54"/>
      <c r="M736" s="55"/>
      <c r="N736" s="56"/>
      <c r="O736" s="16"/>
      <c r="P736" s="57"/>
      <c r="Q736" s="55"/>
      <c r="R736" s="16"/>
      <c r="S736" s="17"/>
      <c r="T736" s="16"/>
      <c r="U736" s="16"/>
      <c r="V736" s="16"/>
      <c r="W736" s="20"/>
      <c r="X736" s="21"/>
      <c r="Y736" s="21"/>
      <c r="Z736" s="21"/>
      <c r="AA736" s="21"/>
      <c r="AB736" s="21"/>
    </row>
    <row r="737" ht="20.25" customHeight="1">
      <c r="A737" s="139"/>
      <c r="B737" s="21"/>
      <c r="C737" s="21"/>
      <c r="D737" s="21"/>
      <c r="E737" s="21"/>
      <c r="F737" s="21"/>
      <c r="G737" s="21"/>
      <c r="H737" s="21"/>
      <c r="I737" s="21"/>
      <c r="J737" s="21"/>
      <c r="K737" s="204"/>
      <c r="L737" s="54"/>
      <c r="M737" s="55"/>
      <c r="N737" s="56"/>
      <c r="O737" s="16"/>
      <c r="P737" s="57"/>
      <c r="Q737" s="55"/>
      <c r="R737" s="16"/>
      <c r="S737" s="17"/>
      <c r="T737" s="16"/>
      <c r="U737" s="16"/>
      <c r="V737" s="16"/>
      <c r="W737" s="20"/>
      <c r="X737" s="21"/>
      <c r="Y737" s="21"/>
      <c r="Z737" s="21"/>
      <c r="AA737" s="21"/>
      <c r="AB737" s="21"/>
    </row>
    <row r="738" ht="20.25" customHeight="1">
      <c r="A738" s="139"/>
      <c r="B738" s="21"/>
      <c r="C738" s="21"/>
      <c r="D738" s="21"/>
      <c r="E738" s="21"/>
      <c r="F738" s="21"/>
      <c r="G738" s="21"/>
      <c r="H738" s="21"/>
      <c r="I738" s="21"/>
      <c r="J738" s="21"/>
      <c r="K738" s="204"/>
      <c r="L738" s="54"/>
      <c r="M738" s="55"/>
      <c r="N738" s="56"/>
      <c r="O738" s="16"/>
      <c r="P738" s="57"/>
      <c r="Q738" s="55"/>
      <c r="R738" s="16"/>
      <c r="S738" s="17"/>
      <c r="T738" s="16"/>
      <c r="U738" s="16"/>
      <c r="V738" s="16"/>
      <c r="W738" s="20"/>
      <c r="X738" s="21"/>
      <c r="Y738" s="21"/>
      <c r="Z738" s="21"/>
      <c r="AA738" s="21"/>
      <c r="AB738" s="21"/>
    </row>
    <row r="739" ht="20.25" customHeight="1">
      <c r="A739" s="139"/>
      <c r="B739" s="21"/>
      <c r="C739" s="21"/>
      <c r="D739" s="21"/>
      <c r="E739" s="21"/>
      <c r="F739" s="21"/>
      <c r="G739" s="21"/>
      <c r="H739" s="21"/>
      <c r="I739" s="21"/>
      <c r="J739" s="21"/>
      <c r="K739" s="204"/>
      <c r="L739" s="54"/>
      <c r="M739" s="55"/>
      <c r="N739" s="56"/>
      <c r="O739" s="16"/>
      <c r="P739" s="57"/>
      <c r="Q739" s="55"/>
      <c r="R739" s="16"/>
      <c r="S739" s="17"/>
      <c r="T739" s="16"/>
      <c r="U739" s="16"/>
      <c r="V739" s="16"/>
      <c r="W739" s="20"/>
      <c r="X739" s="21"/>
      <c r="Y739" s="21"/>
      <c r="Z739" s="21"/>
      <c r="AA739" s="21"/>
      <c r="AB739" s="21"/>
    </row>
    <row r="740" ht="20.25" customHeight="1">
      <c r="A740" s="139"/>
      <c r="B740" s="21"/>
      <c r="C740" s="21"/>
      <c r="D740" s="21"/>
      <c r="E740" s="21"/>
      <c r="F740" s="21"/>
      <c r="G740" s="21"/>
      <c r="H740" s="21"/>
      <c r="I740" s="21"/>
      <c r="J740" s="21"/>
      <c r="K740" s="204"/>
      <c r="L740" s="54"/>
      <c r="M740" s="55"/>
      <c r="N740" s="56"/>
      <c r="O740" s="16"/>
      <c r="P740" s="57"/>
      <c r="Q740" s="55"/>
      <c r="R740" s="16"/>
      <c r="S740" s="17"/>
      <c r="T740" s="16"/>
      <c r="U740" s="16"/>
      <c r="V740" s="16"/>
      <c r="W740" s="20"/>
      <c r="X740" s="21"/>
      <c r="Y740" s="21"/>
      <c r="Z740" s="21"/>
      <c r="AA740" s="21"/>
      <c r="AB740" s="21"/>
    </row>
    <row r="741" ht="20.25" customHeight="1">
      <c r="A741" s="139"/>
      <c r="B741" s="21"/>
      <c r="C741" s="21"/>
      <c r="D741" s="21"/>
      <c r="E741" s="21"/>
      <c r="F741" s="21"/>
      <c r="G741" s="21"/>
      <c r="H741" s="21"/>
      <c r="I741" s="21"/>
      <c r="J741" s="21"/>
      <c r="K741" s="204"/>
      <c r="L741" s="54"/>
      <c r="M741" s="55"/>
      <c r="N741" s="56"/>
      <c r="O741" s="16"/>
      <c r="P741" s="57"/>
      <c r="Q741" s="55"/>
      <c r="R741" s="16"/>
      <c r="S741" s="17"/>
      <c r="T741" s="16"/>
      <c r="U741" s="16"/>
      <c r="V741" s="16"/>
      <c r="W741" s="20"/>
      <c r="X741" s="21"/>
      <c r="Y741" s="21"/>
      <c r="Z741" s="21"/>
      <c r="AA741" s="21"/>
      <c r="AB741" s="21"/>
    </row>
    <row r="742" ht="20.25" customHeight="1">
      <c r="A742" s="139"/>
      <c r="B742" s="21"/>
      <c r="C742" s="21"/>
      <c r="D742" s="21"/>
      <c r="E742" s="21"/>
      <c r="F742" s="21"/>
      <c r="G742" s="21"/>
      <c r="H742" s="21"/>
      <c r="I742" s="21"/>
      <c r="J742" s="21"/>
      <c r="K742" s="204"/>
      <c r="L742" s="54"/>
      <c r="M742" s="55"/>
      <c r="N742" s="56"/>
      <c r="O742" s="16"/>
      <c r="P742" s="57"/>
      <c r="Q742" s="55"/>
      <c r="R742" s="16"/>
      <c r="S742" s="17"/>
      <c r="T742" s="16"/>
      <c r="U742" s="16"/>
      <c r="V742" s="16"/>
      <c r="W742" s="20"/>
      <c r="X742" s="21"/>
      <c r="Y742" s="21"/>
      <c r="Z742" s="21"/>
      <c r="AA742" s="21"/>
      <c r="AB742" s="21"/>
    </row>
    <row r="743" ht="20.25" customHeight="1">
      <c r="A743" s="139"/>
      <c r="B743" s="21"/>
      <c r="C743" s="21"/>
      <c r="D743" s="21"/>
      <c r="E743" s="21"/>
      <c r="F743" s="21"/>
      <c r="G743" s="21"/>
      <c r="H743" s="21"/>
      <c r="I743" s="21"/>
      <c r="J743" s="21"/>
      <c r="K743" s="204"/>
      <c r="L743" s="54"/>
      <c r="M743" s="55"/>
      <c r="N743" s="56"/>
      <c r="O743" s="16"/>
      <c r="P743" s="57"/>
      <c r="Q743" s="55"/>
      <c r="R743" s="16"/>
      <c r="S743" s="17"/>
      <c r="T743" s="16"/>
      <c r="U743" s="16"/>
      <c r="V743" s="16"/>
      <c r="W743" s="20"/>
      <c r="X743" s="21"/>
      <c r="Y743" s="21"/>
      <c r="Z743" s="21"/>
      <c r="AA743" s="21"/>
      <c r="AB743" s="21"/>
    </row>
    <row r="744" ht="20.25" customHeight="1">
      <c r="A744" s="139"/>
      <c r="B744" s="21"/>
      <c r="C744" s="21"/>
      <c r="D744" s="21"/>
      <c r="E744" s="21"/>
      <c r="F744" s="21"/>
      <c r="G744" s="21"/>
      <c r="H744" s="21"/>
      <c r="I744" s="21"/>
      <c r="J744" s="21"/>
      <c r="K744" s="204"/>
      <c r="L744" s="54"/>
      <c r="M744" s="55"/>
      <c r="N744" s="56"/>
      <c r="O744" s="16"/>
      <c r="P744" s="57"/>
      <c r="Q744" s="55"/>
      <c r="R744" s="16"/>
      <c r="S744" s="17"/>
      <c r="T744" s="16"/>
      <c r="U744" s="16"/>
      <c r="V744" s="16"/>
      <c r="W744" s="20"/>
      <c r="X744" s="21"/>
      <c r="Y744" s="21"/>
      <c r="Z744" s="21"/>
      <c r="AA744" s="21"/>
      <c r="AB744" s="21"/>
    </row>
    <row r="745" ht="20.25" customHeight="1">
      <c r="A745" s="139"/>
      <c r="B745" s="21"/>
      <c r="C745" s="21"/>
      <c r="D745" s="21"/>
      <c r="E745" s="21"/>
      <c r="F745" s="21"/>
      <c r="G745" s="21"/>
      <c r="H745" s="21"/>
      <c r="I745" s="21"/>
      <c r="J745" s="21"/>
      <c r="K745" s="204"/>
      <c r="L745" s="54"/>
      <c r="M745" s="55"/>
      <c r="N745" s="56"/>
      <c r="O745" s="16"/>
      <c r="P745" s="57"/>
      <c r="Q745" s="55"/>
      <c r="R745" s="16"/>
      <c r="S745" s="17"/>
      <c r="T745" s="16"/>
      <c r="U745" s="16"/>
      <c r="V745" s="16"/>
      <c r="W745" s="20"/>
      <c r="X745" s="21"/>
      <c r="Y745" s="21"/>
      <c r="Z745" s="21"/>
      <c r="AA745" s="21"/>
      <c r="AB745" s="21"/>
    </row>
    <row r="746" ht="20.25" customHeight="1">
      <c r="A746" s="139"/>
      <c r="B746" s="21"/>
      <c r="C746" s="21"/>
      <c r="D746" s="21"/>
      <c r="E746" s="21"/>
      <c r="F746" s="21"/>
      <c r="G746" s="21"/>
      <c r="H746" s="21"/>
      <c r="I746" s="21"/>
      <c r="J746" s="21"/>
      <c r="K746" s="204"/>
      <c r="L746" s="54"/>
      <c r="M746" s="55"/>
      <c r="N746" s="56"/>
      <c r="O746" s="16"/>
      <c r="P746" s="57"/>
      <c r="Q746" s="55"/>
      <c r="R746" s="16"/>
      <c r="S746" s="17"/>
      <c r="T746" s="16"/>
      <c r="U746" s="16"/>
      <c r="V746" s="16"/>
      <c r="W746" s="20"/>
      <c r="X746" s="21"/>
      <c r="Y746" s="21"/>
      <c r="Z746" s="21"/>
      <c r="AA746" s="21"/>
      <c r="AB746" s="21"/>
    </row>
    <row r="747" ht="20.25" customHeight="1">
      <c r="A747" s="139"/>
      <c r="B747" s="21"/>
      <c r="C747" s="21"/>
      <c r="D747" s="21"/>
      <c r="E747" s="21"/>
      <c r="F747" s="21"/>
      <c r="G747" s="21"/>
      <c r="H747" s="21"/>
      <c r="I747" s="21"/>
      <c r="J747" s="21"/>
      <c r="K747" s="204"/>
      <c r="L747" s="54"/>
      <c r="M747" s="55"/>
      <c r="N747" s="56"/>
      <c r="O747" s="16"/>
      <c r="P747" s="57"/>
      <c r="Q747" s="55"/>
      <c r="R747" s="16"/>
      <c r="S747" s="17"/>
      <c r="T747" s="16"/>
      <c r="U747" s="16"/>
      <c r="V747" s="16"/>
      <c r="W747" s="20"/>
      <c r="X747" s="21"/>
      <c r="Y747" s="21"/>
      <c r="Z747" s="21"/>
      <c r="AA747" s="21"/>
      <c r="AB747" s="21"/>
    </row>
    <row r="748" ht="20.25" customHeight="1">
      <c r="A748" s="139"/>
      <c r="B748" s="21"/>
      <c r="C748" s="21"/>
      <c r="D748" s="21"/>
      <c r="E748" s="21"/>
      <c r="F748" s="21"/>
      <c r="G748" s="21"/>
      <c r="H748" s="21"/>
      <c r="I748" s="21"/>
      <c r="J748" s="21"/>
      <c r="K748" s="204"/>
      <c r="L748" s="54"/>
      <c r="M748" s="55"/>
      <c r="N748" s="56"/>
      <c r="O748" s="16"/>
      <c r="P748" s="57"/>
      <c r="Q748" s="55"/>
      <c r="R748" s="16"/>
      <c r="S748" s="17"/>
      <c r="T748" s="16"/>
      <c r="U748" s="16"/>
      <c r="V748" s="16"/>
      <c r="W748" s="20"/>
      <c r="X748" s="21"/>
      <c r="Y748" s="21"/>
      <c r="Z748" s="21"/>
      <c r="AA748" s="21"/>
      <c r="AB748" s="21"/>
    </row>
    <row r="749" ht="20.25" customHeight="1">
      <c r="A749" s="139"/>
      <c r="B749" s="21"/>
      <c r="C749" s="21"/>
      <c r="D749" s="21"/>
      <c r="E749" s="21"/>
      <c r="F749" s="21"/>
      <c r="G749" s="21"/>
      <c r="H749" s="21"/>
      <c r="I749" s="21"/>
      <c r="J749" s="21"/>
      <c r="K749" s="204"/>
      <c r="L749" s="54"/>
      <c r="M749" s="55"/>
      <c r="N749" s="56"/>
      <c r="O749" s="16"/>
      <c r="P749" s="57"/>
      <c r="Q749" s="55"/>
      <c r="R749" s="16"/>
      <c r="S749" s="17"/>
      <c r="T749" s="16"/>
      <c r="U749" s="16"/>
      <c r="V749" s="16"/>
      <c r="W749" s="20"/>
      <c r="X749" s="21"/>
      <c r="Y749" s="21"/>
      <c r="Z749" s="21"/>
      <c r="AA749" s="21"/>
      <c r="AB749" s="21"/>
    </row>
    <row r="750" ht="20.25" customHeight="1">
      <c r="A750" s="139"/>
      <c r="B750" s="21"/>
      <c r="C750" s="21"/>
      <c r="D750" s="21"/>
      <c r="E750" s="21"/>
      <c r="F750" s="21"/>
      <c r="G750" s="21"/>
      <c r="H750" s="21"/>
      <c r="I750" s="21"/>
      <c r="J750" s="21"/>
      <c r="K750" s="204"/>
      <c r="L750" s="54"/>
      <c r="M750" s="55"/>
      <c r="N750" s="56"/>
      <c r="O750" s="16"/>
      <c r="P750" s="57"/>
      <c r="Q750" s="55"/>
      <c r="R750" s="16"/>
      <c r="S750" s="17"/>
      <c r="T750" s="16"/>
      <c r="U750" s="16"/>
      <c r="V750" s="16"/>
      <c r="W750" s="20"/>
      <c r="X750" s="21"/>
      <c r="Y750" s="21"/>
      <c r="Z750" s="21"/>
      <c r="AA750" s="21"/>
      <c r="AB750" s="21"/>
    </row>
    <row r="751" ht="20.25" customHeight="1">
      <c r="A751" s="139"/>
      <c r="B751" s="21"/>
      <c r="C751" s="21"/>
      <c r="D751" s="21"/>
      <c r="E751" s="21"/>
      <c r="F751" s="21"/>
      <c r="G751" s="21"/>
      <c r="H751" s="21"/>
      <c r="I751" s="21"/>
      <c r="J751" s="21"/>
      <c r="K751" s="204"/>
      <c r="L751" s="54"/>
      <c r="M751" s="55"/>
      <c r="N751" s="56"/>
      <c r="O751" s="16"/>
      <c r="P751" s="57"/>
      <c r="Q751" s="55"/>
      <c r="R751" s="16"/>
      <c r="S751" s="17"/>
      <c r="T751" s="16"/>
      <c r="U751" s="16"/>
      <c r="V751" s="16"/>
      <c r="W751" s="20"/>
      <c r="X751" s="21"/>
      <c r="Y751" s="21"/>
      <c r="Z751" s="21"/>
      <c r="AA751" s="21"/>
      <c r="AB751" s="21"/>
    </row>
    <row r="752" ht="20.25" customHeight="1">
      <c r="A752" s="139"/>
      <c r="B752" s="21"/>
      <c r="C752" s="21"/>
      <c r="D752" s="21"/>
      <c r="E752" s="21"/>
      <c r="F752" s="21"/>
      <c r="G752" s="21"/>
      <c r="H752" s="21"/>
      <c r="I752" s="21"/>
      <c r="J752" s="21"/>
      <c r="K752" s="204"/>
      <c r="L752" s="54"/>
      <c r="M752" s="55"/>
      <c r="N752" s="56"/>
      <c r="O752" s="16"/>
      <c r="P752" s="57"/>
      <c r="Q752" s="55"/>
      <c r="R752" s="16"/>
      <c r="S752" s="17"/>
      <c r="T752" s="16"/>
      <c r="U752" s="16"/>
      <c r="V752" s="16"/>
      <c r="W752" s="20"/>
      <c r="X752" s="21"/>
      <c r="Y752" s="21"/>
      <c r="Z752" s="21"/>
      <c r="AA752" s="21"/>
      <c r="AB752" s="21"/>
    </row>
    <row r="753" ht="20.25" customHeight="1">
      <c r="A753" s="139"/>
      <c r="B753" s="21"/>
      <c r="C753" s="21"/>
      <c r="D753" s="21"/>
      <c r="E753" s="21"/>
      <c r="F753" s="21"/>
      <c r="G753" s="21"/>
      <c r="H753" s="21"/>
      <c r="I753" s="21"/>
      <c r="J753" s="21"/>
      <c r="K753" s="204"/>
      <c r="L753" s="54"/>
      <c r="M753" s="55"/>
      <c r="N753" s="56"/>
      <c r="O753" s="16"/>
      <c r="P753" s="57"/>
      <c r="Q753" s="55"/>
      <c r="R753" s="16"/>
      <c r="S753" s="17"/>
      <c r="T753" s="16"/>
      <c r="U753" s="16"/>
      <c r="V753" s="16"/>
      <c r="W753" s="20"/>
      <c r="X753" s="21"/>
      <c r="Y753" s="21"/>
      <c r="Z753" s="21"/>
      <c r="AA753" s="21"/>
      <c r="AB753" s="21"/>
    </row>
    <row r="754" ht="20.25" customHeight="1">
      <c r="A754" s="139"/>
      <c r="B754" s="21"/>
      <c r="C754" s="21"/>
      <c r="D754" s="21"/>
      <c r="E754" s="21"/>
      <c r="F754" s="21"/>
      <c r="G754" s="21"/>
      <c r="H754" s="21"/>
      <c r="I754" s="21"/>
      <c r="J754" s="21"/>
      <c r="K754" s="204"/>
      <c r="L754" s="54"/>
      <c r="M754" s="55"/>
      <c r="N754" s="56"/>
      <c r="O754" s="16"/>
      <c r="P754" s="57"/>
      <c r="Q754" s="55"/>
      <c r="R754" s="16"/>
      <c r="S754" s="17"/>
      <c r="T754" s="16"/>
      <c r="U754" s="16"/>
      <c r="V754" s="16"/>
      <c r="W754" s="20"/>
      <c r="X754" s="21"/>
      <c r="Y754" s="21"/>
      <c r="Z754" s="21"/>
      <c r="AA754" s="21"/>
      <c r="AB754" s="21"/>
    </row>
    <row r="755" ht="20.25" customHeight="1">
      <c r="A755" s="139"/>
      <c r="B755" s="21"/>
      <c r="C755" s="21"/>
      <c r="D755" s="21"/>
      <c r="E755" s="21"/>
      <c r="F755" s="21"/>
      <c r="G755" s="21"/>
      <c r="H755" s="21"/>
      <c r="I755" s="21"/>
      <c r="J755" s="21"/>
      <c r="K755" s="204"/>
      <c r="L755" s="54"/>
      <c r="M755" s="55"/>
      <c r="N755" s="56"/>
      <c r="O755" s="16"/>
      <c r="P755" s="57"/>
      <c r="Q755" s="55"/>
      <c r="R755" s="16"/>
      <c r="S755" s="17"/>
      <c r="T755" s="16"/>
      <c r="U755" s="16"/>
      <c r="V755" s="16"/>
      <c r="W755" s="20"/>
      <c r="X755" s="21"/>
      <c r="Y755" s="21"/>
      <c r="Z755" s="21"/>
      <c r="AA755" s="21"/>
      <c r="AB755" s="21"/>
    </row>
    <row r="756" ht="20.25" customHeight="1">
      <c r="A756" s="139"/>
      <c r="B756" s="21"/>
      <c r="C756" s="21"/>
      <c r="D756" s="21"/>
      <c r="E756" s="21"/>
      <c r="F756" s="21"/>
      <c r="G756" s="21"/>
      <c r="H756" s="21"/>
      <c r="I756" s="21"/>
      <c r="J756" s="21"/>
      <c r="K756" s="204"/>
      <c r="L756" s="54"/>
      <c r="M756" s="55"/>
      <c r="N756" s="56"/>
      <c r="O756" s="16"/>
      <c r="P756" s="57"/>
      <c r="Q756" s="55"/>
      <c r="R756" s="16"/>
      <c r="S756" s="17"/>
      <c r="T756" s="16"/>
      <c r="U756" s="16"/>
      <c r="V756" s="16"/>
      <c r="W756" s="20"/>
      <c r="X756" s="21"/>
      <c r="Y756" s="21"/>
      <c r="Z756" s="21"/>
      <c r="AA756" s="21"/>
      <c r="AB756" s="21"/>
    </row>
    <row r="757" ht="20.25" customHeight="1">
      <c r="A757" s="139"/>
      <c r="B757" s="21"/>
      <c r="C757" s="21"/>
      <c r="D757" s="21"/>
      <c r="E757" s="21"/>
      <c r="F757" s="21"/>
      <c r="G757" s="21"/>
      <c r="H757" s="21"/>
      <c r="I757" s="21"/>
      <c r="J757" s="21"/>
      <c r="K757" s="204"/>
      <c r="L757" s="54"/>
      <c r="M757" s="55"/>
      <c r="N757" s="56"/>
      <c r="O757" s="16"/>
      <c r="P757" s="57"/>
      <c r="Q757" s="55"/>
      <c r="R757" s="16"/>
      <c r="S757" s="17"/>
      <c r="T757" s="16"/>
      <c r="U757" s="16"/>
      <c r="V757" s="16"/>
      <c r="W757" s="20"/>
      <c r="X757" s="21"/>
      <c r="Y757" s="21"/>
      <c r="Z757" s="21"/>
      <c r="AA757" s="21"/>
      <c r="AB757" s="21"/>
    </row>
    <row r="758" ht="20.25" customHeight="1">
      <c r="A758" s="139"/>
      <c r="B758" s="21"/>
      <c r="C758" s="21"/>
      <c r="D758" s="21"/>
      <c r="E758" s="21"/>
      <c r="F758" s="21"/>
      <c r="G758" s="21"/>
      <c r="H758" s="21"/>
      <c r="I758" s="21"/>
      <c r="J758" s="21"/>
      <c r="K758" s="204"/>
      <c r="L758" s="54"/>
      <c r="M758" s="55"/>
      <c r="N758" s="56"/>
      <c r="O758" s="16"/>
      <c r="P758" s="57"/>
      <c r="Q758" s="55"/>
      <c r="R758" s="16"/>
      <c r="S758" s="17"/>
      <c r="T758" s="16"/>
      <c r="U758" s="16"/>
      <c r="V758" s="16"/>
      <c r="W758" s="20"/>
      <c r="X758" s="21"/>
      <c r="Y758" s="21"/>
      <c r="Z758" s="21"/>
      <c r="AA758" s="21"/>
      <c r="AB758" s="21"/>
    </row>
    <row r="759" ht="20.25" customHeight="1">
      <c r="A759" s="139"/>
      <c r="B759" s="21"/>
      <c r="C759" s="21"/>
      <c r="D759" s="21"/>
      <c r="E759" s="21"/>
      <c r="F759" s="21"/>
      <c r="G759" s="21"/>
      <c r="H759" s="21"/>
      <c r="I759" s="21"/>
      <c r="J759" s="21"/>
      <c r="K759" s="204"/>
      <c r="L759" s="54"/>
      <c r="M759" s="55"/>
      <c r="N759" s="56"/>
      <c r="O759" s="16"/>
      <c r="P759" s="57"/>
      <c r="Q759" s="55"/>
      <c r="R759" s="16"/>
      <c r="S759" s="17"/>
      <c r="T759" s="16"/>
      <c r="U759" s="16"/>
      <c r="V759" s="16"/>
      <c r="W759" s="20"/>
      <c r="X759" s="21"/>
      <c r="Y759" s="21"/>
      <c r="Z759" s="21"/>
      <c r="AA759" s="21"/>
      <c r="AB759" s="21"/>
    </row>
    <row r="760" ht="20.25" customHeight="1">
      <c r="A760" s="139"/>
      <c r="B760" s="21"/>
      <c r="C760" s="21"/>
      <c r="D760" s="21"/>
      <c r="E760" s="21"/>
      <c r="F760" s="21"/>
      <c r="G760" s="21"/>
      <c r="H760" s="21"/>
      <c r="I760" s="21"/>
      <c r="J760" s="21"/>
      <c r="K760" s="204"/>
      <c r="L760" s="54"/>
      <c r="M760" s="55"/>
      <c r="N760" s="56"/>
      <c r="O760" s="16"/>
      <c r="P760" s="57"/>
      <c r="Q760" s="55"/>
      <c r="R760" s="16"/>
      <c r="S760" s="17"/>
      <c r="T760" s="16"/>
      <c r="U760" s="16"/>
      <c r="V760" s="16"/>
      <c r="W760" s="20"/>
      <c r="X760" s="21"/>
      <c r="Y760" s="21"/>
      <c r="Z760" s="21"/>
      <c r="AA760" s="21"/>
      <c r="AB760" s="21"/>
    </row>
    <row r="761" ht="20.25" customHeight="1">
      <c r="A761" s="139"/>
      <c r="B761" s="21"/>
      <c r="C761" s="21"/>
      <c r="D761" s="21"/>
      <c r="E761" s="21"/>
      <c r="F761" s="21"/>
      <c r="G761" s="21"/>
      <c r="H761" s="21"/>
      <c r="I761" s="21"/>
      <c r="J761" s="21"/>
      <c r="K761" s="204"/>
      <c r="L761" s="54"/>
      <c r="M761" s="55"/>
      <c r="N761" s="56"/>
      <c r="O761" s="16"/>
      <c r="P761" s="57"/>
      <c r="Q761" s="55"/>
      <c r="R761" s="16"/>
      <c r="S761" s="17"/>
      <c r="T761" s="16"/>
      <c r="U761" s="16"/>
      <c r="V761" s="16"/>
      <c r="W761" s="20"/>
      <c r="X761" s="21"/>
      <c r="Y761" s="21"/>
      <c r="Z761" s="21"/>
      <c r="AA761" s="21"/>
      <c r="AB761" s="21"/>
    </row>
    <row r="762" ht="20.25" customHeight="1">
      <c r="A762" s="139"/>
      <c r="B762" s="21"/>
      <c r="C762" s="21"/>
      <c r="D762" s="21"/>
      <c r="E762" s="21"/>
      <c r="F762" s="21"/>
      <c r="G762" s="21"/>
      <c r="H762" s="21"/>
      <c r="I762" s="21"/>
      <c r="J762" s="21"/>
      <c r="K762" s="204"/>
      <c r="L762" s="54"/>
      <c r="M762" s="55"/>
      <c r="N762" s="56"/>
      <c r="O762" s="16"/>
      <c r="P762" s="57"/>
      <c r="Q762" s="55"/>
      <c r="R762" s="16"/>
      <c r="S762" s="17"/>
      <c r="T762" s="16"/>
      <c r="U762" s="16"/>
      <c r="V762" s="16"/>
      <c r="W762" s="20"/>
      <c r="X762" s="21"/>
      <c r="Y762" s="21"/>
      <c r="Z762" s="21"/>
      <c r="AA762" s="21"/>
      <c r="AB762" s="21"/>
    </row>
    <row r="763" ht="20.25" customHeight="1">
      <c r="A763" s="139"/>
      <c r="B763" s="21"/>
      <c r="C763" s="21"/>
      <c r="D763" s="21"/>
      <c r="E763" s="21"/>
      <c r="F763" s="21"/>
      <c r="G763" s="21"/>
      <c r="H763" s="21"/>
      <c r="I763" s="21"/>
      <c r="J763" s="21"/>
      <c r="K763" s="204"/>
      <c r="L763" s="54"/>
      <c r="M763" s="55"/>
      <c r="N763" s="56"/>
      <c r="O763" s="16"/>
      <c r="P763" s="57"/>
      <c r="Q763" s="55"/>
      <c r="R763" s="16"/>
      <c r="S763" s="17"/>
      <c r="T763" s="16"/>
      <c r="U763" s="16"/>
      <c r="V763" s="16"/>
      <c r="W763" s="20"/>
      <c r="X763" s="21"/>
      <c r="Y763" s="21"/>
      <c r="Z763" s="21"/>
      <c r="AA763" s="21"/>
      <c r="AB763" s="21"/>
    </row>
    <row r="764" ht="20.25" customHeight="1">
      <c r="A764" s="139"/>
      <c r="B764" s="21"/>
      <c r="C764" s="21"/>
      <c r="D764" s="21"/>
      <c r="E764" s="21"/>
      <c r="F764" s="21"/>
      <c r="G764" s="21"/>
      <c r="H764" s="21"/>
      <c r="I764" s="21"/>
      <c r="J764" s="21"/>
      <c r="K764" s="204"/>
      <c r="L764" s="54"/>
      <c r="M764" s="55"/>
      <c r="N764" s="56"/>
      <c r="O764" s="16"/>
      <c r="P764" s="57"/>
      <c r="Q764" s="55"/>
      <c r="R764" s="16"/>
      <c r="S764" s="17"/>
      <c r="T764" s="16"/>
      <c r="U764" s="16"/>
      <c r="V764" s="16"/>
      <c r="W764" s="20"/>
      <c r="X764" s="21"/>
      <c r="Y764" s="21"/>
      <c r="Z764" s="21"/>
      <c r="AA764" s="21"/>
      <c r="AB764" s="21"/>
    </row>
    <row r="765" ht="20.25" customHeight="1">
      <c r="A765" s="139"/>
      <c r="B765" s="21"/>
      <c r="C765" s="21"/>
      <c r="D765" s="21"/>
      <c r="E765" s="21"/>
      <c r="F765" s="21"/>
      <c r="G765" s="21"/>
      <c r="H765" s="21"/>
      <c r="I765" s="21"/>
      <c r="J765" s="21"/>
      <c r="K765" s="204"/>
      <c r="L765" s="54"/>
      <c r="M765" s="55"/>
      <c r="N765" s="56"/>
      <c r="O765" s="16"/>
      <c r="P765" s="57"/>
      <c r="Q765" s="55"/>
      <c r="R765" s="16"/>
      <c r="S765" s="17"/>
      <c r="T765" s="16"/>
      <c r="U765" s="16"/>
      <c r="V765" s="16"/>
      <c r="W765" s="20"/>
      <c r="X765" s="21"/>
      <c r="Y765" s="21"/>
      <c r="Z765" s="21"/>
      <c r="AA765" s="21"/>
      <c r="AB765" s="21"/>
    </row>
    <row r="766" ht="20.25" customHeight="1">
      <c r="A766" s="139"/>
      <c r="B766" s="21"/>
      <c r="C766" s="21"/>
      <c r="D766" s="21"/>
      <c r="E766" s="21"/>
      <c r="F766" s="21"/>
      <c r="G766" s="21"/>
      <c r="H766" s="21"/>
      <c r="I766" s="21"/>
      <c r="J766" s="21"/>
      <c r="K766" s="204"/>
      <c r="L766" s="54"/>
      <c r="M766" s="55"/>
      <c r="N766" s="56"/>
      <c r="O766" s="16"/>
      <c r="P766" s="57"/>
      <c r="Q766" s="55"/>
      <c r="R766" s="16"/>
      <c r="S766" s="17"/>
      <c r="T766" s="16"/>
      <c r="U766" s="16"/>
      <c r="V766" s="16"/>
      <c r="W766" s="20"/>
      <c r="X766" s="21"/>
      <c r="Y766" s="21"/>
      <c r="Z766" s="21"/>
      <c r="AA766" s="21"/>
      <c r="AB766" s="21"/>
    </row>
    <row r="767" ht="20.25" customHeight="1">
      <c r="A767" s="139"/>
      <c r="B767" s="21"/>
      <c r="C767" s="21"/>
      <c r="D767" s="21"/>
      <c r="E767" s="21"/>
      <c r="F767" s="21"/>
      <c r="G767" s="21"/>
      <c r="H767" s="21"/>
      <c r="I767" s="21"/>
      <c r="J767" s="21"/>
      <c r="K767" s="204"/>
      <c r="L767" s="54"/>
      <c r="M767" s="55"/>
      <c r="N767" s="56"/>
      <c r="O767" s="16"/>
      <c r="P767" s="57"/>
      <c r="Q767" s="55"/>
      <c r="R767" s="16"/>
      <c r="S767" s="17"/>
      <c r="T767" s="16"/>
      <c r="U767" s="16"/>
      <c r="V767" s="16"/>
      <c r="W767" s="20"/>
      <c r="X767" s="21"/>
      <c r="Y767" s="21"/>
      <c r="Z767" s="21"/>
      <c r="AA767" s="21"/>
      <c r="AB767" s="21"/>
    </row>
    <row r="768" ht="20.25" customHeight="1">
      <c r="A768" s="139"/>
      <c r="B768" s="21"/>
      <c r="C768" s="21"/>
      <c r="D768" s="21"/>
      <c r="E768" s="21"/>
      <c r="F768" s="21"/>
      <c r="G768" s="21"/>
      <c r="H768" s="21"/>
      <c r="I768" s="21"/>
      <c r="J768" s="21"/>
      <c r="K768" s="204"/>
      <c r="L768" s="54"/>
      <c r="M768" s="55"/>
      <c r="N768" s="56"/>
      <c r="O768" s="16"/>
      <c r="P768" s="57"/>
      <c r="Q768" s="55"/>
      <c r="R768" s="16"/>
      <c r="S768" s="17"/>
      <c r="T768" s="16"/>
      <c r="U768" s="16"/>
      <c r="V768" s="16"/>
      <c r="W768" s="20"/>
      <c r="X768" s="21"/>
      <c r="Y768" s="21"/>
      <c r="Z768" s="21"/>
      <c r="AA768" s="21"/>
      <c r="AB768" s="21"/>
    </row>
    <row r="769" ht="20.25" customHeight="1">
      <c r="A769" s="139"/>
      <c r="B769" s="21"/>
      <c r="C769" s="21"/>
      <c r="D769" s="21"/>
      <c r="E769" s="21"/>
      <c r="F769" s="21"/>
      <c r="G769" s="21"/>
      <c r="H769" s="21"/>
      <c r="I769" s="21"/>
      <c r="J769" s="21"/>
      <c r="K769" s="204"/>
      <c r="L769" s="54"/>
      <c r="M769" s="55"/>
      <c r="N769" s="56"/>
      <c r="O769" s="16"/>
      <c r="P769" s="57"/>
      <c r="Q769" s="55"/>
      <c r="R769" s="16"/>
      <c r="S769" s="17"/>
      <c r="T769" s="16"/>
      <c r="U769" s="16"/>
      <c r="V769" s="16"/>
      <c r="W769" s="20"/>
      <c r="X769" s="21"/>
      <c r="Y769" s="21"/>
      <c r="Z769" s="21"/>
      <c r="AA769" s="21"/>
      <c r="AB769" s="21"/>
    </row>
    <row r="770" ht="20.25" customHeight="1">
      <c r="A770" s="139"/>
      <c r="B770" s="21"/>
      <c r="C770" s="21"/>
      <c r="D770" s="21"/>
      <c r="E770" s="21"/>
      <c r="F770" s="21"/>
      <c r="G770" s="21"/>
      <c r="H770" s="21"/>
      <c r="I770" s="21"/>
      <c r="J770" s="21"/>
      <c r="K770" s="204"/>
      <c r="L770" s="54"/>
      <c r="M770" s="55"/>
      <c r="N770" s="56"/>
      <c r="O770" s="16"/>
      <c r="P770" s="57"/>
      <c r="Q770" s="55"/>
      <c r="R770" s="16"/>
      <c r="S770" s="17"/>
      <c r="T770" s="16"/>
      <c r="U770" s="16"/>
      <c r="V770" s="16"/>
      <c r="W770" s="20"/>
      <c r="X770" s="21"/>
      <c r="Y770" s="21"/>
      <c r="Z770" s="21"/>
      <c r="AA770" s="21"/>
      <c r="AB770" s="21"/>
    </row>
    <row r="771" ht="20.25" customHeight="1">
      <c r="A771" s="139"/>
      <c r="B771" s="21"/>
      <c r="C771" s="21"/>
      <c r="D771" s="21"/>
      <c r="E771" s="21"/>
      <c r="F771" s="21"/>
      <c r="G771" s="21"/>
      <c r="H771" s="21"/>
      <c r="I771" s="21"/>
      <c r="J771" s="21"/>
      <c r="K771" s="204"/>
      <c r="L771" s="54"/>
      <c r="M771" s="55"/>
      <c r="N771" s="56"/>
      <c r="O771" s="16"/>
      <c r="P771" s="57"/>
      <c r="Q771" s="55"/>
      <c r="R771" s="16"/>
      <c r="S771" s="17"/>
      <c r="T771" s="16"/>
      <c r="U771" s="16"/>
      <c r="V771" s="16"/>
      <c r="W771" s="20"/>
      <c r="X771" s="21"/>
      <c r="Y771" s="21"/>
      <c r="Z771" s="21"/>
      <c r="AA771" s="21"/>
      <c r="AB771" s="21"/>
    </row>
    <row r="772" ht="20.25" customHeight="1">
      <c r="A772" s="139"/>
      <c r="B772" s="21"/>
      <c r="C772" s="21"/>
      <c r="D772" s="21"/>
      <c r="E772" s="21"/>
      <c r="F772" s="21"/>
      <c r="G772" s="21"/>
      <c r="H772" s="21"/>
      <c r="I772" s="21"/>
      <c r="J772" s="21"/>
      <c r="K772" s="204"/>
      <c r="L772" s="54"/>
      <c r="M772" s="55"/>
      <c r="N772" s="56"/>
      <c r="O772" s="16"/>
      <c r="P772" s="57"/>
      <c r="Q772" s="55"/>
      <c r="R772" s="16"/>
      <c r="S772" s="17"/>
      <c r="T772" s="16"/>
      <c r="U772" s="16"/>
      <c r="V772" s="16"/>
      <c r="W772" s="20"/>
      <c r="X772" s="21"/>
      <c r="Y772" s="21"/>
      <c r="Z772" s="21"/>
      <c r="AA772" s="21"/>
      <c r="AB772" s="21"/>
    </row>
    <row r="773" ht="20.25" customHeight="1">
      <c r="A773" s="139"/>
      <c r="B773" s="21"/>
      <c r="C773" s="21"/>
      <c r="D773" s="21"/>
      <c r="E773" s="21"/>
      <c r="F773" s="21"/>
      <c r="G773" s="21"/>
      <c r="H773" s="21"/>
      <c r="I773" s="21"/>
      <c r="J773" s="21"/>
      <c r="K773" s="204"/>
      <c r="L773" s="54"/>
      <c r="M773" s="55"/>
      <c r="N773" s="56"/>
      <c r="O773" s="16"/>
      <c r="P773" s="57"/>
      <c r="Q773" s="55"/>
      <c r="R773" s="16"/>
      <c r="S773" s="17"/>
      <c r="T773" s="16"/>
      <c r="U773" s="16"/>
      <c r="V773" s="16"/>
      <c r="W773" s="20"/>
      <c r="X773" s="21"/>
      <c r="Y773" s="21"/>
      <c r="Z773" s="21"/>
      <c r="AA773" s="21"/>
      <c r="AB773" s="21"/>
    </row>
    <row r="774" ht="20.25" customHeight="1">
      <c r="A774" s="139"/>
      <c r="B774" s="21"/>
      <c r="C774" s="21"/>
      <c r="D774" s="21"/>
      <c r="E774" s="21"/>
      <c r="F774" s="21"/>
      <c r="G774" s="21"/>
      <c r="H774" s="21"/>
      <c r="I774" s="21"/>
      <c r="J774" s="21"/>
      <c r="K774" s="204"/>
      <c r="L774" s="54"/>
      <c r="M774" s="55"/>
      <c r="N774" s="56"/>
      <c r="O774" s="16"/>
      <c r="P774" s="57"/>
      <c r="Q774" s="55"/>
      <c r="R774" s="16"/>
      <c r="S774" s="17"/>
      <c r="T774" s="16"/>
      <c r="U774" s="16"/>
      <c r="V774" s="16"/>
      <c r="W774" s="20"/>
      <c r="X774" s="21"/>
      <c r="Y774" s="21"/>
      <c r="Z774" s="21"/>
      <c r="AA774" s="21"/>
      <c r="AB774" s="21"/>
    </row>
    <row r="775" ht="20.25" customHeight="1">
      <c r="A775" s="139"/>
      <c r="B775" s="21"/>
      <c r="C775" s="21"/>
      <c r="D775" s="21"/>
      <c r="E775" s="21"/>
      <c r="F775" s="21"/>
      <c r="G775" s="21"/>
      <c r="H775" s="21"/>
      <c r="I775" s="21"/>
      <c r="J775" s="21"/>
      <c r="K775" s="204"/>
      <c r="L775" s="54"/>
      <c r="M775" s="55"/>
      <c r="N775" s="56"/>
      <c r="O775" s="16"/>
      <c r="P775" s="57"/>
      <c r="Q775" s="55"/>
      <c r="R775" s="16"/>
      <c r="S775" s="17"/>
      <c r="T775" s="16"/>
      <c r="U775" s="16"/>
      <c r="V775" s="16"/>
      <c r="W775" s="20"/>
      <c r="X775" s="21"/>
      <c r="Y775" s="21"/>
      <c r="Z775" s="21"/>
      <c r="AA775" s="21"/>
      <c r="AB775" s="21"/>
    </row>
    <row r="776" ht="20.25" customHeight="1">
      <c r="A776" s="139"/>
      <c r="B776" s="21"/>
      <c r="C776" s="21"/>
      <c r="D776" s="21"/>
      <c r="E776" s="21"/>
      <c r="F776" s="21"/>
      <c r="G776" s="21"/>
      <c r="H776" s="21"/>
      <c r="I776" s="21"/>
      <c r="J776" s="21"/>
      <c r="K776" s="204"/>
      <c r="L776" s="54"/>
      <c r="M776" s="55"/>
      <c r="N776" s="56"/>
      <c r="O776" s="16"/>
      <c r="P776" s="57"/>
      <c r="Q776" s="55"/>
      <c r="R776" s="16"/>
      <c r="S776" s="17"/>
      <c r="T776" s="16"/>
      <c r="U776" s="16"/>
      <c r="V776" s="16"/>
      <c r="W776" s="20"/>
      <c r="X776" s="21"/>
      <c r="Y776" s="21"/>
      <c r="Z776" s="21"/>
      <c r="AA776" s="21"/>
      <c r="AB776" s="21"/>
    </row>
    <row r="777" ht="20.25" customHeight="1">
      <c r="A777" s="139"/>
      <c r="B777" s="21"/>
      <c r="C777" s="21"/>
      <c r="D777" s="21"/>
      <c r="E777" s="21"/>
      <c r="F777" s="21"/>
      <c r="G777" s="21"/>
      <c r="H777" s="21"/>
      <c r="I777" s="21"/>
      <c r="J777" s="21"/>
      <c r="K777" s="204"/>
      <c r="L777" s="54"/>
      <c r="M777" s="55"/>
      <c r="N777" s="56"/>
      <c r="O777" s="16"/>
      <c r="P777" s="57"/>
      <c r="Q777" s="55"/>
      <c r="R777" s="16"/>
      <c r="S777" s="17"/>
      <c r="T777" s="16"/>
      <c r="U777" s="16"/>
      <c r="V777" s="16"/>
      <c r="W777" s="20"/>
      <c r="X777" s="21"/>
      <c r="Y777" s="21"/>
      <c r="Z777" s="21"/>
      <c r="AA777" s="21"/>
      <c r="AB777" s="21"/>
    </row>
    <row r="778" ht="20.25" customHeight="1">
      <c r="A778" s="139"/>
      <c r="B778" s="21"/>
      <c r="C778" s="21"/>
      <c r="D778" s="21"/>
      <c r="E778" s="21"/>
      <c r="F778" s="21"/>
      <c r="G778" s="21"/>
      <c r="H778" s="21"/>
      <c r="I778" s="21"/>
      <c r="J778" s="21"/>
      <c r="K778" s="204"/>
      <c r="L778" s="54"/>
      <c r="M778" s="55"/>
      <c r="N778" s="56"/>
      <c r="O778" s="16"/>
      <c r="P778" s="57"/>
      <c r="Q778" s="55"/>
      <c r="R778" s="16"/>
      <c r="S778" s="17"/>
      <c r="T778" s="16"/>
      <c r="U778" s="16"/>
      <c r="V778" s="16"/>
      <c r="W778" s="20"/>
      <c r="X778" s="21"/>
      <c r="Y778" s="21"/>
      <c r="Z778" s="21"/>
      <c r="AA778" s="21"/>
      <c r="AB778" s="21"/>
    </row>
    <row r="779" ht="20.25" customHeight="1">
      <c r="A779" s="139"/>
      <c r="B779" s="21"/>
      <c r="C779" s="21"/>
      <c r="D779" s="21"/>
      <c r="E779" s="21"/>
      <c r="F779" s="21"/>
      <c r="G779" s="21"/>
      <c r="H779" s="21"/>
      <c r="I779" s="21"/>
      <c r="J779" s="21"/>
      <c r="K779" s="204"/>
      <c r="L779" s="54"/>
      <c r="M779" s="55"/>
      <c r="N779" s="56"/>
      <c r="O779" s="16"/>
      <c r="P779" s="57"/>
      <c r="Q779" s="55"/>
      <c r="R779" s="16"/>
      <c r="S779" s="17"/>
      <c r="T779" s="16"/>
      <c r="U779" s="16"/>
      <c r="V779" s="16"/>
      <c r="W779" s="20"/>
      <c r="X779" s="21"/>
      <c r="Y779" s="21"/>
      <c r="Z779" s="21"/>
      <c r="AA779" s="21"/>
      <c r="AB779" s="21"/>
    </row>
    <row r="780" ht="20.25" customHeight="1">
      <c r="A780" s="139"/>
      <c r="B780" s="21"/>
      <c r="C780" s="21"/>
      <c r="D780" s="21"/>
      <c r="E780" s="21"/>
      <c r="F780" s="21"/>
      <c r="G780" s="21"/>
      <c r="H780" s="21"/>
      <c r="I780" s="21"/>
      <c r="J780" s="21"/>
      <c r="K780" s="204"/>
      <c r="L780" s="54"/>
      <c r="M780" s="55"/>
      <c r="N780" s="56"/>
      <c r="O780" s="16"/>
      <c r="P780" s="57"/>
      <c r="Q780" s="55"/>
      <c r="R780" s="16"/>
      <c r="S780" s="17"/>
      <c r="T780" s="16"/>
      <c r="U780" s="16"/>
      <c r="V780" s="16"/>
      <c r="W780" s="20"/>
      <c r="X780" s="21"/>
      <c r="Y780" s="21"/>
      <c r="Z780" s="21"/>
      <c r="AA780" s="21"/>
      <c r="AB780" s="21"/>
    </row>
    <row r="781" ht="20.25" customHeight="1">
      <c r="A781" s="139"/>
      <c r="B781" s="21"/>
      <c r="C781" s="21"/>
      <c r="D781" s="21"/>
      <c r="E781" s="21"/>
      <c r="F781" s="21"/>
      <c r="G781" s="21"/>
      <c r="H781" s="21"/>
      <c r="I781" s="21"/>
      <c r="J781" s="21"/>
      <c r="K781" s="204"/>
      <c r="L781" s="54"/>
      <c r="M781" s="55"/>
      <c r="N781" s="56"/>
      <c r="O781" s="16"/>
      <c r="P781" s="57"/>
      <c r="Q781" s="55"/>
      <c r="R781" s="16"/>
      <c r="S781" s="17"/>
      <c r="T781" s="16"/>
      <c r="U781" s="16"/>
      <c r="V781" s="16"/>
      <c r="W781" s="20"/>
      <c r="X781" s="21"/>
      <c r="Y781" s="21"/>
      <c r="Z781" s="21"/>
      <c r="AA781" s="21"/>
      <c r="AB781" s="21"/>
    </row>
    <row r="782" ht="20.25" customHeight="1">
      <c r="A782" s="139"/>
      <c r="B782" s="21"/>
      <c r="C782" s="21"/>
      <c r="D782" s="21"/>
      <c r="E782" s="21"/>
      <c r="F782" s="21"/>
      <c r="G782" s="21"/>
      <c r="H782" s="21"/>
      <c r="I782" s="21"/>
      <c r="J782" s="21"/>
      <c r="K782" s="204"/>
      <c r="L782" s="54"/>
      <c r="M782" s="55"/>
      <c r="N782" s="56"/>
      <c r="O782" s="16"/>
      <c r="P782" s="57"/>
      <c r="Q782" s="55"/>
      <c r="R782" s="16"/>
      <c r="S782" s="17"/>
      <c r="T782" s="16"/>
      <c r="U782" s="16"/>
      <c r="V782" s="16"/>
      <c r="W782" s="20"/>
      <c r="X782" s="21"/>
      <c r="Y782" s="21"/>
      <c r="Z782" s="21"/>
      <c r="AA782" s="21"/>
      <c r="AB782" s="21"/>
    </row>
    <row r="783" ht="20.25" customHeight="1">
      <c r="A783" s="139"/>
      <c r="B783" s="21"/>
      <c r="C783" s="21"/>
      <c r="D783" s="21"/>
      <c r="E783" s="21"/>
      <c r="F783" s="21"/>
      <c r="G783" s="21"/>
      <c r="H783" s="21"/>
      <c r="I783" s="21"/>
      <c r="J783" s="21"/>
      <c r="K783" s="204"/>
      <c r="L783" s="54"/>
      <c r="M783" s="55"/>
      <c r="N783" s="56"/>
      <c r="O783" s="16"/>
      <c r="P783" s="57"/>
      <c r="Q783" s="55"/>
      <c r="R783" s="16"/>
      <c r="S783" s="17"/>
      <c r="T783" s="16"/>
      <c r="U783" s="16"/>
      <c r="V783" s="16"/>
      <c r="W783" s="20"/>
      <c r="X783" s="21"/>
      <c r="Y783" s="21"/>
      <c r="Z783" s="21"/>
      <c r="AA783" s="21"/>
      <c r="AB783" s="21"/>
    </row>
    <row r="784" ht="20.25" customHeight="1">
      <c r="A784" s="139"/>
      <c r="B784" s="21"/>
      <c r="C784" s="21"/>
      <c r="D784" s="21"/>
      <c r="E784" s="21"/>
      <c r="F784" s="21"/>
      <c r="G784" s="21"/>
      <c r="H784" s="21"/>
      <c r="I784" s="21"/>
      <c r="J784" s="21"/>
      <c r="K784" s="204"/>
      <c r="L784" s="54"/>
      <c r="M784" s="55"/>
      <c r="N784" s="56"/>
      <c r="O784" s="16"/>
      <c r="P784" s="57"/>
      <c r="Q784" s="55"/>
      <c r="R784" s="16"/>
      <c r="S784" s="17"/>
      <c r="T784" s="16"/>
      <c r="U784" s="16"/>
      <c r="V784" s="16"/>
      <c r="W784" s="20"/>
      <c r="X784" s="21"/>
      <c r="Y784" s="21"/>
      <c r="Z784" s="21"/>
      <c r="AA784" s="21"/>
      <c r="AB784" s="21"/>
    </row>
    <row r="785" ht="20.25" customHeight="1">
      <c r="A785" s="139"/>
      <c r="B785" s="21"/>
      <c r="C785" s="21"/>
      <c r="D785" s="21"/>
      <c r="E785" s="21"/>
      <c r="F785" s="21"/>
      <c r="G785" s="21"/>
      <c r="H785" s="21"/>
      <c r="I785" s="21"/>
      <c r="J785" s="21"/>
      <c r="K785" s="204"/>
      <c r="L785" s="54"/>
      <c r="M785" s="55"/>
      <c r="N785" s="56"/>
      <c r="O785" s="16"/>
      <c r="P785" s="57"/>
      <c r="Q785" s="55"/>
      <c r="R785" s="16"/>
      <c r="S785" s="17"/>
      <c r="T785" s="16"/>
      <c r="U785" s="16"/>
      <c r="V785" s="16"/>
      <c r="W785" s="20"/>
      <c r="X785" s="21"/>
      <c r="Y785" s="21"/>
      <c r="Z785" s="21"/>
      <c r="AA785" s="21"/>
      <c r="AB785" s="21"/>
    </row>
    <row r="786" ht="20.25" customHeight="1">
      <c r="A786" s="139"/>
      <c r="B786" s="21"/>
      <c r="C786" s="21"/>
      <c r="D786" s="21"/>
      <c r="E786" s="21"/>
      <c r="F786" s="21"/>
      <c r="G786" s="21"/>
      <c r="H786" s="21"/>
      <c r="I786" s="21"/>
      <c r="J786" s="21"/>
      <c r="K786" s="204"/>
      <c r="L786" s="54"/>
      <c r="M786" s="55"/>
      <c r="N786" s="56"/>
      <c r="O786" s="16"/>
      <c r="P786" s="57"/>
      <c r="Q786" s="55"/>
      <c r="R786" s="16"/>
      <c r="S786" s="17"/>
      <c r="T786" s="16"/>
      <c r="U786" s="16"/>
      <c r="V786" s="16"/>
      <c r="W786" s="20"/>
      <c r="X786" s="21"/>
      <c r="Y786" s="21"/>
      <c r="Z786" s="21"/>
      <c r="AA786" s="21"/>
      <c r="AB786" s="21"/>
    </row>
    <row r="787" ht="20.25" customHeight="1">
      <c r="A787" s="139"/>
      <c r="B787" s="21"/>
      <c r="C787" s="21"/>
      <c r="D787" s="21"/>
      <c r="E787" s="21"/>
      <c r="F787" s="21"/>
      <c r="G787" s="21"/>
      <c r="H787" s="21"/>
      <c r="I787" s="21"/>
      <c r="J787" s="21"/>
      <c r="K787" s="204"/>
      <c r="L787" s="54"/>
      <c r="M787" s="55"/>
      <c r="N787" s="56"/>
      <c r="O787" s="16"/>
      <c r="P787" s="57"/>
      <c r="Q787" s="55"/>
      <c r="R787" s="16"/>
      <c r="S787" s="17"/>
      <c r="T787" s="16"/>
      <c r="U787" s="16"/>
      <c r="V787" s="16"/>
      <c r="W787" s="20"/>
      <c r="X787" s="21"/>
      <c r="Y787" s="21"/>
      <c r="Z787" s="21"/>
      <c r="AA787" s="21"/>
      <c r="AB787" s="21"/>
    </row>
    <row r="788" ht="20.25" customHeight="1">
      <c r="A788" s="139"/>
      <c r="B788" s="21"/>
      <c r="C788" s="21"/>
      <c r="D788" s="21"/>
      <c r="E788" s="21"/>
      <c r="F788" s="21"/>
      <c r="G788" s="21"/>
      <c r="H788" s="21"/>
      <c r="I788" s="21"/>
      <c r="J788" s="21"/>
      <c r="K788" s="204"/>
      <c r="L788" s="54"/>
      <c r="M788" s="55"/>
      <c r="N788" s="56"/>
      <c r="O788" s="16"/>
      <c r="P788" s="57"/>
      <c r="Q788" s="55"/>
      <c r="R788" s="16"/>
      <c r="S788" s="17"/>
      <c r="T788" s="16"/>
      <c r="U788" s="16"/>
      <c r="V788" s="16"/>
      <c r="W788" s="20"/>
      <c r="X788" s="21"/>
      <c r="Y788" s="21"/>
      <c r="Z788" s="21"/>
      <c r="AA788" s="21"/>
      <c r="AB788" s="21"/>
    </row>
    <row r="789" ht="20.25" customHeight="1">
      <c r="A789" s="139"/>
      <c r="B789" s="21"/>
      <c r="C789" s="21"/>
      <c r="D789" s="21"/>
      <c r="E789" s="21"/>
      <c r="F789" s="21"/>
      <c r="G789" s="21"/>
      <c r="H789" s="21"/>
      <c r="I789" s="21"/>
      <c r="J789" s="21"/>
      <c r="K789" s="204"/>
      <c r="L789" s="54"/>
      <c r="M789" s="55"/>
      <c r="N789" s="56"/>
      <c r="O789" s="16"/>
      <c r="P789" s="57"/>
      <c r="Q789" s="55"/>
      <c r="R789" s="16"/>
      <c r="S789" s="17"/>
      <c r="T789" s="16"/>
      <c r="U789" s="16"/>
      <c r="V789" s="16"/>
      <c r="W789" s="20"/>
      <c r="X789" s="21"/>
      <c r="Y789" s="21"/>
      <c r="Z789" s="21"/>
      <c r="AA789" s="21"/>
      <c r="AB789" s="21"/>
    </row>
    <row r="790" ht="20.25" customHeight="1">
      <c r="A790" s="139"/>
      <c r="B790" s="21"/>
      <c r="C790" s="21"/>
      <c r="D790" s="21"/>
      <c r="E790" s="21"/>
      <c r="F790" s="21"/>
      <c r="G790" s="21"/>
      <c r="H790" s="21"/>
      <c r="I790" s="21"/>
      <c r="J790" s="21"/>
      <c r="K790" s="204"/>
      <c r="L790" s="54"/>
      <c r="M790" s="55"/>
      <c r="N790" s="56"/>
      <c r="O790" s="16"/>
      <c r="P790" s="57"/>
      <c r="Q790" s="55"/>
      <c r="R790" s="16"/>
      <c r="S790" s="17"/>
      <c r="T790" s="16"/>
      <c r="U790" s="16"/>
      <c r="V790" s="16"/>
      <c r="W790" s="20"/>
      <c r="X790" s="21"/>
      <c r="Y790" s="21"/>
      <c r="Z790" s="21"/>
      <c r="AA790" s="21"/>
      <c r="AB790" s="21"/>
    </row>
    <row r="791" ht="20.25" customHeight="1">
      <c r="A791" s="139"/>
      <c r="B791" s="21"/>
      <c r="C791" s="21"/>
      <c r="D791" s="21"/>
      <c r="E791" s="21"/>
      <c r="F791" s="21"/>
      <c r="G791" s="21"/>
      <c r="H791" s="21"/>
      <c r="I791" s="21"/>
      <c r="J791" s="21"/>
      <c r="K791" s="204"/>
      <c r="L791" s="54"/>
      <c r="M791" s="55"/>
      <c r="N791" s="56"/>
      <c r="O791" s="16"/>
      <c r="P791" s="57"/>
      <c r="Q791" s="55"/>
      <c r="R791" s="16"/>
      <c r="S791" s="17"/>
      <c r="T791" s="16"/>
      <c r="U791" s="16"/>
      <c r="V791" s="16"/>
      <c r="W791" s="20"/>
      <c r="X791" s="21"/>
      <c r="Y791" s="21"/>
      <c r="Z791" s="21"/>
      <c r="AA791" s="21"/>
      <c r="AB791" s="21"/>
    </row>
    <row r="792" ht="20.25" customHeight="1">
      <c r="A792" s="139"/>
      <c r="B792" s="21"/>
      <c r="C792" s="21"/>
      <c r="D792" s="21"/>
      <c r="E792" s="21"/>
      <c r="F792" s="21"/>
      <c r="G792" s="21"/>
      <c r="H792" s="21"/>
      <c r="I792" s="21"/>
      <c r="J792" s="21"/>
      <c r="K792" s="204"/>
      <c r="L792" s="54"/>
      <c r="M792" s="55"/>
      <c r="N792" s="56"/>
      <c r="O792" s="16"/>
      <c r="P792" s="57"/>
      <c r="Q792" s="55"/>
      <c r="R792" s="16"/>
      <c r="S792" s="17"/>
      <c r="T792" s="16"/>
      <c r="U792" s="16"/>
      <c r="V792" s="16"/>
      <c r="W792" s="20"/>
      <c r="X792" s="21"/>
      <c r="Y792" s="21"/>
      <c r="Z792" s="21"/>
      <c r="AA792" s="21"/>
      <c r="AB792" s="21"/>
    </row>
    <row r="793" ht="20.25" customHeight="1">
      <c r="A793" s="139"/>
      <c r="B793" s="21"/>
      <c r="C793" s="21"/>
      <c r="D793" s="21"/>
      <c r="E793" s="21"/>
      <c r="F793" s="21"/>
      <c r="G793" s="21"/>
      <c r="H793" s="21"/>
      <c r="I793" s="21"/>
      <c r="J793" s="21"/>
      <c r="K793" s="204"/>
      <c r="L793" s="54"/>
      <c r="M793" s="55"/>
      <c r="N793" s="56"/>
      <c r="O793" s="16"/>
      <c r="P793" s="57"/>
      <c r="Q793" s="55"/>
      <c r="R793" s="16"/>
      <c r="S793" s="17"/>
      <c r="T793" s="16"/>
      <c r="U793" s="16"/>
      <c r="V793" s="16"/>
      <c r="W793" s="20"/>
      <c r="X793" s="21"/>
      <c r="Y793" s="21"/>
      <c r="Z793" s="21"/>
      <c r="AA793" s="21"/>
      <c r="AB793" s="21"/>
    </row>
    <row r="794" ht="20.25" customHeight="1">
      <c r="A794" s="139"/>
      <c r="B794" s="21"/>
      <c r="C794" s="21"/>
      <c r="D794" s="21"/>
      <c r="E794" s="21"/>
      <c r="F794" s="21"/>
      <c r="G794" s="21"/>
      <c r="H794" s="21"/>
      <c r="I794" s="21"/>
      <c r="J794" s="21"/>
      <c r="K794" s="204"/>
      <c r="L794" s="54"/>
      <c r="M794" s="55"/>
      <c r="N794" s="56"/>
      <c r="O794" s="16"/>
      <c r="P794" s="57"/>
      <c r="Q794" s="55"/>
      <c r="R794" s="16"/>
      <c r="S794" s="17"/>
      <c r="T794" s="16"/>
      <c r="U794" s="16"/>
      <c r="V794" s="16"/>
      <c r="W794" s="20"/>
      <c r="X794" s="21"/>
      <c r="Y794" s="21"/>
      <c r="Z794" s="21"/>
      <c r="AA794" s="21"/>
      <c r="AB794" s="21"/>
    </row>
    <row r="795" ht="20.25" customHeight="1">
      <c r="A795" s="139"/>
      <c r="B795" s="21"/>
      <c r="C795" s="21"/>
      <c r="D795" s="21"/>
      <c r="E795" s="21"/>
      <c r="F795" s="21"/>
      <c r="G795" s="21"/>
      <c r="H795" s="21"/>
      <c r="I795" s="21"/>
      <c r="J795" s="21"/>
      <c r="K795" s="204"/>
      <c r="L795" s="54"/>
      <c r="M795" s="55"/>
      <c r="N795" s="56"/>
      <c r="O795" s="16"/>
      <c r="P795" s="57"/>
      <c r="Q795" s="55"/>
      <c r="R795" s="16"/>
      <c r="S795" s="17"/>
      <c r="T795" s="16"/>
      <c r="U795" s="16"/>
      <c r="V795" s="16"/>
      <c r="W795" s="20"/>
      <c r="X795" s="21"/>
      <c r="Y795" s="21"/>
      <c r="Z795" s="21"/>
      <c r="AA795" s="21"/>
      <c r="AB795" s="21"/>
    </row>
    <row r="796" ht="20.25" customHeight="1">
      <c r="A796" s="139"/>
      <c r="B796" s="21"/>
      <c r="C796" s="21"/>
      <c r="D796" s="21"/>
      <c r="E796" s="21"/>
      <c r="F796" s="21"/>
      <c r="G796" s="21"/>
      <c r="H796" s="21"/>
      <c r="I796" s="21"/>
      <c r="J796" s="21"/>
      <c r="K796" s="204"/>
      <c r="L796" s="54"/>
      <c r="M796" s="55"/>
      <c r="N796" s="56"/>
      <c r="O796" s="16"/>
      <c r="P796" s="57"/>
      <c r="Q796" s="55"/>
      <c r="R796" s="16"/>
      <c r="S796" s="17"/>
      <c r="T796" s="16"/>
      <c r="U796" s="16"/>
      <c r="V796" s="16"/>
      <c r="W796" s="20"/>
      <c r="X796" s="21"/>
      <c r="Y796" s="21"/>
      <c r="Z796" s="21"/>
      <c r="AA796" s="21"/>
      <c r="AB796" s="21"/>
    </row>
    <row r="797" ht="20.25" customHeight="1">
      <c r="A797" s="139"/>
      <c r="B797" s="21"/>
      <c r="C797" s="21"/>
      <c r="D797" s="21"/>
      <c r="E797" s="21"/>
      <c r="F797" s="21"/>
      <c r="G797" s="21"/>
      <c r="H797" s="21"/>
      <c r="I797" s="21"/>
      <c r="J797" s="21"/>
      <c r="K797" s="204"/>
      <c r="L797" s="54"/>
      <c r="M797" s="55"/>
      <c r="N797" s="56"/>
      <c r="O797" s="16"/>
      <c r="P797" s="57"/>
      <c r="Q797" s="55"/>
      <c r="R797" s="16"/>
      <c r="S797" s="17"/>
      <c r="T797" s="16"/>
      <c r="U797" s="16"/>
      <c r="V797" s="16"/>
      <c r="W797" s="20"/>
      <c r="X797" s="21"/>
      <c r="Y797" s="21"/>
      <c r="Z797" s="21"/>
      <c r="AA797" s="21"/>
      <c r="AB797" s="21"/>
    </row>
    <row r="798" ht="20.25" customHeight="1">
      <c r="A798" s="139"/>
      <c r="B798" s="21"/>
      <c r="C798" s="21"/>
      <c r="D798" s="21"/>
      <c r="E798" s="21"/>
      <c r="F798" s="21"/>
      <c r="G798" s="21"/>
      <c r="H798" s="21"/>
      <c r="I798" s="21"/>
      <c r="J798" s="21"/>
      <c r="K798" s="204"/>
      <c r="L798" s="54"/>
      <c r="M798" s="55"/>
      <c r="N798" s="56"/>
      <c r="O798" s="16"/>
      <c r="P798" s="57"/>
      <c r="Q798" s="55"/>
      <c r="R798" s="16"/>
      <c r="S798" s="17"/>
      <c r="T798" s="16"/>
      <c r="U798" s="16"/>
      <c r="V798" s="16"/>
      <c r="W798" s="20"/>
      <c r="X798" s="21"/>
      <c r="Y798" s="21"/>
      <c r="Z798" s="21"/>
      <c r="AA798" s="21"/>
      <c r="AB798" s="21"/>
    </row>
    <row r="799" ht="20.25" customHeight="1">
      <c r="A799" s="139"/>
      <c r="B799" s="21"/>
      <c r="C799" s="21"/>
      <c r="D799" s="21"/>
      <c r="E799" s="21"/>
      <c r="F799" s="21"/>
      <c r="G799" s="21"/>
      <c r="H799" s="21"/>
      <c r="I799" s="21"/>
      <c r="J799" s="21"/>
      <c r="K799" s="204"/>
      <c r="L799" s="54"/>
      <c r="M799" s="55"/>
      <c r="N799" s="56"/>
      <c r="O799" s="16"/>
      <c r="P799" s="57"/>
      <c r="Q799" s="55"/>
      <c r="R799" s="16"/>
      <c r="S799" s="17"/>
      <c r="T799" s="16"/>
      <c r="U799" s="16"/>
      <c r="V799" s="16"/>
      <c r="W799" s="20"/>
      <c r="X799" s="21"/>
      <c r="Y799" s="21"/>
      <c r="Z799" s="21"/>
      <c r="AA799" s="21"/>
      <c r="AB799" s="21"/>
    </row>
    <row r="800" ht="20.25" customHeight="1">
      <c r="A800" s="139"/>
      <c r="B800" s="21"/>
      <c r="C800" s="21"/>
      <c r="D800" s="21"/>
      <c r="E800" s="21"/>
      <c r="F800" s="21"/>
      <c r="G800" s="21"/>
      <c r="H800" s="21"/>
      <c r="I800" s="21"/>
      <c r="J800" s="21"/>
      <c r="K800" s="204"/>
      <c r="L800" s="54"/>
      <c r="M800" s="55"/>
      <c r="N800" s="56"/>
      <c r="O800" s="16"/>
      <c r="P800" s="57"/>
      <c r="Q800" s="55"/>
      <c r="R800" s="16"/>
      <c r="S800" s="17"/>
      <c r="T800" s="16"/>
      <c r="U800" s="16"/>
      <c r="V800" s="16"/>
      <c r="W800" s="20"/>
      <c r="X800" s="21"/>
      <c r="Y800" s="21"/>
      <c r="Z800" s="21"/>
      <c r="AA800" s="21"/>
      <c r="AB800" s="21"/>
    </row>
    <row r="801" ht="20.25" customHeight="1">
      <c r="A801" s="139"/>
      <c r="B801" s="21"/>
      <c r="C801" s="21"/>
      <c r="D801" s="21"/>
      <c r="E801" s="21"/>
      <c r="F801" s="21"/>
      <c r="G801" s="21"/>
      <c r="H801" s="21"/>
      <c r="I801" s="21"/>
      <c r="J801" s="21"/>
      <c r="K801" s="204"/>
      <c r="L801" s="54"/>
      <c r="M801" s="55"/>
      <c r="N801" s="56"/>
      <c r="O801" s="16"/>
      <c r="P801" s="57"/>
      <c r="Q801" s="55"/>
      <c r="R801" s="16"/>
      <c r="S801" s="17"/>
      <c r="T801" s="16"/>
      <c r="U801" s="16"/>
      <c r="V801" s="16"/>
      <c r="W801" s="20"/>
      <c r="X801" s="21"/>
      <c r="Y801" s="21"/>
      <c r="Z801" s="21"/>
      <c r="AA801" s="21"/>
      <c r="AB801" s="21"/>
    </row>
    <row r="802" ht="20.25" customHeight="1">
      <c r="A802" s="139"/>
      <c r="B802" s="21"/>
      <c r="C802" s="21"/>
      <c r="D802" s="21"/>
      <c r="E802" s="21"/>
      <c r="F802" s="21"/>
      <c r="G802" s="21"/>
      <c r="H802" s="21"/>
      <c r="I802" s="21"/>
      <c r="J802" s="21"/>
      <c r="K802" s="204"/>
      <c r="L802" s="54"/>
      <c r="M802" s="55"/>
      <c r="N802" s="56"/>
      <c r="O802" s="16"/>
      <c r="P802" s="57"/>
      <c r="Q802" s="55"/>
      <c r="R802" s="16"/>
      <c r="S802" s="17"/>
      <c r="T802" s="16"/>
      <c r="U802" s="16"/>
      <c r="V802" s="16"/>
      <c r="W802" s="20"/>
      <c r="X802" s="21"/>
      <c r="Y802" s="21"/>
      <c r="Z802" s="21"/>
      <c r="AA802" s="21"/>
      <c r="AB802" s="21"/>
    </row>
    <row r="803" ht="20.25" customHeight="1">
      <c r="A803" s="139"/>
      <c r="B803" s="21"/>
      <c r="C803" s="21"/>
      <c r="D803" s="21"/>
      <c r="E803" s="21"/>
      <c r="F803" s="21"/>
      <c r="G803" s="21"/>
      <c r="H803" s="21"/>
      <c r="I803" s="21"/>
      <c r="J803" s="21"/>
      <c r="K803" s="204"/>
      <c r="L803" s="54"/>
      <c r="M803" s="55"/>
      <c r="N803" s="56"/>
      <c r="O803" s="16"/>
      <c r="P803" s="57"/>
      <c r="Q803" s="55"/>
      <c r="R803" s="16"/>
      <c r="S803" s="17"/>
      <c r="T803" s="16"/>
      <c r="U803" s="16"/>
      <c r="V803" s="16"/>
      <c r="W803" s="20"/>
      <c r="X803" s="21"/>
      <c r="Y803" s="21"/>
      <c r="Z803" s="21"/>
      <c r="AA803" s="21"/>
      <c r="AB803" s="21"/>
    </row>
    <row r="804" ht="20.25" customHeight="1">
      <c r="A804" s="139"/>
      <c r="B804" s="21"/>
      <c r="C804" s="21"/>
      <c r="D804" s="21"/>
      <c r="E804" s="21"/>
      <c r="F804" s="21"/>
      <c r="G804" s="21"/>
      <c r="H804" s="21"/>
      <c r="I804" s="21"/>
      <c r="J804" s="21"/>
      <c r="K804" s="204"/>
      <c r="L804" s="54"/>
      <c r="M804" s="55"/>
      <c r="N804" s="56"/>
      <c r="O804" s="16"/>
      <c r="P804" s="57"/>
      <c r="Q804" s="55"/>
      <c r="R804" s="16"/>
      <c r="S804" s="17"/>
      <c r="T804" s="16"/>
      <c r="U804" s="16"/>
      <c r="V804" s="16"/>
      <c r="W804" s="20"/>
      <c r="X804" s="21"/>
      <c r="Y804" s="21"/>
      <c r="Z804" s="21"/>
      <c r="AA804" s="21"/>
      <c r="AB804" s="21"/>
    </row>
    <row r="805" ht="20.25" customHeight="1">
      <c r="A805" s="139"/>
      <c r="B805" s="21"/>
      <c r="C805" s="21"/>
      <c r="D805" s="21"/>
      <c r="E805" s="21"/>
      <c r="F805" s="21"/>
      <c r="G805" s="21"/>
      <c r="H805" s="21"/>
      <c r="I805" s="21"/>
      <c r="J805" s="21"/>
      <c r="K805" s="204"/>
      <c r="L805" s="54"/>
      <c r="M805" s="55"/>
      <c r="N805" s="56"/>
      <c r="O805" s="16"/>
      <c r="P805" s="57"/>
      <c r="Q805" s="55"/>
      <c r="R805" s="16"/>
      <c r="S805" s="17"/>
      <c r="T805" s="16"/>
      <c r="U805" s="16"/>
      <c r="V805" s="16"/>
      <c r="W805" s="20"/>
      <c r="X805" s="21"/>
      <c r="Y805" s="21"/>
      <c r="Z805" s="21"/>
      <c r="AA805" s="21"/>
      <c r="AB805" s="21"/>
    </row>
    <row r="806" ht="20.25" customHeight="1">
      <c r="A806" s="139"/>
      <c r="B806" s="21"/>
      <c r="C806" s="21"/>
      <c r="D806" s="21"/>
      <c r="E806" s="21"/>
      <c r="F806" s="21"/>
      <c r="G806" s="21"/>
      <c r="H806" s="21"/>
      <c r="I806" s="21"/>
      <c r="J806" s="21"/>
      <c r="K806" s="204"/>
      <c r="L806" s="54"/>
      <c r="M806" s="55"/>
      <c r="N806" s="56"/>
      <c r="O806" s="16"/>
      <c r="P806" s="57"/>
      <c r="Q806" s="55"/>
      <c r="R806" s="16"/>
      <c r="S806" s="17"/>
      <c r="T806" s="16"/>
      <c r="U806" s="16"/>
      <c r="V806" s="16"/>
      <c r="W806" s="20"/>
      <c r="X806" s="21"/>
      <c r="Y806" s="21"/>
      <c r="Z806" s="21"/>
      <c r="AA806" s="21"/>
      <c r="AB806" s="21"/>
    </row>
    <row r="807" ht="20.25" customHeight="1">
      <c r="A807" s="139"/>
      <c r="B807" s="21"/>
      <c r="C807" s="21"/>
      <c r="D807" s="21"/>
      <c r="E807" s="21"/>
      <c r="F807" s="21"/>
      <c r="G807" s="21"/>
      <c r="H807" s="21"/>
      <c r="I807" s="21"/>
      <c r="J807" s="21"/>
      <c r="K807" s="204"/>
      <c r="L807" s="54"/>
      <c r="M807" s="55"/>
      <c r="N807" s="56"/>
      <c r="O807" s="16"/>
      <c r="P807" s="57"/>
      <c r="Q807" s="55"/>
      <c r="R807" s="16"/>
      <c r="S807" s="17"/>
      <c r="T807" s="16"/>
      <c r="U807" s="16"/>
      <c r="V807" s="16"/>
      <c r="W807" s="20"/>
      <c r="X807" s="21"/>
      <c r="Y807" s="21"/>
      <c r="Z807" s="21"/>
      <c r="AA807" s="21"/>
      <c r="AB807" s="21"/>
    </row>
    <row r="808" ht="20.25" customHeight="1">
      <c r="A808" s="139"/>
      <c r="B808" s="21"/>
      <c r="C808" s="21"/>
      <c r="D808" s="21"/>
      <c r="E808" s="21"/>
      <c r="F808" s="21"/>
      <c r="G808" s="21"/>
      <c r="H808" s="21"/>
      <c r="I808" s="21"/>
      <c r="J808" s="21"/>
      <c r="K808" s="204"/>
      <c r="L808" s="54"/>
      <c r="M808" s="55"/>
      <c r="N808" s="56"/>
      <c r="O808" s="16"/>
      <c r="P808" s="57"/>
      <c r="Q808" s="55"/>
      <c r="R808" s="16"/>
      <c r="S808" s="17"/>
      <c r="T808" s="16"/>
      <c r="U808" s="16"/>
      <c r="V808" s="16"/>
      <c r="W808" s="20"/>
      <c r="X808" s="21"/>
      <c r="Y808" s="21"/>
      <c r="Z808" s="21"/>
      <c r="AA808" s="21"/>
      <c r="AB808" s="21"/>
    </row>
    <row r="809" ht="20.25" customHeight="1">
      <c r="A809" s="139"/>
      <c r="B809" s="21"/>
      <c r="C809" s="21"/>
      <c r="D809" s="21"/>
      <c r="E809" s="21"/>
      <c r="F809" s="21"/>
      <c r="G809" s="21"/>
      <c r="H809" s="21"/>
      <c r="I809" s="21"/>
      <c r="J809" s="21"/>
      <c r="K809" s="204"/>
      <c r="L809" s="54"/>
      <c r="M809" s="55"/>
      <c r="N809" s="56"/>
      <c r="O809" s="16"/>
      <c r="P809" s="57"/>
      <c r="Q809" s="55"/>
      <c r="R809" s="16"/>
      <c r="S809" s="17"/>
      <c r="T809" s="16"/>
      <c r="U809" s="16"/>
      <c r="V809" s="16"/>
      <c r="W809" s="20"/>
      <c r="X809" s="21"/>
      <c r="Y809" s="21"/>
      <c r="Z809" s="21"/>
      <c r="AA809" s="21"/>
      <c r="AB809" s="21"/>
    </row>
    <row r="810" ht="20.25" customHeight="1">
      <c r="A810" s="139"/>
      <c r="B810" s="21"/>
      <c r="C810" s="21"/>
      <c r="D810" s="21"/>
      <c r="E810" s="21"/>
      <c r="F810" s="21"/>
      <c r="G810" s="21"/>
      <c r="H810" s="21"/>
      <c r="I810" s="21"/>
      <c r="J810" s="21"/>
      <c r="K810" s="204"/>
      <c r="L810" s="54"/>
      <c r="M810" s="55"/>
      <c r="N810" s="56"/>
      <c r="O810" s="16"/>
      <c r="P810" s="57"/>
      <c r="Q810" s="55"/>
      <c r="R810" s="16"/>
      <c r="S810" s="17"/>
      <c r="T810" s="16"/>
      <c r="U810" s="16"/>
      <c r="V810" s="16"/>
      <c r="W810" s="20"/>
      <c r="X810" s="21"/>
      <c r="Y810" s="21"/>
      <c r="Z810" s="21"/>
      <c r="AA810" s="21"/>
      <c r="AB810" s="21"/>
    </row>
    <row r="811" ht="20.25" customHeight="1">
      <c r="A811" s="139"/>
      <c r="B811" s="21"/>
      <c r="C811" s="21"/>
      <c r="D811" s="21"/>
      <c r="E811" s="21"/>
      <c r="F811" s="21"/>
      <c r="G811" s="21"/>
      <c r="H811" s="21"/>
      <c r="I811" s="21"/>
      <c r="J811" s="21"/>
      <c r="K811" s="204"/>
      <c r="L811" s="54"/>
      <c r="M811" s="55"/>
      <c r="N811" s="56"/>
      <c r="O811" s="16"/>
      <c r="P811" s="57"/>
      <c r="Q811" s="55"/>
      <c r="R811" s="16"/>
      <c r="S811" s="17"/>
      <c r="T811" s="16"/>
      <c r="U811" s="16"/>
      <c r="V811" s="16"/>
      <c r="W811" s="20"/>
      <c r="X811" s="21"/>
      <c r="Y811" s="21"/>
      <c r="Z811" s="21"/>
      <c r="AA811" s="21"/>
      <c r="AB811" s="21"/>
    </row>
    <row r="812" ht="20.25" customHeight="1">
      <c r="A812" s="139"/>
      <c r="B812" s="21"/>
      <c r="C812" s="21"/>
      <c r="D812" s="21"/>
      <c r="E812" s="21"/>
      <c r="F812" s="21"/>
      <c r="G812" s="21"/>
      <c r="H812" s="21"/>
      <c r="I812" s="21"/>
      <c r="J812" s="21"/>
      <c r="K812" s="204"/>
      <c r="L812" s="54"/>
      <c r="M812" s="55"/>
      <c r="N812" s="56"/>
      <c r="O812" s="16"/>
      <c r="P812" s="57"/>
      <c r="Q812" s="55"/>
      <c r="R812" s="16"/>
      <c r="S812" s="17"/>
      <c r="T812" s="16"/>
      <c r="U812" s="16"/>
      <c r="V812" s="16"/>
      <c r="W812" s="20"/>
      <c r="X812" s="21"/>
      <c r="Y812" s="21"/>
      <c r="Z812" s="21"/>
      <c r="AA812" s="21"/>
      <c r="AB812" s="21"/>
    </row>
    <row r="813" ht="20.25" customHeight="1">
      <c r="A813" s="139"/>
      <c r="B813" s="21"/>
      <c r="C813" s="21"/>
      <c r="D813" s="21"/>
      <c r="E813" s="21"/>
      <c r="F813" s="21"/>
      <c r="G813" s="21"/>
      <c r="H813" s="21"/>
      <c r="I813" s="21"/>
      <c r="J813" s="21"/>
      <c r="K813" s="204"/>
      <c r="L813" s="54"/>
      <c r="M813" s="55"/>
      <c r="N813" s="56"/>
      <c r="O813" s="16"/>
      <c r="P813" s="57"/>
      <c r="Q813" s="55"/>
      <c r="R813" s="16"/>
      <c r="S813" s="17"/>
      <c r="T813" s="16"/>
      <c r="U813" s="16"/>
      <c r="V813" s="16"/>
      <c r="W813" s="20"/>
      <c r="X813" s="21"/>
      <c r="Y813" s="21"/>
      <c r="Z813" s="21"/>
      <c r="AA813" s="21"/>
      <c r="AB813" s="21"/>
    </row>
    <row r="814" ht="20.25" customHeight="1">
      <c r="A814" s="139"/>
      <c r="B814" s="21"/>
      <c r="C814" s="21"/>
      <c r="D814" s="21"/>
      <c r="E814" s="21"/>
      <c r="F814" s="21"/>
      <c r="G814" s="21"/>
      <c r="H814" s="21"/>
      <c r="I814" s="21"/>
      <c r="J814" s="21"/>
      <c r="K814" s="204"/>
      <c r="L814" s="54"/>
      <c r="M814" s="55"/>
      <c r="N814" s="56"/>
      <c r="O814" s="16"/>
      <c r="P814" s="57"/>
      <c r="Q814" s="55"/>
      <c r="R814" s="16"/>
      <c r="S814" s="17"/>
      <c r="T814" s="16"/>
      <c r="U814" s="16"/>
      <c r="V814" s="16"/>
      <c r="W814" s="20"/>
      <c r="X814" s="21"/>
      <c r="Y814" s="21"/>
      <c r="Z814" s="21"/>
      <c r="AA814" s="21"/>
      <c r="AB814" s="21"/>
    </row>
    <row r="815" ht="20.25" customHeight="1">
      <c r="A815" s="139"/>
      <c r="B815" s="21"/>
      <c r="C815" s="21"/>
      <c r="D815" s="21"/>
      <c r="E815" s="21"/>
      <c r="F815" s="21"/>
      <c r="G815" s="21"/>
      <c r="H815" s="21"/>
      <c r="I815" s="21"/>
      <c r="J815" s="21"/>
      <c r="K815" s="204"/>
      <c r="L815" s="54"/>
      <c r="M815" s="55"/>
      <c r="N815" s="56"/>
      <c r="O815" s="16"/>
      <c r="P815" s="57"/>
      <c r="Q815" s="55"/>
      <c r="R815" s="16"/>
      <c r="S815" s="17"/>
      <c r="T815" s="16"/>
      <c r="U815" s="16"/>
      <c r="V815" s="16"/>
      <c r="W815" s="20"/>
      <c r="X815" s="21"/>
      <c r="Y815" s="21"/>
      <c r="Z815" s="21"/>
      <c r="AA815" s="21"/>
      <c r="AB815" s="21"/>
    </row>
    <row r="816" ht="20.25" customHeight="1">
      <c r="A816" s="139"/>
      <c r="B816" s="21"/>
      <c r="C816" s="21"/>
      <c r="D816" s="21"/>
      <c r="E816" s="21"/>
      <c r="F816" s="21"/>
      <c r="G816" s="21"/>
      <c r="H816" s="21"/>
      <c r="I816" s="21"/>
      <c r="J816" s="21"/>
      <c r="K816" s="204"/>
      <c r="L816" s="54"/>
      <c r="M816" s="55"/>
      <c r="N816" s="56"/>
      <c r="O816" s="16"/>
      <c r="P816" s="57"/>
      <c r="Q816" s="55"/>
      <c r="R816" s="16"/>
      <c r="S816" s="17"/>
      <c r="T816" s="16"/>
      <c r="U816" s="16"/>
      <c r="V816" s="16"/>
      <c r="W816" s="20"/>
      <c r="X816" s="21"/>
      <c r="Y816" s="21"/>
      <c r="Z816" s="21"/>
      <c r="AA816" s="21"/>
      <c r="AB816" s="21"/>
    </row>
    <row r="817" ht="20.25" customHeight="1">
      <c r="A817" s="139"/>
      <c r="B817" s="21"/>
      <c r="C817" s="21"/>
      <c r="D817" s="21"/>
      <c r="E817" s="21"/>
      <c r="F817" s="21"/>
      <c r="G817" s="21"/>
      <c r="H817" s="21"/>
      <c r="I817" s="21"/>
      <c r="J817" s="21"/>
      <c r="K817" s="204"/>
      <c r="L817" s="54"/>
      <c r="M817" s="55"/>
      <c r="N817" s="56"/>
      <c r="O817" s="16"/>
      <c r="P817" s="57"/>
      <c r="Q817" s="55"/>
      <c r="R817" s="16"/>
      <c r="S817" s="17"/>
      <c r="T817" s="16"/>
      <c r="U817" s="16"/>
      <c r="V817" s="16"/>
      <c r="W817" s="20"/>
      <c r="X817" s="21"/>
      <c r="Y817" s="21"/>
      <c r="Z817" s="21"/>
      <c r="AA817" s="21"/>
      <c r="AB817" s="21"/>
    </row>
    <row r="818" ht="20.25" customHeight="1">
      <c r="A818" s="139"/>
      <c r="B818" s="21"/>
      <c r="C818" s="21"/>
      <c r="D818" s="21"/>
      <c r="E818" s="21"/>
      <c r="F818" s="21"/>
      <c r="G818" s="21"/>
      <c r="H818" s="21"/>
      <c r="I818" s="21"/>
      <c r="J818" s="21"/>
      <c r="K818" s="204"/>
      <c r="L818" s="54"/>
      <c r="M818" s="55"/>
      <c r="N818" s="56"/>
      <c r="O818" s="16"/>
      <c r="P818" s="57"/>
      <c r="Q818" s="55"/>
      <c r="R818" s="16"/>
      <c r="S818" s="17"/>
      <c r="T818" s="16"/>
      <c r="U818" s="16"/>
      <c r="V818" s="16"/>
      <c r="W818" s="20"/>
      <c r="X818" s="21"/>
      <c r="Y818" s="21"/>
      <c r="Z818" s="21"/>
      <c r="AA818" s="21"/>
      <c r="AB818" s="21"/>
    </row>
    <row r="819" ht="20.25" customHeight="1">
      <c r="A819" s="139"/>
      <c r="B819" s="21"/>
      <c r="C819" s="21"/>
      <c r="D819" s="21"/>
      <c r="E819" s="21"/>
      <c r="F819" s="21"/>
      <c r="G819" s="21"/>
      <c r="H819" s="21"/>
      <c r="I819" s="21"/>
      <c r="J819" s="21"/>
      <c r="K819" s="204"/>
      <c r="L819" s="54"/>
      <c r="M819" s="55"/>
      <c r="N819" s="56"/>
      <c r="O819" s="16"/>
      <c r="P819" s="57"/>
      <c r="Q819" s="55"/>
      <c r="R819" s="16"/>
      <c r="S819" s="17"/>
      <c r="T819" s="16"/>
      <c r="U819" s="16"/>
      <c r="V819" s="16"/>
      <c r="W819" s="20"/>
      <c r="X819" s="21"/>
      <c r="Y819" s="21"/>
      <c r="Z819" s="21"/>
      <c r="AA819" s="21"/>
      <c r="AB819" s="21"/>
    </row>
    <row r="820" ht="20.25" customHeight="1">
      <c r="A820" s="139"/>
      <c r="B820" s="21"/>
      <c r="C820" s="21"/>
      <c r="D820" s="21"/>
      <c r="E820" s="21"/>
      <c r="F820" s="21"/>
      <c r="G820" s="21"/>
      <c r="H820" s="21"/>
      <c r="I820" s="21"/>
      <c r="J820" s="21"/>
      <c r="K820" s="204"/>
      <c r="L820" s="54"/>
      <c r="M820" s="55"/>
      <c r="N820" s="56"/>
      <c r="O820" s="16"/>
      <c r="P820" s="57"/>
      <c r="Q820" s="55"/>
      <c r="R820" s="16"/>
      <c r="S820" s="17"/>
      <c r="T820" s="16"/>
      <c r="U820" s="16"/>
      <c r="V820" s="16"/>
      <c r="W820" s="20"/>
      <c r="X820" s="21"/>
      <c r="Y820" s="21"/>
      <c r="Z820" s="21"/>
      <c r="AA820" s="21"/>
      <c r="AB820" s="21"/>
    </row>
    <row r="821" ht="20.25" customHeight="1">
      <c r="A821" s="139"/>
      <c r="B821" s="21"/>
      <c r="C821" s="21"/>
      <c r="D821" s="21"/>
      <c r="E821" s="21"/>
      <c r="F821" s="21"/>
      <c r="G821" s="21"/>
      <c r="H821" s="21"/>
      <c r="I821" s="21"/>
      <c r="J821" s="21"/>
      <c r="K821" s="204"/>
      <c r="L821" s="54"/>
      <c r="M821" s="55"/>
      <c r="N821" s="56"/>
      <c r="O821" s="16"/>
      <c r="P821" s="57"/>
      <c r="Q821" s="55"/>
      <c r="R821" s="16"/>
      <c r="S821" s="17"/>
      <c r="T821" s="16"/>
      <c r="U821" s="16"/>
      <c r="V821" s="16"/>
      <c r="W821" s="20"/>
      <c r="X821" s="21"/>
      <c r="Y821" s="21"/>
      <c r="Z821" s="21"/>
      <c r="AA821" s="21"/>
      <c r="AB821" s="21"/>
    </row>
    <row r="822" ht="20.25" customHeight="1">
      <c r="A822" s="139"/>
      <c r="B822" s="21"/>
      <c r="C822" s="21"/>
      <c r="D822" s="21"/>
      <c r="E822" s="21"/>
      <c r="F822" s="21"/>
      <c r="G822" s="21"/>
      <c r="H822" s="21"/>
      <c r="I822" s="21"/>
      <c r="J822" s="21"/>
      <c r="K822" s="204"/>
      <c r="L822" s="54"/>
      <c r="M822" s="55"/>
      <c r="N822" s="56"/>
      <c r="O822" s="16"/>
      <c r="P822" s="57"/>
      <c r="Q822" s="55"/>
      <c r="R822" s="16"/>
      <c r="S822" s="17"/>
      <c r="T822" s="16"/>
      <c r="U822" s="16"/>
      <c r="V822" s="16"/>
      <c r="W822" s="20"/>
      <c r="X822" s="21"/>
      <c r="Y822" s="21"/>
      <c r="Z822" s="21"/>
      <c r="AA822" s="21"/>
      <c r="AB822" s="21"/>
    </row>
    <row r="823" ht="20.25" customHeight="1">
      <c r="A823" s="139"/>
      <c r="B823" s="21"/>
      <c r="C823" s="21"/>
      <c r="D823" s="21"/>
      <c r="E823" s="21"/>
      <c r="F823" s="21"/>
      <c r="G823" s="21"/>
      <c r="H823" s="21"/>
      <c r="I823" s="21"/>
      <c r="J823" s="21"/>
      <c r="K823" s="204"/>
      <c r="L823" s="54"/>
      <c r="M823" s="55"/>
      <c r="N823" s="56"/>
      <c r="O823" s="16"/>
      <c r="P823" s="57"/>
      <c r="Q823" s="55"/>
      <c r="R823" s="16"/>
      <c r="S823" s="17"/>
      <c r="T823" s="16"/>
      <c r="U823" s="16"/>
      <c r="V823" s="16"/>
      <c r="W823" s="20"/>
      <c r="X823" s="21"/>
      <c r="Y823" s="21"/>
      <c r="Z823" s="21"/>
      <c r="AA823" s="21"/>
      <c r="AB823" s="21"/>
    </row>
    <row r="824" ht="20.25" customHeight="1">
      <c r="A824" s="139"/>
      <c r="B824" s="21"/>
      <c r="C824" s="21"/>
      <c r="D824" s="21"/>
      <c r="E824" s="21"/>
      <c r="F824" s="21"/>
      <c r="G824" s="21"/>
      <c r="H824" s="21"/>
      <c r="I824" s="21"/>
      <c r="J824" s="21"/>
      <c r="K824" s="204"/>
      <c r="L824" s="54"/>
      <c r="M824" s="55"/>
      <c r="N824" s="56"/>
      <c r="O824" s="16"/>
      <c r="P824" s="57"/>
      <c r="Q824" s="55"/>
      <c r="R824" s="16"/>
      <c r="S824" s="17"/>
      <c r="T824" s="16"/>
      <c r="U824" s="16"/>
      <c r="V824" s="16"/>
      <c r="W824" s="20"/>
      <c r="X824" s="21"/>
      <c r="Y824" s="21"/>
      <c r="Z824" s="21"/>
      <c r="AA824" s="21"/>
      <c r="AB824" s="21"/>
    </row>
    <row r="825" ht="20.25" customHeight="1">
      <c r="A825" s="139"/>
      <c r="B825" s="21"/>
      <c r="C825" s="21"/>
      <c r="D825" s="21"/>
      <c r="E825" s="21"/>
      <c r="F825" s="21"/>
      <c r="G825" s="21"/>
      <c r="H825" s="21"/>
      <c r="I825" s="21"/>
      <c r="J825" s="21"/>
      <c r="K825" s="204"/>
      <c r="L825" s="54"/>
      <c r="M825" s="55"/>
      <c r="N825" s="56"/>
      <c r="O825" s="16"/>
      <c r="P825" s="57"/>
      <c r="Q825" s="55"/>
      <c r="R825" s="16"/>
      <c r="S825" s="17"/>
      <c r="T825" s="16"/>
      <c r="U825" s="16"/>
      <c r="V825" s="16"/>
      <c r="W825" s="20"/>
      <c r="X825" s="21"/>
      <c r="Y825" s="21"/>
      <c r="Z825" s="21"/>
      <c r="AA825" s="21"/>
      <c r="AB825" s="21"/>
    </row>
    <row r="826" ht="20.25" customHeight="1">
      <c r="A826" s="139"/>
      <c r="B826" s="21"/>
      <c r="C826" s="21"/>
      <c r="D826" s="21"/>
      <c r="E826" s="21"/>
      <c r="F826" s="21"/>
      <c r="G826" s="21"/>
      <c r="H826" s="21"/>
      <c r="I826" s="21"/>
      <c r="J826" s="21"/>
      <c r="K826" s="204"/>
      <c r="L826" s="54"/>
      <c r="M826" s="55"/>
      <c r="N826" s="56"/>
      <c r="O826" s="16"/>
      <c r="P826" s="57"/>
      <c r="Q826" s="55"/>
      <c r="R826" s="16"/>
      <c r="S826" s="17"/>
      <c r="T826" s="16"/>
      <c r="U826" s="16"/>
      <c r="V826" s="16"/>
      <c r="W826" s="20"/>
      <c r="X826" s="21"/>
      <c r="Y826" s="21"/>
      <c r="Z826" s="21"/>
      <c r="AA826" s="21"/>
      <c r="AB826" s="21"/>
    </row>
    <row r="827" ht="20.25" customHeight="1">
      <c r="A827" s="139"/>
      <c r="B827" s="21"/>
      <c r="C827" s="21"/>
      <c r="D827" s="21"/>
      <c r="E827" s="21"/>
      <c r="F827" s="21"/>
      <c r="G827" s="21"/>
      <c r="H827" s="21"/>
      <c r="I827" s="21"/>
      <c r="J827" s="21"/>
      <c r="K827" s="204"/>
      <c r="L827" s="54"/>
      <c r="M827" s="55"/>
      <c r="N827" s="56"/>
      <c r="O827" s="16"/>
      <c r="P827" s="57"/>
      <c r="Q827" s="55"/>
      <c r="R827" s="16"/>
      <c r="S827" s="17"/>
      <c r="T827" s="16"/>
      <c r="U827" s="16"/>
      <c r="V827" s="16"/>
      <c r="W827" s="20"/>
      <c r="X827" s="21"/>
      <c r="Y827" s="21"/>
      <c r="Z827" s="21"/>
      <c r="AA827" s="21"/>
      <c r="AB827" s="21"/>
    </row>
    <row r="828" ht="20.25" customHeight="1">
      <c r="A828" s="139"/>
      <c r="B828" s="21"/>
      <c r="C828" s="21"/>
      <c r="D828" s="21"/>
      <c r="E828" s="21"/>
      <c r="F828" s="21"/>
      <c r="G828" s="21"/>
      <c r="H828" s="21"/>
      <c r="I828" s="21"/>
      <c r="J828" s="21"/>
      <c r="K828" s="204"/>
      <c r="L828" s="54"/>
      <c r="M828" s="55"/>
      <c r="N828" s="56"/>
      <c r="O828" s="16"/>
      <c r="P828" s="57"/>
      <c r="Q828" s="55"/>
      <c r="R828" s="16"/>
      <c r="S828" s="17"/>
      <c r="T828" s="16"/>
      <c r="U828" s="16"/>
      <c r="V828" s="16"/>
      <c r="W828" s="20"/>
      <c r="X828" s="21"/>
      <c r="Y828" s="21"/>
      <c r="Z828" s="21"/>
      <c r="AA828" s="21"/>
      <c r="AB828" s="21"/>
    </row>
    <row r="829" ht="20.25" customHeight="1">
      <c r="A829" s="139"/>
      <c r="B829" s="21"/>
      <c r="C829" s="21"/>
      <c r="D829" s="21"/>
      <c r="E829" s="21"/>
      <c r="F829" s="21"/>
      <c r="G829" s="21"/>
      <c r="H829" s="21"/>
      <c r="I829" s="21"/>
      <c r="J829" s="21"/>
      <c r="K829" s="204"/>
      <c r="L829" s="54"/>
      <c r="M829" s="55"/>
      <c r="N829" s="56"/>
      <c r="O829" s="16"/>
      <c r="P829" s="57"/>
      <c r="Q829" s="55"/>
      <c r="R829" s="16"/>
      <c r="S829" s="17"/>
      <c r="T829" s="16"/>
      <c r="U829" s="16"/>
      <c r="V829" s="16"/>
      <c r="W829" s="20"/>
      <c r="X829" s="21"/>
      <c r="Y829" s="21"/>
      <c r="Z829" s="21"/>
      <c r="AA829" s="21"/>
      <c r="AB829" s="21"/>
    </row>
    <row r="830" ht="20.25" customHeight="1">
      <c r="A830" s="139"/>
      <c r="B830" s="21"/>
      <c r="C830" s="21"/>
      <c r="D830" s="21"/>
      <c r="E830" s="21"/>
      <c r="F830" s="21"/>
      <c r="G830" s="21"/>
      <c r="H830" s="21"/>
      <c r="I830" s="21"/>
      <c r="J830" s="21"/>
      <c r="K830" s="204"/>
      <c r="L830" s="54"/>
      <c r="M830" s="55"/>
      <c r="N830" s="56"/>
      <c r="O830" s="16"/>
      <c r="P830" s="57"/>
      <c r="Q830" s="55"/>
      <c r="R830" s="16"/>
      <c r="S830" s="17"/>
      <c r="T830" s="16"/>
      <c r="U830" s="16"/>
      <c r="V830" s="16"/>
      <c r="W830" s="20"/>
      <c r="X830" s="21"/>
      <c r="Y830" s="21"/>
      <c r="Z830" s="21"/>
      <c r="AA830" s="21"/>
      <c r="AB830" s="21"/>
    </row>
    <row r="831" ht="20.25" customHeight="1">
      <c r="A831" s="139"/>
      <c r="B831" s="21"/>
      <c r="C831" s="21"/>
      <c r="D831" s="21"/>
      <c r="E831" s="21"/>
      <c r="F831" s="21"/>
      <c r="G831" s="21"/>
      <c r="H831" s="21"/>
      <c r="I831" s="21"/>
      <c r="J831" s="21"/>
      <c r="K831" s="204"/>
      <c r="L831" s="54"/>
      <c r="M831" s="55"/>
      <c r="N831" s="56"/>
      <c r="O831" s="16"/>
      <c r="P831" s="57"/>
      <c r="Q831" s="55"/>
      <c r="R831" s="16"/>
      <c r="S831" s="17"/>
      <c r="T831" s="16"/>
      <c r="U831" s="16"/>
      <c r="V831" s="16"/>
      <c r="W831" s="20"/>
      <c r="X831" s="21"/>
      <c r="Y831" s="21"/>
      <c r="Z831" s="21"/>
      <c r="AA831" s="21"/>
      <c r="AB831" s="21"/>
    </row>
    <row r="832" ht="20.25" customHeight="1">
      <c r="A832" s="139"/>
      <c r="B832" s="21"/>
      <c r="C832" s="21"/>
      <c r="D832" s="21"/>
      <c r="E832" s="21"/>
      <c r="F832" s="21"/>
      <c r="G832" s="21"/>
      <c r="H832" s="21"/>
      <c r="I832" s="21"/>
      <c r="J832" s="21"/>
      <c r="K832" s="204"/>
      <c r="L832" s="54"/>
      <c r="M832" s="55"/>
      <c r="N832" s="56"/>
      <c r="O832" s="16"/>
      <c r="P832" s="57"/>
      <c r="Q832" s="55"/>
      <c r="R832" s="16"/>
      <c r="S832" s="17"/>
      <c r="T832" s="16"/>
      <c r="U832" s="16"/>
      <c r="V832" s="16"/>
      <c r="W832" s="20"/>
      <c r="X832" s="21"/>
      <c r="Y832" s="21"/>
      <c r="Z832" s="21"/>
      <c r="AA832" s="21"/>
      <c r="AB832" s="21"/>
    </row>
    <row r="833" ht="20.25" customHeight="1">
      <c r="A833" s="139"/>
      <c r="B833" s="21"/>
      <c r="C833" s="21"/>
      <c r="D833" s="21"/>
      <c r="E833" s="21"/>
      <c r="F833" s="21"/>
      <c r="G833" s="21"/>
      <c r="H833" s="21"/>
      <c r="I833" s="21"/>
      <c r="J833" s="21"/>
      <c r="K833" s="204"/>
      <c r="L833" s="54"/>
      <c r="M833" s="55"/>
      <c r="N833" s="56"/>
      <c r="O833" s="16"/>
      <c r="P833" s="57"/>
      <c r="Q833" s="55"/>
      <c r="R833" s="16"/>
      <c r="S833" s="17"/>
      <c r="T833" s="16"/>
      <c r="U833" s="16"/>
      <c r="V833" s="16"/>
      <c r="W833" s="20"/>
      <c r="X833" s="21"/>
      <c r="Y833" s="21"/>
      <c r="Z833" s="21"/>
      <c r="AA833" s="21"/>
      <c r="AB833" s="21"/>
    </row>
    <row r="834" ht="20.25" customHeight="1">
      <c r="A834" s="139"/>
      <c r="B834" s="21"/>
      <c r="C834" s="21"/>
      <c r="D834" s="21"/>
      <c r="E834" s="21"/>
      <c r="F834" s="21"/>
      <c r="G834" s="21"/>
      <c r="H834" s="21"/>
      <c r="I834" s="21"/>
      <c r="J834" s="21"/>
      <c r="K834" s="204"/>
      <c r="L834" s="54"/>
      <c r="M834" s="55"/>
      <c r="N834" s="56"/>
      <c r="O834" s="16"/>
      <c r="P834" s="57"/>
      <c r="Q834" s="55"/>
      <c r="R834" s="16"/>
      <c r="S834" s="17"/>
      <c r="T834" s="16"/>
      <c r="U834" s="16"/>
      <c r="V834" s="16"/>
      <c r="W834" s="20"/>
      <c r="X834" s="21"/>
      <c r="Y834" s="21"/>
      <c r="Z834" s="21"/>
      <c r="AA834" s="21"/>
      <c r="AB834" s="21"/>
    </row>
    <row r="835" ht="20.25" customHeight="1">
      <c r="A835" s="139"/>
      <c r="B835" s="21"/>
      <c r="C835" s="21"/>
      <c r="D835" s="21"/>
      <c r="E835" s="21"/>
      <c r="F835" s="21"/>
      <c r="G835" s="21"/>
      <c r="H835" s="21"/>
      <c r="I835" s="21"/>
      <c r="J835" s="21"/>
      <c r="K835" s="204"/>
      <c r="L835" s="54"/>
      <c r="M835" s="55"/>
      <c r="N835" s="56"/>
      <c r="O835" s="16"/>
      <c r="P835" s="57"/>
      <c r="Q835" s="55"/>
      <c r="R835" s="16"/>
      <c r="S835" s="17"/>
      <c r="T835" s="16"/>
      <c r="U835" s="16"/>
      <c r="V835" s="16"/>
      <c r="W835" s="20"/>
      <c r="X835" s="21"/>
      <c r="Y835" s="21"/>
      <c r="Z835" s="21"/>
      <c r="AA835" s="21"/>
      <c r="AB835" s="21"/>
    </row>
    <row r="836" ht="20.25" customHeight="1">
      <c r="A836" s="139"/>
      <c r="B836" s="21"/>
      <c r="C836" s="21"/>
      <c r="D836" s="21"/>
      <c r="E836" s="21"/>
      <c r="F836" s="21"/>
      <c r="G836" s="21"/>
      <c r="H836" s="21"/>
      <c r="I836" s="21"/>
      <c r="J836" s="21"/>
      <c r="K836" s="204"/>
      <c r="L836" s="54"/>
      <c r="M836" s="55"/>
      <c r="N836" s="56"/>
      <c r="O836" s="16"/>
      <c r="P836" s="57"/>
      <c r="Q836" s="55"/>
      <c r="R836" s="16"/>
      <c r="S836" s="17"/>
      <c r="T836" s="16"/>
      <c r="U836" s="16"/>
      <c r="V836" s="16"/>
      <c r="W836" s="20"/>
      <c r="X836" s="21"/>
      <c r="Y836" s="21"/>
      <c r="Z836" s="21"/>
      <c r="AA836" s="21"/>
      <c r="AB836" s="21"/>
    </row>
    <row r="837" ht="20.25" customHeight="1">
      <c r="A837" s="139"/>
      <c r="B837" s="21"/>
      <c r="C837" s="21"/>
      <c r="D837" s="21"/>
      <c r="E837" s="21"/>
      <c r="F837" s="21"/>
      <c r="G837" s="21"/>
      <c r="H837" s="21"/>
      <c r="I837" s="21"/>
      <c r="J837" s="21"/>
      <c r="K837" s="204"/>
      <c r="L837" s="54"/>
      <c r="M837" s="55"/>
      <c r="N837" s="56"/>
      <c r="O837" s="16"/>
      <c r="P837" s="57"/>
      <c r="Q837" s="55"/>
      <c r="R837" s="16"/>
      <c r="S837" s="17"/>
      <c r="T837" s="16"/>
      <c r="U837" s="16"/>
      <c r="V837" s="16"/>
      <c r="W837" s="20"/>
      <c r="X837" s="21"/>
      <c r="Y837" s="21"/>
      <c r="Z837" s="21"/>
      <c r="AA837" s="21"/>
      <c r="AB837" s="21"/>
    </row>
    <row r="838" ht="20.25" customHeight="1">
      <c r="A838" s="139"/>
      <c r="B838" s="21"/>
      <c r="C838" s="21"/>
      <c r="D838" s="21"/>
      <c r="E838" s="21"/>
      <c r="F838" s="21"/>
      <c r="G838" s="21"/>
      <c r="H838" s="21"/>
      <c r="I838" s="21"/>
      <c r="J838" s="21"/>
      <c r="K838" s="204"/>
      <c r="L838" s="54"/>
      <c r="M838" s="55"/>
      <c r="N838" s="56"/>
      <c r="O838" s="16"/>
      <c r="P838" s="57"/>
      <c r="Q838" s="55"/>
      <c r="R838" s="16"/>
      <c r="S838" s="17"/>
      <c r="T838" s="16"/>
      <c r="U838" s="16"/>
      <c r="V838" s="16"/>
      <c r="W838" s="20"/>
      <c r="X838" s="21"/>
      <c r="Y838" s="21"/>
      <c r="Z838" s="21"/>
      <c r="AA838" s="21"/>
      <c r="AB838" s="21"/>
    </row>
    <row r="839" ht="20.25" customHeight="1">
      <c r="A839" s="139"/>
      <c r="B839" s="21"/>
      <c r="C839" s="21"/>
      <c r="D839" s="21"/>
      <c r="E839" s="21"/>
      <c r="F839" s="21"/>
      <c r="G839" s="21"/>
      <c r="H839" s="21"/>
      <c r="I839" s="21"/>
      <c r="J839" s="21"/>
      <c r="K839" s="204"/>
      <c r="L839" s="54"/>
      <c r="M839" s="55"/>
      <c r="N839" s="56"/>
      <c r="O839" s="16"/>
      <c r="P839" s="57"/>
      <c r="Q839" s="55"/>
      <c r="R839" s="16"/>
      <c r="S839" s="17"/>
      <c r="T839" s="16"/>
      <c r="U839" s="16"/>
      <c r="V839" s="16"/>
      <c r="W839" s="20"/>
      <c r="X839" s="21"/>
      <c r="Y839" s="21"/>
      <c r="Z839" s="21"/>
      <c r="AA839" s="21"/>
      <c r="AB839" s="21"/>
    </row>
    <row r="840" ht="20.25" customHeight="1">
      <c r="A840" s="139"/>
      <c r="B840" s="21"/>
      <c r="C840" s="21"/>
      <c r="D840" s="21"/>
      <c r="E840" s="21"/>
      <c r="F840" s="21"/>
      <c r="G840" s="21"/>
      <c r="H840" s="21"/>
      <c r="I840" s="21"/>
      <c r="J840" s="21"/>
      <c r="K840" s="204"/>
      <c r="L840" s="54"/>
      <c r="M840" s="55"/>
      <c r="N840" s="56"/>
      <c r="O840" s="16"/>
      <c r="P840" s="57"/>
      <c r="Q840" s="55"/>
      <c r="R840" s="16"/>
      <c r="S840" s="17"/>
      <c r="T840" s="16"/>
      <c r="U840" s="16"/>
      <c r="V840" s="16"/>
      <c r="W840" s="20"/>
      <c r="X840" s="21"/>
      <c r="Y840" s="21"/>
      <c r="Z840" s="21"/>
      <c r="AA840" s="21"/>
      <c r="AB840" s="21"/>
    </row>
    <row r="841" ht="20.25" customHeight="1">
      <c r="A841" s="139"/>
      <c r="B841" s="21"/>
      <c r="C841" s="21"/>
      <c r="D841" s="21"/>
      <c r="E841" s="21"/>
      <c r="F841" s="21"/>
      <c r="G841" s="21"/>
      <c r="H841" s="21"/>
      <c r="I841" s="21"/>
      <c r="J841" s="21"/>
      <c r="K841" s="204"/>
      <c r="L841" s="54"/>
      <c r="M841" s="55"/>
      <c r="N841" s="56"/>
      <c r="O841" s="16"/>
      <c r="P841" s="57"/>
      <c r="Q841" s="55"/>
      <c r="R841" s="16"/>
      <c r="S841" s="17"/>
      <c r="T841" s="16"/>
      <c r="U841" s="16"/>
      <c r="V841" s="16"/>
      <c r="W841" s="20"/>
      <c r="X841" s="21"/>
      <c r="Y841" s="21"/>
      <c r="Z841" s="21"/>
      <c r="AA841" s="21"/>
      <c r="AB841" s="21"/>
    </row>
    <row r="842" ht="20.25" customHeight="1">
      <c r="A842" s="139"/>
      <c r="B842" s="21"/>
      <c r="C842" s="21"/>
      <c r="D842" s="21"/>
      <c r="E842" s="21"/>
      <c r="F842" s="21"/>
      <c r="G842" s="21"/>
      <c r="H842" s="21"/>
      <c r="I842" s="21"/>
      <c r="J842" s="21"/>
      <c r="K842" s="204"/>
      <c r="L842" s="54"/>
      <c r="M842" s="55"/>
      <c r="N842" s="56"/>
      <c r="O842" s="16"/>
      <c r="P842" s="57"/>
      <c r="Q842" s="55"/>
      <c r="R842" s="16"/>
      <c r="S842" s="17"/>
      <c r="T842" s="16"/>
      <c r="U842" s="16"/>
      <c r="V842" s="16"/>
      <c r="W842" s="20"/>
      <c r="X842" s="21"/>
      <c r="Y842" s="21"/>
      <c r="Z842" s="21"/>
      <c r="AA842" s="21"/>
      <c r="AB842" s="21"/>
    </row>
    <row r="843" ht="20.25" customHeight="1">
      <c r="A843" s="139"/>
      <c r="B843" s="21"/>
      <c r="C843" s="21"/>
      <c r="D843" s="21"/>
      <c r="E843" s="21"/>
      <c r="F843" s="21"/>
      <c r="G843" s="21"/>
      <c r="H843" s="21"/>
      <c r="I843" s="21"/>
      <c r="J843" s="21"/>
      <c r="K843" s="204"/>
      <c r="L843" s="54"/>
      <c r="M843" s="55"/>
      <c r="N843" s="56"/>
      <c r="O843" s="16"/>
      <c r="P843" s="57"/>
      <c r="Q843" s="55"/>
      <c r="R843" s="16"/>
      <c r="S843" s="17"/>
      <c r="T843" s="16"/>
      <c r="U843" s="16"/>
      <c r="V843" s="16"/>
      <c r="W843" s="20"/>
      <c r="X843" s="21"/>
      <c r="Y843" s="21"/>
      <c r="Z843" s="21"/>
      <c r="AA843" s="21"/>
      <c r="AB843" s="21"/>
    </row>
    <row r="844" ht="20.25" customHeight="1">
      <c r="A844" s="139"/>
      <c r="B844" s="21"/>
      <c r="C844" s="21"/>
      <c r="D844" s="21"/>
      <c r="E844" s="21"/>
      <c r="F844" s="21"/>
      <c r="G844" s="21"/>
      <c r="H844" s="21"/>
      <c r="I844" s="21"/>
      <c r="J844" s="21"/>
      <c r="K844" s="204"/>
      <c r="L844" s="54"/>
      <c r="M844" s="55"/>
      <c r="N844" s="56"/>
      <c r="O844" s="16"/>
      <c r="P844" s="57"/>
      <c r="Q844" s="55"/>
      <c r="R844" s="16"/>
      <c r="S844" s="17"/>
      <c r="T844" s="16"/>
      <c r="U844" s="16"/>
      <c r="V844" s="16"/>
      <c r="W844" s="20"/>
      <c r="X844" s="21"/>
      <c r="Y844" s="21"/>
      <c r="Z844" s="21"/>
      <c r="AA844" s="21"/>
      <c r="AB844" s="21"/>
    </row>
    <row r="845" ht="20.25" customHeight="1">
      <c r="A845" s="139"/>
      <c r="B845" s="21"/>
      <c r="C845" s="21"/>
      <c r="D845" s="21"/>
      <c r="E845" s="21"/>
      <c r="F845" s="21"/>
      <c r="G845" s="21"/>
      <c r="H845" s="21"/>
      <c r="I845" s="21"/>
      <c r="J845" s="21"/>
      <c r="K845" s="204"/>
      <c r="L845" s="54"/>
      <c r="M845" s="55"/>
      <c r="N845" s="56"/>
      <c r="O845" s="16"/>
      <c r="P845" s="57"/>
      <c r="Q845" s="55"/>
      <c r="R845" s="16"/>
      <c r="S845" s="17"/>
      <c r="T845" s="16"/>
      <c r="U845" s="16"/>
      <c r="V845" s="16"/>
      <c r="W845" s="20"/>
      <c r="X845" s="21"/>
      <c r="Y845" s="21"/>
      <c r="Z845" s="21"/>
      <c r="AA845" s="21"/>
      <c r="AB845" s="21"/>
    </row>
    <row r="846" ht="20.25" customHeight="1">
      <c r="A846" s="139"/>
      <c r="B846" s="21"/>
      <c r="C846" s="21"/>
      <c r="D846" s="21"/>
      <c r="E846" s="21"/>
      <c r="F846" s="21"/>
      <c r="G846" s="21"/>
      <c r="H846" s="21"/>
      <c r="I846" s="21"/>
      <c r="J846" s="21"/>
      <c r="K846" s="204"/>
      <c r="L846" s="54"/>
      <c r="M846" s="55"/>
      <c r="N846" s="56"/>
      <c r="O846" s="16"/>
      <c r="P846" s="57"/>
      <c r="Q846" s="55"/>
      <c r="R846" s="16"/>
      <c r="S846" s="17"/>
      <c r="T846" s="16"/>
      <c r="U846" s="16"/>
      <c r="V846" s="16"/>
      <c r="W846" s="20"/>
      <c r="X846" s="21"/>
      <c r="Y846" s="21"/>
      <c r="Z846" s="21"/>
      <c r="AA846" s="21"/>
      <c r="AB846" s="21"/>
    </row>
    <row r="847" ht="20.25" customHeight="1">
      <c r="A847" s="139"/>
      <c r="B847" s="21"/>
      <c r="C847" s="21"/>
      <c r="D847" s="21"/>
      <c r="E847" s="21"/>
      <c r="F847" s="21"/>
      <c r="G847" s="21"/>
      <c r="H847" s="21"/>
      <c r="I847" s="21"/>
      <c r="J847" s="21"/>
      <c r="K847" s="204"/>
      <c r="L847" s="54"/>
      <c r="M847" s="55"/>
      <c r="N847" s="56"/>
      <c r="O847" s="16"/>
      <c r="P847" s="57"/>
      <c r="Q847" s="55"/>
      <c r="R847" s="16"/>
      <c r="S847" s="17"/>
      <c r="T847" s="16"/>
      <c r="U847" s="16"/>
      <c r="V847" s="16"/>
      <c r="W847" s="20"/>
      <c r="X847" s="21"/>
      <c r="Y847" s="21"/>
      <c r="Z847" s="21"/>
      <c r="AA847" s="21"/>
      <c r="AB847" s="21"/>
    </row>
    <row r="848" ht="20.25" customHeight="1">
      <c r="A848" s="139"/>
      <c r="B848" s="21"/>
      <c r="C848" s="21"/>
      <c r="D848" s="21"/>
      <c r="E848" s="21"/>
      <c r="F848" s="21"/>
      <c r="G848" s="21"/>
      <c r="H848" s="21"/>
      <c r="I848" s="21"/>
      <c r="J848" s="21"/>
      <c r="K848" s="204"/>
      <c r="L848" s="54"/>
      <c r="M848" s="55"/>
      <c r="N848" s="56"/>
      <c r="O848" s="16"/>
      <c r="P848" s="57"/>
      <c r="Q848" s="55"/>
      <c r="R848" s="16"/>
      <c r="S848" s="17"/>
      <c r="T848" s="16"/>
      <c r="U848" s="16"/>
      <c r="V848" s="16"/>
      <c r="W848" s="20"/>
      <c r="X848" s="21"/>
      <c r="Y848" s="21"/>
      <c r="Z848" s="21"/>
      <c r="AA848" s="21"/>
      <c r="AB848" s="21"/>
    </row>
    <row r="849" ht="20.25" customHeight="1">
      <c r="A849" s="139"/>
      <c r="B849" s="21"/>
      <c r="C849" s="21"/>
      <c r="D849" s="21"/>
      <c r="E849" s="21"/>
      <c r="F849" s="21"/>
      <c r="G849" s="21"/>
      <c r="H849" s="21"/>
      <c r="I849" s="21"/>
      <c r="J849" s="21"/>
      <c r="K849" s="204"/>
      <c r="L849" s="54"/>
      <c r="M849" s="55"/>
      <c r="N849" s="56"/>
      <c r="O849" s="16"/>
      <c r="P849" s="57"/>
      <c r="Q849" s="55"/>
      <c r="R849" s="16"/>
      <c r="S849" s="17"/>
      <c r="T849" s="16"/>
      <c r="U849" s="16"/>
      <c r="V849" s="16"/>
      <c r="W849" s="20"/>
      <c r="X849" s="21"/>
      <c r="Y849" s="21"/>
      <c r="Z849" s="21"/>
      <c r="AA849" s="21"/>
      <c r="AB849" s="21"/>
    </row>
    <row r="850" ht="20.25" customHeight="1">
      <c r="A850" s="139"/>
      <c r="B850" s="21"/>
      <c r="C850" s="21"/>
      <c r="D850" s="21"/>
      <c r="E850" s="21"/>
      <c r="F850" s="21"/>
      <c r="G850" s="21"/>
      <c r="H850" s="21"/>
      <c r="I850" s="21"/>
      <c r="J850" s="21"/>
      <c r="K850" s="204"/>
      <c r="L850" s="54"/>
      <c r="M850" s="55"/>
      <c r="N850" s="56"/>
      <c r="O850" s="16"/>
      <c r="P850" s="57"/>
      <c r="Q850" s="55"/>
      <c r="R850" s="16"/>
      <c r="S850" s="17"/>
      <c r="T850" s="16"/>
      <c r="U850" s="16"/>
      <c r="V850" s="16"/>
      <c r="W850" s="20"/>
      <c r="X850" s="21"/>
      <c r="Y850" s="21"/>
      <c r="Z850" s="21"/>
      <c r="AA850" s="21"/>
      <c r="AB850" s="21"/>
    </row>
    <row r="851" ht="20.25" customHeight="1">
      <c r="A851" s="139"/>
      <c r="B851" s="21"/>
      <c r="C851" s="21"/>
      <c r="D851" s="21"/>
      <c r="E851" s="21"/>
      <c r="F851" s="21"/>
      <c r="G851" s="21"/>
      <c r="H851" s="21"/>
      <c r="I851" s="21"/>
      <c r="J851" s="21"/>
      <c r="K851" s="204"/>
      <c r="L851" s="54"/>
      <c r="M851" s="55"/>
      <c r="N851" s="56"/>
      <c r="O851" s="16"/>
      <c r="P851" s="57"/>
      <c r="Q851" s="55"/>
      <c r="R851" s="16"/>
      <c r="S851" s="17"/>
      <c r="T851" s="16"/>
      <c r="U851" s="16"/>
      <c r="V851" s="16"/>
      <c r="W851" s="20"/>
      <c r="X851" s="21"/>
      <c r="Y851" s="21"/>
      <c r="Z851" s="21"/>
      <c r="AA851" s="21"/>
      <c r="AB851" s="21"/>
    </row>
    <row r="852" ht="20.25" customHeight="1">
      <c r="A852" s="139"/>
      <c r="B852" s="21"/>
      <c r="C852" s="21"/>
      <c r="D852" s="21"/>
      <c r="E852" s="21"/>
      <c r="F852" s="21"/>
      <c r="G852" s="21"/>
      <c r="H852" s="21"/>
      <c r="I852" s="21"/>
      <c r="J852" s="21"/>
      <c r="K852" s="204"/>
      <c r="L852" s="54"/>
      <c r="M852" s="55"/>
      <c r="N852" s="56"/>
      <c r="O852" s="16"/>
      <c r="P852" s="57"/>
      <c r="Q852" s="55"/>
      <c r="R852" s="16"/>
      <c r="S852" s="17"/>
      <c r="T852" s="16"/>
      <c r="U852" s="16"/>
      <c r="V852" s="16"/>
      <c r="W852" s="20"/>
      <c r="X852" s="21"/>
      <c r="Y852" s="21"/>
      <c r="Z852" s="21"/>
      <c r="AA852" s="21"/>
      <c r="AB852" s="21"/>
    </row>
    <row r="853" ht="20.25" customHeight="1">
      <c r="A853" s="139"/>
      <c r="B853" s="21"/>
      <c r="C853" s="21"/>
      <c r="D853" s="21"/>
      <c r="E853" s="21"/>
      <c r="F853" s="21"/>
      <c r="G853" s="21"/>
      <c r="H853" s="21"/>
      <c r="I853" s="21"/>
      <c r="J853" s="21"/>
      <c r="K853" s="204"/>
      <c r="L853" s="54"/>
      <c r="M853" s="55"/>
      <c r="N853" s="56"/>
      <c r="O853" s="16"/>
      <c r="P853" s="57"/>
      <c r="Q853" s="55"/>
      <c r="R853" s="16"/>
      <c r="S853" s="17"/>
      <c r="T853" s="16"/>
      <c r="U853" s="16"/>
      <c r="V853" s="16"/>
      <c r="W853" s="20"/>
      <c r="X853" s="21"/>
      <c r="Y853" s="21"/>
      <c r="Z853" s="21"/>
      <c r="AA853" s="21"/>
      <c r="AB853" s="21"/>
    </row>
    <row r="854" ht="20.25" customHeight="1">
      <c r="A854" s="139"/>
      <c r="B854" s="21"/>
      <c r="C854" s="21"/>
      <c r="D854" s="21"/>
      <c r="E854" s="21"/>
      <c r="F854" s="21"/>
      <c r="G854" s="21"/>
      <c r="H854" s="21"/>
      <c r="I854" s="21"/>
      <c r="J854" s="21"/>
      <c r="K854" s="204"/>
      <c r="L854" s="54"/>
      <c r="M854" s="55"/>
      <c r="N854" s="56"/>
      <c r="O854" s="16"/>
      <c r="P854" s="57"/>
      <c r="Q854" s="55"/>
      <c r="R854" s="16"/>
      <c r="S854" s="17"/>
      <c r="T854" s="16"/>
      <c r="U854" s="16"/>
      <c r="V854" s="16"/>
      <c r="W854" s="20"/>
      <c r="X854" s="21"/>
      <c r="Y854" s="21"/>
      <c r="Z854" s="21"/>
      <c r="AA854" s="21"/>
      <c r="AB854" s="21"/>
    </row>
    <row r="855" ht="20.25" customHeight="1">
      <c r="A855" s="139"/>
      <c r="B855" s="21"/>
      <c r="C855" s="21"/>
      <c r="D855" s="21"/>
      <c r="E855" s="21"/>
      <c r="F855" s="21"/>
      <c r="G855" s="21"/>
      <c r="H855" s="21"/>
      <c r="I855" s="21"/>
      <c r="J855" s="21"/>
      <c r="K855" s="204"/>
      <c r="L855" s="54"/>
      <c r="M855" s="55"/>
      <c r="N855" s="56"/>
      <c r="O855" s="16"/>
      <c r="P855" s="57"/>
      <c r="Q855" s="55"/>
      <c r="R855" s="16"/>
      <c r="S855" s="17"/>
      <c r="T855" s="16"/>
      <c r="U855" s="16"/>
      <c r="V855" s="16"/>
      <c r="W855" s="20"/>
      <c r="X855" s="21"/>
      <c r="Y855" s="21"/>
      <c r="Z855" s="21"/>
      <c r="AA855" s="21"/>
      <c r="AB855" s="21"/>
    </row>
    <row r="856" ht="20.25" customHeight="1">
      <c r="A856" s="139"/>
      <c r="B856" s="21"/>
      <c r="C856" s="21"/>
      <c r="D856" s="21"/>
      <c r="E856" s="21"/>
      <c r="F856" s="21"/>
      <c r="G856" s="21"/>
      <c r="H856" s="21"/>
      <c r="I856" s="21"/>
      <c r="J856" s="21"/>
      <c r="K856" s="204"/>
      <c r="L856" s="54"/>
      <c r="M856" s="55"/>
      <c r="N856" s="56"/>
      <c r="O856" s="16"/>
      <c r="P856" s="57"/>
      <c r="Q856" s="55"/>
      <c r="R856" s="16"/>
      <c r="S856" s="17"/>
      <c r="T856" s="16"/>
      <c r="U856" s="16"/>
      <c r="V856" s="16"/>
      <c r="W856" s="20"/>
      <c r="X856" s="21"/>
      <c r="Y856" s="21"/>
      <c r="Z856" s="21"/>
      <c r="AA856" s="21"/>
      <c r="AB856" s="21"/>
    </row>
    <row r="857" ht="20.25" customHeight="1">
      <c r="A857" s="139"/>
      <c r="B857" s="21"/>
      <c r="C857" s="21"/>
      <c r="D857" s="21"/>
      <c r="E857" s="21"/>
      <c r="F857" s="21"/>
      <c r="G857" s="21"/>
      <c r="H857" s="21"/>
      <c r="I857" s="21"/>
      <c r="J857" s="21"/>
      <c r="K857" s="204"/>
      <c r="L857" s="54"/>
      <c r="M857" s="55"/>
      <c r="N857" s="56"/>
      <c r="O857" s="16"/>
      <c r="P857" s="57"/>
      <c r="Q857" s="55"/>
      <c r="R857" s="16"/>
      <c r="S857" s="17"/>
      <c r="T857" s="16"/>
      <c r="U857" s="16"/>
      <c r="V857" s="16"/>
      <c r="W857" s="20"/>
      <c r="X857" s="21"/>
      <c r="Y857" s="21"/>
      <c r="Z857" s="21"/>
      <c r="AA857" s="21"/>
      <c r="AB857" s="21"/>
    </row>
    <row r="858" ht="20.25" customHeight="1">
      <c r="A858" s="139"/>
      <c r="B858" s="21"/>
      <c r="C858" s="21"/>
      <c r="D858" s="21"/>
      <c r="E858" s="21"/>
      <c r="F858" s="21"/>
      <c r="G858" s="21"/>
      <c r="H858" s="21"/>
      <c r="I858" s="21"/>
      <c r="J858" s="21"/>
      <c r="K858" s="204"/>
      <c r="L858" s="54"/>
      <c r="M858" s="55"/>
      <c r="N858" s="56"/>
      <c r="O858" s="16"/>
      <c r="P858" s="57"/>
      <c r="Q858" s="55"/>
      <c r="R858" s="16"/>
      <c r="S858" s="17"/>
      <c r="T858" s="16"/>
      <c r="U858" s="16"/>
      <c r="V858" s="16"/>
      <c r="W858" s="20"/>
      <c r="X858" s="21"/>
      <c r="Y858" s="21"/>
      <c r="Z858" s="21"/>
      <c r="AA858" s="21"/>
      <c r="AB858" s="21"/>
    </row>
    <row r="859" ht="20.25" customHeight="1">
      <c r="A859" s="139"/>
      <c r="B859" s="21"/>
      <c r="C859" s="21"/>
      <c r="D859" s="21"/>
      <c r="E859" s="21"/>
      <c r="F859" s="21"/>
      <c r="G859" s="21"/>
      <c r="H859" s="21"/>
      <c r="I859" s="21"/>
      <c r="J859" s="21"/>
      <c r="K859" s="204"/>
      <c r="L859" s="54"/>
      <c r="M859" s="55"/>
      <c r="N859" s="56"/>
      <c r="O859" s="16"/>
      <c r="P859" s="57"/>
      <c r="Q859" s="55"/>
      <c r="R859" s="16"/>
      <c r="S859" s="17"/>
      <c r="T859" s="16"/>
      <c r="U859" s="16"/>
      <c r="V859" s="16"/>
      <c r="W859" s="20"/>
      <c r="X859" s="21"/>
      <c r="Y859" s="21"/>
      <c r="Z859" s="21"/>
      <c r="AA859" s="21"/>
      <c r="AB859" s="21"/>
    </row>
    <row r="860" ht="20.25" customHeight="1">
      <c r="A860" s="139"/>
      <c r="B860" s="21"/>
      <c r="C860" s="21"/>
      <c r="D860" s="21"/>
      <c r="E860" s="21"/>
      <c r="F860" s="21"/>
      <c r="G860" s="21"/>
      <c r="H860" s="21"/>
      <c r="I860" s="21"/>
      <c r="J860" s="21"/>
      <c r="K860" s="204"/>
      <c r="L860" s="54"/>
      <c r="M860" s="55"/>
      <c r="N860" s="56"/>
      <c r="O860" s="16"/>
      <c r="P860" s="57"/>
      <c r="Q860" s="55"/>
      <c r="R860" s="16"/>
      <c r="S860" s="17"/>
      <c r="T860" s="16"/>
      <c r="U860" s="16"/>
      <c r="V860" s="16"/>
      <c r="W860" s="20"/>
      <c r="X860" s="21"/>
      <c r="Y860" s="21"/>
      <c r="Z860" s="21"/>
      <c r="AA860" s="21"/>
      <c r="AB860" s="21"/>
    </row>
    <row r="861" ht="20.25" customHeight="1">
      <c r="A861" s="139"/>
      <c r="B861" s="21"/>
      <c r="C861" s="21"/>
      <c r="D861" s="21"/>
      <c r="E861" s="21"/>
      <c r="F861" s="21"/>
      <c r="G861" s="21"/>
      <c r="H861" s="21"/>
      <c r="I861" s="21"/>
      <c r="J861" s="21"/>
      <c r="K861" s="204"/>
      <c r="L861" s="54"/>
      <c r="M861" s="55"/>
      <c r="N861" s="56"/>
      <c r="O861" s="16"/>
      <c r="P861" s="57"/>
      <c r="Q861" s="55"/>
      <c r="R861" s="16"/>
      <c r="S861" s="17"/>
      <c r="T861" s="16"/>
      <c r="U861" s="16"/>
      <c r="V861" s="16"/>
      <c r="W861" s="20"/>
      <c r="X861" s="21"/>
      <c r="Y861" s="21"/>
      <c r="Z861" s="21"/>
      <c r="AA861" s="21"/>
      <c r="AB861" s="21"/>
    </row>
    <row r="862" ht="20.25" customHeight="1">
      <c r="A862" s="139"/>
      <c r="B862" s="21"/>
      <c r="C862" s="21"/>
      <c r="D862" s="21"/>
      <c r="E862" s="21"/>
      <c r="F862" s="21"/>
      <c r="G862" s="21"/>
      <c r="H862" s="21"/>
      <c r="I862" s="21"/>
      <c r="J862" s="21"/>
      <c r="K862" s="204"/>
      <c r="L862" s="54"/>
      <c r="M862" s="55"/>
      <c r="N862" s="56"/>
      <c r="O862" s="16"/>
      <c r="P862" s="57"/>
      <c r="Q862" s="55"/>
      <c r="R862" s="16"/>
      <c r="S862" s="17"/>
      <c r="T862" s="16"/>
      <c r="U862" s="16"/>
      <c r="V862" s="16"/>
      <c r="W862" s="20"/>
      <c r="X862" s="21"/>
      <c r="Y862" s="21"/>
      <c r="Z862" s="21"/>
      <c r="AA862" s="21"/>
      <c r="AB862" s="21"/>
    </row>
    <row r="863" ht="20.25" customHeight="1">
      <c r="A863" s="139"/>
      <c r="B863" s="21"/>
      <c r="C863" s="21"/>
      <c r="D863" s="21"/>
      <c r="E863" s="21"/>
      <c r="F863" s="21"/>
      <c r="G863" s="21"/>
      <c r="H863" s="21"/>
      <c r="I863" s="21"/>
      <c r="J863" s="21"/>
      <c r="K863" s="204"/>
      <c r="L863" s="54"/>
      <c r="M863" s="55"/>
      <c r="N863" s="56"/>
      <c r="O863" s="16"/>
      <c r="P863" s="57"/>
      <c r="Q863" s="55"/>
      <c r="R863" s="16"/>
      <c r="S863" s="17"/>
      <c r="T863" s="16"/>
      <c r="U863" s="16"/>
      <c r="V863" s="16"/>
      <c r="W863" s="20"/>
      <c r="X863" s="21"/>
      <c r="Y863" s="21"/>
      <c r="Z863" s="21"/>
      <c r="AA863" s="21"/>
      <c r="AB863" s="21"/>
    </row>
    <row r="864" ht="20.25" customHeight="1">
      <c r="A864" s="139"/>
      <c r="B864" s="21"/>
      <c r="C864" s="21"/>
      <c r="D864" s="21"/>
      <c r="E864" s="21"/>
      <c r="F864" s="21"/>
      <c r="G864" s="21"/>
      <c r="H864" s="21"/>
      <c r="I864" s="21"/>
      <c r="J864" s="21"/>
      <c r="K864" s="204"/>
      <c r="L864" s="54"/>
      <c r="M864" s="55"/>
      <c r="N864" s="56"/>
      <c r="O864" s="16"/>
      <c r="P864" s="57"/>
      <c r="Q864" s="55"/>
      <c r="R864" s="16"/>
      <c r="S864" s="17"/>
      <c r="T864" s="16"/>
      <c r="U864" s="16"/>
      <c r="V864" s="16"/>
      <c r="W864" s="20"/>
      <c r="X864" s="21"/>
      <c r="Y864" s="21"/>
      <c r="Z864" s="21"/>
      <c r="AA864" s="21"/>
      <c r="AB864" s="21"/>
    </row>
    <row r="865" ht="20.25" customHeight="1">
      <c r="A865" s="139"/>
      <c r="B865" s="21"/>
      <c r="C865" s="21"/>
      <c r="D865" s="21"/>
      <c r="E865" s="21"/>
      <c r="F865" s="21"/>
      <c r="G865" s="21"/>
      <c r="H865" s="21"/>
      <c r="I865" s="21"/>
      <c r="J865" s="21"/>
      <c r="K865" s="204"/>
      <c r="L865" s="54"/>
      <c r="M865" s="55"/>
      <c r="N865" s="56"/>
      <c r="O865" s="16"/>
      <c r="P865" s="57"/>
      <c r="Q865" s="55"/>
      <c r="R865" s="16"/>
      <c r="S865" s="17"/>
      <c r="T865" s="16"/>
      <c r="U865" s="16"/>
      <c r="V865" s="16"/>
      <c r="W865" s="20"/>
      <c r="X865" s="21"/>
      <c r="Y865" s="21"/>
      <c r="Z865" s="21"/>
      <c r="AA865" s="21"/>
      <c r="AB865" s="21"/>
    </row>
    <row r="866" ht="20.25" customHeight="1">
      <c r="A866" s="139"/>
      <c r="B866" s="21"/>
      <c r="C866" s="21"/>
      <c r="D866" s="21"/>
      <c r="E866" s="21"/>
      <c r="F866" s="21"/>
      <c r="G866" s="21"/>
      <c r="H866" s="21"/>
      <c r="I866" s="21"/>
      <c r="J866" s="21"/>
      <c r="K866" s="204"/>
      <c r="L866" s="54"/>
      <c r="M866" s="55"/>
      <c r="N866" s="56"/>
      <c r="O866" s="16"/>
      <c r="P866" s="57"/>
      <c r="Q866" s="55"/>
      <c r="R866" s="16"/>
      <c r="S866" s="17"/>
      <c r="T866" s="16"/>
      <c r="U866" s="16"/>
      <c r="V866" s="16"/>
      <c r="W866" s="20"/>
      <c r="X866" s="21"/>
      <c r="Y866" s="21"/>
      <c r="Z866" s="21"/>
      <c r="AA866" s="21"/>
      <c r="AB866" s="21"/>
    </row>
    <row r="867" ht="20.25" customHeight="1">
      <c r="A867" s="139"/>
      <c r="B867" s="21"/>
      <c r="C867" s="21"/>
      <c r="D867" s="21"/>
      <c r="E867" s="21"/>
      <c r="F867" s="21"/>
      <c r="G867" s="21"/>
      <c r="H867" s="21"/>
      <c r="I867" s="21"/>
      <c r="J867" s="21"/>
      <c r="K867" s="204"/>
      <c r="L867" s="54"/>
      <c r="M867" s="55"/>
      <c r="N867" s="56"/>
      <c r="O867" s="16"/>
      <c r="P867" s="57"/>
      <c r="Q867" s="55"/>
      <c r="R867" s="16"/>
      <c r="S867" s="17"/>
      <c r="T867" s="16"/>
      <c r="U867" s="16"/>
      <c r="V867" s="16"/>
      <c r="W867" s="20"/>
      <c r="X867" s="21"/>
      <c r="Y867" s="21"/>
      <c r="Z867" s="21"/>
      <c r="AA867" s="21"/>
      <c r="AB867" s="21"/>
    </row>
    <row r="868" ht="20.25" customHeight="1">
      <c r="A868" s="139"/>
      <c r="B868" s="21"/>
      <c r="C868" s="21"/>
      <c r="D868" s="21"/>
      <c r="E868" s="21"/>
      <c r="F868" s="21"/>
      <c r="G868" s="21"/>
      <c r="H868" s="21"/>
      <c r="I868" s="21"/>
      <c r="J868" s="21"/>
      <c r="K868" s="204"/>
      <c r="L868" s="54"/>
      <c r="M868" s="55"/>
      <c r="N868" s="56"/>
      <c r="O868" s="16"/>
      <c r="P868" s="57"/>
      <c r="Q868" s="55"/>
      <c r="R868" s="16"/>
      <c r="S868" s="17"/>
      <c r="T868" s="16"/>
      <c r="U868" s="16"/>
      <c r="V868" s="16"/>
      <c r="W868" s="20"/>
      <c r="X868" s="21"/>
      <c r="Y868" s="21"/>
      <c r="Z868" s="21"/>
      <c r="AA868" s="21"/>
      <c r="AB868" s="21"/>
    </row>
    <row r="869" ht="20.25" customHeight="1">
      <c r="A869" s="139"/>
      <c r="B869" s="21"/>
      <c r="C869" s="21"/>
      <c r="D869" s="21"/>
      <c r="E869" s="21"/>
      <c r="F869" s="21"/>
      <c r="G869" s="21"/>
      <c r="H869" s="21"/>
      <c r="I869" s="21"/>
      <c r="J869" s="21"/>
      <c r="K869" s="204"/>
      <c r="L869" s="54"/>
      <c r="M869" s="55"/>
      <c r="N869" s="56"/>
      <c r="O869" s="16"/>
      <c r="P869" s="57"/>
      <c r="Q869" s="55"/>
      <c r="R869" s="16"/>
      <c r="S869" s="17"/>
      <c r="T869" s="16"/>
      <c r="U869" s="16"/>
      <c r="V869" s="16"/>
      <c r="W869" s="20"/>
      <c r="X869" s="21"/>
      <c r="Y869" s="21"/>
      <c r="Z869" s="21"/>
      <c r="AA869" s="21"/>
      <c r="AB869" s="21"/>
    </row>
    <row r="870" ht="20.25" customHeight="1">
      <c r="A870" s="139"/>
      <c r="B870" s="21"/>
      <c r="C870" s="21"/>
      <c r="D870" s="21"/>
      <c r="E870" s="21"/>
      <c r="F870" s="21"/>
      <c r="G870" s="21"/>
      <c r="H870" s="21"/>
      <c r="I870" s="21"/>
      <c r="J870" s="21"/>
      <c r="K870" s="204"/>
      <c r="L870" s="54"/>
      <c r="M870" s="55"/>
      <c r="N870" s="56"/>
      <c r="O870" s="16"/>
      <c r="P870" s="57"/>
      <c r="Q870" s="55"/>
      <c r="R870" s="16"/>
      <c r="S870" s="17"/>
      <c r="T870" s="16"/>
      <c r="U870" s="16"/>
      <c r="V870" s="16"/>
      <c r="W870" s="20"/>
      <c r="X870" s="21"/>
      <c r="Y870" s="21"/>
      <c r="Z870" s="21"/>
      <c r="AA870" s="21"/>
      <c r="AB870" s="21"/>
    </row>
    <row r="871" ht="20.25" customHeight="1">
      <c r="A871" s="139"/>
      <c r="B871" s="21"/>
      <c r="C871" s="21"/>
      <c r="D871" s="21"/>
      <c r="E871" s="21"/>
      <c r="F871" s="21"/>
      <c r="G871" s="21"/>
      <c r="H871" s="21"/>
      <c r="I871" s="21"/>
      <c r="J871" s="21"/>
      <c r="K871" s="204"/>
      <c r="L871" s="54"/>
      <c r="M871" s="55"/>
      <c r="N871" s="56"/>
      <c r="O871" s="16"/>
      <c r="P871" s="57"/>
      <c r="Q871" s="55"/>
      <c r="R871" s="16"/>
      <c r="S871" s="17"/>
      <c r="T871" s="16"/>
      <c r="U871" s="16"/>
      <c r="V871" s="16"/>
      <c r="W871" s="20"/>
      <c r="X871" s="21"/>
      <c r="Y871" s="21"/>
      <c r="Z871" s="21"/>
      <c r="AA871" s="21"/>
      <c r="AB871" s="21"/>
    </row>
    <row r="872" ht="20.25" customHeight="1">
      <c r="A872" s="139"/>
      <c r="B872" s="21"/>
      <c r="C872" s="21"/>
      <c r="D872" s="21"/>
      <c r="E872" s="21"/>
      <c r="F872" s="21"/>
      <c r="G872" s="21"/>
      <c r="H872" s="21"/>
      <c r="I872" s="21"/>
      <c r="J872" s="21"/>
      <c r="K872" s="204"/>
      <c r="L872" s="54"/>
      <c r="M872" s="55"/>
      <c r="N872" s="56"/>
      <c r="O872" s="16"/>
      <c r="P872" s="57"/>
      <c r="Q872" s="55"/>
      <c r="R872" s="16"/>
      <c r="S872" s="17"/>
      <c r="T872" s="16"/>
      <c r="U872" s="16"/>
      <c r="V872" s="16"/>
      <c r="W872" s="20"/>
      <c r="X872" s="21"/>
      <c r="Y872" s="21"/>
      <c r="Z872" s="21"/>
      <c r="AA872" s="21"/>
      <c r="AB872" s="21"/>
    </row>
    <row r="873" ht="20.25" customHeight="1">
      <c r="A873" s="139"/>
      <c r="B873" s="21"/>
      <c r="C873" s="21"/>
      <c r="D873" s="21"/>
      <c r="E873" s="21"/>
      <c r="F873" s="21"/>
      <c r="G873" s="21"/>
      <c r="H873" s="21"/>
      <c r="I873" s="21"/>
      <c r="J873" s="21"/>
      <c r="K873" s="204"/>
      <c r="L873" s="54"/>
      <c r="M873" s="55"/>
      <c r="N873" s="56"/>
      <c r="O873" s="16"/>
      <c r="P873" s="57"/>
      <c r="Q873" s="55"/>
      <c r="R873" s="16"/>
      <c r="S873" s="17"/>
      <c r="T873" s="16"/>
      <c r="U873" s="16"/>
      <c r="V873" s="16"/>
      <c r="W873" s="20"/>
      <c r="X873" s="21"/>
      <c r="Y873" s="21"/>
      <c r="Z873" s="21"/>
      <c r="AA873" s="21"/>
      <c r="AB873" s="21"/>
    </row>
    <row r="874" ht="20.25" customHeight="1">
      <c r="A874" s="139"/>
      <c r="B874" s="21"/>
      <c r="C874" s="21"/>
      <c r="D874" s="21"/>
      <c r="E874" s="21"/>
      <c r="F874" s="21"/>
      <c r="G874" s="21"/>
      <c r="H874" s="21"/>
      <c r="I874" s="21"/>
      <c r="J874" s="21"/>
      <c r="K874" s="204"/>
      <c r="L874" s="54"/>
      <c r="M874" s="55"/>
      <c r="N874" s="56"/>
      <c r="O874" s="16"/>
      <c r="P874" s="57"/>
      <c r="Q874" s="55"/>
      <c r="R874" s="16"/>
      <c r="S874" s="17"/>
      <c r="T874" s="16"/>
      <c r="U874" s="16"/>
      <c r="V874" s="16"/>
      <c r="W874" s="20"/>
      <c r="X874" s="21"/>
      <c r="Y874" s="21"/>
      <c r="Z874" s="21"/>
      <c r="AA874" s="21"/>
      <c r="AB874" s="21"/>
    </row>
    <row r="875" ht="20.25" customHeight="1">
      <c r="A875" s="139"/>
      <c r="B875" s="21"/>
      <c r="C875" s="21"/>
      <c r="D875" s="21"/>
      <c r="E875" s="21"/>
      <c r="F875" s="21"/>
      <c r="G875" s="21"/>
      <c r="H875" s="21"/>
      <c r="I875" s="21"/>
      <c r="J875" s="21"/>
      <c r="K875" s="204"/>
      <c r="L875" s="54"/>
      <c r="M875" s="55"/>
      <c r="N875" s="56"/>
      <c r="O875" s="16"/>
      <c r="P875" s="57"/>
      <c r="Q875" s="55"/>
      <c r="R875" s="16"/>
      <c r="S875" s="17"/>
      <c r="T875" s="16"/>
      <c r="U875" s="16"/>
      <c r="V875" s="16"/>
      <c r="W875" s="20"/>
      <c r="X875" s="21"/>
      <c r="Y875" s="21"/>
      <c r="Z875" s="21"/>
      <c r="AA875" s="21"/>
      <c r="AB875" s="21"/>
    </row>
    <row r="876" ht="20.25" customHeight="1">
      <c r="A876" s="139"/>
      <c r="B876" s="21"/>
      <c r="C876" s="21"/>
      <c r="D876" s="21"/>
      <c r="E876" s="21"/>
      <c r="F876" s="21"/>
      <c r="G876" s="21"/>
      <c r="H876" s="21"/>
      <c r="I876" s="21"/>
      <c r="J876" s="21"/>
      <c r="K876" s="204"/>
      <c r="L876" s="54"/>
      <c r="M876" s="55"/>
      <c r="N876" s="56"/>
      <c r="O876" s="16"/>
      <c r="P876" s="57"/>
      <c r="Q876" s="55"/>
      <c r="R876" s="16"/>
      <c r="S876" s="17"/>
      <c r="T876" s="16"/>
      <c r="U876" s="16"/>
      <c r="V876" s="16"/>
      <c r="W876" s="20"/>
      <c r="X876" s="21"/>
      <c r="Y876" s="21"/>
      <c r="Z876" s="21"/>
      <c r="AA876" s="21"/>
      <c r="AB876" s="21"/>
    </row>
    <row r="877" ht="20.25" customHeight="1">
      <c r="A877" s="139"/>
      <c r="B877" s="21"/>
      <c r="C877" s="21"/>
      <c r="D877" s="21"/>
      <c r="E877" s="21"/>
      <c r="F877" s="21"/>
      <c r="G877" s="21"/>
      <c r="H877" s="21"/>
      <c r="I877" s="21"/>
      <c r="J877" s="21"/>
      <c r="K877" s="204"/>
      <c r="L877" s="54"/>
      <c r="M877" s="55"/>
      <c r="N877" s="56"/>
      <c r="O877" s="16"/>
      <c r="P877" s="57"/>
      <c r="Q877" s="55"/>
      <c r="R877" s="16"/>
      <c r="S877" s="17"/>
      <c r="T877" s="16"/>
      <c r="U877" s="16"/>
      <c r="V877" s="16"/>
      <c r="W877" s="20"/>
      <c r="X877" s="21"/>
      <c r="Y877" s="21"/>
      <c r="Z877" s="21"/>
      <c r="AA877" s="21"/>
      <c r="AB877" s="21"/>
    </row>
    <row r="878" ht="20.25" customHeight="1">
      <c r="A878" s="139"/>
      <c r="B878" s="21"/>
      <c r="C878" s="21"/>
      <c r="D878" s="21"/>
      <c r="E878" s="21"/>
      <c r="F878" s="21"/>
      <c r="G878" s="21"/>
      <c r="H878" s="21"/>
      <c r="I878" s="21"/>
      <c r="J878" s="21"/>
      <c r="K878" s="204"/>
      <c r="L878" s="54"/>
      <c r="M878" s="55"/>
      <c r="N878" s="56"/>
      <c r="O878" s="16"/>
      <c r="P878" s="57"/>
      <c r="Q878" s="55"/>
      <c r="R878" s="16"/>
      <c r="S878" s="17"/>
      <c r="T878" s="16"/>
      <c r="U878" s="16"/>
      <c r="V878" s="16"/>
      <c r="W878" s="20"/>
      <c r="X878" s="21"/>
      <c r="Y878" s="21"/>
      <c r="Z878" s="21"/>
      <c r="AA878" s="21"/>
      <c r="AB878" s="21"/>
    </row>
    <row r="879" ht="20.25" customHeight="1">
      <c r="A879" s="139"/>
      <c r="B879" s="21"/>
      <c r="C879" s="21"/>
      <c r="D879" s="21"/>
      <c r="E879" s="21"/>
      <c r="F879" s="21"/>
      <c r="G879" s="21"/>
      <c r="H879" s="21"/>
      <c r="I879" s="21"/>
      <c r="J879" s="21"/>
      <c r="K879" s="204"/>
      <c r="L879" s="54"/>
      <c r="M879" s="55"/>
      <c r="N879" s="56"/>
      <c r="O879" s="16"/>
      <c r="P879" s="57"/>
      <c r="Q879" s="55"/>
      <c r="R879" s="16"/>
      <c r="S879" s="17"/>
      <c r="T879" s="16"/>
      <c r="U879" s="16"/>
      <c r="V879" s="16"/>
      <c r="W879" s="20"/>
      <c r="X879" s="21"/>
      <c r="Y879" s="21"/>
      <c r="Z879" s="21"/>
      <c r="AA879" s="21"/>
      <c r="AB879" s="21"/>
    </row>
    <row r="880" ht="20.25" customHeight="1">
      <c r="A880" s="139"/>
      <c r="B880" s="21"/>
      <c r="C880" s="21"/>
      <c r="D880" s="21"/>
      <c r="E880" s="21"/>
      <c r="F880" s="21"/>
      <c r="G880" s="21"/>
      <c r="H880" s="21"/>
      <c r="I880" s="21"/>
      <c r="J880" s="21"/>
      <c r="K880" s="204"/>
      <c r="L880" s="54"/>
      <c r="M880" s="55"/>
      <c r="N880" s="56"/>
      <c r="O880" s="16"/>
      <c r="P880" s="57"/>
      <c r="Q880" s="55"/>
      <c r="R880" s="16"/>
      <c r="S880" s="17"/>
      <c r="T880" s="16"/>
      <c r="U880" s="16"/>
      <c r="V880" s="16"/>
      <c r="W880" s="20"/>
      <c r="X880" s="21"/>
      <c r="Y880" s="21"/>
      <c r="Z880" s="21"/>
      <c r="AA880" s="21"/>
      <c r="AB880" s="21"/>
    </row>
    <row r="881" ht="20.25" customHeight="1">
      <c r="A881" s="139"/>
      <c r="B881" s="21"/>
      <c r="C881" s="21"/>
      <c r="D881" s="21"/>
      <c r="E881" s="21"/>
      <c r="F881" s="21"/>
      <c r="G881" s="21"/>
      <c r="H881" s="21"/>
      <c r="I881" s="21"/>
      <c r="J881" s="21"/>
      <c r="K881" s="204"/>
      <c r="L881" s="54"/>
      <c r="M881" s="55"/>
      <c r="N881" s="56"/>
      <c r="O881" s="16"/>
      <c r="P881" s="57"/>
      <c r="Q881" s="55"/>
      <c r="R881" s="16"/>
      <c r="S881" s="17"/>
      <c r="T881" s="16"/>
      <c r="U881" s="16"/>
      <c r="V881" s="16"/>
      <c r="W881" s="20"/>
      <c r="X881" s="21"/>
      <c r="Y881" s="21"/>
      <c r="Z881" s="21"/>
      <c r="AA881" s="21"/>
      <c r="AB881" s="21"/>
    </row>
    <row r="882" ht="20.25" customHeight="1">
      <c r="A882" s="139"/>
      <c r="B882" s="21"/>
      <c r="C882" s="21"/>
      <c r="D882" s="21"/>
      <c r="E882" s="21"/>
      <c r="F882" s="21"/>
      <c r="G882" s="21"/>
      <c r="H882" s="21"/>
      <c r="I882" s="21"/>
      <c r="J882" s="21"/>
      <c r="K882" s="204"/>
      <c r="L882" s="54"/>
      <c r="M882" s="55"/>
      <c r="N882" s="56"/>
      <c r="O882" s="16"/>
      <c r="P882" s="57"/>
      <c r="Q882" s="55"/>
      <c r="R882" s="16"/>
      <c r="S882" s="17"/>
      <c r="T882" s="16"/>
      <c r="U882" s="16"/>
      <c r="V882" s="16"/>
      <c r="W882" s="20"/>
      <c r="X882" s="21"/>
      <c r="Y882" s="21"/>
      <c r="Z882" s="21"/>
      <c r="AA882" s="21"/>
      <c r="AB882" s="21"/>
    </row>
    <row r="883" ht="20.25" customHeight="1">
      <c r="A883" s="139"/>
      <c r="B883" s="21"/>
      <c r="C883" s="21"/>
      <c r="D883" s="21"/>
      <c r="E883" s="21"/>
      <c r="F883" s="21"/>
      <c r="G883" s="21"/>
      <c r="H883" s="21"/>
      <c r="I883" s="21"/>
      <c r="J883" s="21"/>
      <c r="K883" s="204"/>
      <c r="L883" s="54"/>
      <c r="M883" s="55"/>
      <c r="N883" s="56"/>
      <c r="O883" s="16"/>
      <c r="P883" s="57"/>
      <c r="Q883" s="55"/>
      <c r="R883" s="16"/>
      <c r="S883" s="17"/>
      <c r="T883" s="16"/>
      <c r="U883" s="16"/>
      <c r="V883" s="16"/>
      <c r="W883" s="20"/>
      <c r="X883" s="21"/>
      <c r="Y883" s="21"/>
      <c r="Z883" s="21"/>
      <c r="AA883" s="21"/>
      <c r="AB883" s="21"/>
    </row>
    <row r="884" ht="20.25" customHeight="1">
      <c r="A884" s="139"/>
      <c r="B884" s="21"/>
      <c r="C884" s="21"/>
      <c r="D884" s="21"/>
      <c r="E884" s="21"/>
      <c r="F884" s="21"/>
      <c r="G884" s="21"/>
      <c r="H884" s="21"/>
      <c r="I884" s="21"/>
      <c r="J884" s="21"/>
      <c r="K884" s="204"/>
      <c r="L884" s="54"/>
      <c r="M884" s="55"/>
      <c r="N884" s="56"/>
      <c r="O884" s="16"/>
      <c r="P884" s="57"/>
      <c r="Q884" s="55"/>
      <c r="R884" s="16"/>
      <c r="S884" s="17"/>
      <c r="T884" s="16"/>
      <c r="U884" s="16"/>
      <c r="V884" s="16"/>
      <c r="W884" s="20"/>
      <c r="X884" s="21"/>
      <c r="Y884" s="21"/>
      <c r="Z884" s="21"/>
      <c r="AA884" s="21"/>
      <c r="AB884" s="21"/>
    </row>
    <row r="885" ht="20.25" customHeight="1">
      <c r="A885" s="139"/>
      <c r="B885" s="21"/>
      <c r="C885" s="21"/>
      <c r="D885" s="21"/>
      <c r="E885" s="21"/>
      <c r="F885" s="21"/>
      <c r="G885" s="21"/>
      <c r="H885" s="21"/>
      <c r="I885" s="21"/>
      <c r="J885" s="21"/>
      <c r="K885" s="204"/>
      <c r="L885" s="54"/>
      <c r="M885" s="55"/>
      <c r="N885" s="56"/>
      <c r="O885" s="16"/>
      <c r="P885" s="57"/>
      <c r="Q885" s="55"/>
      <c r="R885" s="16"/>
      <c r="S885" s="17"/>
      <c r="T885" s="16"/>
      <c r="U885" s="16"/>
      <c r="V885" s="16"/>
      <c r="W885" s="20"/>
      <c r="X885" s="21"/>
      <c r="Y885" s="21"/>
      <c r="Z885" s="21"/>
      <c r="AA885" s="21"/>
      <c r="AB885" s="21"/>
    </row>
    <row r="886" ht="20.25" customHeight="1">
      <c r="A886" s="139"/>
      <c r="B886" s="21"/>
      <c r="C886" s="21"/>
      <c r="D886" s="21"/>
      <c r="E886" s="21"/>
      <c r="F886" s="21"/>
      <c r="G886" s="21"/>
      <c r="H886" s="21"/>
      <c r="I886" s="21"/>
      <c r="J886" s="21"/>
      <c r="K886" s="204"/>
      <c r="L886" s="54"/>
      <c r="M886" s="55"/>
      <c r="N886" s="56"/>
      <c r="O886" s="16"/>
      <c r="P886" s="57"/>
      <c r="Q886" s="55"/>
      <c r="R886" s="16"/>
      <c r="S886" s="17"/>
      <c r="T886" s="16"/>
      <c r="U886" s="16"/>
      <c r="V886" s="16"/>
      <c r="W886" s="20"/>
      <c r="X886" s="21"/>
      <c r="Y886" s="21"/>
      <c r="Z886" s="21"/>
      <c r="AA886" s="21"/>
      <c r="AB886" s="21"/>
    </row>
    <row r="887" ht="20.25" customHeight="1">
      <c r="A887" s="139"/>
      <c r="B887" s="21"/>
      <c r="C887" s="21"/>
      <c r="D887" s="21"/>
      <c r="E887" s="21"/>
      <c r="F887" s="21"/>
      <c r="G887" s="21"/>
      <c r="H887" s="21"/>
      <c r="I887" s="21"/>
      <c r="J887" s="21"/>
      <c r="K887" s="204"/>
      <c r="L887" s="54"/>
      <c r="M887" s="55"/>
      <c r="N887" s="56"/>
      <c r="O887" s="16"/>
      <c r="P887" s="57"/>
      <c r="Q887" s="55"/>
      <c r="R887" s="16"/>
      <c r="S887" s="17"/>
      <c r="T887" s="16"/>
      <c r="U887" s="16"/>
      <c r="V887" s="16"/>
      <c r="W887" s="20"/>
      <c r="X887" s="21"/>
      <c r="Y887" s="21"/>
      <c r="Z887" s="21"/>
      <c r="AA887" s="21"/>
      <c r="AB887" s="21"/>
    </row>
    <row r="888" ht="20.25" customHeight="1">
      <c r="A888" s="139"/>
      <c r="B888" s="21"/>
      <c r="C888" s="21"/>
      <c r="D888" s="21"/>
      <c r="E888" s="21"/>
      <c r="F888" s="21"/>
      <c r="G888" s="21"/>
      <c r="H888" s="21"/>
      <c r="I888" s="21"/>
      <c r="J888" s="21"/>
      <c r="K888" s="204"/>
      <c r="L888" s="54"/>
      <c r="M888" s="55"/>
      <c r="N888" s="56"/>
      <c r="O888" s="16"/>
      <c r="P888" s="57"/>
      <c r="Q888" s="55"/>
      <c r="R888" s="16"/>
      <c r="S888" s="17"/>
      <c r="T888" s="16"/>
      <c r="U888" s="16"/>
      <c r="V888" s="16"/>
      <c r="W888" s="20"/>
      <c r="X888" s="21"/>
      <c r="Y888" s="21"/>
      <c r="Z888" s="21"/>
      <c r="AA888" s="21"/>
      <c r="AB888" s="21"/>
    </row>
    <row r="889" ht="20.25" customHeight="1">
      <c r="A889" s="139"/>
      <c r="B889" s="21"/>
      <c r="C889" s="21"/>
      <c r="D889" s="21"/>
      <c r="E889" s="21"/>
      <c r="F889" s="21"/>
      <c r="G889" s="21"/>
      <c r="H889" s="21"/>
      <c r="I889" s="21"/>
      <c r="J889" s="21"/>
      <c r="K889" s="204"/>
      <c r="L889" s="54"/>
      <c r="M889" s="55"/>
      <c r="N889" s="56"/>
      <c r="O889" s="16"/>
      <c r="P889" s="57"/>
      <c r="Q889" s="55"/>
      <c r="R889" s="16"/>
      <c r="S889" s="17"/>
      <c r="T889" s="16"/>
      <c r="U889" s="16"/>
      <c r="V889" s="16"/>
      <c r="W889" s="20"/>
      <c r="X889" s="21"/>
      <c r="Y889" s="21"/>
      <c r="Z889" s="21"/>
      <c r="AA889" s="21"/>
      <c r="AB889" s="21"/>
    </row>
    <row r="890" ht="20.25" customHeight="1">
      <c r="A890" s="139"/>
      <c r="B890" s="21"/>
      <c r="C890" s="21"/>
      <c r="D890" s="21"/>
      <c r="E890" s="21"/>
      <c r="F890" s="21"/>
      <c r="G890" s="21"/>
      <c r="H890" s="21"/>
      <c r="I890" s="21"/>
      <c r="J890" s="21"/>
      <c r="K890" s="204"/>
      <c r="L890" s="54"/>
      <c r="M890" s="55"/>
      <c r="N890" s="56"/>
      <c r="O890" s="16"/>
      <c r="P890" s="57"/>
      <c r="Q890" s="55"/>
      <c r="R890" s="16"/>
      <c r="S890" s="17"/>
      <c r="T890" s="16"/>
      <c r="U890" s="16"/>
      <c r="V890" s="16"/>
      <c r="W890" s="20"/>
      <c r="X890" s="21"/>
      <c r="Y890" s="21"/>
      <c r="Z890" s="21"/>
      <c r="AA890" s="21"/>
      <c r="AB890" s="21"/>
    </row>
    <row r="891" ht="20.25" customHeight="1">
      <c r="A891" s="139"/>
      <c r="B891" s="21"/>
      <c r="C891" s="21"/>
      <c r="D891" s="21"/>
      <c r="E891" s="21"/>
      <c r="F891" s="21"/>
      <c r="G891" s="21"/>
      <c r="H891" s="21"/>
      <c r="I891" s="21"/>
      <c r="J891" s="21"/>
      <c r="K891" s="204"/>
      <c r="L891" s="54"/>
      <c r="M891" s="55"/>
      <c r="N891" s="56"/>
      <c r="O891" s="16"/>
      <c r="P891" s="57"/>
      <c r="Q891" s="55"/>
      <c r="R891" s="16"/>
      <c r="S891" s="17"/>
      <c r="T891" s="16"/>
      <c r="U891" s="16"/>
      <c r="V891" s="16"/>
      <c r="W891" s="20"/>
      <c r="X891" s="21"/>
      <c r="Y891" s="21"/>
      <c r="Z891" s="21"/>
      <c r="AA891" s="21"/>
      <c r="AB891" s="21"/>
    </row>
    <row r="892" ht="20.25" customHeight="1">
      <c r="A892" s="139"/>
      <c r="B892" s="21"/>
      <c r="C892" s="21"/>
      <c r="D892" s="21"/>
      <c r="E892" s="21"/>
      <c r="F892" s="21"/>
      <c r="G892" s="21"/>
      <c r="H892" s="21"/>
      <c r="I892" s="21"/>
      <c r="J892" s="21"/>
      <c r="K892" s="204"/>
      <c r="L892" s="54"/>
      <c r="M892" s="55"/>
      <c r="N892" s="56"/>
      <c r="O892" s="16"/>
      <c r="P892" s="57"/>
      <c r="Q892" s="55"/>
      <c r="R892" s="16"/>
      <c r="S892" s="17"/>
      <c r="T892" s="16"/>
      <c r="U892" s="16"/>
      <c r="V892" s="16"/>
      <c r="W892" s="20"/>
      <c r="X892" s="21"/>
      <c r="Y892" s="21"/>
      <c r="Z892" s="21"/>
      <c r="AA892" s="21"/>
      <c r="AB892" s="21"/>
    </row>
    <row r="893" ht="20.25" customHeight="1">
      <c r="A893" s="139"/>
      <c r="B893" s="21"/>
      <c r="C893" s="21"/>
      <c r="D893" s="21"/>
      <c r="E893" s="21"/>
      <c r="F893" s="21"/>
      <c r="G893" s="21"/>
      <c r="H893" s="21"/>
      <c r="I893" s="21"/>
      <c r="J893" s="21"/>
      <c r="K893" s="204"/>
      <c r="L893" s="54"/>
      <c r="M893" s="55"/>
      <c r="N893" s="56"/>
      <c r="O893" s="16"/>
      <c r="P893" s="57"/>
      <c r="Q893" s="55"/>
      <c r="R893" s="16"/>
      <c r="S893" s="17"/>
      <c r="T893" s="16"/>
      <c r="U893" s="16"/>
      <c r="V893" s="16"/>
      <c r="W893" s="20"/>
      <c r="X893" s="21"/>
      <c r="Y893" s="21"/>
      <c r="Z893" s="21"/>
      <c r="AA893" s="21"/>
      <c r="AB893" s="21"/>
    </row>
    <row r="894" ht="20.25" customHeight="1">
      <c r="A894" s="139"/>
      <c r="B894" s="21"/>
      <c r="C894" s="21"/>
      <c r="D894" s="21"/>
      <c r="E894" s="21"/>
      <c r="F894" s="21"/>
      <c r="G894" s="21"/>
      <c r="H894" s="21"/>
      <c r="I894" s="21"/>
      <c r="J894" s="21"/>
      <c r="K894" s="204"/>
      <c r="L894" s="54"/>
      <c r="M894" s="55"/>
      <c r="N894" s="56"/>
      <c r="O894" s="16"/>
      <c r="P894" s="57"/>
      <c r="Q894" s="55"/>
      <c r="R894" s="16"/>
      <c r="S894" s="17"/>
      <c r="T894" s="16"/>
      <c r="U894" s="16"/>
      <c r="V894" s="16"/>
      <c r="W894" s="20"/>
      <c r="X894" s="21"/>
      <c r="Y894" s="21"/>
      <c r="Z894" s="21"/>
      <c r="AA894" s="21"/>
      <c r="AB894" s="21"/>
    </row>
    <row r="895" ht="20.25" customHeight="1">
      <c r="A895" s="139"/>
      <c r="B895" s="21"/>
      <c r="C895" s="21"/>
      <c r="D895" s="21"/>
      <c r="E895" s="21"/>
      <c r="F895" s="21"/>
      <c r="G895" s="21"/>
      <c r="H895" s="21"/>
      <c r="I895" s="21"/>
      <c r="J895" s="21"/>
      <c r="K895" s="204"/>
      <c r="L895" s="54"/>
      <c r="M895" s="55"/>
      <c r="N895" s="56"/>
      <c r="O895" s="16"/>
      <c r="P895" s="57"/>
      <c r="Q895" s="55"/>
      <c r="R895" s="16"/>
      <c r="S895" s="17"/>
      <c r="T895" s="16"/>
      <c r="U895" s="16"/>
      <c r="V895" s="16"/>
      <c r="W895" s="20"/>
      <c r="X895" s="21"/>
      <c r="Y895" s="21"/>
      <c r="Z895" s="21"/>
      <c r="AA895" s="21"/>
      <c r="AB895" s="21"/>
    </row>
    <row r="896" ht="20.25" customHeight="1">
      <c r="A896" s="139"/>
      <c r="B896" s="21"/>
      <c r="C896" s="21"/>
      <c r="D896" s="21"/>
      <c r="E896" s="21"/>
      <c r="F896" s="21"/>
      <c r="G896" s="21"/>
      <c r="H896" s="21"/>
      <c r="I896" s="21"/>
      <c r="J896" s="21"/>
      <c r="K896" s="204"/>
      <c r="L896" s="54"/>
      <c r="M896" s="55"/>
      <c r="N896" s="56"/>
      <c r="O896" s="16"/>
      <c r="P896" s="57"/>
      <c r="Q896" s="55"/>
      <c r="R896" s="16"/>
      <c r="S896" s="17"/>
      <c r="T896" s="16"/>
      <c r="U896" s="16"/>
      <c r="V896" s="16"/>
      <c r="W896" s="20"/>
      <c r="X896" s="21"/>
      <c r="Y896" s="21"/>
      <c r="Z896" s="21"/>
      <c r="AA896" s="21"/>
      <c r="AB896" s="21"/>
    </row>
    <row r="897" ht="20.25" customHeight="1">
      <c r="A897" s="139"/>
      <c r="B897" s="21"/>
      <c r="C897" s="21"/>
      <c r="D897" s="21"/>
      <c r="E897" s="21"/>
      <c r="F897" s="21"/>
      <c r="G897" s="21"/>
      <c r="H897" s="21"/>
      <c r="I897" s="21"/>
      <c r="J897" s="21"/>
      <c r="K897" s="204"/>
      <c r="L897" s="54"/>
      <c r="M897" s="55"/>
      <c r="N897" s="56"/>
      <c r="O897" s="16"/>
      <c r="P897" s="57"/>
      <c r="Q897" s="55"/>
      <c r="R897" s="16"/>
      <c r="S897" s="17"/>
      <c r="T897" s="16"/>
      <c r="U897" s="16"/>
      <c r="V897" s="16"/>
      <c r="W897" s="20"/>
      <c r="X897" s="21"/>
      <c r="Y897" s="21"/>
      <c r="Z897" s="21"/>
      <c r="AA897" s="21"/>
      <c r="AB897" s="21"/>
    </row>
    <row r="898" ht="20.25" customHeight="1">
      <c r="A898" s="139"/>
      <c r="B898" s="21"/>
      <c r="C898" s="21"/>
      <c r="D898" s="21"/>
      <c r="E898" s="21"/>
      <c r="F898" s="21"/>
      <c r="G898" s="21"/>
      <c r="H898" s="21"/>
      <c r="I898" s="21"/>
      <c r="J898" s="21"/>
      <c r="K898" s="204"/>
      <c r="L898" s="54"/>
      <c r="M898" s="55"/>
      <c r="N898" s="56"/>
      <c r="O898" s="16"/>
      <c r="P898" s="57"/>
      <c r="Q898" s="55"/>
      <c r="R898" s="16"/>
      <c r="S898" s="17"/>
      <c r="T898" s="16"/>
      <c r="U898" s="16"/>
      <c r="V898" s="16"/>
      <c r="W898" s="20"/>
      <c r="X898" s="21"/>
      <c r="Y898" s="21"/>
      <c r="Z898" s="21"/>
      <c r="AA898" s="21"/>
      <c r="AB898" s="21"/>
    </row>
    <row r="899" ht="20.25" customHeight="1">
      <c r="A899" s="139"/>
      <c r="B899" s="21"/>
      <c r="C899" s="21"/>
      <c r="D899" s="21"/>
      <c r="E899" s="21"/>
      <c r="F899" s="21"/>
      <c r="G899" s="21"/>
      <c r="H899" s="21"/>
      <c r="I899" s="21"/>
      <c r="J899" s="21"/>
      <c r="K899" s="204"/>
      <c r="L899" s="54"/>
      <c r="M899" s="55"/>
      <c r="N899" s="56"/>
      <c r="O899" s="16"/>
      <c r="P899" s="57"/>
      <c r="Q899" s="55"/>
      <c r="R899" s="16"/>
      <c r="S899" s="17"/>
      <c r="T899" s="16"/>
      <c r="U899" s="16"/>
      <c r="V899" s="16"/>
      <c r="W899" s="20"/>
      <c r="X899" s="21"/>
      <c r="Y899" s="21"/>
      <c r="Z899" s="21"/>
      <c r="AA899" s="21"/>
      <c r="AB899" s="21"/>
    </row>
    <row r="900" ht="20.25" customHeight="1">
      <c r="A900" s="139"/>
      <c r="B900" s="21"/>
      <c r="C900" s="21"/>
      <c r="D900" s="21"/>
      <c r="E900" s="21"/>
      <c r="F900" s="21"/>
      <c r="G900" s="21"/>
      <c r="H900" s="21"/>
      <c r="I900" s="21"/>
      <c r="J900" s="21"/>
      <c r="K900" s="204"/>
      <c r="L900" s="54"/>
      <c r="M900" s="55"/>
      <c r="N900" s="56"/>
      <c r="O900" s="16"/>
      <c r="P900" s="57"/>
      <c r="Q900" s="55"/>
      <c r="R900" s="16"/>
      <c r="S900" s="17"/>
      <c r="T900" s="16"/>
      <c r="U900" s="16"/>
      <c r="V900" s="16"/>
      <c r="W900" s="20"/>
      <c r="X900" s="21"/>
      <c r="Y900" s="21"/>
      <c r="Z900" s="21"/>
      <c r="AA900" s="21"/>
      <c r="AB900" s="21"/>
    </row>
    <row r="901" ht="20.25" customHeight="1">
      <c r="A901" s="139"/>
      <c r="B901" s="21"/>
      <c r="C901" s="21"/>
      <c r="D901" s="21"/>
      <c r="E901" s="21"/>
      <c r="F901" s="21"/>
      <c r="G901" s="21"/>
      <c r="H901" s="21"/>
      <c r="I901" s="21"/>
      <c r="J901" s="21"/>
      <c r="K901" s="204"/>
      <c r="L901" s="54"/>
      <c r="M901" s="55"/>
      <c r="N901" s="56"/>
      <c r="O901" s="16"/>
      <c r="P901" s="57"/>
      <c r="Q901" s="55"/>
      <c r="R901" s="16"/>
      <c r="S901" s="17"/>
      <c r="T901" s="16"/>
      <c r="U901" s="16"/>
      <c r="V901" s="16"/>
      <c r="W901" s="20"/>
      <c r="X901" s="21"/>
      <c r="Y901" s="21"/>
      <c r="Z901" s="21"/>
      <c r="AA901" s="21"/>
      <c r="AB901" s="21"/>
    </row>
    <row r="902" ht="20.25" customHeight="1">
      <c r="A902" s="139"/>
      <c r="B902" s="21"/>
      <c r="C902" s="21"/>
      <c r="D902" s="21"/>
      <c r="E902" s="21"/>
      <c r="F902" s="21"/>
      <c r="G902" s="21"/>
      <c r="H902" s="21"/>
      <c r="I902" s="21"/>
      <c r="J902" s="21"/>
      <c r="K902" s="204"/>
      <c r="L902" s="54"/>
      <c r="M902" s="55"/>
      <c r="N902" s="56"/>
      <c r="O902" s="16"/>
      <c r="P902" s="57"/>
      <c r="Q902" s="55"/>
      <c r="R902" s="16"/>
      <c r="S902" s="17"/>
      <c r="T902" s="16"/>
      <c r="U902" s="16"/>
      <c r="V902" s="16"/>
      <c r="W902" s="20"/>
      <c r="X902" s="21"/>
      <c r="Y902" s="21"/>
      <c r="Z902" s="21"/>
      <c r="AA902" s="21"/>
      <c r="AB902" s="21"/>
    </row>
    <row r="903" ht="20.25" customHeight="1">
      <c r="A903" s="139"/>
      <c r="B903" s="21"/>
      <c r="C903" s="21"/>
      <c r="D903" s="21"/>
      <c r="E903" s="21"/>
      <c r="F903" s="21"/>
      <c r="G903" s="21"/>
      <c r="H903" s="21"/>
      <c r="I903" s="21"/>
      <c r="J903" s="21"/>
      <c r="K903" s="204"/>
      <c r="L903" s="54"/>
      <c r="M903" s="55"/>
      <c r="N903" s="56"/>
      <c r="O903" s="16"/>
      <c r="P903" s="57"/>
      <c r="Q903" s="55"/>
      <c r="R903" s="16"/>
      <c r="S903" s="17"/>
      <c r="T903" s="16"/>
      <c r="U903" s="16"/>
      <c r="V903" s="16"/>
      <c r="W903" s="20"/>
      <c r="X903" s="21"/>
      <c r="Y903" s="21"/>
      <c r="Z903" s="21"/>
      <c r="AA903" s="21"/>
      <c r="AB903" s="21"/>
    </row>
    <row r="904" ht="20.25" customHeight="1">
      <c r="A904" s="139"/>
      <c r="B904" s="21"/>
      <c r="C904" s="21"/>
      <c r="D904" s="21"/>
      <c r="E904" s="21"/>
      <c r="F904" s="21"/>
      <c r="G904" s="21"/>
      <c r="H904" s="21"/>
      <c r="I904" s="21"/>
      <c r="J904" s="21"/>
      <c r="K904" s="204"/>
      <c r="L904" s="54"/>
      <c r="M904" s="55"/>
      <c r="N904" s="56"/>
      <c r="O904" s="16"/>
      <c r="P904" s="57"/>
      <c r="Q904" s="55"/>
      <c r="R904" s="16"/>
      <c r="S904" s="17"/>
      <c r="T904" s="16"/>
      <c r="U904" s="16"/>
      <c r="V904" s="16"/>
      <c r="W904" s="20"/>
      <c r="X904" s="21"/>
      <c r="Y904" s="21"/>
      <c r="Z904" s="21"/>
      <c r="AA904" s="21"/>
      <c r="AB904" s="21"/>
    </row>
    <row r="905" ht="20.25" customHeight="1">
      <c r="A905" s="139"/>
      <c r="B905" s="21"/>
      <c r="C905" s="21"/>
      <c r="D905" s="21"/>
      <c r="E905" s="21"/>
      <c r="F905" s="21"/>
      <c r="G905" s="21"/>
      <c r="H905" s="21"/>
      <c r="I905" s="21"/>
      <c r="J905" s="21"/>
      <c r="K905" s="204"/>
      <c r="L905" s="54"/>
      <c r="M905" s="55"/>
      <c r="N905" s="56"/>
      <c r="O905" s="16"/>
      <c r="P905" s="57"/>
      <c r="Q905" s="55"/>
      <c r="R905" s="16"/>
      <c r="S905" s="17"/>
      <c r="T905" s="16"/>
      <c r="U905" s="16"/>
      <c r="V905" s="16"/>
      <c r="W905" s="20"/>
      <c r="X905" s="21"/>
      <c r="Y905" s="21"/>
      <c r="Z905" s="21"/>
      <c r="AA905" s="21"/>
      <c r="AB905" s="21"/>
    </row>
    <row r="906" ht="20.25" customHeight="1">
      <c r="A906" s="139"/>
      <c r="B906" s="21"/>
      <c r="C906" s="21"/>
      <c r="D906" s="21"/>
      <c r="E906" s="21"/>
      <c r="F906" s="21"/>
      <c r="G906" s="21"/>
      <c r="H906" s="21"/>
      <c r="I906" s="21"/>
      <c r="J906" s="21"/>
      <c r="K906" s="204"/>
      <c r="L906" s="54"/>
      <c r="M906" s="55"/>
      <c r="N906" s="56"/>
      <c r="O906" s="16"/>
      <c r="P906" s="57"/>
      <c r="Q906" s="55"/>
      <c r="R906" s="16"/>
      <c r="S906" s="17"/>
      <c r="T906" s="16"/>
      <c r="U906" s="16"/>
      <c r="V906" s="16"/>
      <c r="W906" s="20"/>
      <c r="X906" s="21"/>
      <c r="Y906" s="21"/>
      <c r="Z906" s="21"/>
      <c r="AA906" s="21"/>
      <c r="AB906" s="21"/>
    </row>
    <row r="907" ht="20.25" customHeight="1">
      <c r="A907" s="139"/>
      <c r="B907" s="21"/>
      <c r="C907" s="21"/>
      <c r="D907" s="21"/>
      <c r="E907" s="21"/>
      <c r="F907" s="21"/>
      <c r="G907" s="21"/>
      <c r="H907" s="21"/>
      <c r="I907" s="21"/>
      <c r="J907" s="21"/>
      <c r="K907" s="204"/>
      <c r="L907" s="54"/>
      <c r="M907" s="55"/>
      <c r="N907" s="56"/>
      <c r="O907" s="16"/>
      <c r="P907" s="57"/>
      <c r="Q907" s="55"/>
      <c r="R907" s="16"/>
      <c r="S907" s="17"/>
      <c r="T907" s="16"/>
      <c r="U907" s="16"/>
      <c r="V907" s="16"/>
      <c r="W907" s="20"/>
      <c r="X907" s="21"/>
      <c r="Y907" s="21"/>
      <c r="Z907" s="21"/>
      <c r="AA907" s="21"/>
      <c r="AB907" s="21"/>
    </row>
    <row r="908" ht="20.25" customHeight="1">
      <c r="A908" s="139"/>
      <c r="B908" s="21"/>
      <c r="C908" s="21"/>
      <c r="D908" s="21"/>
      <c r="E908" s="21"/>
      <c r="F908" s="21"/>
      <c r="G908" s="21"/>
      <c r="H908" s="21"/>
      <c r="I908" s="21"/>
      <c r="J908" s="21"/>
      <c r="K908" s="204"/>
      <c r="L908" s="54"/>
      <c r="M908" s="55"/>
      <c r="N908" s="56"/>
      <c r="O908" s="16"/>
      <c r="P908" s="57"/>
      <c r="Q908" s="55"/>
      <c r="R908" s="16"/>
      <c r="S908" s="17"/>
      <c r="T908" s="16"/>
      <c r="U908" s="16"/>
      <c r="V908" s="16"/>
      <c r="W908" s="20"/>
      <c r="X908" s="21"/>
      <c r="Y908" s="21"/>
      <c r="Z908" s="21"/>
      <c r="AA908" s="21"/>
      <c r="AB908" s="21"/>
    </row>
    <row r="909" ht="20.25" customHeight="1">
      <c r="A909" s="139"/>
      <c r="B909" s="21"/>
      <c r="C909" s="21"/>
      <c r="D909" s="21"/>
      <c r="E909" s="21"/>
      <c r="F909" s="21"/>
      <c r="G909" s="21"/>
      <c r="H909" s="21"/>
      <c r="I909" s="21"/>
      <c r="J909" s="21"/>
      <c r="K909" s="204"/>
      <c r="L909" s="54"/>
      <c r="M909" s="55"/>
      <c r="N909" s="56"/>
      <c r="O909" s="16"/>
      <c r="P909" s="57"/>
      <c r="Q909" s="55"/>
      <c r="R909" s="16"/>
      <c r="S909" s="17"/>
      <c r="T909" s="16"/>
      <c r="U909" s="16"/>
      <c r="V909" s="16"/>
      <c r="W909" s="20"/>
      <c r="X909" s="21"/>
      <c r="Y909" s="21"/>
      <c r="Z909" s="21"/>
      <c r="AA909" s="21"/>
      <c r="AB909" s="21"/>
    </row>
    <row r="910" ht="20.25" customHeight="1">
      <c r="A910" s="139"/>
      <c r="B910" s="21"/>
      <c r="C910" s="21"/>
      <c r="D910" s="21"/>
      <c r="E910" s="21"/>
      <c r="F910" s="21"/>
      <c r="G910" s="21"/>
      <c r="H910" s="21"/>
      <c r="I910" s="21"/>
      <c r="J910" s="21"/>
      <c r="K910" s="204"/>
      <c r="L910" s="54"/>
      <c r="M910" s="55"/>
      <c r="N910" s="56"/>
      <c r="O910" s="16"/>
      <c r="P910" s="57"/>
      <c r="Q910" s="55"/>
      <c r="R910" s="16"/>
      <c r="S910" s="17"/>
      <c r="T910" s="16"/>
      <c r="U910" s="16"/>
      <c r="V910" s="16"/>
      <c r="W910" s="20"/>
      <c r="X910" s="21"/>
      <c r="Y910" s="21"/>
      <c r="Z910" s="21"/>
      <c r="AA910" s="21"/>
      <c r="AB910" s="21"/>
    </row>
    <row r="911" ht="20.25" customHeight="1">
      <c r="A911" s="139"/>
      <c r="B911" s="21"/>
      <c r="C911" s="21"/>
      <c r="D911" s="21"/>
      <c r="E911" s="21"/>
      <c r="F911" s="21"/>
      <c r="G911" s="21"/>
      <c r="H911" s="21"/>
      <c r="I911" s="21"/>
      <c r="J911" s="21"/>
      <c r="K911" s="204"/>
      <c r="L911" s="54"/>
      <c r="M911" s="55"/>
      <c r="N911" s="56"/>
      <c r="O911" s="16"/>
      <c r="P911" s="57"/>
      <c r="Q911" s="55"/>
      <c r="R911" s="16"/>
      <c r="S911" s="17"/>
      <c r="T911" s="16"/>
      <c r="U911" s="16"/>
      <c r="V911" s="16"/>
      <c r="W911" s="20"/>
      <c r="X911" s="21"/>
      <c r="Y911" s="21"/>
      <c r="Z911" s="21"/>
      <c r="AA911" s="21"/>
      <c r="AB911" s="21"/>
    </row>
    <row r="912" ht="20.25" customHeight="1">
      <c r="A912" s="139"/>
      <c r="B912" s="21"/>
      <c r="C912" s="21"/>
      <c r="D912" s="21"/>
      <c r="E912" s="21"/>
      <c r="F912" s="21"/>
      <c r="G912" s="21"/>
      <c r="H912" s="21"/>
      <c r="I912" s="21"/>
      <c r="J912" s="21"/>
      <c r="K912" s="204"/>
      <c r="L912" s="54"/>
      <c r="M912" s="55"/>
      <c r="N912" s="56"/>
      <c r="O912" s="16"/>
      <c r="P912" s="57"/>
      <c r="Q912" s="55"/>
      <c r="R912" s="16"/>
      <c r="S912" s="17"/>
      <c r="T912" s="16"/>
      <c r="U912" s="16"/>
      <c r="V912" s="16"/>
      <c r="W912" s="20"/>
      <c r="X912" s="21"/>
      <c r="Y912" s="21"/>
      <c r="Z912" s="21"/>
      <c r="AA912" s="21"/>
      <c r="AB912" s="21"/>
    </row>
    <row r="913" ht="20.25" customHeight="1">
      <c r="A913" s="139"/>
      <c r="B913" s="21"/>
      <c r="C913" s="21"/>
      <c r="D913" s="21"/>
      <c r="E913" s="21"/>
      <c r="F913" s="21"/>
      <c r="G913" s="21"/>
      <c r="H913" s="21"/>
      <c r="I913" s="21"/>
      <c r="J913" s="21"/>
      <c r="K913" s="204"/>
      <c r="L913" s="54"/>
      <c r="M913" s="55"/>
      <c r="N913" s="56"/>
      <c r="O913" s="16"/>
      <c r="P913" s="57"/>
      <c r="Q913" s="55"/>
      <c r="R913" s="16"/>
      <c r="S913" s="17"/>
      <c r="T913" s="16"/>
      <c r="U913" s="16"/>
      <c r="V913" s="16"/>
      <c r="W913" s="20"/>
      <c r="X913" s="21"/>
      <c r="Y913" s="21"/>
      <c r="Z913" s="21"/>
      <c r="AA913" s="21"/>
      <c r="AB913" s="21"/>
    </row>
    <row r="914" ht="20.25" customHeight="1">
      <c r="A914" s="139"/>
      <c r="B914" s="21"/>
      <c r="C914" s="21"/>
      <c r="D914" s="21"/>
      <c r="E914" s="21"/>
      <c r="F914" s="21"/>
      <c r="G914" s="21"/>
      <c r="H914" s="21"/>
      <c r="I914" s="21"/>
      <c r="J914" s="21"/>
      <c r="K914" s="204"/>
      <c r="L914" s="54"/>
      <c r="M914" s="55"/>
      <c r="N914" s="56"/>
      <c r="O914" s="16"/>
      <c r="P914" s="57"/>
      <c r="Q914" s="55"/>
      <c r="R914" s="16"/>
      <c r="S914" s="17"/>
      <c r="T914" s="16"/>
      <c r="U914" s="16"/>
      <c r="V914" s="16"/>
      <c r="W914" s="20"/>
      <c r="X914" s="21"/>
      <c r="Y914" s="21"/>
      <c r="Z914" s="21"/>
      <c r="AA914" s="21"/>
      <c r="AB914" s="21"/>
    </row>
    <row r="915" ht="20.25" customHeight="1">
      <c r="A915" s="139"/>
      <c r="B915" s="21"/>
      <c r="C915" s="21"/>
      <c r="D915" s="21"/>
      <c r="E915" s="21"/>
      <c r="F915" s="21"/>
      <c r="G915" s="21"/>
      <c r="H915" s="21"/>
      <c r="I915" s="21"/>
      <c r="J915" s="21"/>
      <c r="K915" s="204"/>
      <c r="L915" s="54"/>
      <c r="M915" s="55"/>
      <c r="N915" s="56"/>
      <c r="O915" s="16"/>
      <c r="P915" s="57"/>
      <c r="Q915" s="55"/>
      <c r="R915" s="16"/>
      <c r="S915" s="17"/>
      <c r="T915" s="16"/>
      <c r="U915" s="16"/>
      <c r="V915" s="16"/>
      <c r="W915" s="20"/>
      <c r="X915" s="21"/>
      <c r="Y915" s="21"/>
      <c r="Z915" s="21"/>
      <c r="AA915" s="21"/>
      <c r="AB915" s="21"/>
    </row>
    <row r="916" ht="20.25" customHeight="1">
      <c r="A916" s="139"/>
      <c r="B916" s="21"/>
      <c r="C916" s="21"/>
      <c r="D916" s="21"/>
      <c r="E916" s="21"/>
      <c r="F916" s="21"/>
      <c r="G916" s="21"/>
      <c r="H916" s="21"/>
      <c r="I916" s="21"/>
      <c r="J916" s="21"/>
      <c r="K916" s="204"/>
      <c r="L916" s="54"/>
      <c r="M916" s="55"/>
      <c r="N916" s="56"/>
      <c r="O916" s="16"/>
      <c r="P916" s="57"/>
      <c r="Q916" s="55"/>
      <c r="R916" s="16"/>
      <c r="S916" s="17"/>
      <c r="T916" s="16"/>
      <c r="U916" s="16"/>
      <c r="V916" s="16"/>
      <c r="W916" s="20"/>
      <c r="X916" s="21"/>
      <c r="Y916" s="21"/>
      <c r="Z916" s="21"/>
      <c r="AA916" s="21"/>
      <c r="AB916" s="21"/>
    </row>
    <row r="917" ht="20.25" customHeight="1">
      <c r="A917" s="139"/>
      <c r="B917" s="21"/>
      <c r="C917" s="21"/>
      <c r="D917" s="21"/>
      <c r="E917" s="21"/>
      <c r="F917" s="21"/>
      <c r="G917" s="21"/>
      <c r="H917" s="21"/>
      <c r="I917" s="21"/>
      <c r="J917" s="21"/>
      <c r="K917" s="204"/>
      <c r="L917" s="54"/>
      <c r="M917" s="55"/>
      <c r="N917" s="56"/>
      <c r="O917" s="16"/>
      <c r="P917" s="57"/>
      <c r="Q917" s="55"/>
      <c r="R917" s="16"/>
      <c r="S917" s="17"/>
      <c r="T917" s="16"/>
      <c r="U917" s="16"/>
      <c r="V917" s="16"/>
      <c r="W917" s="20"/>
      <c r="X917" s="21"/>
      <c r="Y917" s="21"/>
      <c r="Z917" s="21"/>
      <c r="AA917" s="21"/>
      <c r="AB917" s="21"/>
    </row>
    <row r="918" ht="20.25" customHeight="1">
      <c r="A918" s="139"/>
      <c r="B918" s="21"/>
      <c r="C918" s="21"/>
      <c r="D918" s="21"/>
      <c r="E918" s="21"/>
      <c r="F918" s="21"/>
      <c r="G918" s="21"/>
      <c r="H918" s="21"/>
      <c r="I918" s="21"/>
      <c r="J918" s="21"/>
      <c r="K918" s="204"/>
      <c r="L918" s="54"/>
      <c r="M918" s="55"/>
      <c r="N918" s="56"/>
      <c r="O918" s="16"/>
      <c r="P918" s="57"/>
      <c r="Q918" s="55"/>
      <c r="R918" s="16"/>
      <c r="S918" s="17"/>
      <c r="T918" s="16"/>
      <c r="U918" s="16"/>
      <c r="V918" s="16"/>
      <c r="W918" s="20"/>
      <c r="X918" s="21"/>
      <c r="Y918" s="21"/>
      <c r="Z918" s="21"/>
      <c r="AA918" s="21"/>
      <c r="AB918" s="21"/>
    </row>
    <row r="919" ht="20.25" customHeight="1">
      <c r="A919" s="139"/>
      <c r="B919" s="21"/>
      <c r="C919" s="21"/>
      <c r="D919" s="21"/>
      <c r="E919" s="21"/>
      <c r="F919" s="21"/>
      <c r="G919" s="21"/>
      <c r="H919" s="21"/>
      <c r="I919" s="21"/>
      <c r="J919" s="21"/>
      <c r="K919" s="204"/>
      <c r="L919" s="54"/>
      <c r="M919" s="55"/>
      <c r="N919" s="56"/>
      <c r="O919" s="16"/>
      <c r="P919" s="57"/>
      <c r="Q919" s="55"/>
      <c r="R919" s="16"/>
      <c r="S919" s="17"/>
      <c r="T919" s="16"/>
      <c r="U919" s="16"/>
      <c r="V919" s="16"/>
      <c r="W919" s="20"/>
      <c r="X919" s="21"/>
      <c r="Y919" s="21"/>
      <c r="Z919" s="21"/>
      <c r="AA919" s="21"/>
      <c r="AB919" s="21"/>
    </row>
    <row r="920" ht="20.25" customHeight="1">
      <c r="A920" s="139"/>
      <c r="B920" s="21"/>
      <c r="C920" s="21"/>
      <c r="D920" s="21"/>
      <c r="E920" s="21"/>
      <c r="F920" s="21"/>
      <c r="G920" s="21"/>
      <c r="H920" s="21"/>
      <c r="I920" s="21"/>
      <c r="J920" s="21"/>
      <c r="K920" s="204"/>
      <c r="L920" s="54"/>
      <c r="M920" s="55"/>
      <c r="N920" s="56"/>
      <c r="O920" s="16"/>
      <c r="P920" s="57"/>
      <c r="Q920" s="55"/>
      <c r="R920" s="16"/>
      <c r="S920" s="17"/>
      <c r="T920" s="16"/>
      <c r="U920" s="16"/>
      <c r="V920" s="16"/>
      <c r="W920" s="20"/>
      <c r="X920" s="21"/>
      <c r="Y920" s="21"/>
      <c r="Z920" s="21"/>
      <c r="AA920" s="21"/>
      <c r="AB920" s="21"/>
    </row>
    <row r="921" ht="20.25" customHeight="1">
      <c r="A921" s="139"/>
      <c r="B921" s="21"/>
      <c r="C921" s="21"/>
      <c r="D921" s="21"/>
      <c r="E921" s="21"/>
      <c r="F921" s="21"/>
      <c r="G921" s="21"/>
      <c r="H921" s="21"/>
      <c r="I921" s="21"/>
      <c r="J921" s="21"/>
      <c r="K921" s="204"/>
      <c r="L921" s="54"/>
      <c r="M921" s="55"/>
      <c r="N921" s="56"/>
      <c r="O921" s="16"/>
      <c r="P921" s="57"/>
      <c r="Q921" s="55"/>
      <c r="R921" s="16"/>
      <c r="S921" s="17"/>
      <c r="T921" s="16"/>
      <c r="U921" s="16"/>
      <c r="V921" s="16"/>
      <c r="W921" s="20"/>
      <c r="X921" s="21"/>
      <c r="Y921" s="21"/>
      <c r="Z921" s="21"/>
      <c r="AA921" s="21"/>
      <c r="AB921" s="21"/>
    </row>
    <row r="922" ht="20.25" customHeight="1">
      <c r="A922" s="139"/>
      <c r="B922" s="21"/>
      <c r="C922" s="21"/>
      <c r="D922" s="21"/>
      <c r="E922" s="21"/>
      <c r="F922" s="21"/>
      <c r="G922" s="21"/>
      <c r="H922" s="21"/>
      <c r="I922" s="21"/>
      <c r="J922" s="21"/>
      <c r="K922" s="204"/>
      <c r="L922" s="54"/>
      <c r="M922" s="55"/>
      <c r="N922" s="56"/>
      <c r="O922" s="16"/>
      <c r="P922" s="57"/>
      <c r="Q922" s="55"/>
      <c r="R922" s="16"/>
      <c r="S922" s="17"/>
      <c r="T922" s="16"/>
      <c r="U922" s="16"/>
      <c r="V922" s="16"/>
      <c r="W922" s="20"/>
      <c r="X922" s="21"/>
      <c r="Y922" s="21"/>
      <c r="Z922" s="21"/>
      <c r="AA922" s="21"/>
      <c r="AB922" s="21"/>
    </row>
    <row r="923" ht="20.25" customHeight="1">
      <c r="A923" s="139"/>
      <c r="B923" s="21"/>
      <c r="C923" s="21"/>
      <c r="D923" s="21"/>
      <c r="E923" s="21"/>
      <c r="F923" s="21"/>
      <c r="G923" s="21"/>
      <c r="H923" s="21"/>
      <c r="I923" s="21"/>
      <c r="J923" s="21"/>
      <c r="K923" s="204"/>
      <c r="L923" s="54"/>
      <c r="M923" s="55"/>
      <c r="N923" s="56"/>
      <c r="O923" s="16"/>
      <c r="P923" s="57"/>
      <c r="Q923" s="55"/>
      <c r="R923" s="16"/>
      <c r="S923" s="17"/>
      <c r="T923" s="16"/>
      <c r="U923" s="16"/>
      <c r="V923" s="16"/>
      <c r="W923" s="20"/>
      <c r="X923" s="21"/>
      <c r="Y923" s="21"/>
      <c r="Z923" s="21"/>
      <c r="AA923" s="21"/>
      <c r="AB923" s="21"/>
    </row>
    <row r="924" ht="20.25" customHeight="1">
      <c r="A924" s="139"/>
      <c r="B924" s="21"/>
      <c r="C924" s="21"/>
      <c r="D924" s="21"/>
      <c r="E924" s="21"/>
      <c r="F924" s="21"/>
      <c r="G924" s="21"/>
      <c r="H924" s="21"/>
      <c r="I924" s="21"/>
      <c r="J924" s="21"/>
      <c r="K924" s="204"/>
      <c r="L924" s="54"/>
      <c r="M924" s="55"/>
      <c r="N924" s="56"/>
      <c r="O924" s="16"/>
      <c r="P924" s="57"/>
      <c r="Q924" s="55"/>
      <c r="R924" s="16"/>
      <c r="S924" s="17"/>
      <c r="T924" s="16"/>
      <c r="U924" s="16"/>
      <c r="V924" s="16"/>
      <c r="W924" s="20"/>
      <c r="X924" s="21"/>
      <c r="Y924" s="21"/>
      <c r="Z924" s="21"/>
      <c r="AA924" s="21"/>
      <c r="AB924" s="21"/>
    </row>
    <row r="925" ht="20.25" customHeight="1">
      <c r="A925" s="139"/>
      <c r="B925" s="21"/>
      <c r="C925" s="21"/>
      <c r="D925" s="21"/>
      <c r="E925" s="21"/>
      <c r="F925" s="21"/>
      <c r="G925" s="21"/>
      <c r="H925" s="21"/>
      <c r="I925" s="21"/>
      <c r="J925" s="21"/>
      <c r="K925" s="204"/>
      <c r="L925" s="54"/>
      <c r="M925" s="55"/>
      <c r="N925" s="56"/>
      <c r="O925" s="16"/>
      <c r="P925" s="57"/>
      <c r="Q925" s="55"/>
      <c r="R925" s="16"/>
      <c r="S925" s="17"/>
      <c r="T925" s="16"/>
      <c r="U925" s="16"/>
      <c r="V925" s="16"/>
      <c r="W925" s="20"/>
      <c r="X925" s="21"/>
      <c r="Y925" s="21"/>
      <c r="Z925" s="21"/>
      <c r="AA925" s="21"/>
      <c r="AB925" s="21"/>
    </row>
    <row r="926" ht="20.25" customHeight="1">
      <c r="A926" s="139"/>
      <c r="B926" s="21"/>
      <c r="C926" s="21"/>
      <c r="D926" s="21"/>
      <c r="E926" s="21"/>
      <c r="F926" s="21"/>
      <c r="G926" s="21"/>
      <c r="H926" s="21"/>
      <c r="I926" s="21"/>
      <c r="J926" s="21"/>
      <c r="K926" s="204"/>
      <c r="L926" s="54"/>
      <c r="M926" s="55"/>
      <c r="N926" s="56"/>
      <c r="O926" s="16"/>
      <c r="P926" s="57"/>
      <c r="Q926" s="55"/>
      <c r="R926" s="16"/>
      <c r="S926" s="17"/>
      <c r="T926" s="16"/>
      <c r="U926" s="16"/>
      <c r="V926" s="16"/>
      <c r="W926" s="20"/>
      <c r="X926" s="21"/>
      <c r="Y926" s="21"/>
      <c r="Z926" s="21"/>
      <c r="AA926" s="21"/>
      <c r="AB926" s="21"/>
    </row>
    <row r="927" ht="20.25" customHeight="1">
      <c r="A927" s="139"/>
      <c r="B927" s="21"/>
      <c r="C927" s="21"/>
      <c r="D927" s="21"/>
      <c r="E927" s="21"/>
      <c r="F927" s="21"/>
      <c r="G927" s="21"/>
      <c r="H927" s="21"/>
      <c r="I927" s="21"/>
      <c r="J927" s="21"/>
      <c r="K927" s="204"/>
      <c r="L927" s="54"/>
      <c r="M927" s="55"/>
      <c r="N927" s="56"/>
      <c r="O927" s="16"/>
      <c r="P927" s="57"/>
      <c r="Q927" s="55"/>
      <c r="R927" s="16"/>
      <c r="S927" s="17"/>
      <c r="T927" s="16"/>
      <c r="U927" s="16"/>
      <c r="V927" s="16"/>
      <c r="W927" s="20"/>
      <c r="X927" s="21"/>
      <c r="Y927" s="21"/>
      <c r="Z927" s="21"/>
      <c r="AA927" s="21"/>
      <c r="AB927" s="21"/>
    </row>
    <row r="928" ht="20.25" customHeight="1">
      <c r="A928" s="139"/>
      <c r="B928" s="21"/>
      <c r="C928" s="21"/>
      <c r="D928" s="21"/>
      <c r="E928" s="21"/>
      <c r="F928" s="21"/>
      <c r="G928" s="21"/>
      <c r="H928" s="21"/>
      <c r="I928" s="21"/>
      <c r="J928" s="21"/>
      <c r="K928" s="204"/>
      <c r="L928" s="54"/>
      <c r="M928" s="55"/>
      <c r="N928" s="56"/>
      <c r="O928" s="16"/>
      <c r="P928" s="57"/>
      <c r="Q928" s="55"/>
      <c r="R928" s="16"/>
      <c r="S928" s="17"/>
      <c r="T928" s="16"/>
      <c r="U928" s="16"/>
      <c r="V928" s="16"/>
      <c r="W928" s="20"/>
      <c r="X928" s="21"/>
      <c r="Y928" s="21"/>
      <c r="Z928" s="21"/>
      <c r="AA928" s="21"/>
      <c r="AB928" s="21"/>
    </row>
    <row r="929" ht="20.25" customHeight="1">
      <c r="A929" s="139"/>
      <c r="B929" s="21"/>
      <c r="C929" s="21"/>
      <c r="D929" s="21"/>
      <c r="E929" s="21"/>
      <c r="F929" s="21"/>
      <c r="G929" s="21"/>
      <c r="H929" s="21"/>
      <c r="I929" s="21"/>
      <c r="J929" s="21"/>
      <c r="K929" s="204"/>
      <c r="L929" s="54"/>
      <c r="M929" s="55"/>
      <c r="N929" s="56"/>
      <c r="O929" s="16"/>
      <c r="P929" s="57"/>
      <c r="Q929" s="55"/>
      <c r="R929" s="16"/>
      <c r="S929" s="17"/>
      <c r="T929" s="16"/>
      <c r="U929" s="16"/>
      <c r="V929" s="16"/>
      <c r="W929" s="20"/>
      <c r="X929" s="21"/>
      <c r="Y929" s="21"/>
      <c r="Z929" s="21"/>
      <c r="AA929" s="21"/>
      <c r="AB929" s="21"/>
    </row>
    <row r="930" ht="20.25" customHeight="1">
      <c r="A930" s="139"/>
      <c r="B930" s="21"/>
      <c r="C930" s="21"/>
      <c r="D930" s="21"/>
      <c r="E930" s="21"/>
      <c r="F930" s="21"/>
      <c r="G930" s="21"/>
      <c r="H930" s="21"/>
      <c r="I930" s="21"/>
      <c r="J930" s="21"/>
      <c r="K930" s="204"/>
      <c r="L930" s="54"/>
      <c r="M930" s="55"/>
      <c r="N930" s="56"/>
      <c r="O930" s="16"/>
      <c r="P930" s="57"/>
      <c r="Q930" s="55"/>
      <c r="R930" s="16"/>
      <c r="S930" s="17"/>
      <c r="T930" s="16"/>
      <c r="U930" s="16"/>
      <c r="V930" s="16"/>
      <c r="W930" s="20"/>
      <c r="X930" s="21"/>
      <c r="Y930" s="21"/>
      <c r="Z930" s="21"/>
      <c r="AA930" s="21"/>
      <c r="AB930" s="21"/>
    </row>
    <row r="931" ht="20.25" customHeight="1">
      <c r="A931" s="139"/>
      <c r="B931" s="21"/>
      <c r="C931" s="21"/>
      <c r="D931" s="21"/>
      <c r="E931" s="21"/>
      <c r="F931" s="21"/>
      <c r="G931" s="21"/>
      <c r="H931" s="21"/>
      <c r="I931" s="21"/>
      <c r="J931" s="21"/>
      <c r="K931" s="204"/>
      <c r="L931" s="54"/>
      <c r="M931" s="55"/>
      <c r="N931" s="56"/>
      <c r="O931" s="16"/>
      <c r="P931" s="57"/>
      <c r="Q931" s="55"/>
      <c r="R931" s="16"/>
      <c r="S931" s="17"/>
      <c r="T931" s="16"/>
      <c r="U931" s="16"/>
      <c r="V931" s="16"/>
      <c r="W931" s="20"/>
      <c r="X931" s="21"/>
      <c r="Y931" s="21"/>
      <c r="Z931" s="21"/>
      <c r="AA931" s="21"/>
      <c r="AB931" s="21"/>
    </row>
    <row r="932" ht="20.25" customHeight="1">
      <c r="A932" s="139"/>
      <c r="B932" s="21"/>
      <c r="C932" s="21"/>
      <c r="D932" s="21"/>
      <c r="E932" s="21"/>
      <c r="F932" s="21"/>
      <c r="G932" s="21"/>
      <c r="H932" s="21"/>
      <c r="I932" s="21"/>
      <c r="J932" s="21"/>
      <c r="K932" s="204"/>
      <c r="L932" s="54"/>
      <c r="M932" s="55"/>
      <c r="N932" s="56"/>
      <c r="O932" s="16"/>
      <c r="P932" s="57"/>
      <c r="Q932" s="55"/>
      <c r="R932" s="16"/>
      <c r="S932" s="17"/>
      <c r="T932" s="16"/>
      <c r="U932" s="16"/>
      <c r="V932" s="16"/>
      <c r="W932" s="20"/>
      <c r="X932" s="21"/>
      <c r="Y932" s="21"/>
      <c r="Z932" s="21"/>
      <c r="AA932" s="21"/>
      <c r="AB932" s="21"/>
    </row>
    <row r="933" ht="20.25" customHeight="1">
      <c r="A933" s="139"/>
      <c r="B933" s="21"/>
      <c r="C933" s="21"/>
      <c r="D933" s="21"/>
      <c r="E933" s="21"/>
      <c r="F933" s="21"/>
      <c r="G933" s="21"/>
      <c r="H933" s="21"/>
      <c r="I933" s="21"/>
      <c r="J933" s="21"/>
      <c r="K933" s="204"/>
      <c r="L933" s="54"/>
      <c r="M933" s="55"/>
      <c r="N933" s="56"/>
      <c r="O933" s="16"/>
      <c r="P933" s="57"/>
      <c r="Q933" s="55"/>
      <c r="R933" s="16"/>
      <c r="S933" s="17"/>
      <c r="T933" s="16"/>
      <c r="U933" s="16"/>
      <c r="V933" s="16"/>
      <c r="W933" s="20"/>
      <c r="X933" s="21"/>
      <c r="Y933" s="21"/>
      <c r="Z933" s="21"/>
      <c r="AA933" s="21"/>
      <c r="AB933" s="21"/>
    </row>
    <row r="934" ht="20.25" customHeight="1">
      <c r="A934" s="139"/>
      <c r="B934" s="21"/>
      <c r="C934" s="21"/>
      <c r="D934" s="21"/>
      <c r="E934" s="21"/>
      <c r="F934" s="21"/>
      <c r="G934" s="21"/>
      <c r="H934" s="21"/>
      <c r="I934" s="21"/>
      <c r="J934" s="21"/>
      <c r="K934" s="204"/>
      <c r="L934" s="54"/>
      <c r="M934" s="55"/>
      <c r="N934" s="56"/>
      <c r="O934" s="16"/>
      <c r="P934" s="57"/>
      <c r="Q934" s="55"/>
      <c r="R934" s="16"/>
      <c r="S934" s="17"/>
      <c r="T934" s="16"/>
      <c r="U934" s="16"/>
      <c r="V934" s="16"/>
      <c r="W934" s="20"/>
      <c r="X934" s="21"/>
      <c r="Y934" s="21"/>
      <c r="Z934" s="21"/>
      <c r="AA934" s="21"/>
      <c r="AB934" s="21"/>
    </row>
    <row r="935" ht="20.25" customHeight="1">
      <c r="A935" s="139"/>
      <c r="B935" s="21"/>
      <c r="C935" s="21"/>
      <c r="D935" s="21"/>
      <c r="E935" s="21"/>
      <c r="F935" s="21"/>
      <c r="G935" s="21"/>
      <c r="H935" s="21"/>
      <c r="I935" s="21"/>
      <c r="J935" s="21"/>
      <c r="K935" s="204"/>
      <c r="L935" s="54"/>
      <c r="M935" s="55"/>
      <c r="N935" s="56"/>
      <c r="O935" s="16"/>
      <c r="P935" s="57"/>
      <c r="Q935" s="55"/>
      <c r="R935" s="16"/>
      <c r="S935" s="17"/>
      <c r="T935" s="16"/>
      <c r="U935" s="16"/>
      <c r="V935" s="16"/>
      <c r="W935" s="20"/>
      <c r="X935" s="21"/>
      <c r="Y935" s="21"/>
      <c r="Z935" s="21"/>
      <c r="AA935" s="21"/>
      <c r="AB935" s="21"/>
    </row>
    <row r="936" ht="20.25" customHeight="1">
      <c r="A936" s="139"/>
      <c r="B936" s="21"/>
      <c r="C936" s="21"/>
      <c r="D936" s="21"/>
      <c r="E936" s="21"/>
      <c r="F936" s="21"/>
      <c r="G936" s="21"/>
      <c r="H936" s="21"/>
      <c r="I936" s="21"/>
      <c r="J936" s="21"/>
      <c r="K936" s="204"/>
      <c r="L936" s="54"/>
      <c r="M936" s="55"/>
      <c r="N936" s="56"/>
      <c r="O936" s="16"/>
      <c r="P936" s="57"/>
      <c r="Q936" s="55"/>
      <c r="R936" s="16"/>
      <c r="S936" s="17"/>
      <c r="T936" s="16"/>
      <c r="U936" s="16"/>
      <c r="V936" s="16"/>
      <c r="W936" s="20"/>
      <c r="X936" s="21"/>
      <c r="Y936" s="21"/>
      <c r="Z936" s="21"/>
      <c r="AA936" s="21"/>
      <c r="AB936" s="21"/>
    </row>
    <row r="937" ht="20.25" customHeight="1">
      <c r="A937" s="139"/>
      <c r="B937" s="21"/>
      <c r="C937" s="21"/>
      <c r="D937" s="21"/>
      <c r="E937" s="21"/>
      <c r="F937" s="21"/>
      <c r="G937" s="21"/>
      <c r="H937" s="21"/>
      <c r="I937" s="21"/>
      <c r="J937" s="21"/>
      <c r="K937" s="204"/>
      <c r="L937" s="54"/>
      <c r="M937" s="55"/>
      <c r="N937" s="56"/>
      <c r="O937" s="16"/>
      <c r="P937" s="57"/>
      <c r="Q937" s="55"/>
      <c r="R937" s="16"/>
      <c r="S937" s="17"/>
      <c r="T937" s="16"/>
      <c r="U937" s="16"/>
      <c r="V937" s="16"/>
      <c r="W937" s="20"/>
      <c r="X937" s="21"/>
      <c r="Y937" s="21"/>
      <c r="Z937" s="21"/>
      <c r="AA937" s="21"/>
      <c r="AB937" s="21"/>
    </row>
    <row r="938" ht="20.25" customHeight="1">
      <c r="A938" s="139"/>
      <c r="B938" s="21"/>
      <c r="C938" s="21"/>
      <c r="D938" s="21"/>
      <c r="E938" s="21"/>
      <c r="F938" s="21"/>
      <c r="G938" s="21"/>
      <c r="H938" s="21"/>
      <c r="I938" s="21"/>
      <c r="J938" s="21"/>
      <c r="K938" s="204"/>
      <c r="L938" s="54"/>
      <c r="M938" s="55"/>
      <c r="N938" s="56"/>
      <c r="O938" s="16"/>
      <c r="P938" s="57"/>
      <c r="Q938" s="55"/>
      <c r="R938" s="16"/>
      <c r="S938" s="17"/>
      <c r="T938" s="16"/>
      <c r="U938" s="16"/>
      <c r="V938" s="16"/>
      <c r="W938" s="20"/>
      <c r="X938" s="21"/>
      <c r="Y938" s="21"/>
      <c r="Z938" s="21"/>
      <c r="AA938" s="21"/>
      <c r="AB938" s="21"/>
    </row>
    <row r="939" ht="20.25" customHeight="1">
      <c r="A939" s="139"/>
      <c r="B939" s="21"/>
      <c r="C939" s="21"/>
      <c r="D939" s="21"/>
      <c r="E939" s="21"/>
      <c r="F939" s="21"/>
      <c r="G939" s="21"/>
      <c r="H939" s="21"/>
      <c r="I939" s="21"/>
      <c r="J939" s="21"/>
      <c r="K939" s="204"/>
      <c r="L939" s="54"/>
      <c r="M939" s="55"/>
      <c r="N939" s="56"/>
      <c r="O939" s="16"/>
      <c r="P939" s="57"/>
      <c r="Q939" s="55"/>
      <c r="R939" s="16"/>
      <c r="S939" s="17"/>
      <c r="T939" s="16"/>
      <c r="U939" s="16"/>
      <c r="V939" s="16"/>
      <c r="W939" s="20"/>
      <c r="X939" s="21"/>
      <c r="Y939" s="21"/>
      <c r="Z939" s="21"/>
      <c r="AA939" s="21"/>
      <c r="AB939" s="21"/>
    </row>
    <row r="940" ht="20.25" customHeight="1">
      <c r="A940" s="139"/>
      <c r="B940" s="21"/>
      <c r="C940" s="21"/>
      <c r="D940" s="21"/>
      <c r="E940" s="21"/>
      <c r="F940" s="21"/>
      <c r="G940" s="21"/>
      <c r="H940" s="21"/>
      <c r="I940" s="21"/>
      <c r="J940" s="21"/>
      <c r="K940" s="204"/>
      <c r="L940" s="54"/>
      <c r="M940" s="55"/>
      <c r="N940" s="56"/>
      <c r="O940" s="16"/>
      <c r="P940" s="57"/>
      <c r="Q940" s="55"/>
      <c r="R940" s="16"/>
      <c r="S940" s="17"/>
      <c r="T940" s="16"/>
      <c r="U940" s="16"/>
      <c r="V940" s="16"/>
      <c r="W940" s="20"/>
      <c r="X940" s="21"/>
      <c r="Y940" s="21"/>
      <c r="Z940" s="21"/>
      <c r="AA940" s="21"/>
      <c r="AB940" s="21"/>
    </row>
    <row r="941" ht="20.25" customHeight="1">
      <c r="A941" s="139"/>
      <c r="B941" s="21"/>
      <c r="C941" s="21"/>
      <c r="D941" s="21"/>
      <c r="E941" s="21"/>
      <c r="F941" s="21"/>
      <c r="G941" s="21"/>
      <c r="H941" s="21"/>
      <c r="I941" s="21"/>
      <c r="J941" s="21"/>
      <c r="K941" s="204"/>
      <c r="L941" s="54"/>
      <c r="M941" s="55"/>
      <c r="N941" s="56"/>
      <c r="O941" s="16"/>
      <c r="P941" s="57"/>
      <c r="Q941" s="55"/>
      <c r="R941" s="16"/>
      <c r="S941" s="17"/>
      <c r="T941" s="16"/>
      <c r="U941" s="16"/>
      <c r="V941" s="16"/>
      <c r="W941" s="20"/>
      <c r="X941" s="21"/>
      <c r="Y941" s="21"/>
      <c r="Z941" s="21"/>
      <c r="AA941" s="21"/>
      <c r="AB941" s="21"/>
    </row>
    <row r="942" ht="20.25" customHeight="1">
      <c r="A942" s="139"/>
      <c r="B942" s="21"/>
      <c r="C942" s="21"/>
      <c r="D942" s="21"/>
      <c r="E942" s="21"/>
      <c r="F942" s="21"/>
      <c r="G942" s="21"/>
      <c r="H942" s="21"/>
      <c r="I942" s="21"/>
      <c r="J942" s="21"/>
      <c r="K942" s="204"/>
      <c r="L942" s="54"/>
      <c r="M942" s="55"/>
      <c r="N942" s="56"/>
      <c r="O942" s="16"/>
      <c r="P942" s="57"/>
      <c r="Q942" s="55"/>
      <c r="R942" s="16"/>
      <c r="S942" s="17"/>
      <c r="T942" s="16"/>
      <c r="U942" s="16"/>
      <c r="V942" s="16"/>
      <c r="W942" s="20"/>
      <c r="X942" s="21"/>
      <c r="Y942" s="21"/>
      <c r="Z942" s="21"/>
      <c r="AA942" s="21"/>
      <c r="AB942" s="21"/>
    </row>
    <row r="943" ht="20.25" customHeight="1">
      <c r="A943" s="139"/>
      <c r="B943" s="21"/>
      <c r="C943" s="21"/>
      <c r="D943" s="21"/>
      <c r="E943" s="21"/>
      <c r="F943" s="21"/>
      <c r="G943" s="21"/>
      <c r="H943" s="21"/>
      <c r="I943" s="21"/>
      <c r="J943" s="21"/>
      <c r="K943" s="204"/>
      <c r="L943" s="54"/>
      <c r="M943" s="55"/>
      <c r="N943" s="56"/>
      <c r="O943" s="16"/>
      <c r="P943" s="57"/>
      <c r="Q943" s="55"/>
      <c r="R943" s="16"/>
      <c r="S943" s="17"/>
      <c r="T943" s="16"/>
      <c r="U943" s="16"/>
      <c r="V943" s="16"/>
      <c r="W943" s="20"/>
      <c r="X943" s="21"/>
      <c r="Y943" s="21"/>
      <c r="Z943" s="21"/>
      <c r="AA943" s="21"/>
      <c r="AB943" s="21"/>
    </row>
    <row r="944" ht="20.25" customHeight="1">
      <c r="A944" s="139"/>
      <c r="B944" s="21"/>
      <c r="C944" s="21"/>
      <c r="D944" s="21"/>
      <c r="E944" s="21"/>
      <c r="F944" s="21"/>
      <c r="G944" s="21"/>
      <c r="H944" s="21"/>
      <c r="I944" s="21"/>
      <c r="J944" s="21"/>
      <c r="K944" s="204"/>
      <c r="L944" s="54"/>
      <c r="M944" s="55"/>
      <c r="N944" s="56"/>
      <c r="O944" s="16"/>
      <c r="P944" s="57"/>
      <c r="Q944" s="55"/>
      <c r="R944" s="16"/>
      <c r="S944" s="17"/>
      <c r="T944" s="16"/>
      <c r="U944" s="16"/>
      <c r="V944" s="16"/>
      <c r="W944" s="20"/>
      <c r="X944" s="21"/>
      <c r="Y944" s="21"/>
      <c r="Z944" s="21"/>
      <c r="AA944" s="21"/>
      <c r="AB944" s="21"/>
    </row>
    <row r="945" ht="20.25" customHeight="1">
      <c r="A945" s="139"/>
      <c r="B945" s="21"/>
      <c r="C945" s="21"/>
      <c r="D945" s="21"/>
      <c r="E945" s="21"/>
      <c r="F945" s="21"/>
      <c r="G945" s="21"/>
      <c r="H945" s="21"/>
      <c r="I945" s="21"/>
      <c r="J945" s="21"/>
      <c r="K945" s="204"/>
      <c r="L945" s="54"/>
      <c r="M945" s="55"/>
      <c r="N945" s="56"/>
      <c r="O945" s="16"/>
      <c r="P945" s="57"/>
      <c r="Q945" s="55"/>
      <c r="R945" s="16"/>
      <c r="S945" s="17"/>
      <c r="T945" s="16"/>
      <c r="U945" s="16"/>
      <c r="V945" s="16"/>
      <c r="W945" s="20"/>
      <c r="X945" s="21"/>
      <c r="Y945" s="21"/>
      <c r="Z945" s="21"/>
      <c r="AA945" s="21"/>
      <c r="AB945" s="21"/>
    </row>
    <row r="946" ht="20.25" customHeight="1">
      <c r="A946" s="139"/>
      <c r="B946" s="21"/>
      <c r="C946" s="21"/>
      <c r="D946" s="21"/>
      <c r="E946" s="21"/>
      <c r="F946" s="21"/>
      <c r="G946" s="21"/>
      <c r="H946" s="21"/>
      <c r="I946" s="21"/>
      <c r="J946" s="21"/>
      <c r="K946" s="204"/>
      <c r="L946" s="54"/>
      <c r="M946" s="55"/>
      <c r="N946" s="56"/>
      <c r="O946" s="16"/>
      <c r="P946" s="57"/>
      <c r="Q946" s="55"/>
      <c r="R946" s="16"/>
      <c r="S946" s="17"/>
      <c r="T946" s="16"/>
      <c r="U946" s="16"/>
      <c r="V946" s="16"/>
      <c r="W946" s="20"/>
      <c r="X946" s="21"/>
      <c r="Y946" s="21"/>
      <c r="Z946" s="21"/>
      <c r="AA946" s="21"/>
      <c r="AB946" s="21"/>
    </row>
    <row r="947" ht="20.25" customHeight="1">
      <c r="A947" s="139"/>
      <c r="B947" s="21"/>
      <c r="C947" s="21"/>
      <c r="D947" s="21"/>
      <c r="E947" s="21"/>
      <c r="F947" s="21"/>
      <c r="G947" s="21"/>
      <c r="H947" s="21"/>
      <c r="I947" s="21"/>
      <c r="J947" s="21"/>
      <c r="K947" s="204"/>
      <c r="L947" s="54"/>
      <c r="M947" s="55"/>
      <c r="N947" s="56"/>
      <c r="O947" s="16"/>
      <c r="P947" s="57"/>
      <c r="Q947" s="55"/>
      <c r="R947" s="16"/>
      <c r="S947" s="17"/>
      <c r="T947" s="16"/>
      <c r="U947" s="16"/>
      <c r="V947" s="16"/>
      <c r="W947" s="20"/>
      <c r="X947" s="21"/>
      <c r="Y947" s="21"/>
      <c r="Z947" s="21"/>
      <c r="AA947" s="21"/>
      <c r="AB947" s="21"/>
    </row>
    <row r="948" ht="20.25" customHeight="1">
      <c r="A948" s="139"/>
      <c r="B948" s="21"/>
      <c r="C948" s="21"/>
      <c r="D948" s="21"/>
      <c r="E948" s="21"/>
      <c r="F948" s="21"/>
      <c r="G948" s="21"/>
      <c r="H948" s="21"/>
      <c r="I948" s="21"/>
      <c r="J948" s="21"/>
      <c r="K948" s="204"/>
      <c r="L948" s="54"/>
      <c r="M948" s="55"/>
      <c r="N948" s="56"/>
      <c r="O948" s="16"/>
      <c r="P948" s="57"/>
      <c r="Q948" s="55"/>
      <c r="R948" s="16"/>
      <c r="S948" s="17"/>
      <c r="T948" s="16"/>
      <c r="U948" s="16"/>
      <c r="V948" s="16"/>
      <c r="W948" s="20"/>
      <c r="X948" s="21"/>
      <c r="Y948" s="21"/>
      <c r="Z948" s="21"/>
      <c r="AA948" s="21"/>
      <c r="AB948" s="21"/>
    </row>
    <row r="949" ht="20.25" customHeight="1">
      <c r="A949" s="139"/>
      <c r="B949" s="21"/>
      <c r="C949" s="21"/>
      <c r="D949" s="21"/>
      <c r="E949" s="21"/>
      <c r="F949" s="21"/>
      <c r="G949" s="21"/>
      <c r="H949" s="21"/>
      <c r="I949" s="21"/>
      <c r="J949" s="21"/>
      <c r="K949" s="204"/>
      <c r="L949" s="54"/>
      <c r="M949" s="55"/>
      <c r="N949" s="56"/>
      <c r="O949" s="16"/>
      <c r="P949" s="57"/>
      <c r="Q949" s="55"/>
      <c r="R949" s="16"/>
      <c r="S949" s="17"/>
      <c r="T949" s="16"/>
      <c r="U949" s="16"/>
      <c r="V949" s="16"/>
      <c r="W949" s="20"/>
      <c r="X949" s="21"/>
      <c r="Y949" s="21"/>
      <c r="Z949" s="21"/>
      <c r="AA949" s="21"/>
      <c r="AB949" s="21"/>
    </row>
    <row r="950" ht="20.25" customHeight="1">
      <c r="A950" s="139"/>
      <c r="B950" s="21"/>
      <c r="C950" s="21"/>
      <c r="D950" s="21"/>
      <c r="E950" s="21"/>
      <c r="F950" s="21"/>
      <c r="G950" s="21"/>
      <c r="H950" s="21"/>
      <c r="I950" s="21"/>
      <c r="J950" s="21"/>
      <c r="K950" s="204"/>
      <c r="L950" s="54"/>
      <c r="M950" s="55"/>
      <c r="N950" s="56"/>
      <c r="O950" s="16"/>
      <c r="P950" s="57"/>
      <c r="Q950" s="55"/>
      <c r="R950" s="16"/>
      <c r="S950" s="17"/>
      <c r="T950" s="16"/>
      <c r="U950" s="16"/>
      <c r="V950" s="16"/>
      <c r="W950" s="20"/>
      <c r="X950" s="21"/>
      <c r="Y950" s="21"/>
      <c r="Z950" s="21"/>
      <c r="AA950" s="21"/>
      <c r="AB950" s="21"/>
    </row>
    <row r="951" ht="20.25" customHeight="1">
      <c r="A951" s="139"/>
      <c r="B951" s="21"/>
      <c r="C951" s="21"/>
      <c r="D951" s="21"/>
      <c r="E951" s="21"/>
      <c r="F951" s="21"/>
      <c r="G951" s="21"/>
      <c r="H951" s="21"/>
      <c r="I951" s="21"/>
      <c r="J951" s="21"/>
      <c r="K951" s="204"/>
      <c r="L951" s="54"/>
      <c r="M951" s="55"/>
      <c r="N951" s="56"/>
      <c r="O951" s="16"/>
      <c r="P951" s="57"/>
      <c r="Q951" s="55"/>
      <c r="R951" s="16"/>
      <c r="S951" s="17"/>
      <c r="T951" s="16"/>
      <c r="U951" s="16"/>
      <c r="V951" s="16"/>
      <c r="W951" s="20"/>
      <c r="X951" s="21"/>
      <c r="Y951" s="21"/>
      <c r="Z951" s="21"/>
      <c r="AA951" s="21"/>
      <c r="AB951" s="21"/>
    </row>
    <row r="952" ht="20.25" customHeight="1">
      <c r="A952" s="139"/>
      <c r="B952" s="21"/>
      <c r="C952" s="21"/>
      <c r="D952" s="21"/>
      <c r="E952" s="21"/>
      <c r="F952" s="21"/>
      <c r="G952" s="21"/>
      <c r="H952" s="21"/>
      <c r="I952" s="21"/>
      <c r="J952" s="21"/>
      <c r="K952" s="204"/>
      <c r="L952" s="54"/>
      <c r="M952" s="55"/>
      <c r="N952" s="56"/>
      <c r="O952" s="16"/>
      <c r="P952" s="57"/>
      <c r="Q952" s="55"/>
      <c r="R952" s="16"/>
      <c r="S952" s="17"/>
      <c r="T952" s="16"/>
      <c r="U952" s="16"/>
      <c r="V952" s="16"/>
      <c r="W952" s="20"/>
      <c r="X952" s="21"/>
      <c r="Y952" s="21"/>
      <c r="Z952" s="21"/>
      <c r="AA952" s="21"/>
      <c r="AB952" s="21"/>
    </row>
    <row r="953" ht="20.25" customHeight="1">
      <c r="A953" s="139"/>
      <c r="B953" s="21"/>
      <c r="C953" s="21"/>
      <c r="D953" s="21"/>
      <c r="E953" s="21"/>
      <c r="F953" s="21"/>
      <c r="G953" s="21"/>
      <c r="H953" s="21"/>
      <c r="I953" s="21"/>
      <c r="J953" s="21"/>
      <c r="K953" s="204"/>
      <c r="L953" s="54"/>
      <c r="M953" s="55"/>
      <c r="N953" s="56"/>
      <c r="O953" s="16"/>
      <c r="P953" s="57"/>
      <c r="Q953" s="55"/>
      <c r="R953" s="16"/>
      <c r="S953" s="17"/>
      <c r="T953" s="16"/>
      <c r="U953" s="16"/>
      <c r="V953" s="16"/>
      <c r="W953" s="20"/>
      <c r="X953" s="21"/>
      <c r="Y953" s="21"/>
      <c r="Z953" s="21"/>
      <c r="AA953" s="21"/>
      <c r="AB953" s="21"/>
    </row>
    <row r="954" ht="20.25" customHeight="1">
      <c r="A954" s="139"/>
      <c r="B954" s="21"/>
      <c r="C954" s="21"/>
      <c r="D954" s="21"/>
      <c r="E954" s="21"/>
      <c r="F954" s="21"/>
      <c r="G954" s="21"/>
      <c r="H954" s="21"/>
      <c r="I954" s="21"/>
      <c r="J954" s="21"/>
      <c r="K954" s="204"/>
      <c r="L954" s="54"/>
      <c r="M954" s="55"/>
      <c r="N954" s="56"/>
      <c r="O954" s="16"/>
      <c r="P954" s="57"/>
      <c r="Q954" s="55"/>
      <c r="R954" s="16"/>
      <c r="S954" s="17"/>
      <c r="T954" s="16"/>
      <c r="U954" s="16"/>
      <c r="V954" s="16"/>
      <c r="W954" s="20"/>
      <c r="X954" s="21"/>
      <c r="Y954" s="21"/>
      <c r="Z954" s="21"/>
      <c r="AA954" s="21"/>
      <c r="AB954" s="21"/>
    </row>
    <row r="955" ht="20.25" customHeight="1">
      <c r="A955" s="139"/>
      <c r="B955" s="21"/>
      <c r="C955" s="21"/>
      <c r="D955" s="21"/>
      <c r="E955" s="21"/>
      <c r="F955" s="21"/>
      <c r="G955" s="21"/>
      <c r="H955" s="21"/>
      <c r="I955" s="21"/>
      <c r="J955" s="21"/>
      <c r="K955" s="204"/>
      <c r="L955" s="54"/>
      <c r="M955" s="55"/>
      <c r="N955" s="56"/>
      <c r="O955" s="16"/>
      <c r="P955" s="57"/>
      <c r="Q955" s="55"/>
      <c r="R955" s="16"/>
      <c r="S955" s="17"/>
      <c r="T955" s="16"/>
      <c r="U955" s="16"/>
      <c r="V955" s="16"/>
      <c r="W955" s="20"/>
      <c r="X955" s="21"/>
      <c r="Y955" s="21"/>
      <c r="Z955" s="21"/>
      <c r="AA955" s="21"/>
      <c r="AB955" s="21"/>
    </row>
    <row r="956" ht="20.25" customHeight="1">
      <c r="A956" s="139"/>
      <c r="B956" s="21"/>
      <c r="C956" s="21"/>
      <c r="D956" s="21"/>
      <c r="E956" s="21"/>
      <c r="F956" s="21"/>
      <c r="G956" s="21"/>
      <c r="H956" s="21"/>
      <c r="I956" s="21"/>
      <c r="J956" s="21"/>
      <c r="K956" s="204"/>
      <c r="L956" s="54"/>
      <c r="M956" s="55"/>
      <c r="N956" s="56"/>
      <c r="O956" s="16"/>
      <c r="P956" s="57"/>
      <c r="Q956" s="55"/>
      <c r="R956" s="16"/>
      <c r="S956" s="17"/>
      <c r="T956" s="16"/>
      <c r="U956" s="16"/>
      <c r="V956" s="16"/>
      <c r="W956" s="20"/>
      <c r="X956" s="21"/>
      <c r="Y956" s="21"/>
      <c r="Z956" s="21"/>
      <c r="AA956" s="21"/>
      <c r="AB956" s="21"/>
    </row>
    <row r="957" ht="20.25" customHeight="1">
      <c r="A957" s="139"/>
      <c r="B957" s="21"/>
      <c r="C957" s="21"/>
      <c r="D957" s="21"/>
      <c r="E957" s="21"/>
      <c r="F957" s="21"/>
      <c r="G957" s="21"/>
      <c r="H957" s="21"/>
      <c r="I957" s="21"/>
      <c r="J957" s="21"/>
      <c r="K957" s="204"/>
      <c r="L957" s="54"/>
      <c r="M957" s="55"/>
      <c r="N957" s="56"/>
      <c r="O957" s="16"/>
      <c r="P957" s="57"/>
      <c r="Q957" s="55"/>
      <c r="R957" s="16"/>
      <c r="S957" s="17"/>
      <c r="T957" s="16"/>
      <c r="U957" s="16"/>
      <c r="V957" s="16"/>
      <c r="W957" s="20"/>
      <c r="X957" s="21"/>
      <c r="Y957" s="21"/>
      <c r="Z957" s="21"/>
      <c r="AA957" s="21"/>
      <c r="AB957" s="21"/>
    </row>
    <row r="958" ht="20.25" customHeight="1">
      <c r="A958" s="139"/>
      <c r="B958" s="21"/>
      <c r="C958" s="21"/>
      <c r="D958" s="21"/>
      <c r="E958" s="21"/>
      <c r="F958" s="21"/>
      <c r="G958" s="21"/>
      <c r="H958" s="21"/>
      <c r="I958" s="21"/>
      <c r="J958" s="21"/>
      <c r="K958" s="204"/>
      <c r="L958" s="54"/>
      <c r="M958" s="55"/>
      <c r="N958" s="56"/>
      <c r="O958" s="16"/>
      <c r="P958" s="57"/>
      <c r="Q958" s="55"/>
      <c r="R958" s="16"/>
      <c r="S958" s="17"/>
      <c r="T958" s="16"/>
      <c r="U958" s="16"/>
      <c r="V958" s="16"/>
      <c r="W958" s="20"/>
      <c r="X958" s="21"/>
      <c r="Y958" s="21"/>
      <c r="Z958" s="21"/>
      <c r="AA958" s="21"/>
      <c r="AB958" s="21"/>
    </row>
    <row r="959" ht="20.25" customHeight="1">
      <c r="A959" s="139"/>
      <c r="B959" s="21"/>
      <c r="C959" s="21"/>
      <c r="D959" s="21"/>
      <c r="E959" s="21"/>
      <c r="F959" s="21"/>
      <c r="G959" s="21"/>
      <c r="H959" s="21"/>
      <c r="I959" s="21"/>
      <c r="J959" s="21"/>
      <c r="K959" s="204"/>
      <c r="L959" s="54"/>
      <c r="M959" s="55"/>
      <c r="N959" s="56"/>
      <c r="O959" s="16"/>
      <c r="P959" s="57"/>
      <c r="Q959" s="55"/>
      <c r="R959" s="16"/>
      <c r="S959" s="17"/>
      <c r="T959" s="16"/>
      <c r="U959" s="16"/>
      <c r="V959" s="16"/>
      <c r="W959" s="20"/>
      <c r="X959" s="21"/>
      <c r="Y959" s="21"/>
      <c r="Z959" s="21"/>
      <c r="AA959" s="21"/>
      <c r="AB959" s="21"/>
    </row>
    <row r="960" ht="20.25" customHeight="1">
      <c r="A960" s="139"/>
      <c r="B960" s="21"/>
      <c r="C960" s="21"/>
      <c r="D960" s="21"/>
      <c r="E960" s="21"/>
      <c r="F960" s="21"/>
      <c r="G960" s="21"/>
      <c r="H960" s="21"/>
      <c r="I960" s="21"/>
      <c r="J960" s="21"/>
      <c r="K960" s="204"/>
      <c r="L960" s="54"/>
      <c r="M960" s="55"/>
      <c r="N960" s="56"/>
      <c r="O960" s="16"/>
      <c r="P960" s="57"/>
      <c r="Q960" s="55"/>
      <c r="R960" s="16"/>
      <c r="S960" s="17"/>
      <c r="T960" s="16"/>
      <c r="U960" s="16"/>
      <c r="V960" s="16"/>
      <c r="W960" s="20"/>
      <c r="X960" s="21"/>
      <c r="Y960" s="21"/>
      <c r="Z960" s="21"/>
      <c r="AA960" s="21"/>
      <c r="AB960" s="21"/>
    </row>
    <row r="961" ht="20.25" customHeight="1">
      <c r="A961" s="139"/>
      <c r="B961" s="21"/>
      <c r="C961" s="21"/>
      <c r="D961" s="21"/>
      <c r="E961" s="21"/>
      <c r="F961" s="21"/>
      <c r="G961" s="21"/>
      <c r="H961" s="21"/>
      <c r="I961" s="21"/>
      <c r="J961" s="21"/>
      <c r="K961" s="204"/>
      <c r="L961" s="54"/>
      <c r="M961" s="55"/>
      <c r="N961" s="56"/>
      <c r="O961" s="16"/>
      <c r="P961" s="57"/>
      <c r="Q961" s="55"/>
      <c r="R961" s="16"/>
      <c r="S961" s="17"/>
      <c r="T961" s="16"/>
      <c r="U961" s="16"/>
      <c r="V961" s="16"/>
      <c r="W961" s="20"/>
      <c r="X961" s="21"/>
      <c r="Y961" s="21"/>
      <c r="Z961" s="21"/>
      <c r="AA961" s="21"/>
      <c r="AB961" s="21"/>
    </row>
    <row r="962" ht="20.25" customHeight="1">
      <c r="A962" s="139"/>
      <c r="B962" s="21"/>
      <c r="C962" s="21"/>
      <c r="D962" s="21"/>
      <c r="E962" s="21"/>
      <c r="F962" s="21"/>
      <c r="G962" s="21"/>
      <c r="H962" s="21"/>
      <c r="I962" s="21"/>
      <c r="J962" s="21"/>
      <c r="K962" s="204"/>
      <c r="L962" s="54"/>
      <c r="M962" s="55"/>
      <c r="N962" s="56"/>
      <c r="O962" s="16"/>
      <c r="P962" s="57"/>
      <c r="Q962" s="55"/>
      <c r="R962" s="16"/>
      <c r="S962" s="17"/>
      <c r="T962" s="16"/>
      <c r="U962" s="16"/>
      <c r="V962" s="16"/>
      <c r="W962" s="20"/>
      <c r="X962" s="21"/>
      <c r="Y962" s="21"/>
      <c r="Z962" s="21"/>
      <c r="AA962" s="21"/>
      <c r="AB962" s="21"/>
    </row>
    <row r="963" ht="20.25" customHeight="1">
      <c r="A963" s="139"/>
      <c r="B963" s="21"/>
      <c r="C963" s="21"/>
      <c r="D963" s="21"/>
      <c r="E963" s="21"/>
      <c r="F963" s="21"/>
      <c r="G963" s="21"/>
      <c r="H963" s="21"/>
      <c r="I963" s="21"/>
      <c r="J963" s="21"/>
      <c r="K963" s="204"/>
      <c r="L963" s="54"/>
      <c r="M963" s="55"/>
      <c r="N963" s="56"/>
      <c r="O963" s="16"/>
      <c r="P963" s="57"/>
      <c r="Q963" s="55"/>
      <c r="R963" s="16"/>
      <c r="S963" s="17"/>
      <c r="T963" s="16"/>
      <c r="U963" s="16"/>
      <c r="V963" s="16"/>
      <c r="W963" s="20"/>
      <c r="X963" s="21"/>
      <c r="Y963" s="21"/>
      <c r="Z963" s="21"/>
      <c r="AA963" s="21"/>
      <c r="AB963" s="21"/>
    </row>
    <row r="964" ht="20.25" customHeight="1">
      <c r="A964" s="139"/>
      <c r="B964" s="21"/>
      <c r="C964" s="21"/>
      <c r="D964" s="21"/>
      <c r="E964" s="21"/>
      <c r="F964" s="21"/>
      <c r="G964" s="21"/>
      <c r="H964" s="21"/>
      <c r="I964" s="21"/>
      <c r="J964" s="21"/>
      <c r="K964" s="204"/>
      <c r="L964" s="54"/>
      <c r="M964" s="55"/>
      <c r="N964" s="56"/>
      <c r="O964" s="16"/>
      <c r="P964" s="57"/>
      <c r="Q964" s="55"/>
      <c r="R964" s="16"/>
      <c r="S964" s="17"/>
      <c r="T964" s="16"/>
      <c r="U964" s="16"/>
      <c r="V964" s="16"/>
      <c r="W964" s="20"/>
      <c r="X964" s="21"/>
      <c r="Y964" s="21"/>
      <c r="Z964" s="21"/>
      <c r="AA964" s="21"/>
      <c r="AB964" s="21"/>
    </row>
    <row r="965" ht="20.25" customHeight="1">
      <c r="A965" s="139"/>
      <c r="B965" s="21"/>
      <c r="C965" s="21"/>
      <c r="D965" s="21"/>
      <c r="E965" s="21"/>
      <c r="F965" s="21"/>
      <c r="G965" s="21"/>
      <c r="H965" s="21"/>
      <c r="I965" s="21"/>
      <c r="J965" s="21"/>
      <c r="K965" s="204"/>
      <c r="L965" s="54"/>
      <c r="M965" s="55"/>
      <c r="N965" s="56"/>
      <c r="O965" s="16"/>
      <c r="P965" s="57"/>
      <c r="Q965" s="55"/>
      <c r="R965" s="16"/>
      <c r="S965" s="17"/>
      <c r="T965" s="16"/>
      <c r="U965" s="16"/>
      <c r="V965" s="16"/>
      <c r="W965" s="20"/>
      <c r="X965" s="21"/>
      <c r="Y965" s="21"/>
      <c r="Z965" s="21"/>
      <c r="AA965" s="21"/>
      <c r="AB965" s="21"/>
    </row>
    <row r="966" ht="20.25" customHeight="1">
      <c r="A966" s="139"/>
      <c r="B966" s="21"/>
      <c r="C966" s="21"/>
      <c r="D966" s="21"/>
      <c r="E966" s="21"/>
      <c r="F966" s="21"/>
      <c r="G966" s="21"/>
      <c r="H966" s="21"/>
      <c r="I966" s="21"/>
      <c r="J966" s="21"/>
      <c r="K966" s="204"/>
      <c r="L966" s="54"/>
      <c r="M966" s="55"/>
      <c r="N966" s="56"/>
      <c r="O966" s="16"/>
      <c r="P966" s="57"/>
      <c r="Q966" s="55"/>
      <c r="R966" s="16"/>
      <c r="S966" s="17"/>
      <c r="T966" s="16"/>
      <c r="U966" s="16"/>
      <c r="V966" s="16"/>
      <c r="W966" s="20"/>
      <c r="X966" s="21"/>
      <c r="Y966" s="21"/>
      <c r="Z966" s="21"/>
      <c r="AA966" s="21"/>
      <c r="AB966" s="21"/>
    </row>
    <row r="967" ht="20.25" customHeight="1">
      <c r="A967" s="139"/>
      <c r="B967" s="21"/>
      <c r="C967" s="21"/>
      <c r="D967" s="21"/>
      <c r="E967" s="21"/>
      <c r="F967" s="21"/>
      <c r="G967" s="21"/>
      <c r="H967" s="21"/>
      <c r="I967" s="21"/>
      <c r="J967" s="21"/>
      <c r="K967" s="204"/>
      <c r="L967" s="54"/>
      <c r="M967" s="55"/>
      <c r="N967" s="56"/>
      <c r="O967" s="16"/>
      <c r="P967" s="57"/>
      <c r="Q967" s="55"/>
      <c r="R967" s="16"/>
      <c r="S967" s="17"/>
      <c r="T967" s="16"/>
      <c r="U967" s="16"/>
      <c r="V967" s="16"/>
      <c r="W967" s="20"/>
      <c r="X967" s="21"/>
      <c r="Y967" s="21"/>
      <c r="Z967" s="21"/>
      <c r="AA967" s="21"/>
      <c r="AB967" s="21"/>
    </row>
    <row r="968" ht="20.25" customHeight="1">
      <c r="A968" s="139"/>
      <c r="B968" s="21"/>
      <c r="C968" s="21"/>
      <c r="D968" s="21"/>
      <c r="E968" s="21"/>
      <c r="F968" s="21"/>
      <c r="G968" s="21"/>
      <c r="H968" s="21"/>
      <c r="I968" s="21"/>
      <c r="J968" s="21"/>
      <c r="K968" s="204"/>
      <c r="L968" s="54"/>
      <c r="M968" s="55"/>
      <c r="N968" s="56"/>
      <c r="O968" s="16"/>
      <c r="P968" s="57"/>
      <c r="Q968" s="55"/>
      <c r="R968" s="16"/>
      <c r="S968" s="17"/>
      <c r="T968" s="16"/>
      <c r="U968" s="16"/>
      <c r="V968" s="16"/>
      <c r="W968" s="20"/>
      <c r="X968" s="21"/>
      <c r="Y968" s="21"/>
      <c r="Z968" s="21"/>
      <c r="AA968" s="21"/>
      <c r="AB968" s="21"/>
    </row>
    <row r="969" ht="20.25" customHeight="1">
      <c r="A969" s="139"/>
      <c r="B969" s="21"/>
      <c r="C969" s="21"/>
      <c r="D969" s="21"/>
      <c r="E969" s="21"/>
      <c r="F969" s="21"/>
      <c r="G969" s="21"/>
      <c r="H969" s="21"/>
      <c r="I969" s="21"/>
      <c r="J969" s="21"/>
      <c r="K969" s="204"/>
      <c r="L969" s="54"/>
      <c r="M969" s="55"/>
      <c r="N969" s="56"/>
      <c r="O969" s="16"/>
      <c r="P969" s="57"/>
      <c r="Q969" s="55"/>
      <c r="R969" s="16"/>
      <c r="S969" s="17"/>
      <c r="T969" s="16"/>
      <c r="U969" s="16"/>
      <c r="V969" s="16"/>
      <c r="W969" s="20"/>
      <c r="X969" s="21"/>
      <c r="Y969" s="21"/>
      <c r="Z969" s="21"/>
      <c r="AA969" s="21"/>
      <c r="AB969" s="21"/>
    </row>
    <row r="970" ht="20.25" customHeight="1">
      <c r="A970" s="139"/>
      <c r="B970" s="21"/>
      <c r="C970" s="21"/>
      <c r="D970" s="21"/>
      <c r="E970" s="21"/>
      <c r="F970" s="21"/>
      <c r="G970" s="21"/>
      <c r="H970" s="21"/>
      <c r="I970" s="21"/>
      <c r="J970" s="21"/>
      <c r="K970" s="204"/>
      <c r="L970" s="54"/>
      <c r="M970" s="55"/>
      <c r="N970" s="56"/>
      <c r="O970" s="16"/>
      <c r="P970" s="57"/>
      <c r="Q970" s="55"/>
      <c r="R970" s="16"/>
      <c r="S970" s="17"/>
      <c r="T970" s="16"/>
      <c r="U970" s="16"/>
      <c r="V970" s="16"/>
      <c r="W970" s="20"/>
      <c r="X970" s="21"/>
      <c r="Y970" s="21"/>
      <c r="Z970" s="21"/>
      <c r="AA970" s="21"/>
      <c r="AB970" s="21"/>
    </row>
    <row r="971" ht="20.25" customHeight="1">
      <c r="A971" s="139"/>
      <c r="B971" s="21"/>
      <c r="C971" s="21"/>
      <c r="D971" s="21"/>
      <c r="E971" s="21"/>
      <c r="F971" s="21"/>
      <c r="G971" s="21"/>
      <c r="H971" s="21"/>
      <c r="I971" s="21"/>
      <c r="J971" s="21"/>
      <c r="K971" s="204"/>
      <c r="L971" s="54"/>
      <c r="M971" s="55"/>
      <c r="N971" s="56"/>
      <c r="O971" s="16"/>
      <c r="P971" s="57"/>
      <c r="Q971" s="55"/>
      <c r="R971" s="16"/>
      <c r="S971" s="17"/>
      <c r="T971" s="16"/>
      <c r="U971" s="16"/>
      <c r="V971" s="16"/>
      <c r="W971" s="20"/>
      <c r="X971" s="21"/>
      <c r="Y971" s="21"/>
      <c r="Z971" s="21"/>
      <c r="AA971" s="21"/>
      <c r="AB971" s="21"/>
    </row>
    <row r="972" ht="20.25" customHeight="1">
      <c r="A972" s="139"/>
      <c r="B972" s="21"/>
      <c r="C972" s="21"/>
      <c r="D972" s="21"/>
      <c r="E972" s="21"/>
      <c r="F972" s="21"/>
      <c r="G972" s="21"/>
      <c r="H972" s="21"/>
      <c r="I972" s="21"/>
      <c r="J972" s="21"/>
      <c r="K972" s="204"/>
      <c r="L972" s="54"/>
      <c r="M972" s="55"/>
      <c r="N972" s="56"/>
      <c r="O972" s="16"/>
      <c r="P972" s="57"/>
      <c r="Q972" s="55"/>
      <c r="R972" s="16"/>
      <c r="S972" s="17"/>
      <c r="T972" s="16"/>
      <c r="U972" s="16"/>
      <c r="V972" s="16"/>
      <c r="W972" s="20"/>
      <c r="X972" s="21"/>
      <c r="Y972" s="21"/>
      <c r="Z972" s="21"/>
      <c r="AA972" s="21"/>
      <c r="AB972" s="21"/>
    </row>
    <row r="973" ht="20.25" customHeight="1">
      <c r="A973" s="139"/>
      <c r="B973" s="21"/>
      <c r="C973" s="21"/>
      <c r="D973" s="21"/>
      <c r="E973" s="21"/>
      <c r="F973" s="21"/>
      <c r="G973" s="21"/>
      <c r="H973" s="21"/>
      <c r="I973" s="21"/>
      <c r="J973" s="21"/>
      <c r="K973" s="204"/>
      <c r="L973" s="54"/>
      <c r="M973" s="55"/>
      <c r="N973" s="56"/>
      <c r="O973" s="16"/>
      <c r="P973" s="57"/>
      <c r="Q973" s="55"/>
      <c r="R973" s="16"/>
      <c r="S973" s="17"/>
      <c r="T973" s="16"/>
      <c r="U973" s="16"/>
      <c r="V973" s="16"/>
      <c r="W973" s="20"/>
      <c r="X973" s="21"/>
      <c r="Y973" s="21"/>
      <c r="Z973" s="21"/>
      <c r="AA973" s="21"/>
      <c r="AB973" s="21"/>
    </row>
    <row r="974" ht="20.25" customHeight="1">
      <c r="A974" s="139"/>
      <c r="B974" s="21"/>
      <c r="C974" s="21"/>
      <c r="D974" s="21"/>
      <c r="E974" s="21"/>
      <c r="F974" s="21"/>
      <c r="G974" s="21"/>
      <c r="H974" s="21"/>
      <c r="I974" s="21"/>
      <c r="J974" s="21"/>
      <c r="K974" s="204"/>
      <c r="L974" s="54"/>
      <c r="M974" s="55"/>
      <c r="N974" s="56"/>
      <c r="O974" s="16"/>
      <c r="P974" s="57"/>
      <c r="Q974" s="55"/>
      <c r="R974" s="16"/>
      <c r="S974" s="17"/>
      <c r="T974" s="16"/>
      <c r="U974" s="16"/>
      <c r="V974" s="16"/>
      <c r="W974" s="20"/>
      <c r="X974" s="21"/>
      <c r="Y974" s="21"/>
      <c r="Z974" s="21"/>
      <c r="AA974" s="21"/>
      <c r="AB974" s="21"/>
    </row>
    <row r="975" ht="20.25" customHeight="1">
      <c r="A975" s="139"/>
      <c r="B975" s="21"/>
      <c r="C975" s="21"/>
      <c r="D975" s="21"/>
      <c r="E975" s="21"/>
      <c r="F975" s="21"/>
      <c r="G975" s="21"/>
      <c r="H975" s="21"/>
      <c r="I975" s="21"/>
      <c r="J975" s="21"/>
      <c r="K975" s="204"/>
      <c r="L975" s="54"/>
      <c r="M975" s="55"/>
      <c r="N975" s="56"/>
      <c r="O975" s="16"/>
      <c r="P975" s="57"/>
      <c r="Q975" s="55"/>
      <c r="R975" s="16"/>
      <c r="S975" s="17"/>
      <c r="T975" s="16"/>
      <c r="U975" s="16"/>
      <c r="V975" s="16"/>
      <c r="W975" s="20"/>
      <c r="X975" s="21"/>
      <c r="Y975" s="21"/>
      <c r="Z975" s="21"/>
      <c r="AA975" s="21"/>
      <c r="AB975" s="21"/>
    </row>
    <row r="976" ht="20.25" customHeight="1">
      <c r="A976" s="139"/>
      <c r="B976" s="21"/>
      <c r="C976" s="21"/>
      <c r="D976" s="21"/>
      <c r="E976" s="21"/>
      <c r="F976" s="21"/>
      <c r="G976" s="21"/>
      <c r="H976" s="21"/>
      <c r="I976" s="21"/>
      <c r="J976" s="21"/>
      <c r="K976" s="204"/>
      <c r="L976" s="54"/>
      <c r="M976" s="55"/>
      <c r="N976" s="56"/>
      <c r="O976" s="16"/>
      <c r="P976" s="57"/>
      <c r="Q976" s="55"/>
      <c r="R976" s="16"/>
      <c r="S976" s="17"/>
      <c r="T976" s="16"/>
      <c r="U976" s="16"/>
      <c r="V976" s="16"/>
      <c r="W976" s="20"/>
      <c r="X976" s="21"/>
      <c r="Y976" s="21"/>
      <c r="Z976" s="21"/>
      <c r="AA976" s="21"/>
      <c r="AB976" s="21"/>
    </row>
    <row r="977" ht="20.25" customHeight="1">
      <c r="A977" s="139"/>
      <c r="B977" s="21"/>
      <c r="C977" s="21"/>
      <c r="D977" s="21"/>
      <c r="E977" s="21"/>
      <c r="F977" s="21"/>
      <c r="G977" s="21"/>
      <c r="H977" s="21"/>
      <c r="I977" s="21"/>
      <c r="J977" s="21"/>
      <c r="K977" s="204"/>
      <c r="L977" s="54"/>
      <c r="M977" s="55"/>
      <c r="N977" s="56"/>
      <c r="O977" s="16"/>
      <c r="P977" s="57"/>
      <c r="Q977" s="55"/>
      <c r="R977" s="16"/>
      <c r="S977" s="17"/>
      <c r="T977" s="16"/>
      <c r="U977" s="16"/>
      <c r="V977" s="16"/>
      <c r="W977" s="20"/>
      <c r="X977" s="21"/>
      <c r="Y977" s="21"/>
      <c r="Z977" s="21"/>
      <c r="AA977" s="21"/>
      <c r="AB977" s="21"/>
    </row>
    <row r="978" ht="20.25" customHeight="1">
      <c r="A978" s="139"/>
      <c r="B978" s="21"/>
      <c r="C978" s="21"/>
      <c r="D978" s="21"/>
      <c r="E978" s="21"/>
      <c r="F978" s="21"/>
      <c r="G978" s="21"/>
      <c r="H978" s="21"/>
      <c r="I978" s="21"/>
      <c r="J978" s="21"/>
      <c r="K978" s="204"/>
      <c r="L978" s="54"/>
      <c r="M978" s="55"/>
      <c r="N978" s="56"/>
      <c r="O978" s="16"/>
      <c r="P978" s="57"/>
      <c r="Q978" s="55"/>
      <c r="R978" s="16"/>
      <c r="S978" s="17"/>
      <c r="T978" s="16"/>
      <c r="U978" s="16"/>
      <c r="V978" s="16"/>
      <c r="W978" s="20"/>
      <c r="X978" s="21"/>
      <c r="Y978" s="21"/>
      <c r="Z978" s="21"/>
      <c r="AA978" s="21"/>
      <c r="AB978" s="21"/>
    </row>
    <row r="979" ht="20.25" customHeight="1">
      <c r="A979" s="139"/>
      <c r="B979" s="21"/>
      <c r="C979" s="21"/>
      <c r="D979" s="21"/>
      <c r="E979" s="21"/>
      <c r="F979" s="21"/>
      <c r="G979" s="21"/>
      <c r="H979" s="21"/>
      <c r="I979" s="21"/>
      <c r="J979" s="21"/>
      <c r="K979" s="204"/>
      <c r="L979" s="54"/>
      <c r="M979" s="55"/>
      <c r="N979" s="56"/>
      <c r="O979" s="16"/>
      <c r="P979" s="57"/>
      <c r="Q979" s="55"/>
      <c r="R979" s="16"/>
      <c r="S979" s="17"/>
      <c r="T979" s="16"/>
      <c r="U979" s="16"/>
      <c r="V979" s="16"/>
      <c r="W979" s="20"/>
      <c r="X979" s="21"/>
      <c r="Y979" s="21"/>
      <c r="Z979" s="21"/>
      <c r="AA979" s="21"/>
      <c r="AB979" s="21"/>
    </row>
    <row r="980" ht="20.25" customHeight="1">
      <c r="A980" s="139"/>
      <c r="B980" s="21"/>
      <c r="C980" s="21"/>
      <c r="D980" s="21"/>
      <c r="E980" s="21"/>
      <c r="F980" s="21"/>
      <c r="G980" s="21"/>
      <c r="H980" s="21"/>
      <c r="I980" s="21"/>
      <c r="J980" s="21"/>
      <c r="K980" s="204"/>
      <c r="L980" s="54"/>
      <c r="M980" s="55"/>
      <c r="N980" s="56"/>
      <c r="O980" s="16"/>
      <c r="P980" s="57"/>
      <c r="Q980" s="55"/>
      <c r="R980" s="16"/>
      <c r="S980" s="17"/>
      <c r="T980" s="16"/>
      <c r="U980" s="16"/>
      <c r="V980" s="16"/>
      <c r="W980" s="20"/>
      <c r="X980" s="21"/>
      <c r="Y980" s="21"/>
      <c r="Z980" s="21"/>
      <c r="AA980" s="21"/>
      <c r="AB980" s="21"/>
    </row>
    <row r="981" ht="20.25" customHeight="1">
      <c r="A981" s="139"/>
      <c r="B981" s="21"/>
      <c r="C981" s="21"/>
      <c r="D981" s="21"/>
      <c r="E981" s="21"/>
      <c r="F981" s="21"/>
      <c r="G981" s="21"/>
      <c r="H981" s="21"/>
      <c r="I981" s="21"/>
      <c r="J981" s="21"/>
      <c r="K981" s="204"/>
      <c r="L981" s="54"/>
      <c r="M981" s="55"/>
      <c r="N981" s="56"/>
      <c r="O981" s="16"/>
      <c r="P981" s="57"/>
      <c r="Q981" s="55"/>
      <c r="R981" s="16"/>
      <c r="S981" s="17"/>
      <c r="T981" s="16"/>
      <c r="U981" s="16"/>
      <c r="V981" s="16"/>
      <c r="W981" s="20"/>
      <c r="X981" s="21"/>
      <c r="Y981" s="21"/>
      <c r="Z981" s="21"/>
      <c r="AA981" s="21"/>
      <c r="AB981" s="21"/>
    </row>
    <row r="982" ht="20.25" customHeight="1">
      <c r="A982" s="139"/>
      <c r="B982" s="21"/>
      <c r="C982" s="21"/>
      <c r="D982" s="21"/>
      <c r="E982" s="21"/>
      <c r="F982" s="21"/>
      <c r="G982" s="21"/>
      <c r="H982" s="21"/>
      <c r="I982" s="21"/>
      <c r="J982" s="21"/>
      <c r="K982" s="204"/>
      <c r="L982" s="54"/>
      <c r="M982" s="55"/>
      <c r="N982" s="56"/>
      <c r="O982" s="16"/>
      <c r="P982" s="57"/>
      <c r="Q982" s="55"/>
      <c r="R982" s="16"/>
      <c r="S982" s="17"/>
      <c r="T982" s="16"/>
      <c r="U982" s="16"/>
      <c r="V982" s="16"/>
      <c r="W982" s="20"/>
      <c r="X982" s="21"/>
      <c r="Y982" s="21"/>
      <c r="Z982" s="21"/>
      <c r="AA982" s="21"/>
      <c r="AB982" s="21"/>
    </row>
    <row r="983" ht="20.25" customHeight="1">
      <c r="A983" s="139"/>
      <c r="B983" s="21"/>
      <c r="C983" s="21"/>
      <c r="D983" s="21"/>
      <c r="E983" s="21"/>
      <c r="F983" s="21"/>
      <c r="G983" s="21"/>
      <c r="H983" s="21"/>
      <c r="I983" s="21"/>
      <c r="J983" s="21"/>
      <c r="K983" s="204"/>
      <c r="L983" s="54"/>
      <c r="M983" s="55"/>
      <c r="N983" s="56"/>
      <c r="O983" s="16"/>
      <c r="P983" s="57"/>
      <c r="Q983" s="55"/>
      <c r="R983" s="16"/>
      <c r="S983" s="17"/>
      <c r="T983" s="16"/>
      <c r="U983" s="16"/>
      <c r="V983" s="16"/>
      <c r="W983" s="20"/>
      <c r="X983" s="21"/>
      <c r="Y983" s="21"/>
      <c r="Z983" s="21"/>
      <c r="AA983" s="21"/>
      <c r="AB983" s="21"/>
    </row>
    <row r="984" ht="20.25" customHeight="1">
      <c r="A984" s="139"/>
      <c r="B984" s="21"/>
      <c r="C984" s="21"/>
      <c r="D984" s="21"/>
      <c r="E984" s="21"/>
      <c r="F984" s="21"/>
      <c r="G984" s="21"/>
      <c r="H984" s="21"/>
      <c r="I984" s="21"/>
      <c r="J984" s="21"/>
      <c r="K984" s="204"/>
      <c r="L984" s="54"/>
      <c r="M984" s="55"/>
      <c r="N984" s="56"/>
      <c r="O984" s="16"/>
      <c r="P984" s="57"/>
      <c r="Q984" s="55"/>
      <c r="R984" s="16"/>
      <c r="S984" s="17"/>
      <c r="T984" s="16"/>
      <c r="U984" s="16"/>
      <c r="V984" s="16"/>
      <c r="W984" s="20"/>
      <c r="X984" s="21"/>
      <c r="Y984" s="21"/>
      <c r="Z984" s="21"/>
      <c r="AA984" s="21"/>
      <c r="AB984" s="21"/>
    </row>
    <row r="985" ht="20.25" customHeight="1">
      <c r="A985" s="139"/>
      <c r="B985" s="21"/>
      <c r="C985" s="21"/>
      <c r="D985" s="21"/>
      <c r="E985" s="21"/>
      <c r="F985" s="21"/>
      <c r="G985" s="21"/>
      <c r="H985" s="21"/>
      <c r="I985" s="21"/>
      <c r="J985" s="21"/>
      <c r="K985" s="204"/>
      <c r="L985" s="54"/>
      <c r="M985" s="55"/>
      <c r="N985" s="56"/>
      <c r="O985" s="16"/>
      <c r="P985" s="57"/>
      <c r="Q985" s="55"/>
      <c r="R985" s="16"/>
      <c r="S985" s="17"/>
      <c r="T985" s="16"/>
      <c r="U985" s="16"/>
      <c r="V985" s="16"/>
      <c r="W985" s="20"/>
      <c r="X985" s="21"/>
      <c r="Y985" s="21"/>
      <c r="Z985" s="21"/>
      <c r="AA985" s="21"/>
      <c r="AB985" s="21"/>
    </row>
    <row r="986" ht="20.25" customHeight="1">
      <c r="A986" s="139"/>
      <c r="B986" s="21"/>
      <c r="C986" s="21"/>
      <c r="D986" s="21"/>
      <c r="E986" s="21"/>
      <c r="F986" s="21"/>
      <c r="G986" s="21"/>
      <c r="H986" s="21"/>
      <c r="I986" s="21"/>
      <c r="J986" s="21"/>
      <c r="K986" s="204"/>
      <c r="L986" s="54"/>
      <c r="M986" s="55"/>
      <c r="N986" s="56"/>
      <c r="O986" s="16"/>
      <c r="P986" s="57"/>
      <c r="Q986" s="55"/>
      <c r="R986" s="16"/>
      <c r="S986" s="17"/>
      <c r="T986" s="16"/>
      <c r="U986" s="16"/>
      <c r="V986" s="16"/>
      <c r="W986" s="20"/>
      <c r="X986" s="21"/>
      <c r="Y986" s="21"/>
      <c r="Z986" s="21"/>
      <c r="AA986" s="21"/>
      <c r="AB986" s="21"/>
    </row>
    <row r="987" ht="20.25" customHeight="1">
      <c r="A987" s="139"/>
      <c r="B987" s="21"/>
      <c r="C987" s="21"/>
      <c r="D987" s="21"/>
      <c r="E987" s="21"/>
      <c r="F987" s="21"/>
      <c r="G987" s="21"/>
      <c r="H987" s="21"/>
      <c r="I987" s="21"/>
      <c r="J987" s="21"/>
      <c r="K987" s="204"/>
      <c r="L987" s="54"/>
      <c r="M987" s="55"/>
      <c r="N987" s="56"/>
      <c r="O987" s="16"/>
      <c r="P987" s="57"/>
      <c r="Q987" s="55"/>
      <c r="R987" s="16"/>
      <c r="S987" s="17"/>
      <c r="T987" s="16"/>
      <c r="U987" s="16"/>
      <c r="V987" s="16"/>
      <c r="W987" s="20"/>
      <c r="X987" s="21"/>
      <c r="Y987" s="21"/>
      <c r="Z987" s="21"/>
      <c r="AA987" s="21"/>
      <c r="AB987" s="21"/>
    </row>
    <row r="988" ht="20.25" customHeight="1">
      <c r="A988" s="139"/>
      <c r="B988" s="21"/>
      <c r="C988" s="21"/>
      <c r="D988" s="21"/>
      <c r="E988" s="21"/>
      <c r="F988" s="21"/>
      <c r="G988" s="21"/>
      <c r="H988" s="21"/>
      <c r="I988" s="21"/>
      <c r="J988" s="21"/>
      <c r="K988" s="204"/>
      <c r="L988" s="54"/>
      <c r="M988" s="55"/>
      <c r="N988" s="56"/>
      <c r="O988" s="16"/>
      <c r="P988" s="57"/>
      <c r="Q988" s="55"/>
      <c r="R988" s="16"/>
      <c r="S988" s="17"/>
      <c r="T988" s="16"/>
      <c r="U988" s="16"/>
      <c r="V988" s="16"/>
      <c r="W988" s="20"/>
      <c r="X988" s="21"/>
      <c r="Y988" s="21"/>
      <c r="Z988" s="21"/>
      <c r="AA988" s="21"/>
      <c r="AB988" s="21"/>
    </row>
    <row r="989" ht="20.25" customHeight="1">
      <c r="A989" s="139"/>
      <c r="B989" s="21"/>
      <c r="C989" s="21"/>
      <c r="D989" s="21"/>
      <c r="E989" s="21"/>
      <c r="F989" s="21"/>
      <c r="G989" s="21"/>
      <c r="H989" s="21"/>
      <c r="I989" s="21"/>
      <c r="J989" s="21"/>
      <c r="K989" s="204"/>
      <c r="L989" s="54"/>
      <c r="M989" s="55"/>
      <c r="N989" s="56"/>
      <c r="O989" s="16"/>
      <c r="P989" s="57"/>
      <c r="Q989" s="55"/>
      <c r="R989" s="16"/>
      <c r="S989" s="17"/>
      <c r="T989" s="16"/>
      <c r="U989" s="16"/>
      <c r="V989" s="16"/>
      <c r="W989" s="20"/>
      <c r="X989" s="21"/>
      <c r="Y989" s="21"/>
      <c r="Z989" s="21"/>
      <c r="AA989" s="21"/>
      <c r="AB989" s="21"/>
    </row>
    <row r="990" ht="20.25" customHeight="1">
      <c r="A990" s="139"/>
      <c r="B990" s="21"/>
      <c r="C990" s="21"/>
      <c r="D990" s="21"/>
      <c r="E990" s="21"/>
      <c r="F990" s="21"/>
      <c r="G990" s="21"/>
      <c r="H990" s="21"/>
      <c r="I990" s="21"/>
      <c r="J990" s="21"/>
      <c r="K990" s="204"/>
      <c r="L990" s="54"/>
      <c r="M990" s="55"/>
      <c r="N990" s="56"/>
      <c r="O990" s="16"/>
      <c r="P990" s="57"/>
      <c r="Q990" s="55"/>
      <c r="R990" s="16"/>
      <c r="S990" s="17"/>
      <c r="T990" s="16"/>
      <c r="U990" s="16"/>
      <c r="V990" s="16"/>
      <c r="W990" s="20"/>
      <c r="X990" s="21"/>
      <c r="Y990" s="21"/>
      <c r="Z990" s="21"/>
      <c r="AA990" s="21"/>
      <c r="AB990" s="21"/>
    </row>
    <row r="991" ht="20.25" customHeight="1">
      <c r="A991" s="139"/>
      <c r="B991" s="21"/>
      <c r="C991" s="21"/>
      <c r="D991" s="21"/>
      <c r="E991" s="21"/>
      <c r="F991" s="21"/>
      <c r="G991" s="21"/>
      <c r="H991" s="21"/>
      <c r="I991" s="21"/>
      <c r="J991" s="21"/>
      <c r="K991" s="204"/>
      <c r="L991" s="54"/>
      <c r="M991" s="55"/>
      <c r="N991" s="56"/>
      <c r="O991" s="16"/>
      <c r="P991" s="57"/>
      <c r="Q991" s="55"/>
      <c r="R991" s="16"/>
      <c r="S991" s="17"/>
      <c r="T991" s="16"/>
      <c r="U991" s="16"/>
      <c r="V991" s="16"/>
      <c r="W991" s="20"/>
      <c r="X991" s="21"/>
      <c r="Y991" s="21"/>
      <c r="Z991" s="21"/>
      <c r="AA991" s="21"/>
      <c r="AB991" s="21"/>
    </row>
    <row r="992" ht="20.25" customHeight="1">
      <c r="A992" s="139"/>
      <c r="B992" s="21"/>
      <c r="C992" s="21"/>
      <c r="D992" s="21"/>
      <c r="E992" s="21"/>
      <c r="F992" s="21"/>
      <c r="G992" s="21"/>
      <c r="H992" s="21"/>
      <c r="I992" s="21"/>
      <c r="J992" s="21"/>
      <c r="K992" s="204"/>
      <c r="L992" s="54"/>
      <c r="M992" s="55"/>
      <c r="N992" s="56"/>
      <c r="O992" s="16"/>
      <c r="P992" s="57"/>
      <c r="Q992" s="55"/>
      <c r="R992" s="16"/>
      <c r="S992" s="17"/>
      <c r="T992" s="16"/>
      <c r="U992" s="16"/>
      <c r="V992" s="16"/>
      <c r="W992" s="20"/>
      <c r="X992" s="21"/>
      <c r="Y992" s="21"/>
      <c r="Z992" s="21"/>
      <c r="AA992" s="21"/>
      <c r="AB992" s="21"/>
    </row>
    <row r="993" ht="20.25" customHeight="1">
      <c r="A993" s="139"/>
      <c r="B993" s="21"/>
      <c r="C993" s="21"/>
      <c r="D993" s="21"/>
      <c r="E993" s="21"/>
      <c r="F993" s="21"/>
      <c r="G993" s="21"/>
      <c r="H993" s="21"/>
      <c r="I993" s="21"/>
      <c r="J993" s="21"/>
      <c r="K993" s="204"/>
      <c r="L993" s="54"/>
      <c r="M993" s="55"/>
      <c r="N993" s="56"/>
      <c r="O993" s="16"/>
      <c r="P993" s="57"/>
      <c r="Q993" s="55"/>
      <c r="R993" s="16"/>
      <c r="S993" s="17"/>
      <c r="T993" s="16"/>
      <c r="U993" s="16"/>
      <c r="V993" s="16"/>
      <c r="W993" s="20"/>
      <c r="X993" s="21"/>
      <c r="Y993" s="21"/>
      <c r="Z993" s="21"/>
      <c r="AA993" s="21"/>
      <c r="AB993" s="21"/>
    </row>
    <row r="994" ht="20.25" customHeight="1">
      <c r="A994" s="139"/>
      <c r="B994" s="21"/>
      <c r="C994" s="21"/>
      <c r="D994" s="21"/>
      <c r="E994" s="21"/>
      <c r="F994" s="21"/>
      <c r="G994" s="21"/>
      <c r="H994" s="21"/>
      <c r="I994" s="21"/>
      <c r="J994" s="21"/>
      <c r="K994" s="204"/>
      <c r="L994" s="54"/>
      <c r="M994" s="55"/>
      <c r="N994" s="56"/>
      <c r="O994" s="16"/>
      <c r="P994" s="57"/>
      <c r="Q994" s="55"/>
      <c r="R994" s="16"/>
      <c r="S994" s="17"/>
      <c r="T994" s="16"/>
      <c r="U994" s="16"/>
      <c r="V994" s="16"/>
      <c r="W994" s="20"/>
      <c r="X994" s="21"/>
      <c r="Y994" s="21"/>
      <c r="Z994" s="21"/>
      <c r="AA994" s="21"/>
      <c r="AB994" s="21"/>
    </row>
    <row r="995" ht="20.25" customHeight="1">
      <c r="A995" s="139"/>
      <c r="B995" s="21"/>
      <c r="C995" s="21"/>
      <c r="D995" s="21"/>
      <c r="E995" s="21"/>
      <c r="F995" s="21"/>
      <c r="G995" s="21"/>
      <c r="H995" s="21"/>
      <c r="I995" s="21"/>
      <c r="J995" s="21"/>
      <c r="K995" s="204"/>
      <c r="L995" s="54"/>
      <c r="M995" s="55"/>
      <c r="N995" s="56"/>
      <c r="O995" s="16"/>
      <c r="P995" s="57"/>
      <c r="Q995" s="55"/>
      <c r="R995" s="16"/>
      <c r="S995" s="17"/>
      <c r="T995" s="16"/>
      <c r="U995" s="16"/>
      <c r="V995" s="16"/>
      <c r="W995" s="20"/>
      <c r="X995" s="21"/>
      <c r="Y995" s="21"/>
      <c r="Z995" s="21"/>
      <c r="AA995" s="21"/>
      <c r="AB995" s="21"/>
    </row>
    <row r="996" ht="20.25" customHeight="1">
      <c r="A996" s="139"/>
      <c r="B996" s="21"/>
      <c r="C996" s="21"/>
      <c r="D996" s="21"/>
      <c r="E996" s="21"/>
      <c r="F996" s="21"/>
      <c r="G996" s="21"/>
      <c r="H996" s="21"/>
      <c r="I996" s="21"/>
      <c r="J996" s="21"/>
      <c r="K996" s="204"/>
      <c r="L996" s="54"/>
      <c r="M996" s="55"/>
      <c r="N996" s="56"/>
      <c r="O996" s="16"/>
      <c r="P996" s="57"/>
      <c r="Q996" s="55"/>
      <c r="R996" s="16"/>
      <c r="S996" s="17"/>
      <c r="T996" s="16"/>
      <c r="U996" s="16"/>
      <c r="V996" s="16"/>
      <c r="W996" s="20"/>
      <c r="X996" s="21"/>
      <c r="Y996" s="21"/>
      <c r="Z996" s="21"/>
      <c r="AA996" s="21"/>
      <c r="AB996" s="21"/>
    </row>
    <row r="997" ht="20.25" customHeight="1">
      <c r="A997" s="139"/>
      <c r="B997" s="21"/>
      <c r="C997" s="21"/>
      <c r="D997" s="21"/>
      <c r="E997" s="21"/>
      <c r="F997" s="21"/>
      <c r="G997" s="21"/>
      <c r="H997" s="21"/>
      <c r="I997" s="21"/>
      <c r="J997" s="21"/>
      <c r="K997" s="204"/>
      <c r="L997" s="54"/>
      <c r="M997" s="55"/>
      <c r="N997" s="56"/>
      <c r="O997" s="16"/>
      <c r="P997" s="57"/>
      <c r="Q997" s="55"/>
      <c r="R997" s="16"/>
      <c r="S997" s="17"/>
      <c r="T997" s="16"/>
      <c r="U997" s="16"/>
      <c r="V997" s="16"/>
      <c r="W997" s="20"/>
      <c r="X997" s="21"/>
      <c r="Y997" s="21"/>
      <c r="Z997" s="21"/>
      <c r="AA997" s="21"/>
      <c r="AB997" s="21"/>
    </row>
    <row r="998" ht="20.25" customHeight="1">
      <c r="A998" s="139"/>
      <c r="B998" s="21"/>
      <c r="C998" s="21"/>
      <c r="D998" s="21"/>
      <c r="E998" s="21"/>
      <c r="F998" s="21"/>
      <c r="G998" s="21"/>
      <c r="H998" s="21"/>
      <c r="I998" s="21"/>
      <c r="J998" s="21"/>
      <c r="K998" s="204"/>
      <c r="L998" s="54"/>
      <c r="M998" s="55"/>
      <c r="N998" s="56"/>
      <c r="O998" s="16"/>
      <c r="P998" s="57"/>
      <c r="Q998" s="55"/>
      <c r="R998" s="16"/>
      <c r="S998" s="17"/>
      <c r="T998" s="16"/>
      <c r="U998" s="16"/>
      <c r="V998" s="16"/>
      <c r="W998" s="20"/>
      <c r="X998" s="21"/>
      <c r="Y998" s="21"/>
      <c r="Z998" s="21"/>
      <c r="AA998" s="21"/>
      <c r="AB998" s="21"/>
    </row>
    <row r="999" ht="20.25" customHeight="1">
      <c r="A999" s="139"/>
      <c r="B999" s="21"/>
      <c r="C999" s="21"/>
      <c r="D999" s="21"/>
      <c r="E999" s="21"/>
      <c r="F999" s="21"/>
      <c r="G999" s="21"/>
      <c r="H999" s="21"/>
      <c r="I999" s="21"/>
      <c r="J999" s="21"/>
      <c r="K999" s="204"/>
      <c r="L999" s="54"/>
      <c r="M999" s="55"/>
      <c r="N999" s="56"/>
      <c r="O999" s="16"/>
      <c r="P999" s="57"/>
      <c r="Q999" s="55"/>
      <c r="R999" s="16"/>
      <c r="S999" s="17"/>
      <c r="T999" s="16"/>
      <c r="U999" s="16"/>
      <c r="V999" s="16"/>
      <c r="W999" s="20"/>
      <c r="X999" s="21"/>
      <c r="Y999" s="21"/>
      <c r="Z999" s="21"/>
      <c r="AA999" s="21"/>
      <c r="AB999" s="21"/>
    </row>
    <row r="1000" ht="20.25" customHeight="1">
      <c r="A1000" s="139"/>
      <c r="B1000" s="21"/>
      <c r="C1000" s="21"/>
      <c r="D1000" s="21"/>
      <c r="E1000" s="21"/>
      <c r="F1000" s="21"/>
      <c r="G1000" s="21"/>
      <c r="H1000" s="21"/>
      <c r="I1000" s="21"/>
      <c r="J1000" s="21"/>
      <c r="K1000" s="204"/>
      <c r="L1000" s="54"/>
      <c r="M1000" s="55"/>
      <c r="N1000" s="56"/>
      <c r="O1000" s="16"/>
      <c r="P1000" s="57"/>
      <c r="Q1000" s="55"/>
      <c r="R1000" s="16"/>
      <c r="S1000" s="17"/>
      <c r="T1000" s="16"/>
      <c r="U1000" s="16"/>
      <c r="V1000" s="16"/>
      <c r="W1000" s="20"/>
      <c r="X1000" s="21"/>
      <c r="Y1000" s="21"/>
      <c r="Z1000" s="21"/>
      <c r="AA1000" s="21"/>
      <c r="AB1000" s="21"/>
    </row>
    <row r="1001" ht="20.25" customHeight="1">
      <c r="A1001" s="139"/>
      <c r="B1001" s="21"/>
      <c r="C1001" s="21"/>
      <c r="D1001" s="21"/>
      <c r="E1001" s="21"/>
      <c r="F1001" s="21"/>
      <c r="G1001" s="21"/>
      <c r="H1001" s="21"/>
      <c r="I1001" s="21"/>
      <c r="J1001" s="21"/>
      <c r="K1001" s="204"/>
      <c r="L1001" s="54"/>
      <c r="M1001" s="55"/>
      <c r="N1001" s="56"/>
      <c r="O1001" s="16"/>
      <c r="P1001" s="57"/>
      <c r="Q1001" s="55"/>
      <c r="R1001" s="16"/>
      <c r="S1001" s="17"/>
      <c r="T1001" s="16"/>
      <c r="U1001" s="16"/>
      <c r="V1001" s="16"/>
      <c r="W1001" s="20"/>
      <c r="X1001" s="21"/>
      <c r="Y1001" s="21"/>
      <c r="Z1001" s="21"/>
      <c r="AA1001" s="21"/>
      <c r="AB1001" s="21"/>
    </row>
    <row r="1002" ht="20.25" customHeight="1">
      <c r="A1002" s="139"/>
      <c r="B1002" s="21"/>
      <c r="C1002" s="21"/>
      <c r="D1002" s="21"/>
      <c r="E1002" s="21"/>
      <c r="F1002" s="21"/>
      <c r="G1002" s="21"/>
      <c r="H1002" s="21"/>
      <c r="I1002" s="21"/>
      <c r="J1002" s="21"/>
      <c r="K1002" s="204"/>
      <c r="L1002" s="54"/>
      <c r="M1002" s="55"/>
      <c r="N1002" s="56"/>
      <c r="O1002" s="16"/>
      <c r="P1002" s="57"/>
      <c r="Q1002" s="55"/>
      <c r="R1002" s="16"/>
      <c r="S1002" s="17"/>
      <c r="T1002" s="16"/>
      <c r="U1002" s="16"/>
      <c r="V1002" s="16"/>
      <c r="W1002" s="20"/>
      <c r="X1002" s="21"/>
      <c r="Y1002" s="21"/>
      <c r="Z1002" s="21"/>
      <c r="AA1002" s="21"/>
      <c r="AB1002" s="21"/>
    </row>
    <row r="1003" ht="20.25" customHeight="1">
      <c r="A1003" s="139"/>
      <c r="B1003" s="21"/>
      <c r="C1003" s="21"/>
      <c r="D1003" s="21"/>
      <c r="E1003" s="21"/>
      <c r="F1003" s="21"/>
      <c r="G1003" s="21"/>
      <c r="H1003" s="21"/>
      <c r="I1003" s="21"/>
      <c r="J1003" s="21"/>
      <c r="K1003" s="204"/>
      <c r="L1003" s="54"/>
      <c r="M1003" s="55"/>
      <c r="N1003" s="56"/>
      <c r="O1003" s="16"/>
      <c r="P1003" s="57"/>
      <c r="Q1003" s="55"/>
      <c r="R1003" s="16"/>
      <c r="S1003" s="17"/>
      <c r="T1003" s="16"/>
      <c r="U1003" s="16"/>
      <c r="V1003" s="16"/>
      <c r="W1003" s="20"/>
      <c r="X1003" s="21"/>
      <c r="Y1003" s="21"/>
      <c r="Z1003" s="21"/>
      <c r="AA1003" s="21"/>
      <c r="AB1003" s="21"/>
    </row>
    <row r="1004" ht="20.25" customHeight="1">
      <c r="A1004" s="139"/>
      <c r="B1004" s="21"/>
      <c r="C1004" s="21"/>
      <c r="D1004" s="21"/>
      <c r="E1004" s="21"/>
      <c r="F1004" s="21"/>
      <c r="G1004" s="21"/>
      <c r="H1004" s="21"/>
      <c r="I1004" s="21"/>
      <c r="J1004" s="21"/>
      <c r="K1004" s="204"/>
      <c r="L1004" s="54"/>
      <c r="M1004" s="55"/>
      <c r="N1004" s="56"/>
      <c r="O1004" s="16"/>
      <c r="P1004" s="57"/>
      <c r="Q1004" s="55"/>
      <c r="R1004" s="16"/>
      <c r="S1004" s="17"/>
      <c r="T1004" s="16"/>
      <c r="U1004" s="16"/>
      <c r="V1004" s="16"/>
      <c r="W1004" s="20"/>
      <c r="X1004" s="21"/>
      <c r="Y1004" s="21"/>
      <c r="Z1004" s="21"/>
      <c r="AA1004" s="21"/>
      <c r="AB1004" s="21"/>
    </row>
    <row r="1005" ht="20.25" customHeight="1">
      <c r="A1005" s="139"/>
      <c r="B1005" s="21"/>
      <c r="C1005" s="21"/>
      <c r="D1005" s="21"/>
      <c r="E1005" s="21"/>
      <c r="F1005" s="21"/>
      <c r="G1005" s="21"/>
      <c r="H1005" s="21"/>
      <c r="I1005" s="21"/>
      <c r="J1005" s="21"/>
      <c r="K1005" s="204"/>
      <c r="L1005" s="54"/>
      <c r="M1005" s="55"/>
      <c r="N1005" s="56"/>
      <c r="O1005" s="16"/>
      <c r="P1005" s="57"/>
      <c r="Q1005" s="55"/>
      <c r="R1005" s="16"/>
      <c r="S1005" s="17"/>
      <c r="T1005" s="16"/>
      <c r="U1005" s="16"/>
      <c r="V1005" s="16"/>
      <c r="W1005" s="20"/>
      <c r="X1005" s="21"/>
      <c r="Y1005" s="21"/>
      <c r="Z1005" s="21"/>
      <c r="AA1005" s="21"/>
      <c r="AB1005" s="21"/>
    </row>
    <row r="1006" ht="20.25" customHeight="1">
      <c r="A1006" s="139"/>
      <c r="B1006" s="21"/>
      <c r="C1006" s="21"/>
      <c r="D1006" s="21"/>
      <c r="E1006" s="21"/>
      <c r="F1006" s="21"/>
      <c r="G1006" s="21"/>
      <c r="H1006" s="21"/>
      <c r="I1006" s="21"/>
      <c r="J1006" s="21"/>
      <c r="K1006" s="204"/>
      <c r="L1006" s="54"/>
      <c r="M1006" s="55"/>
      <c r="N1006" s="56"/>
      <c r="O1006" s="16"/>
      <c r="P1006" s="57"/>
      <c r="Q1006" s="55"/>
      <c r="R1006" s="16"/>
      <c r="S1006" s="17"/>
      <c r="T1006" s="16"/>
      <c r="U1006" s="16"/>
      <c r="V1006" s="16"/>
      <c r="W1006" s="20"/>
      <c r="X1006" s="21"/>
      <c r="Y1006" s="21"/>
      <c r="Z1006" s="21"/>
      <c r="AA1006" s="21"/>
      <c r="AB1006" s="21"/>
    </row>
  </sheetData>
  <mergeCells count="31">
    <mergeCell ref="F6:F7"/>
    <mergeCell ref="J7:K7"/>
    <mergeCell ref="J8:K8"/>
    <mergeCell ref="J9:K9"/>
    <mergeCell ref="J10:K10"/>
    <mergeCell ref="J11:K11"/>
    <mergeCell ref="J12:K12"/>
    <mergeCell ref="J13:K13"/>
    <mergeCell ref="J14:K14"/>
    <mergeCell ref="J15:K15"/>
    <mergeCell ref="F18:F19"/>
    <mergeCell ref="J19:K19"/>
    <mergeCell ref="J20:K20"/>
    <mergeCell ref="J21:K21"/>
    <mergeCell ref="J22:K22"/>
    <mergeCell ref="J23:K23"/>
    <mergeCell ref="F24:F25"/>
    <mergeCell ref="J25:K25"/>
    <mergeCell ref="J26:K26"/>
    <mergeCell ref="J27:K27"/>
    <mergeCell ref="J28:K28"/>
    <mergeCell ref="J36:K36"/>
    <mergeCell ref="J37:K37"/>
    <mergeCell ref="J38:K38"/>
    <mergeCell ref="J29:K29"/>
    <mergeCell ref="J30:K30"/>
    <mergeCell ref="J31:K31"/>
    <mergeCell ref="J32:K32"/>
    <mergeCell ref="J33:K33"/>
    <mergeCell ref="J34:K34"/>
    <mergeCell ref="J35:K35"/>
  </mergeCells>
  <conditionalFormatting sqref="N1:N2">
    <cfRule type="cellIs" dxfId="0" priority="1" operator="greaterThan">
      <formula>0</formula>
    </cfRule>
  </conditionalFormatting>
  <hyperlinks>
    <hyperlink r:id="rId1" ref="I2"/>
    <hyperlink r:id="rId2" ref="F3"/>
    <hyperlink r:id="rId3" ref="F4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15.0" topLeftCell="I16" activePane="bottomRight" state="frozen"/>
      <selection activeCell="I1" sqref="I1" pane="topRight"/>
      <selection activeCell="A16" sqref="A16" pane="bottomLeft"/>
      <selection activeCell="I16" sqref="I16" pane="bottomRight"/>
    </sheetView>
  </sheetViews>
  <sheetFormatPr customHeight="1" defaultColWidth="11.22" defaultRowHeight="15.75"/>
  <cols>
    <col customWidth="1" min="1" max="1" width="11.44"/>
    <col customWidth="1" min="2" max="2" width="14.22"/>
    <col customWidth="1" min="3" max="3" width="8.56"/>
    <col customWidth="1" min="4" max="4" width="3.22"/>
    <col customWidth="1" min="5" max="5" width="10.44"/>
    <col customWidth="1" min="6" max="7" width="7.89"/>
    <col customWidth="1" min="8" max="8" width="0.67"/>
    <col customWidth="1" min="9" max="14" width="7.89"/>
    <col customWidth="1" min="15" max="15" width="0.33"/>
    <col customWidth="1" min="16" max="25" width="0.67"/>
    <col customWidth="1" min="26" max="26" width="7.89"/>
    <col customWidth="1" min="27" max="40" width="0.67"/>
    <col customWidth="1" min="41" max="43" width="7.89"/>
    <col customWidth="1" min="44" max="44" width="0.67"/>
    <col customWidth="1" min="45" max="46" width="7.89"/>
    <col customWidth="1" min="47" max="74" width="0.67"/>
    <col customWidth="1" min="75" max="75" width="1.0"/>
    <col customWidth="1" min="76" max="76" width="8.0"/>
    <col customWidth="1" min="77" max="77" width="11.0"/>
    <col customWidth="1" min="78" max="78" width="8.67"/>
  </cols>
  <sheetData>
    <row r="1" ht="9.75" customHeight="1">
      <c r="B1" s="225"/>
      <c r="C1" s="226"/>
      <c r="D1" s="227"/>
      <c r="E1" s="228"/>
      <c r="F1" s="229" t="b">
        <v>1</v>
      </c>
      <c r="G1" s="230" t="b">
        <v>1</v>
      </c>
      <c r="H1" s="229" t="b">
        <v>0</v>
      </c>
      <c r="I1" s="229" t="b">
        <v>1</v>
      </c>
      <c r="J1" s="229" t="b">
        <v>1</v>
      </c>
      <c r="K1" s="229" t="b">
        <v>1</v>
      </c>
      <c r="L1" s="229" t="b">
        <v>1</v>
      </c>
      <c r="M1" s="229" t="b">
        <v>1</v>
      </c>
      <c r="N1" s="229" t="b">
        <v>1</v>
      </c>
      <c r="O1" s="229" t="b">
        <v>0</v>
      </c>
      <c r="P1" s="229" t="b">
        <v>0</v>
      </c>
      <c r="Q1" s="229" t="b">
        <v>0</v>
      </c>
      <c r="R1" s="229" t="b">
        <v>0</v>
      </c>
      <c r="S1" s="229" t="b">
        <v>0</v>
      </c>
      <c r="T1" s="229" t="b">
        <v>0</v>
      </c>
      <c r="U1" s="229" t="b">
        <v>0</v>
      </c>
      <c r="V1" s="231" t="b">
        <v>0</v>
      </c>
      <c r="W1" s="231" t="b">
        <v>0</v>
      </c>
      <c r="X1" s="232" t="b">
        <v>0</v>
      </c>
      <c r="Y1" s="232" t="b">
        <v>0</v>
      </c>
      <c r="Z1" s="229" t="b">
        <v>1</v>
      </c>
      <c r="AA1" s="229" t="b">
        <v>0</v>
      </c>
      <c r="AB1" s="229" t="b">
        <v>0</v>
      </c>
      <c r="AC1" s="229" t="b">
        <v>0</v>
      </c>
      <c r="AD1" s="229" t="b">
        <v>0</v>
      </c>
      <c r="AE1" s="229" t="b">
        <v>0</v>
      </c>
      <c r="AF1" s="229" t="b">
        <v>0</v>
      </c>
      <c r="AG1" s="229" t="b">
        <v>0</v>
      </c>
      <c r="AH1" s="229" t="b">
        <v>0</v>
      </c>
      <c r="AI1" s="229" t="b">
        <v>0</v>
      </c>
      <c r="AJ1" s="229" t="b">
        <v>0</v>
      </c>
      <c r="AK1" s="229" t="b">
        <v>0</v>
      </c>
      <c r="AL1" s="229" t="b">
        <v>0</v>
      </c>
      <c r="AM1" s="229" t="b">
        <v>0</v>
      </c>
      <c r="AN1" s="233" t="b">
        <v>0</v>
      </c>
      <c r="AO1" s="234" t="b">
        <v>1</v>
      </c>
      <c r="AP1" s="229" t="b">
        <v>1</v>
      </c>
      <c r="AQ1" s="229" t="b">
        <v>1</v>
      </c>
      <c r="AR1" s="229" t="b">
        <v>0</v>
      </c>
      <c r="AS1" s="229" t="b">
        <v>1</v>
      </c>
      <c r="AT1" s="229" t="b">
        <v>1</v>
      </c>
      <c r="AU1" s="229" t="b">
        <v>0</v>
      </c>
      <c r="AV1" s="229" t="b">
        <v>0</v>
      </c>
      <c r="AW1" s="229" t="b">
        <v>0</v>
      </c>
      <c r="AX1" s="229" t="b">
        <v>0</v>
      </c>
      <c r="AY1" s="229" t="b">
        <v>0</v>
      </c>
      <c r="AZ1" s="229" t="b">
        <v>0</v>
      </c>
      <c r="BA1" s="229" t="b">
        <v>0</v>
      </c>
      <c r="BB1" s="229" t="b">
        <v>0</v>
      </c>
      <c r="BC1" s="229" t="b">
        <v>0</v>
      </c>
      <c r="BD1" s="229" t="b">
        <v>0</v>
      </c>
      <c r="BE1" s="229" t="b">
        <v>0</v>
      </c>
      <c r="BF1" s="229" t="b">
        <v>0</v>
      </c>
      <c r="BG1" s="229" t="b">
        <v>0</v>
      </c>
      <c r="BH1" s="229" t="b">
        <v>0</v>
      </c>
      <c r="BI1" s="229" t="b">
        <v>0</v>
      </c>
      <c r="BJ1" s="229" t="b">
        <v>0</v>
      </c>
      <c r="BK1" s="229" t="b">
        <v>0</v>
      </c>
      <c r="BL1" s="229" t="b">
        <v>0</v>
      </c>
      <c r="BM1" s="229" t="b">
        <v>0</v>
      </c>
      <c r="BN1" s="229" t="b">
        <v>0</v>
      </c>
      <c r="BO1" s="229" t="b">
        <v>0</v>
      </c>
      <c r="BP1" s="229" t="b">
        <v>0</v>
      </c>
      <c r="BQ1" s="229" t="b">
        <v>0</v>
      </c>
      <c r="BR1" s="229" t="b">
        <v>0</v>
      </c>
      <c r="BS1" s="229" t="b">
        <v>0</v>
      </c>
      <c r="BT1" s="229" t="b">
        <v>0</v>
      </c>
      <c r="BU1" s="229" t="b">
        <v>0</v>
      </c>
      <c r="BV1" s="229" t="b">
        <v>0</v>
      </c>
      <c r="BW1" s="235"/>
      <c r="BX1" s="236"/>
      <c r="BY1" s="236"/>
      <c r="BZ1" s="237"/>
      <c r="CA1" s="238"/>
      <c r="CB1" s="238"/>
      <c r="CC1" s="238"/>
      <c r="CD1" s="238"/>
      <c r="CE1" s="238"/>
      <c r="CF1" s="238"/>
      <c r="CG1" s="238"/>
      <c r="CH1" s="238"/>
      <c r="CI1" s="238"/>
      <c r="CJ1" s="238"/>
      <c r="CK1" s="238"/>
      <c r="CL1" s="238"/>
      <c r="CM1" s="238"/>
      <c r="CN1" s="238"/>
      <c r="CO1" s="238"/>
    </row>
    <row r="2" ht="9.75" customHeight="1">
      <c r="A2" s="239"/>
      <c r="B2" s="240"/>
      <c r="C2" s="241"/>
      <c r="D2" s="242"/>
      <c r="E2" s="243"/>
      <c r="F2" s="244"/>
      <c r="G2" s="245"/>
      <c r="H2" s="246"/>
      <c r="I2" s="246"/>
      <c r="J2" s="247"/>
      <c r="K2" s="244"/>
      <c r="L2" s="244"/>
      <c r="M2" s="247"/>
      <c r="N2" s="247"/>
      <c r="O2" s="248"/>
      <c r="P2" s="249"/>
      <c r="Q2" s="249"/>
      <c r="R2" s="244"/>
      <c r="S2" s="244"/>
      <c r="T2" s="250" t="s">
        <v>70</v>
      </c>
      <c r="U2" s="246"/>
      <c r="V2" s="251"/>
      <c r="W2" s="252"/>
      <c r="X2" s="251" t="s">
        <v>71</v>
      </c>
      <c r="Y2" s="250" t="s">
        <v>72</v>
      </c>
      <c r="Z2" s="250"/>
      <c r="AA2" s="244"/>
      <c r="AB2" s="246"/>
      <c r="AC2" s="253"/>
      <c r="AD2" s="244"/>
      <c r="AE2" s="246"/>
      <c r="AF2" s="246"/>
      <c r="AG2" s="254"/>
      <c r="AH2" s="246"/>
      <c r="AI2" s="246"/>
      <c r="AJ2" s="246"/>
      <c r="AK2" s="255"/>
      <c r="AL2" s="246" t="s">
        <v>73</v>
      </c>
      <c r="AM2" s="246"/>
      <c r="AN2" s="256"/>
      <c r="AO2" s="257"/>
      <c r="AP2" s="258"/>
      <c r="AQ2" s="259"/>
      <c r="AR2" s="258"/>
      <c r="AS2" s="258"/>
      <c r="AT2" s="258"/>
      <c r="AU2" s="260"/>
      <c r="AV2" s="258"/>
      <c r="AW2" s="261">
        <f t="shared" ref="AW2:AZ2" si="1">(AW5-AW4)/AW4</f>
        <v>-1.000000198</v>
      </c>
      <c r="AX2" s="261">
        <f t="shared" si="1"/>
        <v>-1.000000196</v>
      </c>
      <c r="AY2" s="261">
        <f t="shared" si="1"/>
        <v>-0.9999994546</v>
      </c>
      <c r="AZ2" s="261">
        <f t="shared" si="1"/>
        <v>-1.000000514</v>
      </c>
      <c r="BA2" s="261"/>
      <c r="BB2" s="261"/>
      <c r="BC2" s="261"/>
      <c r="BD2" s="261">
        <f t="shared" ref="BD2:BV2" si="2">(BD5-BD4)/BD4</f>
        <v>-0.999999987</v>
      </c>
      <c r="BE2" s="261">
        <f t="shared" si="2"/>
        <v>-1.000000079</v>
      </c>
      <c r="BF2" s="261">
        <f t="shared" si="2"/>
        <v>-0.9999955256</v>
      </c>
      <c r="BG2" s="261">
        <f t="shared" si="2"/>
        <v>-1.000019913</v>
      </c>
      <c r="BH2" s="261">
        <f t="shared" si="2"/>
        <v>-1</v>
      </c>
      <c r="BI2" s="261">
        <f t="shared" si="2"/>
        <v>-0.9999997262</v>
      </c>
      <c r="BJ2" s="261">
        <f t="shared" si="2"/>
        <v>-1.000001488</v>
      </c>
      <c r="BK2" s="261">
        <f t="shared" si="2"/>
        <v>-1.000446027</v>
      </c>
      <c r="BL2" s="261">
        <f t="shared" si="2"/>
        <v>-0.9999999544</v>
      </c>
      <c r="BM2" s="261">
        <f t="shared" si="2"/>
        <v>-1.000001086</v>
      </c>
      <c r="BN2" s="261">
        <f t="shared" si="2"/>
        <v>-0.9999996876</v>
      </c>
      <c r="BO2" s="261" t="str">
        <f t="shared" si="2"/>
        <v>#DIV/0!</v>
      </c>
      <c r="BP2" s="261" t="str">
        <f t="shared" si="2"/>
        <v>#DIV/0!</v>
      </c>
      <c r="BQ2" s="261" t="str">
        <f t="shared" si="2"/>
        <v>#DIV/0!</v>
      </c>
      <c r="BR2" s="261" t="str">
        <f t="shared" si="2"/>
        <v>#DIV/0!</v>
      </c>
      <c r="BS2" s="262" t="str">
        <f t="shared" si="2"/>
        <v>#DIV/0!</v>
      </c>
      <c r="BT2" s="261">
        <f t="shared" si="2"/>
        <v>-1.000000007</v>
      </c>
      <c r="BU2" s="261" t="str">
        <f t="shared" si="2"/>
        <v>#DIV/0!</v>
      </c>
      <c r="BV2" s="261" t="str">
        <f t="shared" si="2"/>
        <v>#DIV/0!</v>
      </c>
      <c r="BW2" s="263"/>
      <c r="BX2" s="264"/>
      <c r="BY2" s="264"/>
      <c r="BZ2" s="265"/>
      <c r="CA2" s="266"/>
      <c r="CB2" s="266"/>
      <c r="CC2" s="266"/>
      <c r="CD2" s="266"/>
      <c r="CE2" s="266"/>
      <c r="CF2" s="266"/>
      <c r="CG2" s="266"/>
      <c r="CH2" s="266"/>
      <c r="CI2" s="266"/>
      <c r="CJ2" s="266"/>
      <c r="CK2" s="266"/>
      <c r="CL2" s="266"/>
      <c r="CM2" s="266"/>
      <c r="CN2" s="266"/>
      <c r="CO2" s="266"/>
    </row>
    <row r="3" ht="9.75" customHeight="1">
      <c r="A3" s="267"/>
      <c r="B3" s="240"/>
      <c r="C3" s="241"/>
      <c r="D3" s="242"/>
      <c r="E3" s="243"/>
      <c r="F3" s="268"/>
      <c r="G3" s="269"/>
      <c r="H3" s="270"/>
      <c r="I3" s="270"/>
      <c r="J3" s="271"/>
      <c r="K3" s="268"/>
      <c r="L3" s="268"/>
      <c r="M3" s="271"/>
      <c r="N3" s="271"/>
      <c r="O3" s="271"/>
      <c r="P3" s="249"/>
      <c r="Q3" s="249"/>
      <c r="R3" s="268"/>
      <c r="S3" s="268"/>
      <c r="T3" s="255"/>
      <c r="U3" s="270"/>
      <c r="V3" s="272"/>
      <c r="W3" s="273"/>
      <c r="X3" s="272"/>
      <c r="Y3" s="274" t="s">
        <v>74</v>
      </c>
      <c r="Z3" s="275"/>
      <c r="AA3" s="276"/>
      <c r="AB3" s="270"/>
      <c r="AC3" s="277"/>
      <c r="AD3" s="278"/>
      <c r="AE3" s="279"/>
      <c r="AF3" s="279"/>
      <c r="AG3" s="270"/>
      <c r="AH3" s="270"/>
      <c r="AI3" s="270"/>
      <c r="AJ3" s="270"/>
      <c r="AK3" s="255"/>
      <c r="AL3" s="270" t="s">
        <v>75</v>
      </c>
      <c r="AM3" s="270"/>
      <c r="AN3" s="280"/>
      <c r="AO3" s="281"/>
      <c r="AP3" s="282">
        <f t="shared" ref="AP3:AT3" si="3">AP11-AP6</f>
        <v>1534.962309</v>
      </c>
      <c r="AQ3" s="283">
        <f t="shared" si="3"/>
        <v>-3235.694269</v>
      </c>
      <c r="AR3" s="282">
        <f t="shared" si="3"/>
        <v>0</v>
      </c>
      <c r="AS3" s="282">
        <f t="shared" si="3"/>
        <v>-2987.174094</v>
      </c>
      <c r="AT3" s="282">
        <f t="shared" si="3"/>
        <v>-1967.18903</v>
      </c>
      <c r="AU3" s="284"/>
      <c r="AV3" s="282">
        <f t="shared" ref="AV3:AZ3" si="4">AV11-AV6</f>
        <v>0.02579495472</v>
      </c>
      <c r="AW3" s="282">
        <f t="shared" si="4"/>
        <v>-25500.00505</v>
      </c>
      <c r="AX3" s="282">
        <f t="shared" si="4"/>
        <v>-23845.00468</v>
      </c>
      <c r="AY3" s="282">
        <f t="shared" si="4"/>
        <v>-9999.994546</v>
      </c>
      <c r="AZ3" s="282">
        <f t="shared" si="4"/>
        <v>-5640.002897</v>
      </c>
      <c r="BA3" s="282"/>
      <c r="BB3" s="282">
        <f t="shared" ref="BB3:BV3" si="5">BB11-BB6</f>
        <v>-2375</v>
      </c>
      <c r="BC3" s="282">
        <f t="shared" si="5"/>
        <v>-4000</v>
      </c>
      <c r="BD3" s="282">
        <f t="shared" si="5"/>
        <v>-3587.999953</v>
      </c>
      <c r="BE3" s="282">
        <f t="shared" si="5"/>
        <v>-6200.000489</v>
      </c>
      <c r="BF3" s="282">
        <f t="shared" si="5"/>
        <v>-1520.993194</v>
      </c>
      <c r="BG3" s="285">
        <f t="shared" si="5"/>
        <v>-808.0160895</v>
      </c>
      <c r="BH3" s="285">
        <f t="shared" si="5"/>
        <v>-3860</v>
      </c>
      <c r="BI3" s="282">
        <f t="shared" si="5"/>
        <v>-8713.997614</v>
      </c>
      <c r="BJ3" s="282">
        <f t="shared" si="5"/>
        <v>-5582.008308</v>
      </c>
      <c r="BK3" s="282">
        <f t="shared" si="5"/>
        <v>-691.3082046</v>
      </c>
      <c r="BL3" s="282">
        <f t="shared" si="5"/>
        <v>-3699.999831</v>
      </c>
      <c r="BM3" s="282">
        <f t="shared" si="5"/>
        <v>-4740.00515</v>
      </c>
      <c r="BN3" s="282">
        <f t="shared" si="5"/>
        <v>-2759.999138</v>
      </c>
      <c r="BO3" s="282">
        <f t="shared" si="5"/>
        <v>0.01244206582</v>
      </c>
      <c r="BP3" s="282">
        <f t="shared" si="5"/>
        <v>-2291</v>
      </c>
      <c r="BQ3" s="286">
        <f t="shared" si="5"/>
        <v>-612</v>
      </c>
      <c r="BR3" s="286">
        <f t="shared" si="5"/>
        <v>-389</v>
      </c>
      <c r="BS3" s="287">
        <f t="shared" si="5"/>
        <v>-760</v>
      </c>
      <c r="BT3" s="286">
        <f t="shared" si="5"/>
        <v>-1207.000009</v>
      </c>
      <c r="BU3" s="286">
        <f t="shared" si="5"/>
        <v>1053</v>
      </c>
      <c r="BV3" s="286">
        <f t="shared" si="5"/>
        <v>145</v>
      </c>
      <c r="BW3" s="235"/>
      <c r="BX3" s="236"/>
      <c r="BY3" s="236"/>
      <c r="BZ3" s="237"/>
      <c r="CA3" s="238"/>
      <c r="CB3" s="238"/>
      <c r="CC3" s="238"/>
      <c r="CD3" s="238"/>
      <c r="CE3" s="238"/>
      <c r="CF3" s="238"/>
      <c r="CG3" s="238"/>
      <c r="CH3" s="238"/>
      <c r="CI3" s="238"/>
      <c r="CJ3" s="238"/>
      <c r="CK3" s="238"/>
      <c r="CL3" s="238"/>
      <c r="CM3" s="238"/>
      <c r="CN3" s="238"/>
      <c r="CO3" s="238"/>
    </row>
    <row r="4" ht="9.75" customHeight="1">
      <c r="A4" s="239"/>
      <c r="B4" s="240"/>
      <c r="C4" s="288"/>
      <c r="D4" s="242"/>
      <c r="E4" s="243"/>
      <c r="F4" s="268"/>
      <c r="G4" s="269"/>
      <c r="H4" s="246"/>
      <c r="I4" s="246"/>
      <c r="J4" s="289"/>
      <c r="K4" s="244"/>
      <c r="L4" s="244"/>
      <c r="M4" s="289"/>
      <c r="N4" s="289"/>
      <c r="O4" s="289"/>
      <c r="P4" s="249"/>
      <c r="Q4" s="249"/>
      <c r="R4" s="244"/>
      <c r="S4" s="244"/>
      <c r="T4" s="255"/>
      <c r="U4" s="246"/>
      <c r="V4" s="290"/>
      <c r="W4" s="273"/>
      <c r="X4" s="290"/>
      <c r="Y4" s="289"/>
      <c r="Z4" s="275"/>
      <c r="AA4" s="244"/>
      <c r="AB4" s="291"/>
      <c r="AC4" s="253"/>
      <c r="AD4" s="244"/>
      <c r="AE4" s="246"/>
      <c r="AF4" s="246"/>
      <c r="AG4" s="254"/>
      <c r="AH4" s="246"/>
      <c r="AI4" s="246"/>
      <c r="AJ4" s="246"/>
      <c r="AK4" s="255"/>
      <c r="AL4" s="246" t="s">
        <v>76</v>
      </c>
      <c r="AM4" s="246"/>
      <c r="AN4" s="256"/>
      <c r="AO4" s="292"/>
      <c r="AP4" s="293">
        <f t="shared" ref="AP4:AQ4" si="6">AP3/AP6</f>
        <v>0.07674811547</v>
      </c>
      <c r="AQ4" s="293">
        <f t="shared" si="6"/>
        <v>-0.2157129513</v>
      </c>
      <c r="AR4" s="260"/>
      <c r="AS4" s="293">
        <f t="shared" ref="AS4:AT4" si="7">AS3/AS6</f>
        <v>-0.1991449396</v>
      </c>
      <c r="AT4" s="293">
        <f t="shared" si="7"/>
        <v>-0.0983594515</v>
      </c>
      <c r="AU4" s="260"/>
      <c r="AV4" s="260"/>
      <c r="AW4" s="260">
        <f t="shared" ref="AW4:BV4" si="8">AW6/AW10</f>
        <v>-6868675.427</v>
      </c>
      <c r="AX4" s="260">
        <f t="shared" si="8"/>
        <v>-9935416.677</v>
      </c>
      <c r="AY4" s="260">
        <f t="shared" si="8"/>
        <v>6514657.979</v>
      </c>
      <c r="AZ4" s="260">
        <f t="shared" si="8"/>
        <v>-1198215.424</v>
      </c>
      <c r="BA4" s="260" t="str">
        <f t="shared" si="8"/>
        <v>#DIV/0!</v>
      </c>
      <c r="BB4" s="260">
        <f t="shared" si="8"/>
        <v>-491607.2581</v>
      </c>
      <c r="BC4" s="260" t="str">
        <f t="shared" si="8"/>
        <v>#DIV/0!</v>
      </c>
      <c r="BD4" s="260">
        <f t="shared" si="8"/>
        <v>1164948.375</v>
      </c>
      <c r="BE4" s="260">
        <f t="shared" si="8"/>
        <v>-2583333.333</v>
      </c>
      <c r="BF4" s="260">
        <f t="shared" si="8"/>
        <v>3042000.001</v>
      </c>
      <c r="BG4" s="294">
        <f t="shared" si="8"/>
        <v>-224444.4483</v>
      </c>
      <c r="BH4" s="294">
        <f t="shared" si="8"/>
        <v>8.48823E+15</v>
      </c>
      <c r="BI4" s="260">
        <f t="shared" si="8"/>
        <v>3145848.377</v>
      </c>
      <c r="BJ4" s="260">
        <f t="shared" si="8"/>
        <v>-2325833.333</v>
      </c>
      <c r="BK4" s="260">
        <f t="shared" si="8"/>
        <v>-691000.0002</v>
      </c>
      <c r="BL4" s="260">
        <f t="shared" si="8"/>
        <v>9250000.023</v>
      </c>
      <c r="BM4" s="260">
        <f t="shared" si="8"/>
        <v>-1331460.674</v>
      </c>
      <c r="BN4" s="260">
        <f t="shared" si="8"/>
        <v>1150000</v>
      </c>
      <c r="BO4" s="260">
        <f t="shared" si="8"/>
        <v>0</v>
      </c>
      <c r="BP4" s="260" t="str">
        <f t="shared" si="8"/>
        <v>#DIV/0!</v>
      </c>
      <c r="BQ4" s="295" t="str">
        <f t="shared" si="8"/>
        <v>#DIV/0!</v>
      </c>
      <c r="BR4" s="294" t="str">
        <f t="shared" si="8"/>
        <v>#DIV/0!</v>
      </c>
      <c r="BS4" s="296" t="str">
        <f t="shared" si="8"/>
        <v>#DIV/0!</v>
      </c>
      <c r="BT4" s="260">
        <f t="shared" si="8"/>
        <v>-2568.08495</v>
      </c>
      <c r="BU4" s="260" t="str">
        <f t="shared" si="8"/>
        <v>#DIV/0!</v>
      </c>
      <c r="BV4" s="295" t="str">
        <f t="shared" si="8"/>
        <v>#DIV/0!</v>
      </c>
      <c r="BW4" s="263"/>
      <c r="BX4" s="264"/>
      <c r="BY4" s="264"/>
      <c r="BZ4" s="265"/>
      <c r="CA4" s="266">
        <v>50.0</v>
      </c>
      <c r="CB4" s="297">
        <v>0.0045</v>
      </c>
      <c r="CC4" s="266">
        <f>CA4*CB4</f>
        <v>0.225</v>
      </c>
      <c r="CD4" s="266">
        <f>CC4*BZ11</f>
        <v>759.7744695</v>
      </c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</row>
    <row r="5" ht="10.5" customHeight="1">
      <c r="A5" s="267"/>
      <c r="B5" s="267"/>
      <c r="C5" s="288"/>
      <c r="D5" s="242"/>
      <c r="E5" s="243"/>
      <c r="F5" s="298"/>
      <c r="G5" s="269"/>
      <c r="H5" s="270"/>
      <c r="I5" s="270"/>
      <c r="J5" s="267"/>
      <c r="K5" s="268"/>
      <c r="L5" s="268"/>
      <c r="M5" s="267"/>
      <c r="N5" s="271"/>
      <c r="O5" s="271"/>
      <c r="P5" s="249"/>
      <c r="Q5" s="249"/>
      <c r="R5" s="268"/>
      <c r="S5" s="268"/>
      <c r="T5" s="255"/>
      <c r="U5" s="270"/>
      <c r="V5" s="272"/>
      <c r="W5" s="273"/>
      <c r="X5" s="272"/>
      <c r="Y5" s="271"/>
      <c r="AA5" s="276"/>
      <c r="AB5" s="270"/>
      <c r="AC5" s="277"/>
      <c r="AD5" s="278"/>
      <c r="AE5" s="279"/>
      <c r="AF5" s="279"/>
      <c r="AG5" s="299"/>
      <c r="AH5" s="270"/>
      <c r="AI5" s="270"/>
      <c r="AJ5" s="270"/>
      <c r="AK5" s="255"/>
      <c r="AL5" s="270" t="s">
        <v>77</v>
      </c>
      <c r="AM5" s="300">
        <f>IntelligentData!C28</f>
        <v>0.2037479788</v>
      </c>
      <c r="AN5" s="280" t="s">
        <v>78</v>
      </c>
      <c r="AO5" s="301">
        <f>IntelligentData!C6</f>
        <v>0.1500445937</v>
      </c>
      <c r="AP5" s="302">
        <f>IntelligentData!C20</f>
        <v>308.2045719</v>
      </c>
      <c r="AQ5" s="303">
        <f>IntelligentData!C33</f>
        <v>26.04474189</v>
      </c>
      <c r="AR5" s="302">
        <f>IntelligentData!C30</f>
        <v>4.469314245</v>
      </c>
      <c r="AS5" s="302">
        <f>IntelligentData!C23</f>
        <v>1.951658129</v>
      </c>
      <c r="AT5" s="302">
        <f>IntelligentData!C29</f>
        <v>13.61113866</v>
      </c>
      <c r="AU5" s="304">
        <f>IntelligentData!$C$7</f>
        <v>6.867666325</v>
      </c>
      <c r="AV5" s="304">
        <f>IntelligentData!C7</f>
        <v>6.867666325</v>
      </c>
      <c r="AW5" s="300">
        <f>IntelligentData!C11</f>
        <v>1.358990926</v>
      </c>
      <c r="AX5" s="300">
        <f>IntelligentData!C23</f>
        <v>1.951658129</v>
      </c>
      <c r="AY5" s="300">
        <f>IntelligentData!C17</f>
        <v>3.553180119</v>
      </c>
      <c r="AZ5" s="300">
        <f>IntelligentData!C10</f>
        <v>0.615425521</v>
      </c>
      <c r="BA5" s="305"/>
      <c r="BB5" s="300">
        <f>IntelligentData!C15</f>
        <v>0.00001868917163</v>
      </c>
      <c r="BC5" s="300">
        <f>IntelligentData!C21</f>
        <v>0.8969837358</v>
      </c>
      <c r="BD5" s="300">
        <f>IntelligentData!C16</f>
        <v>0.01515444056</v>
      </c>
      <c r="BE5" s="300">
        <f>IntelligentData!C28</f>
        <v>0.2037479788</v>
      </c>
      <c r="BF5" s="300">
        <f>IntelligentData!C29</f>
        <v>13.61113866</v>
      </c>
      <c r="BG5" s="306">
        <f>IntelligentData!C30</f>
        <v>4.469314245</v>
      </c>
      <c r="BH5" s="306">
        <f>IntelligentData!C21</f>
        <v>0.8969837358</v>
      </c>
      <c r="BI5" s="300">
        <f>IntelligentData!C8</f>
        <v>0.8612142029</v>
      </c>
      <c r="BJ5" s="300">
        <f>IntelligentData!C27</f>
        <v>3.461855263</v>
      </c>
      <c r="BK5" s="300">
        <f>IntelligentData!C20</f>
        <v>308.2045719</v>
      </c>
      <c r="BL5" s="300">
        <f>IntelligentData!C19</f>
        <v>0.4217208958</v>
      </c>
      <c r="BM5" s="300">
        <f>IntelligentData!C12</f>
        <v>1.4466035</v>
      </c>
      <c r="BN5" s="300">
        <f>IntelligentData!C13</f>
        <v>0.359243426</v>
      </c>
      <c r="BO5" s="300">
        <f>IntelligentData!C14</f>
        <v>4.785409931</v>
      </c>
      <c r="BP5" s="300">
        <f>IntelligentData!C22</f>
        <v>0.1567702601</v>
      </c>
      <c r="BQ5" s="307">
        <f>IntelligentData!C23</f>
        <v>1.951658129</v>
      </c>
      <c r="BR5" s="308">
        <f>IntelligentData!C24</f>
        <v>1.351692216</v>
      </c>
      <c r="BS5" s="309">
        <f>IntelligentData!C18</f>
        <v>0.000008691764709</v>
      </c>
      <c r="BT5" s="310">
        <f>IntelligentData!C15</f>
        <v>0.00001868917163</v>
      </c>
      <c r="BU5" s="300">
        <f>IntelligentData!C25</f>
        <v>1.868396243</v>
      </c>
      <c r="BV5" s="310">
        <f>IntelligentData!C26</f>
        <v>0.0001811943234</v>
      </c>
      <c r="BW5" s="235"/>
      <c r="BX5" s="236"/>
      <c r="BY5" s="236"/>
      <c r="BZ5" s="237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  <c r="CN5" s="238"/>
      <c r="CO5" s="238"/>
    </row>
    <row r="6" ht="9.75" customHeight="1">
      <c r="A6" s="267"/>
      <c r="B6" s="240"/>
      <c r="C6" s="311"/>
      <c r="D6" s="267"/>
      <c r="E6" s="312" t="s">
        <v>79</v>
      </c>
      <c r="F6" s="267"/>
      <c r="G6" s="313"/>
      <c r="H6" s="314"/>
      <c r="I6" s="314"/>
      <c r="J6" s="267"/>
      <c r="K6" s="298"/>
      <c r="L6" s="298"/>
      <c r="M6" s="267"/>
      <c r="N6" s="315"/>
      <c r="O6" s="315"/>
      <c r="P6" s="316"/>
      <c r="Q6" s="316"/>
      <c r="R6" s="298"/>
      <c r="S6" s="298"/>
      <c r="T6" s="317"/>
      <c r="U6" s="314"/>
      <c r="V6" s="318"/>
      <c r="W6" s="319"/>
      <c r="X6" s="320" t="s">
        <v>80</v>
      </c>
      <c r="Y6" s="321" t="s">
        <v>81</v>
      </c>
      <c r="Z6" s="322"/>
      <c r="AA6" s="323"/>
      <c r="AB6" s="314"/>
      <c r="AC6" s="324"/>
      <c r="AD6" s="325"/>
      <c r="AE6" s="326"/>
      <c r="AF6" s="326"/>
      <c r="AG6" s="314"/>
      <c r="AH6" s="314"/>
      <c r="AI6" s="314"/>
      <c r="AJ6" s="314"/>
      <c r="AK6" s="317"/>
      <c r="AL6" s="314"/>
      <c r="AM6" s="314"/>
      <c r="AN6" s="327"/>
      <c r="AO6" s="328"/>
      <c r="AP6" s="329">
        <v>20000.0</v>
      </c>
      <c r="AQ6" s="329">
        <v>15000.0</v>
      </c>
      <c r="AR6" s="329"/>
      <c r="AS6" s="329">
        <v>15000.0</v>
      </c>
      <c r="AT6" s="329">
        <v>20000.0</v>
      </c>
      <c r="AU6" s="330"/>
      <c r="AV6" s="329">
        <v>0.0</v>
      </c>
      <c r="AW6" s="329">
        <v>25500.0</v>
      </c>
      <c r="AX6" s="329">
        <f>40000-16155</f>
        <v>23845</v>
      </c>
      <c r="AY6" s="329">
        <v>10000.0</v>
      </c>
      <c r="AZ6" s="329">
        <v>5640.0</v>
      </c>
      <c r="BA6" s="329"/>
      <c r="BB6" s="329">
        <v>2375.0</v>
      </c>
      <c r="BC6" s="329">
        <v>4000.0</v>
      </c>
      <c r="BD6" s="329">
        <v>3588.0</v>
      </c>
      <c r="BE6" s="329">
        <v>6200.0</v>
      </c>
      <c r="BF6" s="329">
        <v>1521.0</v>
      </c>
      <c r="BG6" s="331">
        <f>2500-1692</f>
        <v>808</v>
      </c>
      <c r="BH6" s="331">
        <v>3860.0</v>
      </c>
      <c r="BI6" s="329">
        <v>8714.0</v>
      </c>
      <c r="BJ6" s="329">
        <v>5582.0</v>
      </c>
      <c r="BK6" s="329">
        <v>691.0</v>
      </c>
      <c r="BL6" s="329">
        <v>3700.0</v>
      </c>
      <c r="BM6" s="329">
        <v>4740.0</v>
      </c>
      <c r="BN6" s="329">
        <v>2760.0</v>
      </c>
      <c r="BO6" s="329">
        <v>0.0</v>
      </c>
      <c r="BP6" s="329">
        <v>2291.0</v>
      </c>
      <c r="BQ6" s="332">
        <v>612.0</v>
      </c>
      <c r="BR6" s="332">
        <v>389.0</v>
      </c>
      <c r="BS6" s="333">
        <v>760.0</v>
      </c>
      <c r="BT6" s="332">
        <v>1207.0</v>
      </c>
      <c r="BU6" s="332">
        <v>-1053.0</v>
      </c>
      <c r="BV6" s="332">
        <v>-145.0</v>
      </c>
      <c r="BW6" s="334"/>
      <c r="BX6" s="335"/>
      <c r="BY6" s="335"/>
      <c r="BZ6" s="336"/>
      <c r="CA6" s="337"/>
      <c r="CB6" s="337"/>
      <c r="CC6" s="337"/>
      <c r="CD6" s="337"/>
      <c r="CE6" s="337"/>
      <c r="CF6" s="337"/>
      <c r="CG6" s="337"/>
      <c r="CH6" s="337"/>
      <c r="CI6" s="337"/>
      <c r="CJ6" s="337"/>
      <c r="CK6" s="337"/>
      <c r="CL6" s="337"/>
      <c r="CM6" s="337"/>
      <c r="CN6" s="337"/>
      <c r="CO6" s="337"/>
    </row>
    <row r="7" ht="9.75" customHeight="1">
      <c r="A7" s="267"/>
      <c r="B7" s="267"/>
      <c r="C7" s="267"/>
      <c r="D7" s="267"/>
      <c r="E7" s="338">
        <v>1000.0</v>
      </c>
      <c r="F7" s="269"/>
      <c r="G7" s="269"/>
      <c r="H7" s="339"/>
      <c r="I7" s="339"/>
      <c r="J7" s="340"/>
      <c r="K7" s="341"/>
      <c r="L7" s="341"/>
      <c r="M7" s="340"/>
      <c r="N7" s="340"/>
      <c r="O7" s="340"/>
      <c r="P7" s="342"/>
      <c r="Q7" s="342"/>
      <c r="R7" s="341"/>
      <c r="S7" s="341"/>
      <c r="T7" s="343" t="s">
        <v>82</v>
      </c>
      <c r="U7" s="344"/>
      <c r="V7" s="345"/>
      <c r="W7" s="346"/>
      <c r="X7" s="347" t="s">
        <v>83</v>
      </c>
      <c r="Y7" s="348" t="s">
        <v>84</v>
      </c>
      <c r="Z7" s="349"/>
      <c r="AA7" s="350"/>
      <c r="AB7" s="339"/>
      <c r="AC7" s="351"/>
      <c r="AD7" s="352"/>
      <c r="AE7" s="353"/>
      <c r="AF7" s="353"/>
      <c r="AG7" s="344"/>
      <c r="AH7" s="344"/>
      <c r="AI7" s="344"/>
      <c r="AJ7" s="344"/>
      <c r="AK7" s="354"/>
      <c r="AL7" s="344"/>
      <c r="AM7" s="344"/>
      <c r="AN7" s="355"/>
      <c r="AO7" s="356" t="s">
        <v>85</v>
      </c>
      <c r="AP7" s="357"/>
      <c r="AQ7" s="358"/>
      <c r="AR7" s="357"/>
      <c r="AS7" s="357"/>
      <c r="AT7" s="357"/>
      <c r="AU7" s="357"/>
      <c r="AV7" s="357"/>
      <c r="AW7" s="359" t="s">
        <v>86</v>
      </c>
      <c r="AX7" s="359"/>
      <c r="AY7" s="359"/>
      <c r="AZ7" s="357"/>
      <c r="BA7" s="360" t="s">
        <v>87</v>
      </c>
      <c r="BB7" s="361" t="s">
        <v>88</v>
      </c>
      <c r="BC7" s="357"/>
      <c r="BD7" s="361" t="s">
        <v>89</v>
      </c>
      <c r="BE7" s="361" t="s">
        <v>90</v>
      </c>
      <c r="BF7" s="357"/>
      <c r="BG7" s="362"/>
      <c r="BH7" s="363" t="s">
        <v>91</v>
      </c>
      <c r="BI7" s="361" t="s">
        <v>92</v>
      </c>
      <c r="BJ7" s="357"/>
      <c r="BK7" s="357"/>
      <c r="BL7" s="357"/>
      <c r="BM7" s="357"/>
      <c r="BN7" s="361" t="s">
        <v>93</v>
      </c>
      <c r="BO7" s="357"/>
      <c r="BP7" s="357"/>
      <c r="BQ7" s="364"/>
      <c r="BR7" s="364"/>
      <c r="BS7" s="365" t="s">
        <v>94</v>
      </c>
      <c r="BT7" s="364"/>
      <c r="BU7" s="364"/>
      <c r="BV7" s="364"/>
      <c r="BW7" s="334"/>
      <c r="BX7" s="335"/>
      <c r="BY7" s="335"/>
      <c r="BZ7" s="336"/>
      <c r="CA7" s="337"/>
      <c r="CB7" s="337"/>
      <c r="CC7" s="337"/>
      <c r="CD7" s="337"/>
      <c r="CE7" s="337"/>
      <c r="CF7" s="337"/>
      <c r="CG7" s="337"/>
      <c r="CH7" s="337"/>
      <c r="CI7" s="337"/>
      <c r="CJ7" s="337"/>
      <c r="CK7" s="337"/>
      <c r="CL7" s="337"/>
      <c r="CM7" s="337"/>
      <c r="CN7" s="337"/>
      <c r="CO7" s="337"/>
    </row>
    <row r="8" ht="15.0" customHeight="1">
      <c r="B8" s="366" t="s">
        <v>95</v>
      </c>
      <c r="C8" s="367">
        <f>F10+G10+AB10+H10+I10</f>
        <v>5.01556428</v>
      </c>
      <c r="D8" s="368"/>
      <c r="E8" s="369"/>
      <c r="F8" s="370"/>
      <c r="G8" s="370"/>
      <c r="H8" s="371"/>
      <c r="I8" s="371"/>
      <c r="J8" s="372"/>
      <c r="K8" s="373"/>
      <c r="L8" s="374" t="s">
        <v>96</v>
      </c>
      <c r="M8" s="375" t="s">
        <v>97</v>
      </c>
      <c r="N8" s="375" t="s">
        <v>98</v>
      </c>
      <c r="O8" s="372"/>
      <c r="P8" s="376"/>
      <c r="Q8" s="376"/>
      <c r="R8" s="373"/>
      <c r="S8" s="373"/>
      <c r="T8" s="377"/>
      <c r="U8" s="378"/>
      <c r="V8" s="379"/>
      <c r="W8" s="380"/>
      <c r="X8" s="381" t="s">
        <v>99</v>
      </c>
      <c r="Z8" s="382" t="s">
        <v>100</v>
      </c>
      <c r="AA8" s="383"/>
      <c r="AB8" s="371"/>
      <c r="AC8" s="384"/>
      <c r="AD8" s="383"/>
      <c r="AE8" s="385"/>
      <c r="AF8" s="385"/>
      <c r="AG8" s="378"/>
      <c r="AH8" s="378"/>
      <c r="AI8" s="378"/>
      <c r="AJ8" s="378"/>
      <c r="AK8" s="386"/>
      <c r="AL8" s="378"/>
      <c r="AM8" s="378"/>
      <c r="AN8" s="387"/>
      <c r="AO8" s="388">
        <v>18203.0</v>
      </c>
      <c r="AP8" s="389"/>
      <c r="AQ8" s="358"/>
      <c r="AR8" s="389"/>
      <c r="AS8" s="389"/>
      <c r="AT8" s="389"/>
      <c r="AU8" s="389"/>
      <c r="AV8" s="389"/>
      <c r="AW8" s="390" t="s">
        <v>101</v>
      </c>
      <c r="AX8" s="390"/>
      <c r="AY8" s="389"/>
      <c r="AZ8" s="389"/>
      <c r="BA8" s="391"/>
      <c r="BB8" s="389"/>
      <c r="BC8" s="390"/>
      <c r="BD8" s="389"/>
      <c r="BE8" s="389"/>
      <c r="BF8" s="389"/>
      <c r="BG8" s="358"/>
      <c r="BH8" s="358"/>
      <c r="BI8" s="392" t="s">
        <v>102</v>
      </c>
      <c r="BJ8" s="389"/>
      <c r="BK8" s="389"/>
      <c r="BL8" s="389"/>
      <c r="BM8" s="389"/>
      <c r="BN8" s="389"/>
      <c r="BO8" s="389"/>
      <c r="BP8" s="389"/>
      <c r="BQ8" s="393"/>
      <c r="BR8" s="393"/>
      <c r="BS8" s="394"/>
      <c r="BT8" s="393"/>
      <c r="BU8" s="393"/>
      <c r="BV8" s="393"/>
      <c r="BW8" s="334"/>
      <c r="BX8" s="335"/>
      <c r="BY8" s="335"/>
      <c r="BZ8" s="336"/>
      <c r="CA8" s="337"/>
      <c r="CB8" s="337"/>
      <c r="CC8" s="337"/>
      <c r="CD8" s="337"/>
      <c r="CE8" s="337"/>
      <c r="CF8" s="337"/>
      <c r="CG8" s="337"/>
      <c r="CH8" s="337"/>
      <c r="CI8" s="337"/>
      <c r="CJ8" s="337"/>
      <c r="CK8" s="337"/>
      <c r="CL8" s="337"/>
      <c r="CM8" s="337"/>
      <c r="CN8" s="337"/>
      <c r="CO8" s="337"/>
    </row>
    <row r="9" ht="15.0" customHeight="1">
      <c r="B9" s="395" t="s">
        <v>103</v>
      </c>
      <c r="C9" s="396">
        <f>M10+N10+AC10+Q10+O10+P10+Y10+Z10+J10</f>
        <v>98.55660401</v>
      </c>
      <c r="D9" s="397"/>
      <c r="E9" s="398" t="s">
        <v>104</v>
      </c>
      <c r="F9" s="399">
        <v>11.78049251</v>
      </c>
      <c r="G9" s="399"/>
      <c r="H9" s="400"/>
      <c r="I9" s="400"/>
      <c r="J9" s="401"/>
      <c r="K9" s="402"/>
      <c r="L9" s="402"/>
      <c r="M9" s="401">
        <v>0.0429</v>
      </c>
      <c r="N9" s="401">
        <v>15.3279</v>
      </c>
      <c r="O9" s="401"/>
      <c r="P9" s="376"/>
      <c r="Q9" s="403"/>
      <c r="R9" s="402"/>
      <c r="S9" s="402"/>
      <c r="T9" s="377"/>
      <c r="U9" s="404"/>
      <c r="V9" s="405"/>
      <c r="W9" s="380"/>
      <c r="X9" s="318"/>
      <c r="Y9" s="401"/>
      <c r="Z9" s="403"/>
      <c r="AA9" s="406"/>
      <c r="AB9" s="400"/>
      <c r="AC9" s="407"/>
      <c r="AD9" s="406"/>
      <c r="AE9" s="408"/>
      <c r="AF9" s="408"/>
      <c r="AG9" s="404"/>
      <c r="AH9" s="404"/>
      <c r="AI9" s="404"/>
      <c r="AJ9" s="404"/>
      <c r="AK9" s="386"/>
      <c r="AL9" s="409"/>
      <c r="AM9" s="410" t="s">
        <v>105</v>
      </c>
      <c r="AN9" s="411">
        <v>881.3321</v>
      </c>
      <c r="AO9" s="412">
        <v>52667.0</v>
      </c>
      <c r="AP9" s="413"/>
      <c r="AQ9" s="414"/>
      <c r="AR9" s="413"/>
      <c r="AS9" s="413"/>
      <c r="AT9" s="413"/>
      <c r="AU9" s="415"/>
      <c r="AV9" s="413"/>
      <c r="AW9" s="416"/>
      <c r="AX9" s="417"/>
      <c r="AY9" s="416"/>
      <c r="AZ9" s="416"/>
      <c r="BA9" s="418"/>
      <c r="BB9" s="416"/>
      <c r="BC9" s="416"/>
      <c r="BD9" s="413"/>
      <c r="BE9" s="419"/>
      <c r="BF9" s="419"/>
      <c r="BG9" s="419"/>
      <c r="BH9" s="419"/>
      <c r="BI9" s="420" t="s">
        <v>105</v>
      </c>
      <c r="BJ9" s="413"/>
      <c r="BK9" s="421"/>
      <c r="BL9" s="416"/>
      <c r="BM9" s="413"/>
      <c r="BN9" s="416"/>
      <c r="BO9" s="410" t="s">
        <v>105</v>
      </c>
      <c r="BP9" s="416"/>
      <c r="BQ9" s="422"/>
      <c r="BR9" s="422"/>
      <c r="BS9" s="394"/>
      <c r="BT9" s="422"/>
      <c r="BU9" s="422"/>
      <c r="BV9" s="422"/>
      <c r="BW9" s="334"/>
      <c r="BX9" s="335"/>
      <c r="BY9" s="335"/>
      <c r="BZ9" s="336" t="s">
        <v>9</v>
      </c>
      <c r="CA9" s="337">
        <v>1.105</v>
      </c>
      <c r="CB9" s="337"/>
      <c r="CC9" s="337"/>
      <c r="CD9" s="337"/>
      <c r="CE9" s="337"/>
      <c r="CF9" s="337"/>
      <c r="CG9" s="337"/>
      <c r="CH9" s="337"/>
      <c r="CI9" s="337"/>
      <c r="CJ9" s="337"/>
      <c r="CK9" s="337"/>
      <c r="CL9" s="337"/>
      <c r="CM9" s="337"/>
      <c r="CN9" s="337"/>
      <c r="CO9" s="337"/>
    </row>
    <row r="10" ht="18.75" customHeight="1">
      <c r="A10" s="423"/>
      <c r="B10" s="424" t="s">
        <v>106</v>
      </c>
      <c r="C10" s="425">
        <f>AA11+AD11+S11+AK11+T11+V11</f>
        <v>-0.002459800086</v>
      </c>
      <c r="D10" s="426"/>
      <c r="E10" s="427" t="s">
        <v>107</v>
      </c>
      <c r="F10" s="428">
        <f>SUM(F16:INDIRECT("F" &amp; $E$7))+F9</f>
        <v>5.01241644</v>
      </c>
      <c r="G10" s="428">
        <f>SUM(G16:INDIRECT("G" &amp; $E$7))+G9</f>
        <v>0.00314793</v>
      </c>
      <c r="H10" s="429">
        <f>SUM(H16:H405)+H9</f>
        <v>-0.00000009000000123</v>
      </c>
      <c r="I10" s="428">
        <f>SUM(I16:INDIRECT("I" &amp; $E$7))+I9</f>
        <v>0</v>
      </c>
      <c r="J10" s="430">
        <f>SUM(J16:INDIRECT("J" &amp; $E$7))+J9</f>
        <v>-0.00004985</v>
      </c>
      <c r="K10" s="431">
        <f>SUM(K16:INDIRECT("K" &amp; $E$7))+K9</f>
        <v>0.3495</v>
      </c>
      <c r="L10" s="431">
        <f>SUM(L16:INDIRECT("L" &amp; $E$7))+L9</f>
        <v>29887.25</v>
      </c>
      <c r="M10" s="430">
        <f>SUM(M16:INDIRECT("M" &amp; $E$7))+M9</f>
        <v>0.06419618613</v>
      </c>
      <c r="N10" s="430">
        <f>SUM(N16:INDIRECT("N" &amp; $E$7))+N9</f>
        <v>0.008976736275</v>
      </c>
      <c r="O10" s="430">
        <f>SUM(O16:INDIRECT("O" &amp; $E$7))+O9</f>
        <v>-0.00003944933</v>
      </c>
      <c r="P10" s="432">
        <f>SUM(P16:P288)+P9</f>
        <v>0.00099929</v>
      </c>
      <c r="Q10" s="432">
        <f>SUM(Q16:Q1013)+Q9</f>
        <v>-0.0000419</v>
      </c>
      <c r="R10" s="431">
        <f>SUM(R16:R1015)+R9</f>
        <v>-0.002879999985</v>
      </c>
      <c r="T10" s="433"/>
      <c r="V10" s="434"/>
      <c r="W10" s="377"/>
      <c r="X10" s="435"/>
      <c r="Y10" s="430">
        <f t="shared" ref="Y10:Z10" si="9">SUM(Y16:Y1015)+Y9</f>
        <v>0</v>
      </c>
      <c r="Z10" s="432">
        <f t="shared" si="9"/>
        <v>98.482563</v>
      </c>
      <c r="AB10" s="429">
        <f>SUM(AB16:AB1013)+AB9</f>
        <v>0</v>
      </c>
      <c r="AC10" s="436">
        <f>SUM(AC16:AC1301)+AC9</f>
        <v>0</v>
      </c>
      <c r="AK10" s="433"/>
      <c r="AM10" s="437">
        <f>SUM(AM16:AM1015)</f>
        <v>0</v>
      </c>
      <c r="AN10" s="438">
        <f>SUM(AN16:AN288)+AN9</f>
        <v>0</v>
      </c>
      <c r="AO10" s="439">
        <f>SUM(AO16:AO288)+AO9+AO8</f>
        <v>70870</v>
      </c>
      <c r="AP10" s="437">
        <f>SUM(AP16:INDIRECT("AP" &amp; $E$7))</f>
        <v>69.8723</v>
      </c>
      <c r="AQ10" s="440">
        <f>SUM(AQ16:INDIRECT("AQ" &amp; $E$7))</f>
        <v>451.696</v>
      </c>
      <c r="AR10" s="437">
        <f>SUM(AR16:INDIRECT("AR" &amp; $E$7))</f>
        <v>0</v>
      </c>
      <c r="AS10" s="437">
        <f>SUM(AS16:INDIRECT("AS" &amp; $E$7))</f>
        <v>6155.189646</v>
      </c>
      <c r="AT10" s="437">
        <f>SUM(AT16:INDIRECT("AT" &amp; $E$7))</f>
        <v>1324.8569</v>
      </c>
      <c r="AU10" s="437">
        <f t="shared" ref="AU10:AV10" si="10">SUM(AU16:AU288)+AU9</f>
        <v>0.00675573</v>
      </c>
      <c r="AV10" s="437">
        <f t="shared" si="10"/>
        <v>0.003756</v>
      </c>
      <c r="AW10" s="437">
        <f>SUM(AW16:AW402)+AW9</f>
        <v>-0.003712506184</v>
      </c>
      <c r="AX10" s="437">
        <f t="shared" ref="AX10:BG10" si="11">SUM(AX16:AX288)+AX9</f>
        <v>-0.002399999998</v>
      </c>
      <c r="AY10" s="437">
        <f t="shared" si="11"/>
        <v>0.001535</v>
      </c>
      <c r="AZ10" s="437">
        <f t="shared" si="11"/>
        <v>-0.004707</v>
      </c>
      <c r="BA10" s="437">
        <f t="shared" si="11"/>
        <v>0</v>
      </c>
      <c r="BB10" s="437">
        <f t="shared" si="11"/>
        <v>-0.00483109222</v>
      </c>
      <c r="BC10" s="437">
        <f t="shared" si="11"/>
        <v>0</v>
      </c>
      <c r="BD10" s="437">
        <f t="shared" si="11"/>
        <v>0.003079964808</v>
      </c>
      <c r="BE10" s="437">
        <f t="shared" si="11"/>
        <v>-0.0024</v>
      </c>
      <c r="BF10" s="437">
        <f t="shared" si="11"/>
        <v>0.0004999999999</v>
      </c>
      <c r="BG10" s="441">
        <f t="shared" si="11"/>
        <v>-0.003599999938</v>
      </c>
      <c r="BH10" s="437">
        <f>SUM(BH14:BH287)+BH8</f>
        <v>0</v>
      </c>
      <c r="BI10" s="441">
        <f>SUM(BI16:BI289)</f>
        <v>0.002769999998</v>
      </c>
      <c r="BJ10" s="437">
        <f t="shared" ref="BJ10:BM10" si="12">SUM(BJ16:BJ288)+BJ9</f>
        <v>-0.0024</v>
      </c>
      <c r="BK10" s="437">
        <f t="shared" si="12"/>
        <v>-0.0009999999997</v>
      </c>
      <c r="BL10" s="437">
        <f t="shared" si="12"/>
        <v>0.000399999999</v>
      </c>
      <c r="BM10" s="437">
        <f t="shared" si="12"/>
        <v>-0.00356</v>
      </c>
      <c r="BN10" s="437">
        <f>SUM(BN16:BN403)+BN9</f>
        <v>0.002399999999</v>
      </c>
      <c r="BO10" s="437">
        <f>SUM(BO16:BO288)</f>
        <v>0.0026</v>
      </c>
      <c r="BP10" s="437">
        <f t="shared" ref="BP10:BV10" si="13">SUM(BP16:BP288)+BP9</f>
        <v>0</v>
      </c>
      <c r="BQ10" s="442">
        <f t="shared" si="13"/>
        <v>0</v>
      </c>
      <c r="BR10" s="442">
        <f t="shared" si="13"/>
        <v>0</v>
      </c>
      <c r="BS10" s="443">
        <f t="shared" si="13"/>
        <v>0</v>
      </c>
      <c r="BT10" s="444">
        <f t="shared" si="13"/>
        <v>-0.4700000286</v>
      </c>
      <c r="BU10" s="442">
        <f t="shared" si="13"/>
        <v>0</v>
      </c>
      <c r="BV10" s="444">
        <f t="shared" si="13"/>
        <v>0</v>
      </c>
      <c r="BW10" s="445"/>
      <c r="BX10" s="446"/>
      <c r="BY10" s="446" t="s">
        <v>32</v>
      </c>
      <c r="BZ10" s="447">
        <f>IntelligentData!C4</f>
        <v>96202.86587</v>
      </c>
      <c r="CA10" s="448"/>
      <c r="CB10" s="423"/>
      <c r="CC10" s="423"/>
      <c r="CD10" s="423"/>
      <c r="CE10" s="423"/>
      <c r="CF10" s="423"/>
      <c r="CG10" s="423"/>
      <c r="CH10" s="423"/>
      <c r="CI10" s="423"/>
      <c r="CJ10" s="423"/>
      <c r="CK10" s="423"/>
      <c r="CL10" s="423"/>
      <c r="CM10" s="423"/>
      <c r="CN10" s="449"/>
      <c r="CO10" s="449"/>
    </row>
    <row r="11" ht="18.75" customHeight="1">
      <c r="A11" s="10"/>
      <c r="B11" s="450" t="s">
        <v>108</v>
      </c>
      <c r="C11" s="451">
        <f>S11+AJ11+AL11+AH11+AE11+AG11+AI11+K10+L10</f>
        <v>29887.60202</v>
      </c>
      <c r="D11" s="452"/>
      <c r="E11" s="398" t="s">
        <v>109</v>
      </c>
      <c r="F11" s="453">
        <f t="shared" ref="F11:I11" si="14">F10*$BZ$10</f>
        <v>482208.8264</v>
      </c>
      <c r="G11" s="454">
        <f t="shared" si="14"/>
        <v>302.8398875</v>
      </c>
      <c r="H11" s="453">
        <f t="shared" si="14"/>
        <v>-0.008658258046</v>
      </c>
      <c r="I11" s="453">
        <f t="shared" si="14"/>
        <v>0</v>
      </c>
      <c r="J11" s="453">
        <f>J10*$BZ$11</f>
        <v>-0.1683322547</v>
      </c>
      <c r="K11" s="455">
        <f t="shared" ref="K11:L11" si="15">K10</f>
        <v>0.3495</v>
      </c>
      <c r="L11" s="455">
        <f t="shared" si="15"/>
        <v>29887.25</v>
      </c>
      <c r="M11" s="453">
        <f t="shared" ref="M11:Q11" si="16">M10*$BZ$11</f>
        <v>216.7761034</v>
      </c>
      <c r="N11" s="453">
        <f t="shared" si="16"/>
        <v>30.3124224</v>
      </c>
      <c r="O11" s="453">
        <f t="shared" si="16"/>
        <v>-0.1332115279</v>
      </c>
      <c r="P11" s="456">
        <f t="shared" si="16"/>
        <v>3.374377909</v>
      </c>
      <c r="Q11" s="457">
        <f t="shared" si="16"/>
        <v>-0.1414868901</v>
      </c>
      <c r="R11" s="455">
        <f>R10</f>
        <v>-0.002879999985</v>
      </c>
      <c r="S11" s="434">
        <f t="shared" ref="S11:X11" si="17">SUM(S16:S1015)+S9</f>
        <v>0.0005999999994</v>
      </c>
      <c r="T11" s="458">
        <f t="shared" si="17"/>
        <v>0</v>
      </c>
      <c r="U11" s="458">
        <f t="shared" si="17"/>
        <v>0</v>
      </c>
      <c r="V11" s="458">
        <f t="shared" si="17"/>
        <v>0</v>
      </c>
      <c r="W11" s="459">
        <f t="shared" si="17"/>
        <v>0</v>
      </c>
      <c r="X11" s="460">
        <f t="shared" si="17"/>
        <v>0</v>
      </c>
      <c r="Y11" s="461">
        <f>Y10*BZ11</f>
        <v>0</v>
      </c>
      <c r="Z11" s="456">
        <f>Z10*$BZ$11</f>
        <v>332553.498</v>
      </c>
      <c r="AA11" s="462">
        <f>SUM(AA16:AA288)+AA9</f>
        <v>-0.00261</v>
      </c>
      <c r="AB11" s="463">
        <f>AB10*$BZ$10</f>
        <v>0</v>
      </c>
      <c r="AC11" s="463">
        <f>AC10*$BZ$11</f>
        <v>0</v>
      </c>
      <c r="AD11" s="462">
        <f t="shared" ref="AD11:AE11" si="18">SUM(AD16:AD288)+AD9</f>
        <v>-0.00461</v>
      </c>
      <c r="AE11" s="464">
        <f t="shared" si="18"/>
        <v>0</v>
      </c>
      <c r="AF11" s="464">
        <f>SUM(AF16:AF405)+AF9</f>
        <v>0.01000000001</v>
      </c>
      <c r="AG11" s="434">
        <f t="shared" ref="AG11:AJ11" si="19">SUM(AG16:AG288)+AG9</f>
        <v>0</v>
      </c>
      <c r="AH11" s="434">
        <f t="shared" si="19"/>
        <v>0</v>
      </c>
      <c r="AI11" s="434">
        <f t="shared" si="19"/>
        <v>-0.002148379999</v>
      </c>
      <c r="AJ11" s="434">
        <f t="shared" si="19"/>
        <v>0.004208050002</v>
      </c>
      <c r="AK11" s="465">
        <f>SUM(AK16:AK405)+AK9</f>
        <v>0.004160199969</v>
      </c>
      <c r="AL11" s="434">
        <f>SUM(AL16:AL405)</f>
        <v>-0.0001390000107</v>
      </c>
      <c r="AM11" s="466">
        <f>AM5*AM10</f>
        <v>0</v>
      </c>
      <c r="AN11" s="453">
        <f>AN10*0.5562</f>
        <v>0</v>
      </c>
      <c r="AO11" s="467">
        <f t="shared" ref="AO11:BV11" si="20">AO5*AO10</f>
        <v>10633.66035</v>
      </c>
      <c r="AP11" s="466">
        <f t="shared" si="20"/>
        <v>21534.96231</v>
      </c>
      <c r="AQ11" s="468">
        <f t="shared" si="20"/>
        <v>11764.30573</v>
      </c>
      <c r="AR11" s="466">
        <f t="shared" si="20"/>
        <v>0</v>
      </c>
      <c r="AS11" s="466">
        <f t="shared" si="20"/>
        <v>12012.82591</v>
      </c>
      <c r="AT11" s="466">
        <f t="shared" si="20"/>
        <v>18032.81097</v>
      </c>
      <c r="AU11" s="466">
        <f t="shared" si="20"/>
        <v>0.04639609942</v>
      </c>
      <c r="AV11" s="466">
        <f t="shared" si="20"/>
        <v>0.02579495472</v>
      </c>
      <c r="AW11" s="466">
        <f t="shared" si="20"/>
        <v>-0.005045262219</v>
      </c>
      <c r="AX11" s="466">
        <f t="shared" si="20"/>
        <v>-0.004683979504</v>
      </c>
      <c r="AY11" s="466">
        <f t="shared" si="20"/>
        <v>0.005454131484</v>
      </c>
      <c r="AZ11" s="466">
        <f t="shared" si="20"/>
        <v>-0.002896807927</v>
      </c>
      <c r="BA11" s="466">
        <f t="shared" si="20"/>
        <v>0</v>
      </c>
      <c r="BB11" s="466">
        <f t="shared" si="20"/>
        <v>-0.00000009028911164</v>
      </c>
      <c r="BC11" s="466">
        <f t="shared" si="20"/>
        <v>0</v>
      </c>
      <c r="BD11" s="466">
        <f t="shared" si="20"/>
        <v>0.00004667514361</v>
      </c>
      <c r="BE11" s="466">
        <f t="shared" si="20"/>
        <v>-0.0004889951492</v>
      </c>
      <c r="BF11" s="466">
        <f t="shared" si="20"/>
        <v>0.006805569328</v>
      </c>
      <c r="BG11" s="469">
        <f t="shared" si="20"/>
        <v>-0.016089531</v>
      </c>
      <c r="BH11" s="469">
        <f t="shared" si="20"/>
        <v>0</v>
      </c>
      <c r="BI11" s="468">
        <f t="shared" si="20"/>
        <v>0.002385563341</v>
      </c>
      <c r="BJ11" s="466">
        <f t="shared" si="20"/>
        <v>-0.008308452632</v>
      </c>
      <c r="BK11" s="466">
        <f t="shared" si="20"/>
        <v>-0.3082045718</v>
      </c>
      <c r="BL11" s="466">
        <f t="shared" si="20"/>
        <v>0.0001686883579</v>
      </c>
      <c r="BM11" s="466">
        <f t="shared" si="20"/>
        <v>-0.005149908459</v>
      </c>
      <c r="BN11" s="466">
        <f t="shared" si="20"/>
        <v>0.0008621842222</v>
      </c>
      <c r="BO11" s="466">
        <f t="shared" si="20"/>
        <v>0.01244206582</v>
      </c>
      <c r="BP11" s="466">
        <f t="shared" si="20"/>
        <v>0</v>
      </c>
      <c r="BQ11" s="466">
        <f t="shared" si="20"/>
        <v>0</v>
      </c>
      <c r="BR11" s="466">
        <f t="shared" si="20"/>
        <v>0</v>
      </c>
      <c r="BS11" s="470">
        <f t="shared" si="20"/>
        <v>0</v>
      </c>
      <c r="BT11" s="466">
        <f t="shared" si="20"/>
        <v>-0.000008783911199</v>
      </c>
      <c r="BU11" s="466">
        <f t="shared" si="20"/>
        <v>0</v>
      </c>
      <c r="BV11" s="466">
        <f t="shared" si="20"/>
        <v>0</v>
      </c>
      <c r="BW11" s="471"/>
      <c r="BX11" s="335"/>
      <c r="BY11" s="335" t="s">
        <v>33</v>
      </c>
      <c r="BZ11" s="472">
        <f>IntelligentData!C5</f>
        <v>3376.77542</v>
      </c>
      <c r="CA11" s="473"/>
      <c r="CB11" s="473"/>
      <c r="CC11" s="473"/>
      <c r="CD11" s="473"/>
      <c r="CE11" s="473"/>
      <c r="CF11" s="473"/>
      <c r="CG11" s="473"/>
      <c r="CH11" s="473"/>
      <c r="CI11" s="473"/>
      <c r="CJ11" s="473"/>
      <c r="CK11" s="473"/>
      <c r="CL11" s="473"/>
      <c r="CM11" s="473"/>
      <c r="CN11" s="473"/>
      <c r="CO11" s="473"/>
    </row>
    <row r="12" ht="12.75" customHeight="1">
      <c r="A12" s="226"/>
      <c r="B12" s="474" t="s">
        <v>110</v>
      </c>
      <c r="C12" s="228">
        <f>SUM(AO11:BP11)</f>
        <v>73978.31476</v>
      </c>
      <c r="D12" s="475"/>
      <c r="E12" s="476"/>
      <c r="F12" s="476"/>
      <c r="G12" s="477"/>
      <c r="H12" s="478"/>
      <c r="I12" s="479" t="s">
        <v>111</v>
      </c>
      <c r="J12" s="479" t="s">
        <v>111</v>
      </c>
      <c r="K12" s="478" t="s">
        <v>111</v>
      </c>
      <c r="L12" s="480"/>
      <c r="M12" s="481"/>
      <c r="N12" s="481"/>
      <c r="O12" s="481"/>
      <c r="P12" s="482"/>
      <c r="Q12" s="483"/>
      <c r="R12" s="478"/>
      <c r="S12" s="478"/>
      <c r="T12" s="478"/>
      <c r="U12" s="480"/>
      <c r="V12" s="480"/>
      <c r="W12" s="480"/>
      <c r="X12" s="484"/>
      <c r="Y12" s="481"/>
      <c r="Z12" s="481"/>
      <c r="AA12" s="481"/>
      <c r="AB12" s="485"/>
      <c r="AC12" s="485"/>
      <c r="AD12" s="485"/>
      <c r="AE12" s="485"/>
      <c r="AF12" s="485"/>
      <c r="AG12" s="483"/>
      <c r="AH12" s="483"/>
      <c r="AI12" s="483"/>
      <c r="AJ12" s="483"/>
      <c r="AK12" s="483"/>
      <c r="AL12" s="483"/>
      <c r="AM12" s="483"/>
      <c r="AN12" s="486"/>
      <c r="AO12" s="487"/>
      <c r="AP12" s="488"/>
      <c r="AQ12" s="488"/>
      <c r="AR12" s="488"/>
      <c r="AS12" s="488"/>
      <c r="AT12" s="488"/>
      <c r="AU12" s="489"/>
      <c r="AV12" s="488"/>
      <c r="AW12" s="490"/>
      <c r="AX12" s="491"/>
      <c r="AY12" s="490"/>
      <c r="AZ12" s="490"/>
      <c r="BA12" s="492"/>
      <c r="BB12" s="490"/>
      <c r="BC12" s="491"/>
      <c r="BD12" s="491"/>
      <c r="BE12" s="490"/>
      <c r="BF12" s="491"/>
      <c r="BG12" s="491"/>
      <c r="BH12" s="491"/>
      <c r="BI12" s="491"/>
      <c r="BJ12" s="491"/>
      <c r="BK12" s="491"/>
      <c r="BL12" s="491"/>
      <c r="BM12" s="491"/>
      <c r="BN12" s="491"/>
      <c r="BO12" s="491"/>
      <c r="BP12" s="491"/>
      <c r="BQ12" s="493"/>
      <c r="BR12" s="493"/>
      <c r="BS12" s="494"/>
      <c r="BT12" s="493"/>
      <c r="BU12" s="493"/>
      <c r="BV12" s="493"/>
      <c r="BW12" s="495"/>
      <c r="BX12" s="335"/>
      <c r="BY12" s="335" t="s">
        <v>52</v>
      </c>
      <c r="BZ12" s="496">
        <f>IntelligentData!C6</f>
        <v>0.1500445937</v>
      </c>
      <c r="CA12" s="497"/>
      <c r="CB12" s="497"/>
      <c r="CC12" s="497"/>
      <c r="CD12" s="497"/>
      <c r="CE12" s="497"/>
      <c r="CF12" s="497"/>
      <c r="CG12" s="497"/>
      <c r="CH12" s="497"/>
      <c r="CI12" s="497"/>
      <c r="CJ12" s="497"/>
      <c r="CK12" s="497"/>
      <c r="CL12" s="497"/>
      <c r="CM12" s="497"/>
      <c r="CN12" s="497"/>
      <c r="CO12" s="497"/>
    </row>
    <row r="13" ht="19.5" customHeight="1">
      <c r="A13" s="498"/>
      <c r="B13" s="499"/>
      <c r="C13" s="475"/>
      <c r="D13" s="475"/>
      <c r="E13" s="476"/>
      <c r="F13" s="476"/>
      <c r="G13" s="476"/>
      <c r="H13" s="500"/>
      <c r="I13" s="501"/>
      <c r="J13" s="479"/>
      <c r="K13" s="480"/>
      <c r="L13" s="480"/>
      <c r="M13" s="481"/>
      <c r="N13" s="481"/>
      <c r="O13" s="481"/>
      <c r="P13" s="481"/>
      <c r="Q13" s="481"/>
      <c r="R13" s="480"/>
      <c r="S13" s="502"/>
      <c r="T13" s="503"/>
      <c r="U13" s="480"/>
      <c r="V13" s="504"/>
      <c r="W13" s="480"/>
      <c r="X13" s="484" t="s">
        <v>112</v>
      </c>
      <c r="Y13" s="505"/>
      <c r="Z13" s="506"/>
      <c r="AA13" s="502"/>
      <c r="AB13" s="500"/>
      <c r="AC13" s="481"/>
      <c r="AD13" s="502"/>
      <c r="AE13" s="480"/>
      <c r="AF13" s="480" t="s">
        <v>3</v>
      </c>
      <c r="AG13" s="480"/>
      <c r="AH13" s="480"/>
      <c r="AI13" s="480"/>
      <c r="AJ13" s="480"/>
      <c r="AK13" s="502"/>
      <c r="AL13" s="480"/>
      <c r="AM13" s="480"/>
      <c r="AN13" s="507"/>
      <c r="AO13" s="487"/>
      <c r="AP13" s="490"/>
      <c r="AQ13" s="508"/>
      <c r="AR13" s="490"/>
      <c r="AS13" s="488"/>
      <c r="AT13" s="490"/>
      <c r="AU13" s="490"/>
      <c r="AV13" s="490"/>
      <c r="AW13" s="488"/>
      <c r="AX13" s="488"/>
      <c r="AY13" s="490"/>
      <c r="AZ13" s="488"/>
      <c r="BA13" s="509"/>
      <c r="BB13" s="490"/>
      <c r="BC13" s="488"/>
      <c r="BD13" s="490"/>
      <c r="BE13" s="490"/>
      <c r="BF13" s="490"/>
      <c r="BG13" s="510"/>
      <c r="BH13" s="510"/>
      <c r="BI13" s="510"/>
      <c r="BJ13" s="490"/>
      <c r="BK13" s="490"/>
      <c r="BL13" s="490"/>
      <c r="BM13" s="490"/>
      <c r="BN13" s="490"/>
      <c r="BO13" s="490"/>
      <c r="BP13" s="490"/>
      <c r="BQ13" s="511"/>
      <c r="BR13" s="511"/>
      <c r="BS13" s="512"/>
      <c r="BT13" s="511"/>
      <c r="BU13" s="511"/>
      <c r="BV13" s="511"/>
      <c r="BW13" s="495"/>
      <c r="BX13" s="335"/>
      <c r="BY13" s="335"/>
      <c r="BZ13" s="513"/>
      <c r="CA13" s="497"/>
      <c r="CB13" s="497"/>
      <c r="CC13" s="497"/>
      <c r="CD13" s="497"/>
      <c r="CE13" s="497"/>
      <c r="CF13" s="497"/>
      <c r="CG13" s="497"/>
      <c r="CH13" s="497"/>
      <c r="CI13" s="497"/>
      <c r="CJ13" s="497"/>
      <c r="CK13" s="497"/>
      <c r="CL13" s="497"/>
      <c r="CM13" s="497"/>
      <c r="CN13" s="497"/>
      <c r="CO13" s="497"/>
    </row>
    <row r="14" ht="23.25" customHeight="1">
      <c r="A14" s="514" t="s">
        <v>113</v>
      </c>
      <c r="B14" s="515" t="s">
        <v>114</v>
      </c>
      <c r="C14" s="516" t="s">
        <v>115</v>
      </c>
      <c r="D14" s="516" t="s">
        <v>116</v>
      </c>
      <c r="E14" s="517" t="s">
        <v>117</v>
      </c>
      <c r="F14" s="518" t="s">
        <v>118</v>
      </c>
      <c r="G14" s="517" t="s">
        <v>119</v>
      </c>
      <c r="H14" s="519" t="s">
        <v>120</v>
      </c>
      <c r="I14" s="520" t="s">
        <v>121</v>
      </c>
      <c r="J14" s="521" t="s">
        <v>122</v>
      </c>
      <c r="K14" s="522" t="s">
        <v>123</v>
      </c>
      <c r="L14" s="522" t="s">
        <v>124</v>
      </c>
      <c r="M14" s="523" t="s">
        <v>125</v>
      </c>
      <c r="N14" s="523" t="s">
        <v>126</v>
      </c>
      <c r="O14" s="523" t="s">
        <v>127</v>
      </c>
      <c r="P14" s="524" t="s">
        <v>128</v>
      </c>
      <c r="Q14" s="524" t="s">
        <v>129</v>
      </c>
      <c r="R14" s="522" t="s">
        <v>130</v>
      </c>
      <c r="S14" s="522" t="s">
        <v>131</v>
      </c>
      <c r="T14" s="525" t="s">
        <v>132</v>
      </c>
      <c r="U14" s="526" t="s">
        <v>133</v>
      </c>
      <c r="V14" s="522" t="s">
        <v>134</v>
      </c>
      <c r="W14" s="525" t="s">
        <v>135</v>
      </c>
      <c r="X14" s="522" t="s">
        <v>136</v>
      </c>
      <c r="Y14" s="523" t="s">
        <v>137</v>
      </c>
      <c r="Z14" s="524" t="s">
        <v>138</v>
      </c>
      <c r="AA14" s="527" t="s">
        <v>139</v>
      </c>
      <c r="AB14" s="528" t="s">
        <v>140</v>
      </c>
      <c r="AC14" s="529" t="s">
        <v>141</v>
      </c>
      <c r="AD14" s="527" t="s">
        <v>142</v>
      </c>
      <c r="AE14" s="530" t="s">
        <v>143</v>
      </c>
      <c r="AF14" s="530" t="s">
        <v>144</v>
      </c>
      <c r="AG14" s="531" t="s">
        <v>145</v>
      </c>
      <c r="AH14" s="531" t="s">
        <v>146</v>
      </c>
      <c r="AI14" s="532" t="s">
        <v>147</v>
      </c>
      <c r="AJ14" s="533" t="s">
        <v>148</v>
      </c>
      <c r="AK14" s="534" t="s">
        <v>149</v>
      </c>
      <c r="AL14" s="533" t="s">
        <v>150</v>
      </c>
      <c r="AM14" s="533" t="s">
        <v>151</v>
      </c>
      <c r="AN14" s="535" t="s">
        <v>152</v>
      </c>
      <c r="AO14" s="536" t="s">
        <v>153</v>
      </c>
      <c r="AP14" s="537" t="s">
        <v>154</v>
      </c>
      <c r="AQ14" s="538" t="s">
        <v>155</v>
      </c>
      <c r="AR14" s="537" t="s">
        <v>156</v>
      </c>
      <c r="AS14" s="537" t="s">
        <v>157</v>
      </c>
      <c r="AT14" s="537" t="s">
        <v>158</v>
      </c>
      <c r="AU14" s="537" t="s">
        <v>159</v>
      </c>
      <c r="AV14" s="537" t="s">
        <v>160</v>
      </c>
      <c r="AW14" s="537" t="s">
        <v>161</v>
      </c>
      <c r="AX14" s="537" t="s">
        <v>162</v>
      </c>
      <c r="AY14" s="537" t="s">
        <v>163</v>
      </c>
      <c r="AZ14" s="537" t="s">
        <v>164</v>
      </c>
      <c r="BA14" s="539" t="s">
        <v>165</v>
      </c>
      <c r="BB14" s="537" t="s">
        <v>166</v>
      </c>
      <c r="BC14" s="537" t="s">
        <v>167</v>
      </c>
      <c r="BD14" s="537" t="s">
        <v>168</v>
      </c>
      <c r="BE14" s="537" t="s">
        <v>169</v>
      </c>
      <c r="BF14" s="537" t="s">
        <v>170</v>
      </c>
      <c r="BG14" s="537" t="s">
        <v>171</v>
      </c>
      <c r="BH14" s="537" t="s">
        <v>172</v>
      </c>
      <c r="BI14" s="540" t="s">
        <v>173</v>
      </c>
      <c r="BJ14" s="537" t="s">
        <v>174</v>
      </c>
      <c r="BK14" s="537" t="s">
        <v>175</v>
      </c>
      <c r="BL14" s="537" t="s">
        <v>176</v>
      </c>
      <c r="BM14" s="537" t="s">
        <v>177</v>
      </c>
      <c r="BN14" s="537" t="s">
        <v>178</v>
      </c>
      <c r="BO14" s="537" t="s">
        <v>179</v>
      </c>
      <c r="BP14" s="537" t="s">
        <v>180</v>
      </c>
      <c r="BQ14" s="541" t="s">
        <v>181</v>
      </c>
      <c r="BR14" s="541" t="s">
        <v>182</v>
      </c>
      <c r="BS14" s="541" t="s">
        <v>183</v>
      </c>
      <c r="BT14" s="541" t="s">
        <v>184</v>
      </c>
      <c r="BU14" s="541" t="s">
        <v>185</v>
      </c>
      <c r="BV14" s="541" t="s">
        <v>186</v>
      </c>
      <c r="BW14" s="542"/>
      <c r="BX14" s="543" t="s">
        <v>187</v>
      </c>
      <c r="BY14" s="543" t="s">
        <v>188</v>
      </c>
      <c r="BZ14" s="543" t="s">
        <v>189</v>
      </c>
      <c r="CA14" s="543" t="s">
        <v>189</v>
      </c>
      <c r="CB14" s="543" t="s">
        <v>189</v>
      </c>
      <c r="CC14" s="543" t="s">
        <v>189</v>
      </c>
      <c r="CD14" s="543" t="s">
        <v>189</v>
      </c>
      <c r="CE14" s="543" t="s">
        <v>189</v>
      </c>
      <c r="CF14" s="543" t="s">
        <v>189</v>
      </c>
      <c r="CG14" s="544"/>
      <c r="CH14" s="544"/>
      <c r="CI14" s="544"/>
      <c r="CJ14" s="544"/>
      <c r="CK14" s="544"/>
      <c r="CL14" s="544"/>
      <c r="CM14" s="544"/>
      <c r="CN14" s="544"/>
      <c r="CO14" s="544"/>
    </row>
    <row r="15" ht="12.75" customHeight="1">
      <c r="A15" s="545"/>
      <c r="B15" s="546"/>
      <c r="C15" s="547"/>
      <c r="D15" s="547"/>
      <c r="E15" s="548"/>
      <c r="F15" s="549" t="s">
        <v>190</v>
      </c>
      <c r="G15" s="550" t="s">
        <v>190</v>
      </c>
      <c r="H15" s="549" t="s">
        <v>190</v>
      </c>
      <c r="I15" s="549" t="s">
        <v>190</v>
      </c>
      <c r="J15" s="551" t="s">
        <v>191</v>
      </c>
      <c r="K15" s="552" t="s">
        <v>30</v>
      </c>
      <c r="L15" s="552" t="s">
        <v>30</v>
      </c>
      <c r="M15" s="551" t="s">
        <v>191</v>
      </c>
      <c r="N15" s="551" t="s">
        <v>191</v>
      </c>
      <c r="O15" s="551" t="s">
        <v>191</v>
      </c>
      <c r="P15" s="551" t="s">
        <v>191</v>
      </c>
      <c r="Q15" s="551" t="s">
        <v>191</v>
      </c>
      <c r="R15" s="552" t="s">
        <v>30</v>
      </c>
      <c r="S15" s="552" t="s">
        <v>31</v>
      </c>
      <c r="T15" s="553" t="s">
        <v>31</v>
      </c>
      <c r="U15" s="552" t="s">
        <v>30</v>
      </c>
      <c r="V15" s="554" t="s">
        <v>31</v>
      </c>
      <c r="W15" s="555" t="s">
        <v>135</v>
      </c>
      <c r="X15" s="554"/>
      <c r="Y15" s="551"/>
      <c r="Z15" s="556" t="s">
        <v>33</v>
      </c>
      <c r="AA15" s="557" t="s">
        <v>31</v>
      </c>
      <c r="AB15" s="549" t="s">
        <v>190</v>
      </c>
      <c r="AC15" s="551" t="s">
        <v>191</v>
      </c>
      <c r="AD15" s="557" t="s">
        <v>31</v>
      </c>
      <c r="AE15" s="552" t="s">
        <v>30</v>
      </c>
      <c r="AF15" s="552" t="s">
        <v>3</v>
      </c>
      <c r="AG15" s="552" t="s">
        <v>30</v>
      </c>
      <c r="AH15" s="552" t="s">
        <v>30</v>
      </c>
      <c r="AI15" s="552" t="s">
        <v>30</v>
      </c>
      <c r="AJ15" s="552" t="s">
        <v>30</v>
      </c>
      <c r="AK15" s="558" t="s">
        <v>31</v>
      </c>
      <c r="AL15" s="552" t="s">
        <v>30</v>
      </c>
      <c r="AM15" s="552" t="s">
        <v>192</v>
      </c>
      <c r="AN15" s="559" t="s">
        <v>193</v>
      </c>
      <c r="AO15" s="560" t="s">
        <v>153</v>
      </c>
      <c r="AP15" s="561" t="s">
        <v>51</v>
      </c>
      <c r="AQ15" s="562" t="s">
        <v>194</v>
      </c>
      <c r="AR15" s="561" t="s">
        <v>194</v>
      </c>
      <c r="AS15" s="561" t="s">
        <v>54</v>
      </c>
      <c r="AT15" s="561" t="s">
        <v>56</v>
      </c>
      <c r="AU15" s="561" t="s">
        <v>195</v>
      </c>
      <c r="AV15" s="561" t="s">
        <v>195</v>
      </c>
      <c r="AW15" s="561" t="s">
        <v>196</v>
      </c>
      <c r="AX15" s="561" t="s">
        <v>54</v>
      </c>
      <c r="AY15" s="561" t="s">
        <v>197</v>
      </c>
      <c r="AZ15" s="561" t="s">
        <v>198</v>
      </c>
      <c r="BA15" s="563" t="s">
        <v>199</v>
      </c>
      <c r="BB15" s="561" t="s">
        <v>166</v>
      </c>
      <c r="BC15" s="561" t="s">
        <v>200</v>
      </c>
      <c r="BD15" s="561" t="s">
        <v>201</v>
      </c>
      <c r="BE15" s="561" t="s">
        <v>169</v>
      </c>
      <c r="BF15" s="561" t="s">
        <v>202</v>
      </c>
      <c r="BG15" s="564" t="s">
        <v>203</v>
      </c>
      <c r="BH15" s="564" t="s">
        <v>172</v>
      </c>
      <c r="BI15" s="564" t="s">
        <v>204</v>
      </c>
      <c r="BJ15" s="561" t="s">
        <v>205</v>
      </c>
      <c r="BK15" s="561" t="s">
        <v>206</v>
      </c>
      <c r="BL15" s="561" t="s">
        <v>207</v>
      </c>
      <c r="BM15" s="561" t="s">
        <v>208</v>
      </c>
      <c r="BN15" s="561" t="s">
        <v>209</v>
      </c>
      <c r="BO15" s="561" t="s">
        <v>210</v>
      </c>
      <c r="BP15" s="561" t="s">
        <v>211</v>
      </c>
      <c r="BQ15" s="565" t="s">
        <v>212</v>
      </c>
      <c r="BR15" s="565" t="s">
        <v>213</v>
      </c>
      <c r="BS15" s="566" t="s">
        <v>214</v>
      </c>
      <c r="BT15" s="565" t="s">
        <v>215</v>
      </c>
      <c r="BU15" s="565" t="s">
        <v>216</v>
      </c>
      <c r="BV15" s="565" t="s">
        <v>217</v>
      </c>
      <c r="BW15" s="567"/>
      <c r="BX15" s="568"/>
      <c r="BY15" s="568"/>
      <c r="BZ15" s="569"/>
      <c r="CA15" s="570"/>
      <c r="CB15" s="570"/>
      <c r="CC15" s="570"/>
      <c r="CD15" s="570"/>
      <c r="CE15" s="570"/>
      <c r="CF15" s="570"/>
      <c r="CG15" s="570"/>
      <c r="CH15" s="570"/>
      <c r="CI15" s="570"/>
      <c r="CJ15" s="570"/>
      <c r="CK15" s="570"/>
      <c r="CL15" s="570"/>
      <c r="CM15" s="570"/>
      <c r="CN15" s="570"/>
      <c r="CO15" s="570"/>
    </row>
    <row r="16" ht="25.5" customHeight="1">
      <c r="A16" s="571"/>
      <c r="B16" s="572">
        <v>45295.80972222222</v>
      </c>
      <c r="C16" s="573"/>
      <c r="D16" s="573"/>
      <c r="E16" s="574" t="s">
        <v>218</v>
      </c>
      <c r="F16" s="575">
        <v>-0.01024338</v>
      </c>
      <c r="G16" s="576">
        <v>0.01</v>
      </c>
      <c r="H16" s="577"/>
      <c r="I16" s="577"/>
      <c r="J16" s="578"/>
      <c r="K16" s="579"/>
      <c r="L16" s="579"/>
      <c r="M16" s="578"/>
      <c r="N16" s="578"/>
      <c r="O16" s="578"/>
      <c r="P16" s="580"/>
      <c r="Q16" s="580"/>
      <c r="R16" s="579"/>
      <c r="S16" s="579"/>
      <c r="T16" s="581"/>
      <c r="U16" s="582"/>
      <c r="V16" s="583"/>
      <c r="W16" s="581"/>
      <c r="X16" s="584"/>
      <c r="Y16" s="578"/>
      <c r="Z16" s="580"/>
      <c r="AA16" s="585"/>
      <c r="AB16" s="577"/>
      <c r="AC16" s="586"/>
      <c r="AD16" s="585"/>
      <c r="AE16" s="587"/>
      <c r="AF16" s="587"/>
      <c r="AG16" s="582"/>
      <c r="AH16" s="582"/>
      <c r="AI16" s="582"/>
      <c r="AJ16" s="582"/>
      <c r="AK16" s="588"/>
      <c r="AL16" s="582"/>
      <c r="AM16" s="582"/>
      <c r="AN16" s="589"/>
      <c r="AO16" s="590"/>
      <c r="AP16" s="591"/>
      <c r="AQ16" s="358"/>
      <c r="AR16" s="591"/>
      <c r="AS16" s="591"/>
      <c r="AT16" s="591"/>
      <c r="AU16" s="592"/>
      <c r="AV16" s="592"/>
      <c r="AW16" s="592"/>
      <c r="AX16" s="592"/>
      <c r="AY16" s="592"/>
      <c r="AZ16" s="592"/>
      <c r="BA16" s="593"/>
      <c r="BB16" s="592"/>
      <c r="BC16" s="592"/>
      <c r="BD16" s="592"/>
      <c r="BE16" s="592"/>
      <c r="BF16" s="592"/>
      <c r="BG16" s="358"/>
      <c r="BH16" s="358"/>
      <c r="BI16" s="358"/>
      <c r="BJ16" s="592"/>
      <c r="BK16" s="592"/>
      <c r="BL16" s="592"/>
      <c r="BM16" s="592"/>
      <c r="BN16" s="592"/>
      <c r="BO16" s="592"/>
      <c r="BP16" s="592"/>
      <c r="BQ16" s="594"/>
      <c r="BR16" s="594"/>
      <c r="BS16" s="394"/>
      <c r="BT16" s="594"/>
      <c r="BU16" s="594"/>
      <c r="BV16" s="594"/>
      <c r="BW16" s="595"/>
      <c r="BX16" s="596"/>
      <c r="BY16" s="596" t="s">
        <v>219</v>
      </c>
      <c r="BZ16" s="597" t="s">
        <v>220</v>
      </c>
    </row>
    <row r="17" ht="25.5" customHeight="1">
      <c r="A17" s="571"/>
      <c r="B17" s="572">
        <v>45295.819444444445</v>
      </c>
      <c r="C17" s="573"/>
      <c r="D17" s="573"/>
      <c r="E17" s="574" t="s">
        <v>218</v>
      </c>
      <c r="F17" s="598">
        <v>-1.00035948</v>
      </c>
      <c r="G17" s="576">
        <v>1.0</v>
      </c>
      <c r="H17" s="577"/>
      <c r="I17" s="577"/>
      <c r="J17" s="578"/>
      <c r="K17" s="579"/>
      <c r="L17" s="579"/>
      <c r="M17" s="578"/>
      <c r="N17" s="578"/>
      <c r="O17" s="578"/>
      <c r="P17" s="580"/>
      <c r="Q17" s="580"/>
      <c r="R17" s="579"/>
      <c r="S17" s="579"/>
      <c r="T17" s="581"/>
      <c r="U17" s="582"/>
      <c r="V17" s="583"/>
      <c r="W17" s="581"/>
      <c r="X17" s="584"/>
      <c r="Y17" s="578"/>
      <c r="Z17" s="580"/>
      <c r="AA17" s="585"/>
      <c r="AB17" s="577"/>
      <c r="AC17" s="586"/>
      <c r="AD17" s="585"/>
      <c r="AE17" s="587"/>
      <c r="AF17" s="587"/>
      <c r="AG17" s="582"/>
      <c r="AH17" s="582"/>
      <c r="AI17" s="582"/>
      <c r="AJ17" s="582"/>
      <c r="AK17" s="588"/>
      <c r="AL17" s="582"/>
      <c r="AM17" s="582"/>
      <c r="AN17" s="589"/>
      <c r="AO17" s="590"/>
      <c r="AP17" s="592"/>
      <c r="AQ17" s="358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592"/>
      <c r="BC17" s="592"/>
      <c r="BD17" s="592"/>
      <c r="BE17" s="592"/>
      <c r="BF17" s="592"/>
      <c r="BG17" s="358"/>
      <c r="BH17" s="358"/>
      <c r="BI17" s="358"/>
      <c r="BJ17" s="592"/>
      <c r="BK17" s="592"/>
      <c r="BL17" s="592"/>
      <c r="BM17" s="592"/>
      <c r="BN17" s="592"/>
      <c r="BO17" s="592"/>
      <c r="BP17" s="592"/>
      <c r="BQ17" s="594"/>
      <c r="BR17" s="594"/>
      <c r="BS17" s="394"/>
      <c r="BT17" s="594"/>
      <c r="BU17" s="594"/>
      <c r="BV17" s="594"/>
      <c r="BW17" s="595"/>
      <c r="BX17" s="596"/>
      <c r="BY17" s="596" t="s">
        <v>221</v>
      </c>
      <c r="BZ17" s="599" t="s">
        <v>222</v>
      </c>
    </row>
    <row r="18" ht="25.5" customHeight="1">
      <c r="A18" s="571"/>
      <c r="B18" s="572">
        <v>45295.83541666667</v>
      </c>
      <c r="C18" s="573"/>
      <c r="D18" s="573"/>
      <c r="E18" s="574" t="s">
        <v>223</v>
      </c>
      <c r="F18" s="200"/>
      <c r="G18" s="600">
        <v>-2.0884E-4</v>
      </c>
      <c r="H18" s="577"/>
      <c r="I18" s="577"/>
      <c r="J18" s="578"/>
      <c r="K18" s="579"/>
      <c r="L18" s="579"/>
      <c r="M18" s="578"/>
      <c r="N18" s="578"/>
      <c r="O18" s="578"/>
      <c r="P18" s="580"/>
      <c r="Q18" s="580"/>
      <c r="R18" s="579"/>
      <c r="S18" s="579"/>
      <c r="T18" s="581"/>
      <c r="U18" s="582"/>
      <c r="V18" s="583"/>
      <c r="W18" s="581"/>
      <c r="X18" s="584"/>
      <c r="Y18" s="578"/>
      <c r="Z18" s="580"/>
      <c r="AA18" s="585"/>
      <c r="AB18" s="577"/>
      <c r="AC18" s="586"/>
      <c r="AD18" s="585"/>
      <c r="AE18" s="587"/>
      <c r="AF18" s="587"/>
      <c r="AG18" s="582"/>
      <c r="AH18" s="582"/>
      <c r="AI18" s="582"/>
      <c r="AJ18" s="582"/>
      <c r="AK18" s="588"/>
      <c r="AL18" s="582"/>
      <c r="AM18" s="582"/>
      <c r="AN18" s="589"/>
      <c r="AO18" s="590"/>
      <c r="AP18" s="592"/>
      <c r="AQ18" s="358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592"/>
      <c r="BC18" s="592"/>
      <c r="BD18" s="592"/>
      <c r="BE18" s="592"/>
      <c r="BF18" s="592"/>
      <c r="BG18" s="358"/>
      <c r="BH18" s="358"/>
      <c r="BI18" s="358"/>
      <c r="BJ18" s="592"/>
      <c r="BK18" s="592"/>
      <c r="BL18" s="592"/>
      <c r="BM18" s="592"/>
      <c r="BN18" s="592"/>
      <c r="BO18" s="592"/>
      <c r="BP18" s="592"/>
      <c r="BQ18" s="594"/>
      <c r="BR18" s="594"/>
      <c r="BS18" s="394"/>
      <c r="BT18" s="594"/>
      <c r="BU18" s="594"/>
      <c r="BV18" s="594"/>
      <c r="BW18" s="595"/>
      <c r="BX18" s="596"/>
      <c r="BY18" s="596" t="s">
        <v>224</v>
      </c>
      <c r="BZ18" s="599" t="s">
        <v>225</v>
      </c>
    </row>
    <row r="19" ht="25.5" customHeight="1">
      <c r="A19" s="571"/>
      <c r="B19" s="572">
        <v>45295.83541666667</v>
      </c>
      <c r="C19" s="573"/>
      <c r="D19" s="573">
        <v>1.0</v>
      </c>
      <c r="E19" s="571" t="s">
        <v>226</v>
      </c>
      <c r="F19" s="200"/>
      <c r="G19" s="600">
        <v>-0.2472016</v>
      </c>
      <c r="H19" s="577"/>
      <c r="I19" s="577"/>
      <c r="J19" s="578"/>
      <c r="K19" s="579"/>
      <c r="L19" s="579"/>
      <c r="M19" s="578"/>
      <c r="N19" s="578"/>
      <c r="O19" s="578"/>
      <c r="P19" s="580"/>
      <c r="Q19" s="580"/>
      <c r="R19" s="579"/>
      <c r="S19" s="579"/>
      <c r="T19" s="581"/>
      <c r="U19" s="582"/>
      <c r="V19" s="583"/>
      <c r="W19" s="581"/>
      <c r="X19" s="584"/>
      <c r="Y19" s="578"/>
      <c r="Z19" s="580"/>
      <c r="AA19" s="585"/>
      <c r="AB19" s="577"/>
      <c r="AC19" s="586"/>
      <c r="AD19" s="585"/>
      <c r="AE19" s="587"/>
      <c r="AF19" s="587"/>
      <c r="AG19" s="582"/>
      <c r="AH19" s="582"/>
      <c r="AI19" s="582"/>
      <c r="AJ19" s="582"/>
      <c r="AK19" s="588"/>
      <c r="AL19" s="582"/>
      <c r="AM19" s="582"/>
      <c r="AN19" s="589"/>
      <c r="AO19" s="590"/>
      <c r="AP19" s="592"/>
      <c r="AQ19" s="358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592"/>
      <c r="BC19" s="592"/>
      <c r="BD19" s="592"/>
      <c r="BE19" s="592"/>
      <c r="BF19" s="592"/>
      <c r="BG19" s="358"/>
      <c r="BH19" s="358"/>
      <c r="BI19" s="358"/>
      <c r="BJ19" s="592"/>
      <c r="BK19" s="592"/>
      <c r="BL19" s="592"/>
      <c r="BM19" s="592"/>
      <c r="BN19" s="592"/>
      <c r="BO19" s="592"/>
      <c r="BP19" s="592"/>
      <c r="BQ19" s="594"/>
      <c r="BR19" s="594"/>
      <c r="BS19" s="394"/>
      <c r="BT19" s="594"/>
      <c r="BU19" s="594"/>
      <c r="BV19" s="594"/>
      <c r="BW19" s="601"/>
      <c r="BX19" s="602"/>
      <c r="BY19" s="602" t="s">
        <v>227</v>
      </c>
      <c r="BZ19" s="597" t="s">
        <v>228</v>
      </c>
    </row>
    <row r="20" ht="25.5" customHeight="1">
      <c r="A20" s="571"/>
      <c r="B20" s="572">
        <v>45298.885416666664</v>
      </c>
      <c r="C20" s="573"/>
      <c r="D20" s="573">
        <v>1.0</v>
      </c>
      <c r="E20" s="571" t="s">
        <v>226</v>
      </c>
      <c r="F20" s="603"/>
      <c r="G20" s="600">
        <v>-0.24541666</v>
      </c>
      <c r="H20" s="577"/>
      <c r="I20" s="577"/>
      <c r="J20" s="578"/>
      <c r="K20" s="579"/>
      <c r="L20" s="579"/>
      <c r="M20" s="578"/>
      <c r="N20" s="578"/>
      <c r="O20" s="578"/>
      <c r="P20" s="580"/>
      <c r="Q20" s="580"/>
      <c r="R20" s="579"/>
      <c r="S20" s="579"/>
      <c r="T20" s="581"/>
      <c r="U20" s="582"/>
      <c r="V20" s="583"/>
      <c r="W20" s="581"/>
      <c r="X20" s="584"/>
      <c r="Y20" s="578"/>
      <c r="Z20" s="580"/>
      <c r="AA20" s="585"/>
      <c r="AB20" s="577"/>
      <c r="AC20" s="586"/>
      <c r="AD20" s="585"/>
      <c r="AE20" s="587"/>
      <c r="AF20" s="587"/>
      <c r="AG20" s="582"/>
      <c r="AH20" s="582"/>
      <c r="AI20" s="582"/>
      <c r="AJ20" s="582"/>
      <c r="AK20" s="588"/>
      <c r="AL20" s="582"/>
      <c r="AM20" s="582"/>
      <c r="AN20" s="589"/>
      <c r="AO20" s="590"/>
      <c r="AP20" s="592"/>
      <c r="AQ20" s="358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592"/>
      <c r="BC20" s="592"/>
      <c r="BD20" s="592"/>
      <c r="BE20" s="592"/>
      <c r="BF20" s="592"/>
      <c r="BG20" s="358"/>
      <c r="BH20" s="358"/>
      <c r="BI20" s="358"/>
      <c r="BJ20" s="592"/>
      <c r="BK20" s="592"/>
      <c r="BL20" s="592"/>
      <c r="BM20" s="592"/>
      <c r="BN20" s="592"/>
      <c r="BO20" s="592"/>
      <c r="BP20" s="592"/>
      <c r="BQ20" s="594"/>
      <c r="BR20" s="594"/>
      <c r="BS20" s="394"/>
      <c r="BT20" s="594"/>
      <c r="BU20" s="594"/>
      <c r="BV20" s="594"/>
      <c r="BW20" s="595"/>
      <c r="BX20" s="596"/>
      <c r="BY20" s="596" t="s">
        <v>229</v>
      </c>
      <c r="BZ20" s="597" t="s">
        <v>230</v>
      </c>
    </row>
    <row r="21" ht="25.5" customHeight="1">
      <c r="A21" s="604">
        <f>M21+M9</f>
        <v>0.24938655</v>
      </c>
      <c r="B21" s="572">
        <v>45301.467361111114</v>
      </c>
      <c r="C21" s="573"/>
      <c r="D21" s="573"/>
      <c r="E21" s="574" t="s">
        <v>231</v>
      </c>
      <c r="F21" s="603"/>
      <c r="G21" s="600"/>
      <c r="H21" s="577"/>
      <c r="I21" s="577"/>
      <c r="J21" s="578"/>
      <c r="K21" s="579"/>
      <c r="L21" s="579"/>
      <c r="M21" s="578">
        <v>0.20648655</v>
      </c>
      <c r="N21" s="578"/>
      <c r="O21" s="578"/>
      <c r="P21" s="580"/>
      <c r="Q21" s="580"/>
      <c r="R21" s="579"/>
      <c r="S21" s="579"/>
      <c r="T21" s="581"/>
      <c r="U21" s="582"/>
      <c r="V21" s="583"/>
      <c r="W21" s="581"/>
      <c r="X21" s="584"/>
      <c r="Y21" s="578"/>
      <c r="Z21" s="605"/>
      <c r="AA21" s="585"/>
      <c r="AB21" s="577"/>
      <c r="AC21" s="586"/>
      <c r="AD21" s="585"/>
      <c r="AE21" s="606"/>
      <c r="AF21" s="606"/>
      <c r="AG21" s="582"/>
      <c r="AH21" s="582"/>
      <c r="AI21" s="582"/>
      <c r="AJ21" s="582"/>
      <c r="AK21" s="588"/>
      <c r="AL21" s="582"/>
      <c r="AM21" s="582"/>
      <c r="AN21" s="607">
        <v>-881.3321</v>
      </c>
      <c r="AO21" s="590"/>
      <c r="AP21" s="592"/>
      <c r="AQ21" s="358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592"/>
      <c r="BC21" s="592"/>
      <c r="BD21" s="592"/>
      <c r="BE21" s="592"/>
      <c r="BF21" s="592"/>
      <c r="BG21" s="358"/>
      <c r="BH21" s="358"/>
      <c r="BI21" s="358"/>
      <c r="BJ21" s="592"/>
      <c r="BK21" s="592"/>
      <c r="BL21" s="592"/>
      <c r="BM21" s="592"/>
      <c r="BN21" s="592"/>
      <c r="BO21" s="592"/>
      <c r="BP21" s="592"/>
      <c r="BQ21" s="594"/>
      <c r="BR21" s="594"/>
      <c r="BS21" s="394"/>
      <c r="BT21" s="594"/>
      <c r="BU21" s="594"/>
      <c r="BV21" s="594"/>
      <c r="BW21" s="595"/>
      <c r="BX21" s="608"/>
      <c r="BY21" s="608" t="s">
        <v>232</v>
      </c>
      <c r="BZ21" s="609" t="s">
        <v>233</v>
      </c>
    </row>
    <row r="22" ht="25.5" customHeight="1">
      <c r="A22" s="571"/>
      <c r="B22" s="572" t="s">
        <v>234</v>
      </c>
      <c r="C22" s="573"/>
      <c r="D22" s="573">
        <v>1.0</v>
      </c>
      <c r="E22" s="571" t="s">
        <v>226</v>
      </c>
      <c r="F22" s="603"/>
      <c r="G22" s="600">
        <v>-0.16624502</v>
      </c>
      <c r="H22" s="577"/>
      <c r="I22" s="577"/>
      <c r="J22" s="578"/>
      <c r="K22" s="579"/>
      <c r="L22" s="579"/>
      <c r="M22" s="578"/>
      <c r="N22" s="578"/>
      <c r="O22" s="578"/>
      <c r="P22" s="580"/>
      <c r="Q22" s="580"/>
      <c r="R22" s="579"/>
      <c r="S22" s="579"/>
      <c r="T22" s="581"/>
      <c r="U22" s="582"/>
      <c r="V22" s="583"/>
      <c r="W22" s="581"/>
      <c r="X22" s="584"/>
      <c r="Y22" s="578"/>
      <c r="Z22" s="580"/>
      <c r="AA22" s="585"/>
      <c r="AB22" s="577"/>
      <c r="AC22" s="586"/>
      <c r="AD22" s="585"/>
      <c r="AE22" s="610"/>
      <c r="AF22" s="610"/>
      <c r="AG22" s="582"/>
      <c r="AH22" s="582"/>
      <c r="AI22" s="582"/>
      <c r="AJ22" s="582"/>
      <c r="AK22" s="588"/>
      <c r="AL22" s="582"/>
      <c r="AM22" s="582"/>
      <c r="AN22" s="611"/>
      <c r="AO22" s="590"/>
      <c r="AP22" s="592"/>
      <c r="AQ22" s="358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592"/>
      <c r="BC22" s="592"/>
      <c r="BD22" s="592"/>
      <c r="BE22" s="592"/>
      <c r="BF22" s="592"/>
      <c r="BG22" s="358"/>
      <c r="BH22" s="358"/>
      <c r="BI22" s="358"/>
      <c r="BJ22" s="592"/>
      <c r="BK22" s="592"/>
      <c r="BL22" s="592"/>
      <c r="BM22" s="592"/>
      <c r="BN22" s="592"/>
      <c r="BO22" s="592"/>
      <c r="BP22" s="592"/>
      <c r="BQ22" s="594"/>
      <c r="BR22" s="594"/>
      <c r="BS22" s="394"/>
      <c r="BT22" s="594"/>
      <c r="BU22" s="594"/>
      <c r="BV22" s="594"/>
      <c r="BW22" s="595"/>
      <c r="BX22" s="608"/>
      <c r="BY22" s="608" t="s">
        <v>235</v>
      </c>
      <c r="BZ22" s="609" t="s">
        <v>236</v>
      </c>
    </row>
    <row r="23" ht="25.5" customHeight="1">
      <c r="A23" s="571"/>
      <c r="B23" s="572" t="s">
        <v>237</v>
      </c>
      <c r="C23" s="573"/>
      <c r="D23" s="573">
        <v>1.0</v>
      </c>
      <c r="E23" s="571" t="s">
        <v>226</v>
      </c>
      <c r="F23" s="612"/>
      <c r="G23" s="600">
        <v>-0.18908512</v>
      </c>
      <c r="H23" s="577"/>
      <c r="I23" s="577"/>
      <c r="J23" s="613"/>
      <c r="K23" s="579"/>
      <c r="L23" s="579"/>
      <c r="M23" s="613"/>
      <c r="N23" s="613"/>
      <c r="O23" s="613"/>
      <c r="P23" s="580"/>
      <c r="Q23" s="580"/>
      <c r="R23" s="579"/>
      <c r="S23" s="579"/>
      <c r="T23" s="581"/>
      <c r="U23" s="582"/>
      <c r="V23" s="614"/>
      <c r="W23" s="581"/>
      <c r="X23" s="615"/>
      <c r="Y23" s="613"/>
      <c r="Z23" s="580"/>
      <c r="AA23" s="585"/>
      <c r="AB23" s="577"/>
      <c r="AC23" s="586"/>
      <c r="AD23" s="585"/>
      <c r="AE23" s="587"/>
      <c r="AF23" s="587"/>
      <c r="AG23" s="582"/>
      <c r="AH23" s="582"/>
      <c r="AI23" s="582"/>
      <c r="AJ23" s="582"/>
      <c r="AK23" s="588"/>
      <c r="AL23" s="582"/>
      <c r="AM23" s="582"/>
      <c r="AN23" s="589"/>
      <c r="AO23" s="616"/>
      <c r="AP23" s="592"/>
      <c r="AQ23" s="358"/>
      <c r="AR23" s="592"/>
      <c r="AS23" s="592"/>
      <c r="AT23" s="592"/>
      <c r="AU23" s="592"/>
      <c r="AV23" s="592"/>
      <c r="AW23" s="592"/>
      <c r="AX23" s="592"/>
      <c r="AY23" s="592"/>
      <c r="AZ23" s="592"/>
      <c r="BA23" s="617"/>
      <c r="BB23" s="592"/>
      <c r="BC23" s="592"/>
      <c r="BD23" s="592"/>
      <c r="BE23" s="592"/>
      <c r="BF23" s="592"/>
      <c r="BG23" s="358"/>
      <c r="BH23" s="358"/>
      <c r="BI23" s="358"/>
      <c r="BJ23" s="592"/>
      <c r="BK23" s="592"/>
      <c r="BL23" s="592"/>
      <c r="BM23" s="592"/>
      <c r="BN23" s="592"/>
      <c r="BO23" s="592"/>
      <c r="BP23" s="592"/>
      <c r="BQ23" s="594"/>
      <c r="BR23" s="594"/>
      <c r="BS23" s="394"/>
      <c r="BT23" s="594"/>
      <c r="BU23" s="594"/>
      <c r="BV23" s="594"/>
      <c r="BW23" s="618"/>
      <c r="BX23" s="608"/>
      <c r="BY23" s="608" t="s">
        <v>238</v>
      </c>
      <c r="BZ23" s="609" t="s">
        <v>239</v>
      </c>
    </row>
    <row r="24" ht="25.5" customHeight="1">
      <c r="A24" s="571"/>
      <c r="B24" s="572" t="s">
        <v>240</v>
      </c>
      <c r="C24" s="573"/>
      <c r="D24" s="573"/>
      <c r="E24" s="574" t="s">
        <v>241</v>
      </c>
      <c r="F24" s="603"/>
      <c r="G24" s="600">
        <v>-8.576E-5</v>
      </c>
      <c r="H24" s="577"/>
      <c r="I24" s="577"/>
      <c r="J24" s="613"/>
      <c r="K24" s="579"/>
      <c r="L24" s="579"/>
      <c r="M24" s="613"/>
      <c r="N24" s="613"/>
      <c r="O24" s="613"/>
      <c r="P24" s="580"/>
      <c r="Q24" s="580"/>
      <c r="R24" s="579"/>
      <c r="S24" s="579"/>
      <c r="T24" s="581"/>
      <c r="U24" s="582"/>
      <c r="V24" s="614"/>
      <c r="W24" s="581"/>
      <c r="X24" s="615"/>
      <c r="Y24" s="613"/>
      <c r="Z24" s="580"/>
      <c r="AA24" s="585"/>
      <c r="AB24" s="577"/>
      <c r="AC24" s="586"/>
      <c r="AD24" s="585"/>
      <c r="AE24" s="610"/>
      <c r="AF24" s="610"/>
      <c r="AG24" s="582"/>
      <c r="AH24" s="582"/>
      <c r="AI24" s="582"/>
      <c r="AJ24" s="582"/>
      <c r="AK24" s="588"/>
      <c r="AL24" s="582"/>
      <c r="AM24" s="582"/>
      <c r="AN24" s="611"/>
      <c r="AO24" s="616"/>
      <c r="AP24" s="592"/>
      <c r="AQ24" s="358"/>
      <c r="AR24" s="592"/>
      <c r="AS24" s="592"/>
      <c r="AT24" s="592"/>
      <c r="AU24" s="592"/>
      <c r="AV24" s="592"/>
      <c r="AW24" s="592"/>
      <c r="AX24" s="592"/>
      <c r="AY24" s="592"/>
      <c r="AZ24" s="592"/>
      <c r="BA24" s="617"/>
      <c r="BB24" s="592"/>
      <c r="BC24" s="592"/>
      <c r="BD24" s="592"/>
      <c r="BE24" s="592"/>
      <c r="BF24" s="592"/>
      <c r="BG24" s="358"/>
      <c r="BH24" s="358"/>
      <c r="BI24" s="358"/>
      <c r="BJ24" s="592"/>
      <c r="BK24" s="592"/>
      <c r="BL24" s="592"/>
      <c r="BM24" s="592"/>
      <c r="BN24" s="592"/>
      <c r="BO24" s="592"/>
      <c r="BP24" s="592"/>
      <c r="BQ24" s="594"/>
      <c r="BR24" s="594"/>
      <c r="BS24" s="394"/>
      <c r="BT24" s="594"/>
      <c r="BU24" s="594"/>
      <c r="BV24" s="594"/>
      <c r="BW24" s="618"/>
      <c r="BX24" s="619"/>
      <c r="BY24" s="619" t="s">
        <v>242</v>
      </c>
      <c r="BZ24" s="609" t="s">
        <v>243</v>
      </c>
    </row>
    <row r="25" ht="25.5" customHeight="1">
      <c r="A25" s="571"/>
      <c r="B25" s="572" t="s">
        <v>244</v>
      </c>
      <c r="C25" s="573"/>
      <c r="D25" s="573"/>
      <c r="E25" s="574" t="s">
        <v>241</v>
      </c>
      <c r="F25" s="620"/>
      <c r="G25" s="600">
        <v>-1.0413E-4</v>
      </c>
      <c r="H25" s="577"/>
      <c r="I25" s="577"/>
      <c r="J25" s="613"/>
      <c r="K25" s="579"/>
      <c r="L25" s="579"/>
      <c r="M25" s="613"/>
      <c r="N25" s="613"/>
      <c r="O25" s="613"/>
      <c r="P25" s="580"/>
      <c r="Q25" s="580"/>
      <c r="R25" s="579"/>
      <c r="S25" s="579"/>
      <c r="T25" s="581"/>
      <c r="U25" s="582"/>
      <c r="V25" s="614"/>
      <c r="W25" s="581"/>
      <c r="X25" s="615"/>
      <c r="Y25" s="613"/>
      <c r="Z25" s="580"/>
      <c r="AA25" s="585"/>
      <c r="AB25" s="577"/>
      <c r="AC25" s="586"/>
      <c r="AD25" s="585"/>
      <c r="AE25" s="610"/>
      <c r="AF25" s="610"/>
      <c r="AG25" s="582"/>
      <c r="AH25" s="582"/>
      <c r="AI25" s="582"/>
      <c r="AJ25" s="582"/>
      <c r="AK25" s="588"/>
      <c r="AL25" s="582"/>
      <c r="AM25" s="582"/>
      <c r="AN25" s="611"/>
      <c r="AO25" s="616"/>
      <c r="AP25" s="592"/>
      <c r="AQ25" s="358"/>
      <c r="AR25" s="592"/>
      <c r="AS25" s="592"/>
      <c r="AT25" s="592"/>
      <c r="AU25" s="592"/>
      <c r="AV25" s="592"/>
      <c r="AW25" s="592"/>
      <c r="AX25" s="592"/>
      <c r="AY25" s="592"/>
      <c r="AZ25" s="592"/>
      <c r="BA25" s="617"/>
      <c r="BB25" s="592"/>
      <c r="BC25" s="592"/>
      <c r="BD25" s="592"/>
      <c r="BE25" s="592"/>
      <c r="BF25" s="592"/>
      <c r="BG25" s="358"/>
      <c r="BH25" s="358"/>
      <c r="BI25" s="358"/>
      <c r="BJ25" s="592"/>
      <c r="BK25" s="592"/>
      <c r="BL25" s="592"/>
      <c r="BM25" s="592"/>
      <c r="BN25" s="592"/>
      <c r="BO25" s="592"/>
      <c r="BP25" s="592"/>
      <c r="BQ25" s="594"/>
      <c r="BR25" s="594"/>
      <c r="BS25" s="394"/>
      <c r="BT25" s="594"/>
      <c r="BU25" s="594"/>
      <c r="BV25" s="594"/>
      <c r="BW25" s="618"/>
      <c r="BX25" s="619"/>
      <c r="BY25" s="619" t="s">
        <v>245</v>
      </c>
      <c r="BZ25" s="609" t="s">
        <v>246</v>
      </c>
    </row>
    <row r="26" ht="25.5" customHeight="1">
      <c r="A26" s="571"/>
      <c r="B26" s="572" t="s">
        <v>247</v>
      </c>
      <c r="C26" s="573"/>
      <c r="D26" s="573"/>
      <c r="E26" s="574" t="s">
        <v>241</v>
      </c>
      <c r="F26" s="620"/>
      <c r="G26" s="600">
        <v>-2.9096E-4</v>
      </c>
      <c r="H26" s="577"/>
      <c r="I26" s="577"/>
      <c r="J26" s="613"/>
      <c r="K26" s="579"/>
      <c r="L26" s="579"/>
      <c r="M26" s="613"/>
      <c r="N26" s="613"/>
      <c r="O26" s="613"/>
      <c r="P26" s="580"/>
      <c r="Q26" s="580"/>
      <c r="R26" s="579"/>
      <c r="S26" s="579"/>
      <c r="T26" s="581"/>
      <c r="U26" s="582"/>
      <c r="V26" s="614"/>
      <c r="W26" s="581"/>
      <c r="X26" s="615"/>
      <c r="Y26" s="613"/>
      <c r="Z26" s="580"/>
      <c r="AA26" s="585"/>
      <c r="AB26" s="577"/>
      <c r="AC26" s="586"/>
      <c r="AD26" s="585"/>
      <c r="AE26" s="610"/>
      <c r="AF26" s="610"/>
      <c r="AG26" s="582"/>
      <c r="AH26" s="582"/>
      <c r="AI26" s="582"/>
      <c r="AJ26" s="582"/>
      <c r="AK26" s="588"/>
      <c r="AL26" s="582"/>
      <c r="AM26" s="582"/>
      <c r="AN26" s="611"/>
      <c r="AO26" s="616"/>
      <c r="AP26" s="592"/>
      <c r="AQ26" s="358"/>
      <c r="AR26" s="592"/>
      <c r="AS26" s="592"/>
      <c r="AT26" s="592"/>
      <c r="AU26" s="592"/>
      <c r="AV26" s="592"/>
      <c r="AW26" s="592"/>
      <c r="AX26" s="592"/>
      <c r="AY26" s="592"/>
      <c r="AZ26" s="592"/>
      <c r="BA26" s="617"/>
      <c r="BB26" s="592"/>
      <c r="BC26" s="592"/>
      <c r="BD26" s="592"/>
      <c r="BE26" s="592"/>
      <c r="BF26" s="592"/>
      <c r="BG26" s="358"/>
      <c r="BH26" s="358"/>
      <c r="BI26" s="358"/>
      <c r="BJ26" s="592"/>
      <c r="BK26" s="592"/>
      <c r="BL26" s="592"/>
      <c r="BM26" s="592"/>
      <c r="BN26" s="592"/>
      <c r="BO26" s="592"/>
      <c r="BP26" s="592"/>
      <c r="BQ26" s="594"/>
      <c r="BR26" s="594"/>
      <c r="BS26" s="394"/>
      <c r="BT26" s="594"/>
      <c r="BU26" s="594"/>
      <c r="BV26" s="594"/>
      <c r="BW26" s="618"/>
      <c r="BX26" s="608"/>
      <c r="BY26" s="608" t="s">
        <v>248</v>
      </c>
      <c r="BZ26" s="609" t="s">
        <v>249</v>
      </c>
    </row>
    <row r="27" ht="25.5" customHeight="1">
      <c r="A27" s="571"/>
      <c r="B27" s="572" t="s">
        <v>250</v>
      </c>
      <c r="C27" s="573"/>
      <c r="D27" s="573">
        <v>1.0</v>
      </c>
      <c r="E27" s="574" t="s">
        <v>226</v>
      </c>
      <c r="F27" s="620"/>
      <c r="G27" s="600">
        <v>-0.130968</v>
      </c>
      <c r="H27" s="577"/>
      <c r="I27" s="577"/>
      <c r="J27" s="613"/>
      <c r="K27" s="579"/>
      <c r="L27" s="579"/>
      <c r="M27" s="613"/>
      <c r="N27" s="613"/>
      <c r="O27" s="613"/>
      <c r="P27" s="580"/>
      <c r="Q27" s="580"/>
      <c r="R27" s="579"/>
      <c r="S27" s="579"/>
      <c r="T27" s="581"/>
      <c r="U27" s="582"/>
      <c r="V27" s="614"/>
      <c r="W27" s="581"/>
      <c r="X27" s="615"/>
      <c r="Y27" s="613"/>
      <c r="Z27" s="580"/>
      <c r="AA27" s="585"/>
      <c r="AB27" s="577"/>
      <c r="AC27" s="586"/>
      <c r="AD27" s="585"/>
      <c r="AE27" s="587"/>
      <c r="AF27" s="587"/>
      <c r="AG27" s="582"/>
      <c r="AH27" s="582"/>
      <c r="AI27" s="582"/>
      <c r="AJ27" s="582"/>
      <c r="AK27" s="588"/>
      <c r="AL27" s="582"/>
      <c r="AM27" s="582"/>
      <c r="AN27" s="589"/>
      <c r="AO27" s="616"/>
      <c r="AP27" s="592"/>
      <c r="AQ27" s="358"/>
      <c r="AR27" s="592"/>
      <c r="AS27" s="592"/>
      <c r="AT27" s="592"/>
      <c r="AU27" s="592"/>
      <c r="AV27" s="592"/>
      <c r="AW27" s="592"/>
      <c r="AX27" s="592"/>
      <c r="AY27" s="592"/>
      <c r="AZ27" s="592"/>
      <c r="BA27" s="617"/>
      <c r="BB27" s="592"/>
      <c r="BC27" s="592"/>
      <c r="BD27" s="592"/>
      <c r="BE27" s="592"/>
      <c r="BF27" s="592"/>
      <c r="BG27" s="358"/>
      <c r="BH27" s="358"/>
      <c r="BI27" s="358"/>
      <c r="BJ27" s="592"/>
      <c r="BK27" s="592"/>
      <c r="BL27" s="592"/>
      <c r="BM27" s="592"/>
      <c r="BN27" s="592"/>
      <c r="BO27" s="592"/>
      <c r="BP27" s="592"/>
      <c r="BQ27" s="594"/>
      <c r="BR27" s="594"/>
      <c r="BS27" s="394"/>
      <c r="BT27" s="594"/>
      <c r="BU27" s="594"/>
      <c r="BV27" s="594"/>
      <c r="BW27" s="618"/>
      <c r="BX27" s="608"/>
      <c r="BY27" s="608" t="s">
        <v>251</v>
      </c>
      <c r="BZ27" s="609" t="s">
        <v>252</v>
      </c>
    </row>
    <row r="28" ht="25.5" customHeight="1">
      <c r="A28" s="571"/>
      <c r="B28" s="572">
        <v>45331.71041666667</v>
      </c>
      <c r="C28" s="573"/>
      <c r="D28" s="573"/>
      <c r="E28" s="574" t="s">
        <v>218</v>
      </c>
      <c r="F28" s="612">
        <v>-0.50011179</v>
      </c>
      <c r="G28" s="621"/>
      <c r="H28" s="622"/>
      <c r="I28" s="622"/>
      <c r="J28" s="613"/>
      <c r="K28" s="581"/>
      <c r="L28" s="581"/>
      <c r="M28" s="613"/>
      <c r="N28" s="613"/>
      <c r="O28" s="613"/>
      <c r="P28" s="580"/>
      <c r="Q28" s="580"/>
      <c r="R28" s="581"/>
      <c r="S28" s="581"/>
      <c r="T28" s="581"/>
      <c r="U28" s="623"/>
      <c r="V28" s="614"/>
      <c r="W28" s="581"/>
      <c r="X28" s="615"/>
      <c r="Y28" s="613"/>
      <c r="Z28" s="580"/>
      <c r="AA28" s="585"/>
      <c r="AB28" s="622">
        <v>0.5</v>
      </c>
      <c r="AC28" s="586"/>
      <c r="AD28" s="585"/>
      <c r="AE28" s="587"/>
      <c r="AF28" s="587"/>
      <c r="AG28" s="623"/>
      <c r="AH28" s="623"/>
      <c r="AI28" s="623"/>
      <c r="AJ28" s="623"/>
      <c r="AK28" s="588"/>
      <c r="AL28" s="623"/>
      <c r="AM28" s="623"/>
      <c r="AN28" s="589"/>
      <c r="AO28" s="616"/>
      <c r="AP28" s="591"/>
      <c r="AQ28" s="358"/>
      <c r="AR28" s="591"/>
      <c r="AS28" s="591"/>
      <c r="AT28" s="591"/>
      <c r="AU28" s="591"/>
      <c r="AV28" s="591"/>
      <c r="AW28" s="591"/>
      <c r="AX28" s="591"/>
      <c r="AY28" s="591"/>
      <c r="AZ28" s="591"/>
      <c r="BA28" s="617"/>
      <c r="BB28" s="591"/>
      <c r="BC28" s="591"/>
      <c r="BD28" s="591"/>
      <c r="BE28" s="591"/>
      <c r="BF28" s="591"/>
      <c r="BG28" s="358"/>
      <c r="BH28" s="358"/>
      <c r="BI28" s="358"/>
      <c r="BJ28" s="591"/>
      <c r="BK28" s="591"/>
      <c r="BL28" s="591"/>
      <c r="BM28" s="591"/>
      <c r="BN28" s="591"/>
      <c r="BO28" s="591"/>
      <c r="BP28" s="591"/>
      <c r="BQ28" s="624"/>
      <c r="BR28" s="624"/>
      <c r="BS28" s="394"/>
      <c r="BT28" s="624"/>
      <c r="BU28" s="624"/>
      <c r="BV28" s="624"/>
      <c r="BW28" s="618"/>
      <c r="BX28" s="608"/>
      <c r="BY28" s="608"/>
      <c r="BZ28" s="609" t="s">
        <v>253</v>
      </c>
    </row>
    <row r="29" ht="25.5" customHeight="1">
      <c r="A29" s="571"/>
      <c r="B29" s="572">
        <v>45331.73402777778</v>
      </c>
      <c r="C29" s="573"/>
      <c r="D29" s="573"/>
      <c r="E29" s="574" t="s">
        <v>231</v>
      </c>
      <c r="F29" s="620"/>
      <c r="G29" s="621"/>
      <c r="H29" s="622"/>
      <c r="I29" s="622"/>
      <c r="J29" s="613"/>
      <c r="K29" s="581"/>
      <c r="L29" s="581"/>
      <c r="M29" s="613"/>
      <c r="N29" s="613"/>
      <c r="O29" s="613"/>
      <c r="P29" s="580"/>
      <c r="Q29" s="580"/>
      <c r="R29" s="581"/>
      <c r="S29" s="581"/>
      <c r="T29" s="581"/>
      <c r="U29" s="623"/>
      <c r="V29" s="614"/>
      <c r="W29" s="581"/>
      <c r="X29" s="615"/>
      <c r="Y29" s="613"/>
      <c r="Z29" s="580"/>
      <c r="AA29" s="585"/>
      <c r="AB29" s="622">
        <f>-0.500002</f>
        <v>-0.500002</v>
      </c>
      <c r="AC29" s="625">
        <v>9.49671415</v>
      </c>
      <c r="AD29" s="585"/>
      <c r="AE29" s="587"/>
      <c r="AF29" s="587"/>
      <c r="AG29" s="623"/>
      <c r="AH29" s="623"/>
      <c r="AI29" s="623"/>
      <c r="AJ29" s="623"/>
      <c r="AK29" s="588"/>
      <c r="AL29" s="623"/>
      <c r="AM29" s="623"/>
      <c r="AN29" s="589"/>
      <c r="AO29" s="616"/>
      <c r="AP29" s="591"/>
      <c r="AQ29" s="358"/>
      <c r="AR29" s="591"/>
      <c r="AS29" s="591"/>
      <c r="AT29" s="591"/>
      <c r="AU29" s="591"/>
      <c r="AV29" s="591"/>
      <c r="AW29" s="591"/>
      <c r="AX29" s="591"/>
      <c r="AY29" s="591"/>
      <c r="AZ29" s="591"/>
      <c r="BA29" s="617"/>
      <c r="BB29" s="591"/>
      <c r="BC29" s="591"/>
      <c r="BD29" s="591"/>
      <c r="BE29" s="591"/>
      <c r="BF29" s="591"/>
      <c r="BG29" s="358"/>
      <c r="BH29" s="358"/>
      <c r="BI29" s="358"/>
      <c r="BJ29" s="591"/>
      <c r="BK29" s="591"/>
      <c r="BL29" s="591"/>
      <c r="BM29" s="591"/>
      <c r="BN29" s="591"/>
      <c r="BO29" s="591"/>
      <c r="BP29" s="591"/>
      <c r="BQ29" s="624"/>
      <c r="BR29" s="624"/>
      <c r="BS29" s="394"/>
      <c r="BT29" s="624"/>
      <c r="BU29" s="624"/>
      <c r="BV29" s="624"/>
      <c r="BW29" s="618"/>
      <c r="CA29" s="608">
        <f>-AB29/AC29</f>
        <v>0.05265</v>
      </c>
      <c r="CB29" s="626">
        <v>-8.0E-4</v>
      </c>
    </row>
    <row r="30" ht="25.5" customHeight="1">
      <c r="A30" s="571"/>
      <c r="B30" s="572">
        <v>45331.74097222222</v>
      </c>
      <c r="C30" s="573"/>
      <c r="D30" s="573"/>
      <c r="E30" s="574" t="s">
        <v>218</v>
      </c>
      <c r="F30" s="612"/>
      <c r="G30" s="621"/>
      <c r="H30" s="577"/>
      <c r="I30" s="577"/>
      <c r="J30" s="613"/>
      <c r="K30" s="581"/>
      <c r="L30" s="581"/>
      <c r="M30" s="613"/>
      <c r="N30" s="627">
        <v>9.47851946</v>
      </c>
      <c r="O30" s="627"/>
      <c r="P30" s="628"/>
      <c r="Q30" s="629"/>
      <c r="R30" s="581"/>
      <c r="S30" s="581"/>
      <c r="T30" s="581"/>
      <c r="U30" s="582"/>
      <c r="V30" s="630"/>
      <c r="W30" s="581"/>
      <c r="X30" s="631"/>
      <c r="Y30" s="627"/>
      <c r="Z30" s="580"/>
      <c r="AA30" s="585"/>
      <c r="AB30" s="577"/>
      <c r="AC30" s="625">
        <f>-9.47851946-0.003</f>
        <v>-9.48151946</v>
      </c>
      <c r="AD30" s="585"/>
      <c r="AE30" s="587"/>
      <c r="AF30" s="587"/>
      <c r="AG30" s="582"/>
      <c r="AH30" s="582"/>
      <c r="AI30" s="582"/>
      <c r="AJ30" s="582"/>
      <c r="AK30" s="588"/>
      <c r="AL30" s="582"/>
      <c r="AM30" s="582"/>
      <c r="AN30" s="589"/>
      <c r="AO30" s="616"/>
      <c r="AP30" s="592"/>
      <c r="AQ30" s="358"/>
      <c r="AR30" s="592"/>
      <c r="AS30" s="592"/>
      <c r="AT30" s="592"/>
      <c r="AU30" s="592"/>
      <c r="AV30" s="592"/>
      <c r="AW30" s="592"/>
      <c r="AX30" s="592"/>
      <c r="AY30" s="592"/>
      <c r="AZ30" s="592"/>
      <c r="BA30" s="617"/>
      <c r="BB30" s="592"/>
      <c r="BC30" s="592"/>
      <c r="BD30" s="592"/>
      <c r="BE30" s="592"/>
      <c r="BF30" s="592"/>
      <c r="BG30" s="358"/>
      <c r="BH30" s="358"/>
      <c r="BI30" s="358"/>
      <c r="BJ30" s="592"/>
      <c r="BK30" s="592"/>
      <c r="BL30" s="592"/>
      <c r="BM30" s="592"/>
      <c r="BN30" s="592"/>
      <c r="BO30" s="592"/>
      <c r="BP30" s="592"/>
      <c r="BQ30" s="594"/>
      <c r="BR30" s="594"/>
      <c r="BS30" s="394"/>
      <c r="BT30" s="594"/>
      <c r="BU30" s="594"/>
      <c r="BV30" s="594"/>
      <c r="BW30" s="618"/>
      <c r="BZ30" s="632" t="s">
        <v>254</v>
      </c>
      <c r="CA30" s="608"/>
    </row>
    <row r="31" ht="25.5" customHeight="1">
      <c r="A31" s="604">
        <f>A21+M31</f>
        <v>-0.00001345</v>
      </c>
      <c r="B31" s="572">
        <v>45331.74513888889</v>
      </c>
      <c r="C31" s="573"/>
      <c r="D31" s="573"/>
      <c r="E31" s="574" t="s">
        <v>218</v>
      </c>
      <c r="F31" s="620"/>
      <c r="G31" s="621"/>
      <c r="H31" s="577"/>
      <c r="I31" s="577"/>
      <c r="J31" s="604"/>
      <c r="K31" s="581"/>
      <c r="L31" s="581"/>
      <c r="M31" s="604">
        <v>-0.2494</v>
      </c>
      <c r="N31" s="604">
        <v>0.2494</v>
      </c>
      <c r="O31" s="604"/>
      <c r="P31" s="580"/>
      <c r="Q31" s="633"/>
      <c r="R31" s="581"/>
      <c r="S31" s="581"/>
      <c r="T31" s="581"/>
      <c r="U31" s="582"/>
      <c r="V31" s="630"/>
      <c r="W31" s="581"/>
      <c r="X31" s="631"/>
      <c r="Y31" s="604"/>
      <c r="Z31" s="633"/>
      <c r="AA31" s="634"/>
      <c r="AB31" s="577"/>
      <c r="AC31" s="586"/>
      <c r="AD31" s="634"/>
      <c r="AE31" s="587"/>
      <c r="AF31" s="587"/>
      <c r="AG31" s="582"/>
      <c r="AH31" s="582"/>
      <c r="AI31" s="582"/>
      <c r="AJ31" s="582"/>
      <c r="AK31" s="588"/>
      <c r="AL31" s="582"/>
      <c r="AM31" s="582"/>
      <c r="AN31" s="589"/>
      <c r="AO31" s="616"/>
      <c r="AP31" s="592"/>
      <c r="AQ31" s="358"/>
      <c r="AR31" s="592"/>
      <c r="AS31" s="592"/>
      <c r="AT31" s="592"/>
      <c r="AU31" s="592"/>
      <c r="AV31" s="592"/>
      <c r="AW31" s="592"/>
      <c r="AX31" s="592"/>
      <c r="AY31" s="592"/>
      <c r="AZ31" s="592"/>
      <c r="BA31" s="617"/>
      <c r="BB31" s="592"/>
      <c r="BC31" s="592"/>
      <c r="BD31" s="592"/>
      <c r="BE31" s="592"/>
      <c r="BF31" s="592"/>
      <c r="BG31" s="358"/>
      <c r="BH31" s="358"/>
      <c r="BI31" s="358"/>
      <c r="BJ31" s="592"/>
      <c r="BK31" s="592"/>
      <c r="BL31" s="592"/>
      <c r="BM31" s="592"/>
      <c r="BN31" s="592"/>
      <c r="BO31" s="592"/>
      <c r="BP31" s="592"/>
      <c r="BQ31" s="594"/>
      <c r="BR31" s="594"/>
      <c r="BS31" s="394"/>
      <c r="BT31" s="594"/>
      <c r="BU31" s="594"/>
      <c r="BV31" s="594"/>
      <c r="BW31" s="618"/>
      <c r="BZ31" s="632" t="s">
        <v>254</v>
      </c>
      <c r="CA31" s="608"/>
    </row>
    <row r="32" ht="25.5" customHeight="1">
      <c r="A32" s="635"/>
      <c r="B32" s="572">
        <v>45332.03888888889</v>
      </c>
      <c r="C32" s="573"/>
      <c r="D32" s="573"/>
      <c r="E32" s="574" t="s">
        <v>255</v>
      </c>
      <c r="F32" s="620"/>
      <c r="G32" s="621"/>
      <c r="H32" s="577"/>
      <c r="I32" s="577"/>
      <c r="J32" s="604"/>
      <c r="K32" s="581"/>
      <c r="L32" s="581"/>
      <c r="M32" s="604"/>
      <c r="N32" s="604">
        <v>-25.0175613366</v>
      </c>
      <c r="O32" s="604"/>
      <c r="P32" s="580"/>
      <c r="Q32" s="633"/>
      <c r="R32" s="581"/>
      <c r="S32" s="581"/>
      <c r="T32" s="581"/>
      <c r="U32" s="582"/>
      <c r="V32" s="630"/>
      <c r="W32" s="581"/>
      <c r="X32" s="631"/>
      <c r="Y32" s="604"/>
      <c r="Z32" s="580"/>
      <c r="AA32" s="585"/>
      <c r="AB32" s="577"/>
      <c r="AC32" s="586"/>
      <c r="AD32" s="585"/>
      <c r="AE32" s="587"/>
      <c r="AF32" s="587"/>
      <c r="AG32" s="582"/>
      <c r="AH32" s="582"/>
      <c r="AI32" s="582"/>
      <c r="AJ32" s="582"/>
      <c r="AK32" s="588"/>
      <c r="AL32" s="582"/>
      <c r="AM32" s="582"/>
      <c r="AN32" s="589"/>
      <c r="AO32" s="616"/>
      <c r="AP32" s="592"/>
      <c r="AQ32" s="358"/>
      <c r="AR32" s="592"/>
      <c r="AS32" s="592"/>
      <c r="AT32" s="592"/>
      <c r="AU32" s="592"/>
      <c r="AV32" s="592"/>
      <c r="AW32" s="592"/>
      <c r="AX32" s="592"/>
      <c r="AY32" s="592"/>
      <c r="AZ32" s="592"/>
      <c r="BA32" s="617"/>
      <c r="BB32" s="592"/>
      <c r="BC32" s="592"/>
      <c r="BD32" s="592"/>
      <c r="BE32" s="592"/>
      <c r="BF32" s="592"/>
      <c r="BG32" s="358"/>
      <c r="BH32" s="358"/>
      <c r="BI32" s="358"/>
      <c r="BJ32" s="592"/>
      <c r="BK32" s="592"/>
      <c r="BL32" s="592"/>
      <c r="BM32" s="592"/>
      <c r="BN32" s="592"/>
      <c r="BO32" s="592"/>
      <c r="BP32" s="592"/>
      <c r="BQ32" s="594"/>
      <c r="BR32" s="594"/>
      <c r="BS32" s="394"/>
      <c r="BT32" s="594"/>
      <c r="BU32" s="594"/>
      <c r="BV32" s="594"/>
      <c r="BW32" s="618"/>
      <c r="BX32" s="608"/>
      <c r="BY32" s="608" t="s">
        <v>256</v>
      </c>
      <c r="BZ32" s="632" t="s">
        <v>257</v>
      </c>
    </row>
    <row r="33" ht="25.5" customHeight="1">
      <c r="A33" s="635"/>
      <c r="B33" s="572">
        <v>45336.41001157407</v>
      </c>
      <c r="C33" s="573"/>
      <c r="D33" s="573"/>
      <c r="E33" s="574" t="s">
        <v>241</v>
      </c>
      <c r="G33" s="574">
        <v>-0.00762026</v>
      </c>
      <c r="H33" s="577"/>
      <c r="I33" s="577"/>
      <c r="J33" s="604"/>
      <c r="K33" s="581"/>
      <c r="L33" s="581"/>
      <c r="M33" s="604"/>
      <c r="N33" s="604"/>
      <c r="O33" s="604"/>
      <c r="P33" s="580"/>
      <c r="Q33" s="580"/>
      <c r="R33" s="581"/>
      <c r="S33" s="581"/>
      <c r="T33" s="581"/>
      <c r="U33" s="582"/>
      <c r="V33" s="630"/>
      <c r="W33" s="581"/>
      <c r="X33" s="631"/>
      <c r="Y33" s="604"/>
      <c r="Z33" s="580"/>
      <c r="AA33" s="585"/>
      <c r="AB33" s="577"/>
      <c r="AC33" s="586"/>
      <c r="AD33" s="585"/>
      <c r="AE33" s="587"/>
      <c r="AF33" s="587"/>
      <c r="AG33" s="582"/>
      <c r="AH33" s="582"/>
      <c r="AI33" s="582"/>
      <c r="AJ33" s="582"/>
      <c r="AK33" s="588"/>
      <c r="AL33" s="582"/>
      <c r="AM33" s="582"/>
      <c r="AN33" s="589"/>
      <c r="AO33" s="616"/>
      <c r="AP33" s="592"/>
      <c r="AQ33" s="358"/>
      <c r="AR33" s="592"/>
      <c r="AS33" s="592"/>
      <c r="AT33" s="592"/>
      <c r="AU33" s="592"/>
      <c r="AV33" s="592"/>
      <c r="AW33" s="592"/>
      <c r="AX33" s="592"/>
      <c r="AY33" s="592"/>
      <c r="AZ33" s="592"/>
      <c r="BA33" s="617"/>
      <c r="BB33" s="592"/>
      <c r="BC33" s="592"/>
      <c r="BD33" s="592"/>
      <c r="BE33" s="592"/>
      <c r="BF33" s="592"/>
      <c r="BG33" s="358"/>
      <c r="BH33" s="358"/>
      <c r="BI33" s="358"/>
      <c r="BJ33" s="592"/>
      <c r="BK33" s="592"/>
      <c r="BL33" s="592"/>
      <c r="BM33" s="592"/>
      <c r="BN33" s="592"/>
      <c r="BO33" s="592"/>
      <c r="BP33" s="592"/>
      <c r="BQ33" s="594"/>
      <c r="BR33" s="594"/>
      <c r="BS33" s="394"/>
      <c r="BT33" s="594"/>
      <c r="BU33" s="594"/>
      <c r="BV33" s="594"/>
      <c r="BW33" s="618"/>
      <c r="BX33" s="608"/>
      <c r="BY33" s="608" t="s">
        <v>258</v>
      </c>
      <c r="BZ33" s="632" t="s">
        <v>259</v>
      </c>
    </row>
    <row r="34" ht="25.5" customHeight="1">
      <c r="A34" s="635"/>
      <c r="B34" s="572">
        <v>45338.3284440625</v>
      </c>
      <c r="C34" s="573"/>
      <c r="D34" s="573"/>
      <c r="E34" s="574" t="s">
        <v>218</v>
      </c>
      <c r="F34" s="612">
        <v>-0.00101695</v>
      </c>
      <c r="G34" s="600"/>
      <c r="H34" s="622"/>
      <c r="I34" s="622"/>
      <c r="J34" s="604"/>
      <c r="K34" s="581"/>
      <c r="L34" s="581"/>
      <c r="M34" s="604"/>
      <c r="N34" s="604"/>
      <c r="O34" s="604"/>
      <c r="P34" s="580"/>
      <c r="Q34" s="580"/>
      <c r="R34" s="581"/>
      <c r="S34" s="581"/>
      <c r="T34" s="581"/>
      <c r="U34" s="623"/>
      <c r="V34" s="630"/>
      <c r="W34" s="581"/>
      <c r="X34" s="631"/>
      <c r="Y34" s="604"/>
      <c r="Z34" s="580"/>
      <c r="AA34" s="585"/>
      <c r="AB34" s="622">
        <v>0.001</v>
      </c>
      <c r="AC34" s="586"/>
      <c r="AD34" s="585"/>
      <c r="AE34" s="587"/>
      <c r="AF34" s="587"/>
      <c r="AG34" s="623"/>
      <c r="AH34" s="623"/>
      <c r="AI34" s="623"/>
      <c r="AJ34" s="623"/>
      <c r="AK34" s="588"/>
      <c r="AL34" s="623"/>
      <c r="AM34" s="623"/>
      <c r="AN34" s="589"/>
      <c r="AO34" s="616"/>
      <c r="AP34" s="591"/>
      <c r="AQ34" s="358"/>
      <c r="AR34" s="591"/>
      <c r="AS34" s="591"/>
      <c r="AT34" s="591"/>
      <c r="AU34" s="591"/>
      <c r="AV34" s="591"/>
      <c r="AW34" s="591"/>
      <c r="AX34" s="591"/>
      <c r="AY34" s="591"/>
      <c r="AZ34" s="591"/>
      <c r="BA34" s="617"/>
      <c r="BB34" s="591"/>
      <c r="BC34" s="591"/>
      <c r="BD34" s="591"/>
      <c r="BE34" s="591"/>
      <c r="BF34" s="591"/>
      <c r="BG34" s="358"/>
      <c r="BH34" s="358"/>
      <c r="BI34" s="358"/>
      <c r="BJ34" s="591"/>
      <c r="BK34" s="591"/>
      <c r="BL34" s="591"/>
      <c r="BM34" s="591"/>
      <c r="BN34" s="591"/>
      <c r="BO34" s="591"/>
      <c r="BP34" s="591"/>
      <c r="BQ34" s="624"/>
      <c r="BR34" s="624"/>
      <c r="BS34" s="394"/>
      <c r="BT34" s="624"/>
      <c r="BU34" s="624"/>
      <c r="BV34" s="624"/>
      <c r="BW34" s="618"/>
      <c r="BZ34" s="632" t="s">
        <v>260</v>
      </c>
      <c r="CA34" s="608"/>
    </row>
    <row r="35" ht="25.5" customHeight="1">
      <c r="A35" s="635"/>
      <c r="B35" s="572">
        <v>45338.395144560185</v>
      </c>
      <c r="C35" s="573"/>
      <c r="D35" s="573"/>
      <c r="E35" s="574" t="s">
        <v>218</v>
      </c>
      <c r="F35" s="612">
        <f>-1.999-0.00003515</f>
        <v>-1.99903515</v>
      </c>
      <c r="G35" s="621"/>
      <c r="H35" s="622"/>
      <c r="I35" s="622"/>
      <c r="J35" s="604"/>
      <c r="K35" s="581"/>
      <c r="L35" s="581"/>
      <c r="M35" s="604"/>
      <c r="N35" s="604"/>
      <c r="O35" s="604"/>
      <c r="P35" s="580"/>
      <c r="Q35" s="580"/>
      <c r="R35" s="581"/>
      <c r="S35" s="581"/>
      <c r="T35" s="581"/>
      <c r="U35" s="623"/>
      <c r="V35" s="630"/>
      <c r="W35" s="581"/>
      <c r="X35" s="631"/>
      <c r="Y35" s="604"/>
      <c r="Z35" s="580"/>
      <c r="AA35" s="634"/>
      <c r="AB35" s="622">
        <v>1.999</v>
      </c>
      <c r="AC35" s="586"/>
      <c r="AD35" s="634"/>
      <c r="AE35" s="587"/>
      <c r="AF35" s="587"/>
      <c r="AG35" s="623"/>
      <c r="AH35" s="623"/>
      <c r="AI35" s="623"/>
      <c r="AJ35" s="623"/>
      <c r="AK35" s="588"/>
      <c r="AL35" s="623"/>
      <c r="AM35" s="623"/>
      <c r="AN35" s="589"/>
      <c r="AO35" s="616"/>
      <c r="AP35" s="591"/>
      <c r="AQ35" s="358"/>
      <c r="AR35" s="591"/>
      <c r="AS35" s="591"/>
      <c r="AT35" s="591"/>
      <c r="AU35" s="591"/>
      <c r="AV35" s="591"/>
      <c r="AW35" s="591"/>
      <c r="AX35" s="591"/>
      <c r="AY35" s="591"/>
      <c r="AZ35" s="591"/>
      <c r="BA35" s="617"/>
      <c r="BB35" s="591"/>
      <c r="BC35" s="591"/>
      <c r="BD35" s="591"/>
      <c r="BE35" s="591"/>
      <c r="BF35" s="591"/>
      <c r="BG35" s="358"/>
      <c r="BH35" s="358"/>
      <c r="BI35" s="358"/>
      <c r="BJ35" s="591"/>
      <c r="BK35" s="591"/>
      <c r="BL35" s="591"/>
      <c r="BM35" s="591"/>
      <c r="BN35" s="591"/>
      <c r="BO35" s="591"/>
      <c r="BP35" s="591"/>
      <c r="BQ35" s="624"/>
      <c r="BR35" s="624"/>
      <c r="BS35" s="394"/>
      <c r="BT35" s="624"/>
      <c r="BU35" s="624"/>
      <c r="BV35" s="624"/>
      <c r="BW35" s="618"/>
      <c r="BZ35" s="632" t="s">
        <v>261</v>
      </c>
      <c r="CA35" s="608"/>
    </row>
    <row r="36" ht="25.5" customHeight="1">
      <c r="A36" s="635"/>
      <c r="B36" s="572">
        <v>45338.425</v>
      </c>
      <c r="C36" s="573"/>
      <c r="D36" s="573"/>
      <c r="E36" s="574" t="s">
        <v>231</v>
      </c>
      <c r="F36" s="620"/>
      <c r="G36" s="621"/>
      <c r="H36" s="622"/>
      <c r="I36" s="622"/>
      <c r="J36" s="604"/>
      <c r="K36" s="581"/>
      <c r="L36" s="581"/>
      <c r="M36" s="604"/>
      <c r="N36" s="627"/>
      <c r="O36" s="627"/>
      <c r="P36" s="628"/>
      <c r="Q36" s="628"/>
      <c r="R36" s="581"/>
      <c r="S36" s="581"/>
      <c r="T36" s="581"/>
      <c r="U36" s="623"/>
      <c r="V36" s="630"/>
      <c r="W36" s="581"/>
      <c r="X36" s="631"/>
      <c r="Y36" s="627"/>
      <c r="Z36" s="580"/>
      <c r="AA36" s="634"/>
      <c r="AB36" s="622">
        <f>-2-0.002847</f>
        <v>-2.002847</v>
      </c>
      <c r="AC36" s="636">
        <v>36.83001252</v>
      </c>
      <c r="AD36" s="634"/>
      <c r="AE36" s="587"/>
      <c r="AF36" s="587"/>
      <c r="AG36" s="623"/>
      <c r="AH36" s="623"/>
      <c r="AI36" s="623"/>
      <c r="AJ36" s="623"/>
      <c r="AK36" s="588"/>
      <c r="AL36" s="623"/>
      <c r="AM36" s="623"/>
      <c r="AN36" s="589"/>
      <c r="AO36" s="616"/>
      <c r="AP36" s="591"/>
      <c r="AQ36" s="358"/>
      <c r="AR36" s="591"/>
      <c r="AS36" s="591"/>
      <c r="AT36" s="591"/>
      <c r="AU36" s="591"/>
      <c r="AV36" s="591"/>
      <c r="AW36" s="591"/>
      <c r="AX36" s="591"/>
      <c r="AY36" s="591"/>
      <c r="AZ36" s="591"/>
      <c r="BA36" s="617"/>
      <c r="BB36" s="591"/>
      <c r="BC36" s="591"/>
      <c r="BD36" s="591"/>
      <c r="BE36" s="591"/>
      <c r="BF36" s="591"/>
      <c r="BG36" s="358"/>
      <c r="BH36" s="358"/>
      <c r="BI36" s="358"/>
      <c r="BJ36" s="591"/>
      <c r="BK36" s="591"/>
      <c r="BL36" s="591"/>
      <c r="BM36" s="591"/>
      <c r="BN36" s="591"/>
      <c r="BO36" s="591"/>
      <c r="BP36" s="591"/>
      <c r="BQ36" s="624"/>
      <c r="BR36" s="624"/>
      <c r="BS36" s="394"/>
      <c r="BT36" s="624"/>
      <c r="BU36" s="624"/>
      <c r="BV36" s="624"/>
      <c r="BW36" s="618"/>
      <c r="CA36" s="608">
        <f>-AB36/AC36</f>
        <v>0.05438083951</v>
      </c>
      <c r="CB36" s="626">
        <v>-0.002847</v>
      </c>
    </row>
    <row r="37" ht="25.5" customHeight="1">
      <c r="A37" s="635"/>
      <c r="B37" s="572">
        <v>45338.427083333336</v>
      </c>
      <c r="C37" s="573"/>
      <c r="D37" s="573"/>
      <c r="E37" s="574" t="s">
        <v>218</v>
      </c>
      <c r="F37" s="620"/>
      <c r="G37" s="621"/>
      <c r="H37" s="577"/>
      <c r="I37" s="577"/>
      <c r="J37" s="604"/>
      <c r="K37" s="581"/>
      <c r="L37" s="581"/>
      <c r="M37" s="604"/>
      <c r="N37" s="627">
        <v>36.7769816</v>
      </c>
      <c r="O37" s="627"/>
      <c r="P37" s="628"/>
      <c r="Q37" s="629"/>
      <c r="R37" s="581"/>
      <c r="S37" s="581"/>
      <c r="T37" s="581"/>
      <c r="U37" s="582"/>
      <c r="V37" s="630"/>
      <c r="W37" s="581"/>
      <c r="X37" s="631"/>
      <c r="Y37" s="627"/>
      <c r="Z37" s="580"/>
      <c r="AA37" s="634"/>
      <c r="AB37" s="577"/>
      <c r="AC37" s="636">
        <f>-36.7799816-0.003</f>
        <v>-36.7829816</v>
      </c>
      <c r="AD37" s="634"/>
      <c r="AE37" s="587"/>
      <c r="AF37" s="587"/>
      <c r="AG37" s="582"/>
      <c r="AH37" s="582"/>
      <c r="AI37" s="582"/>
      <c r="AJ37" s="582"/>
      <c r="AK37" s="588"/>
      <c r="AL37" s="582"/>
      <c r="AM37" s="582"/>
      <c r="AN37" s="589"/>
      <c r="AO37" s="616"/>
      <c r="AP37" s="592"/>
      <c r="AQ37" s="358"/>
      <c r="AR37" s="592"/>
      <c r="AS37" s="592"/>
      <c r="AT37" s="592"/>
      <c r="AU37" s="592"/>
      <c r="AV37" s="592"/>
      <c r="AW37" s="592"/>
      <c r="AX37" s="592"/>
      <c r="AY37" s="592"/>
      <c r="AZ37" s="592"/>
      <c r="BA37" s="617"/>
      <c r="BB37" s="592"/>
      <c r="BC37" s="592"/>
      <c r="BD37" s="592"/>
      <c r="BE37" s="592"/>
      <c r="BF37" s="592"/>
      <c r="BG37" s="358"/>
      <c r="BH37" s="358"/>
      <c r="BI37" s="358"/>
      <c r="BJ37" s="592"/>
      <c r="BK37" s="592"/>
      <c r="BL37" s="592"/>
      <c r="BM37" s="592"/>
      <c r="BN37" s="592"/>
      <c r="BO37" s="592"/>
      <c r="BP37" s="592"/>
      <c r="BQ37" s="594"/>
      <c r="BR37" s="594"/>
      <c r="BS37" s="394"/>
      <c r="BT37" s="594"/>
      <c r="BU37" s="594"/>
      <c r="BV37" s="594"/>
      <c r="BW37" s="618"/>
      <c r="BZ37" s="632" t="s">
        <v>262</v>
      </c>
      <c r="CA37" s="608"/>
    </row>
    <row r="38" ht="25.5" customHeight="1">
      <c r="A38" s="635"/>
      <c r="B38" s="572">
        <v>45341.52185563657</v>
      </c>
      <c r="C38" s="573"/>
      <c r="D38" s="573"/>
      <c r="E38" s="574" t="s">
        <v>218</v>
      </c>
      <c r="F38" s="612">
        <v>-2.00002299</v>
      </c>
      <c r="G38" s="621"/>
      <c r="H38" s="577"/>
      <c r="I38" s="577"/>
      <c r="K38" s="581"/>
      <c r="L38" s="581"/>
      <c r="N38" s="637"/>
      <c r="O38" s="637"/>
      <c r="P38" s="628"/>
      <c r="Q38" s="628"/>
      <c r="R38" s="581"/>
      <c r="S38" s="581"/>
      <c r="T38" s="581"/>
      <c r="U38" s="582"/>
      <c r="V38" s="189"/>
      <c r="W38" s="581"/>
      <c r="X38" s="638"/>
      <c r="Y38" s="637"/>
      <c r="Z38" s="581"/>
      <c r="AA38" s="634"/>
      <c r="AB38" s="577">
        <f>2</f>
        <v>2</v>
      </c>
      <c r="AC38" s="639"/>
      <c r="AD38" s="634"/>
      <c r="AE38" s="587"/>
      <c r="AF38" s="587"/>
      <c r="AG38" s="582"/>
      <c r="AH38" s="582"/>
      <c r="AI38" s="582"/>
      <c r="AJ38" s="582"/>
      <c r="AK38" s="588"/>
      <c r="AL38" s="582"/>
      <c r="AM38" s="582"/>
      <c r="AN38" s="589"/>
      <c r="AO38" s="616"/>
      <c r="AP38" s="592"/>
      <c r="AQ38" s="358"/>
      <c r="AR38" s="592"/>
      <c r="AS38" s="592"/>
      <c r="AT38" s="592"/>
      <c r="AU38" s="592"/>
      <c r="AV38" s="592"/>
      <c r="AW38" s="592"/>
      <c r="AX38" s="592"/>
      <c r="AY38" s="592"/>
      <c r="AZ38" s="592"/>
      <c r="BA38" s="617"/>
      <c r="BB38" s="592"/>
      <c r="BC38" s="592"/>
      <c r="BD38" s="592"/>
      <c r="BE38" s="592"/>
      <c r="BF38" s="592"/>
      <c r="BG38" s="358"/>
      <c r="BH38" s="358"/>
      <c r="BI38" s="358"/>
      <c r="BJ38" s="592"/>
      <c r="BK38" s="592"/>
      <c r="BL38" s="592"/>
      <c r="BM38" s="592"/>
      <c r="BN38" s="592"/>
      <c r="BO38" s="592"/>
      <c r="BP38" s="592"/>
      <c r="BQ38" s="594"/>
      <c r="BR38" s="594"/>
      <c r="BS38" s="394"/>
      <c r="BT38" s="594"/>
      <c r="BU38" s="594"/>
      <c r="BV38" s="594"/>
      <c r="BW38" s="618"/>
      <c r="BZ38" s="632" t="s">
        <v>263</v>
      </c>
      <c r="CA38" s="608"/>
    </row>
    <row r="39" ht="25.5" customHeight="1">
      <c r="A39" s="635"/>
      <c r="B39" s="572">
        <v>45341.60208333333</v>
      </c>
      <c r="C39" s="573"/>
      <c r="D39" s="573"/>
      <c r="E39" s="574" t="s">
        <v>231</v>
      </c>
      <c r="F39" s="620"/>
      <c r="G39" s="621"/>
      <c r="H39" s="622"/>
      <c r="I39" s="622"/>
      <c r="K39" s="581"/>
      <c r="L39" s="581"/>
      <c r="N39" s="637"/>
      <c r="O39" s="637"/>
      <c r="P39" s="628"/>
      <c r="Q39" s="628"/>
      <c r="R39" s="581"/>
      <c r="S39" s="581"/>
      <c r="T39" s="581"/>
      <c r="U39" s="623"/>
      <c r="V39" s="189"/>
      <c r="W39" s="581"/>
      <c r="X39" s="638"/>
      <c r="Y39" s="637"/>
      <c r="Z39" s="581"/>
      <c r="AA39" s="634"/>
      <c r="AB39" s="622">
        <f>-0.19102561</f>
        <v>-0.19102561</v>
      </c>
      <c r="AC39" s="639"/>
      <c r="AD39" s="585">
        <f>10000.90739-22.002</f>
        <v>9978.90539</v>
      </c>
      <c r="AE39" s="587"/>
      <c r="AF39" s="587"/>
      <c r="AG39" s="623"/>
      <c r="AH39" s="623"/>
      <c r="AI39" s="623"/>
      <c r="AJ39" s="623"/>
      <c r="AK39" s="640"/>
      <c r="AL39" s="623"/>
      <c r="AM39" s="623"/>
      <c r="AN39" s="589"/>
      <c r="AO39" s="616"/>
      <c r="AP39" s="591"/>
      <c r="AQ39" s="358"/>
      <c r="AR39" s="591"/>
      <c r="AS39" s="591"/>
      <c r="AT39" s="591"/>
      <c r="AU39" s="591"/>
      <c r="AV39" s="591"/>
      <c r="AW39" s="591"/>
      <c r="AX39" s="591"/>
      <c r="AY39" s="591"/>
      <c r="AZ39" s="591"/>
      <c r="BA39" s="617"/>
      <c r="BB39" s="591"/>
      <c r="BC39" s="591"/>
      <c r="BD39" s="591"/>
      <c r="BE39" s="591"/>
      <c r="BF39" s="591"/>
      <c r="BG39" s="358"/>
      <c r="BH39" s="358"/>
      <c r="BI39" s="358"/>
      <c r="BJ39" s="591"/>
      <c r="BK39" s="591"/>
      <c r="BL39" s="591"/>
      <c r="BM39" s="591"/>
      <c r="BN39" s="591"/>
      <c r="BO39" s="591"/>
      <c r="BP39" s="591"/>
      <c r="BQ39" s="624"/>
      <c r="BR39" s="624"/>
      <c r="BS39" s="394"/>
      <c r="BT39" s="624"/>
      <c r="BU39" s="624"/>
      <c r="BV39" s="624"/>
      <c r="BW39" s="618"/>
      <c r="CA39" s="641">
        <f>-(AD39/AB39)</f>
        <v>52238.57361</v>
      </c>
    </row>
    <row r="40" ht="25.5" customHeight="1">
      <c r="A40" s="635"/>
      <c r="B40" s="572">
        <v>45341.56736111111</v>
      </c>
      <c r="C40" s="573"/>
      <c r="D40" s="573"/>
      <c r="E40" s="574" t="s">
        <v>218</v>
      </c>
      <c r="F40" s="620"/>
      <c r="G40" s="621"/>
      <c r="H40" s="577"/>
      <c r="I40" s="577"/>
      <c r="K40" s="581"/>
      <c r="L40" s="581"/>
      <c r="N40" s="637"/>
      <c r="O40" s="637"/>
      <c r="P40" s="628"/>
      <c r="Q40" s="628"/>
      <c r="R40" s="581"/>
      <c r="S40" s="581"/>
      <c r="T40" s="581"/>
      <c r="U40" s="582"/>
      <c r="V40" s="189"/>
      <c r="W40" s="581"/>
      <c r="X40" s="638"/>
      <c r="Y40" s="637"/>
      <c r="Z40" s="581"/>
      <c r="AA40" s="585">
        <f>9992.90739</f>
        <v>9992.90739</v>
      </c>
      <c r="AB40" s="577"/>
      <c r="AC40" s="586"/>
      <c r="AD40" s="585">
        <v>-9978.91</v>
      </c>
      <c r="AE40" s="587"/>
      <c r="AF40" s="587"/>
      <c r="AG40" s="582"/>
      <c r="AH40" s="582"/>
      <c r="AI40" s="582"/>
      <c r="AJ40" s="582"/>
      <c r="AK40" s="640"/>
      <c r="AL40" s="582"/>
      <c r="AM40" s="582"/>
      <c r="AN40" s="589"/>
      <c r="AO40" s="616"/>
      <c r="AP40" s="592"/>
      <c r="AQ40" s="358"/>
      <c r="AR40" s="592"/>
      <c r="AS40" s="592"/>
      <c r="AT40" s="592"/>
      <c r="AU40" s="592"/>
      <c r="AV40" s="592"/>
      <c r="AW40" s="592"/>
      <c r="AX40" s="592"/>
      <c r="AY40" s="592"/>
      <c r="AZ40" s="592"/>
      <c r="BA40" s="617"/>
      <c r="BB40" s="592"/>
      <c r="BC40" s="592"/>
      <c r="BD40" s="592"/>
      <c r="BE40" s="592"/>
      <c r="BF40" s="592"/>
      <c r="BG40" s="358"/>
      <c r="BH40" s="358"/>
      <c r="BI40" s="358"/>
      <c r="BJ40" s="592"/>
      <c r="BK40" s="592"/>
      <c r="BL40" s="592"/>
      <c r="BM40" s="592"/>
      <c r="BN40" s="592"/>
      <c r="BO40" s="592"/>
      <c r="BP40" s="592"/>
      <c r="BQ40" s="594"/>
      <c r="BR40" s="594"/>
      <c r="BS40" s="394"/>
      <c r="BT40" s="594"/>
      <c r="BU40" s="594"/>
      <c r="BV40" s="594"/>
      <c r="BW40" s="618"/>
      <c r="BX40" s="608"/>
      <c r="BY40" s="608" t="s">
        <v>264</v>
      </c>
      <c r="BZ40" s="632" t="s">
        <v>265</v>
      </c>
    </row>
    <row r="41" ht="25.5" customHeight="1">
      <c r="A41" s="635"/>
      <c r="B41" s="572">
        <v>45342.38680555556</v>
      </c>
      <c r="C41" s="573"/>
      <c r="D41" s="573"/>
      <c r="E41" s="574" t="s">
        <v>231</v>
      </c>
      <c r="F41" s="620"/>
      <c r="G41" s="621"/>
      <c r="H41" s="622"/>
      <c r="I41" s="622"/>
      <c r="K41" s="581"/>
      <c r="L41" s="581"/>
      <c r="N41" s="637"/>
      <c r="O41" s="637"/>
      <c r="P41" s="628"/>
      <c r="Q41" s="628"/>
      <c r="R41" s="581"/>
      <c r="S41" s="581"/>
      <c r="T41" s="581"/>
      <c r="U41" s="623"/>
      <c r="V41" s="189"/>
      <c r="W41" s="581"/>
      <c r="X41" s="638"/>
      <c r="Y41" s="637"/>
      <c r="Z41" s="581"/>
      <c r="AA41" s="634"/>
      <c r="AB41" s="622">
        <f>-0.922658</f>
        <v>-0.922658</v>
      </c>
      <c r="AC41" s="636">
        <v>16.41056751</v>
      </c>
      <c r="AD41" s="634"/>
      <c r="AE41" s="587"/>
      <c r="AF41" s="587"/>
      <c r="AG41" s="623"/>
      <c r="AH41" s="623"/>
      <c r="AI41" s="623"/>
      <c r="AJ41" s="623"/>
      <c r="AK41" s="588"/>
      <c r="AL41" s="623"/>
      <c r="AM41" s="623"/>
      <c r="AN41" s="589"/>
      <c r="AO41" s="616"/>
      <c r="AP41" s="591"/>
      <c r="AQ41" s="358"/>
      <c r="AR41" s="591"/>
      <c r="AS41" s="591"/>
      <c r="AT41" s="591"/>
      <c r="AU41" s="591"/>
      <c r="AV41" s="591"/>
      <c r="AW41" s="591"/>
      <c r="AX41" s="591"/>
      <c r="AY41" s="591"/>
      <c r="AZ41" s="591"/>
      <c r="BA41" s="617"/>
      <c r="BB41" s="591"/>
      <c r="BC41" s="591"/>
      <c r="BD41" s="591"/>
      <c r="BE41" s="591"/>
      <c r="BF41" s="591"/>
      <c r="BG41" s="358"/>
      <c r="BH41" s="358"/>
      <c r="BI41" s="358"/>
      <c r="BJ41" s="591"/>
      <c r="BK41" s="591"/>
      <c r="BL41" s="591"/>
      <c r="BM41" s="591"/>
      <c r="BN41" s="591"/>
      <c r="BO41" s="591"/>
      <c r="BP41" s="591"/>
      <c r="BQ41" s="624"/>
      <c r="BR41" s="624"/>
      <c r="BS41" s="394"/>
      <c r="BT41" s="624"/>
      <c r="BU41" s="624"/>
      <c r="BV41" s="624"/>
      <c r="BW41" s="618"/>
      <c r="CA41" s="608">
        <f>-AB41/AC41</f>
        <v>0.05622340601</v>
      </c>
      <c r="CB41" s="626">
        <v>-0.001108</v>
      </c>
    </row>
    <row r="42" ht="25.5" customHeight="1">
      <c r="A42" s="613">
        <f>M42</f>
        <v>0.05</v>
      </c>
      <c r="B42" s="572">
        <v>45342.458333333336</v>
      </c>
      <c r="C42" s="642"/>
      <c r="D42" s="642"/>
      <c r="E42" s="574" t="s">
        <v>218</v>
      </c>
      <c r="F42" s="620"/>
      <c r="G42" s="621"/>
      <c r="H42" s="577"/>
      <c r="I42" s="577"/>
      <c r="J42" s="604"/>
      <c r="K42" s="581"/>
      <c r="L42" s="581"/>
      <c r="M42" s="604">
        <v>0.05</v>
      </c>
      <c r="N42" s="627">
        <v>-0.050877152014151</v>
      </c>
      <c r="O42" s="627"/>
      <c r="P42" s="628"/>
      <c r="Q42" s="629"/>
      <c r="R42" s="581"/>
      <c r="S42" s="581"/>
      <c r="T42" s="581"/>
      <c r="U42" s="582"/>
      <c r="V42" s="630"/>
      <c r="W42" s="581"/>
      <c r="X42" s="631"/>
      <c r="Y42" s="627"/>
      <c r="Z42" s="633"/>
      <c r="AA42" s="634"/>
      <c r="AB42" s="577"/>
      <c r="AC42" s="639"/>
      <c r="AD42" s="634"/>
      <c r="AE42" s="587"/>
      <c r="AF42" s="587"/>
      <c r="AG42" s="582"/>
      <c r="AH42" s="582"/>
      <c r="AI42" s="582"/>
      <c r="AJ42" s="582"/>
      <c r="AK42" s="588"/>
      <c r="AL42" s="582"/>
      <c r="AM42" s="582"/>
      <c r="AN42" s="589"/>
      <c r="AO42" s="616"/>
      <c r="AP42" s="592"/>
      <c r="AQ42" s="358"/>
      <c r="AR42" s="592"/>
      <c r="AS42" s="592"/>
      <c r="AT42" s="592"/>
      <c r="AU42" s="592"/>
      <c r="AV42" s="592"/>
      <c r="AW42" s="592"/>
      <c r="AX42" s="592"/>
      <c r="AY42" s="592"/>
      <c r="AZ42" s="592"/>
      <c r="BA42" s="617"/>
      <c r="BB42" s="592"/>
      <c r="BC42" s="592"/>
      <c r="BD42" s="592"/>
      <c r="BE42" s="592"/>
      <c r="BF42" s="592"/>
      <c r="BG42" s="358"/>
      <c r="BH42" s="358"/>
      <c r="BI42" s="358"/>
      <c r="BJ42" s="592"/>
      <c r="BK42" s="592"/>
      <c r="BL42" s="592"/>
      <c r="BM42" s="592"/>
      <c r="BN42" s="592"/>
      <c r="BO42" s="592"/>
      <c r="BP42" s="592"/>
      <c r="BQ42" s="594"/>
      <c r="BR42" s="594"/>
      <c r="BS42" s="394"/>
      <c r="BT42" s="594"/>
      <c r="BU42" s="594"/>
      <c r="BV42" s="594"/>
      <c r="BW42" s="618"/>
      <c r="BZ42" s="632" t="s">
        <v>266</v>
      </c>
      <c r="CA42" s="608" t="s">
        <v>267</v>
      </c>
    </row>
    <row r="43" ht="25.5" customHeight="1">
      <c r="A43" s="613">
        <f>A42+M43</f>
        <v>0.04387837697</v>
      </c>
      <c r="B43" s="572">
        <v>45342.46139488426</v>
      </c>
      <c r="C43" s="573"/>
      <c r="D43" s="573"/>
      <c r="E43" s="574" t="s">
        <v>241</v>
      </c>
      <c r="F43" s="620"/>
      <c r="G43" s="621"/>
      <c r="H43" s="577"/>
      <c r="I43" s="577"/>
      <c r="J43" s="604"/>
      <c r="K43" s="579"/>
      <c r="L43" s="579"/>
      <c r="M43" s="604">
        <v>-0.00612162303065305</v>
      </c>
      <c r="N43" s="643"/>
      <c r="O43" s="643"/>
      <c r="P43" s="628"/>
      <c r="Q43" s="628"/>
      <c r="R43" s="579"/>
      <c r="S43" s="579"/>
      <c r="T43" s="581"/>
      <c r="U43" s="582"/>
      <c r="V43" s="614"/>
      <c r="W43" s="581"/>
      <c r="X43" s="615"/>
      <c r="Y43" s="643"/>
      <c r="Z43" s="633"/>
      <c r="AA43" s="634"/>
      <c r="AB43" s="577"/>
      <c r="AC43" s="639"/>
      <c r="AD43" s="634"/>
      <c r="AE43" s="587"/>
      <c r="AF43" s="587"/>
      <c r="AG43" s="582"/>
      <c r="AH43" s="582"/>
      <c r="AI43" s="582"/>
      <c r="AJ43" s="582"/>
      <c r="AK43" s="588"/>
      <c r="AL43" s="582"/>
      <c r="AM43" s="582"/>
      <c r="AN43" s="589"/>
      <c r="AO43" s="616"/>
      <c r="AP43" s="592"/>
      <c r="AQ43" s="358"/>
      <c r="AR43" s="592"/>
      <c r="AS43" s="592"/>
      <c r="AT43" s="592"/>
      <c r="AU43" s="592"/>
      <c r="AV43" s="592"/>
      <c r="AW43" s="592"/>
      <c r="AX43" s="592"/>
      <c r="AY43" s="592"/>
      <c r="AZ43" s="592"/>
      <c r="BA43" s="617"/>
      <c r="BB43" s="592"/>
      <c r="BC43" s="592"/>
      <c r="BD43" s="592"/>
      <c r="BE43" s="592"/>
      <c r="BF43" s="592"/>
      <c r="BG43" s="358"/>
      <c r="BH43" s="358"/>
      <c r="BI43" s="358"/>
      <c r="BJ43" s="592"/>
      <c r="BK43" s="592"/>
      <c r="BL43" s="592"/>
      <c r="BM43" s="592"/>
      <c r="BN43" s="592"/>
      <c r="BO43" s="592"/>
      <c r="BP43" s="592"/>
      <c r="BQ43" s="594"/>
      <c r="BR43" s="594"/>
      <c r="BS43" s="394"/>
      <c r="BT43" s="594"/>
      <c r="BU43" s="594"/>
      <c r="BV43" s="594"/>
      <c r="BW43" s="618"/>
      <c r="BX43" s="608"/>
      <c r="BY43" s="608" t="s">
        <v>268</v>
      </c>
      <c r="BZ43" s="632" t="s">
        <v>269</v>
      </c>
    </row>
    <row r="44" ht="25.5" customHeight="1">
      <c r="A44" s="635"/>
      <c r="B44" s="572">
        <v>45342.99930555555</v>
      </c>
      <c r="C44" s="642"/>
      <c r="D44" s="642"/>
      <c r="E44" s="574" t="s">
        <v>270</v>
      </c>
      <c r="F44" s="620"/>
      <c r="G44" s="621"/>
      <c r="H44" s="577"/>
      <c r="I44" s="577"/>
      <c r="J44" s="604"/>
      <c r="K44" s="581"/>
      <c r="L44" s="581"/>
      <c r="M44" s="604"/>
      <c r="N44" s="627"/>
      <c r="O44" s="627"/>
      <c r="P44" s="628"/>
      <c r="Q44" s="628"/>
      <c r="R44" s="581"/>
      <c r="S44" s="581"/>
      <c r="T44" s="581"/>
      <c r="U44" s="582"/>
      <c r="V44" s="630"/>
      <c r="W44" s="581"/>
      <c r="X44" s="631"/>
      <c r="Y44" s="627"/>
      <c r="Z44" s="580"/>
      <c r="AA44" s="585">
        <v>-4395.91</v>
      </c>
      <c r="AB44" s="577"/>
      <c r="AC44" s="639"/>
      <c r="AD44" s="634"/>
      <c r="AE44" s="587"/>
      <c r="AF44" s="587"/>
      <c r="AG44" s="582"/>
      <c r="AH44" s="582"/>
      <c r="AI44" s="582"/>
      <c r="AJ44" s="582"/>
      <c r="AK44" s="588"/>
      <c r="AL44" s="582"/>
      <c r="AM44" s="582"/>
      <c r="AN44" s="589"/>
      <c r="AO44" s="616"/>
      <c r="AP44" s="592"/>
      <c r="AQ44" s="358"/>
      <c r="AR44" s="592"/>
      <c r="AS44" s="592"/>
      <c r="AT44" s="592"/>
      <c r="AU44" s="592"/>
      <c r="AV44" s="592"/>
      <c r="AW44" s="592"/>
      <c r="AX44" s="592"/>
      <c r="AY44" s="592"/>
      <c r="AZ44" s="592"/>
      <c r="BA44" s="617"/>
      <c r="BB44" s="592"/>
      <c r="BC44" s="592"/>
      <c r="BD44" s="592"/>
      <c r="BE44" s="592"/>
      <c r="BF44" s="592"/>
      <c r="BG44" s="358"/>
      <c r="BH44" s="358"/>
      <c r="BI44" s="358"/>
      <c r="BJ44" s="592"/>
      <c r="BK44" s="592"/>
      <c r="BL44" s="592"/>
      <c r="BM44" s="592"/>
      <c r="BN44" s="592"/>
      <c r="BO44" s="592"/>
      <c r="BP44" s="592"/>
      <c r="BQ44" s="594"/>
      <c r="BR44" s="594"/>
      <c r="BS44" s="394"/>
      <c r="BT44" s="594"/>
      <c r="BU44" s="594"/>
      <c r="BV44" s="594"/>
      <c r="BW44" s="618"/>
      <c r="BX44" s="608"/>
      <c r="BY44" s="608" t="s">
        <v>271</v>
      </c>
    </row>
    <row r="45" ht="25.5" customHeight="1">
      <c r="A45" s="635"/>
      <c r="B45" s="572">
        <v>45344.4285269213</v>
      </c>
      <c r="C45" s="573">
        <v>0.0</v>
      </c>
      <c r="D45" s="573">
        <v>1.0</v>
      </c>
      <c r="E45" s="574" t="s">
        <v>226</v>
      </c>
      <c r="F45" s="620"/>
      <c r="G45" s="600">
        <v>0.00446093</v>
      </c>
      <c r="H45" s="577"/>
      <c r="I45" s="577"/>
      <c r="J45" s="613"/>
      <c r="K45" s="581"/>
      <c r="L45" s="581"/>
      <c r="M45" s="613"/>
      <c r="N45" s="643"/>
      <c r="O45" s="643"/>
      <c r="P45" s="628"/>
      <c r="Q45" s="628"/>
      <c r="R45" s="581"/>
      <c r="S45" s="581"/>
      <c r="T45" s="581"/>
      <c r="U45" s="582"/>
      <c r="V45" s="614"/>
      <c r="W45" s="581"/>
      <c r="X45" s="615"/>
      <c r="Y45" s="643"/>
      <c r="Z45" s="580"/>
      <c r="AA45" s="634"/>
      <c r="AB45" s="577"/>
      <c r="AC45" s="586"/>
      <c r="AD45" s="634"/>
      <c r="AE45" s="587"/>
      <c r="AF45" s="587"/>
      <c r="AG45" s="582"/>
      <c r="AH45" s="582"/>
      <c r="AI45" s="582"/>
      <c r="AJ45" s="582"/>
      <c r="AK45" s="588"/>
      <c r="AL45" s="582"/>
      <c r="AM45" s="582"/>
      <c r="AN45" s="589"/>
      <c r="AO45" s="616"/>
      <c r="AP45" s="592"/>
      <c r="AQ45" s="358"/>
      <c r="AR45" s="592"/>
      <c r="AS45" s="592"/>
      <c r="AT45" s="592"/>
      <c r="AU45" s="592"/>
      <c r="AV45" s="592"/>
      <c r="AW45" s="592"/>
      <c r="AX45" s="592"/>
      <c r="AY45" s="592"/>
      <c r="AZ45" s="592"/>
      <c r="BA45" s="617"/>
      <c r="BB45" s="592"/>
      <c r="BC45" s="592"/>
      <c r="BD45" s="592"/>
      <c r="BE45" s="592"/>
      <c r="BF45" s="592"/>
      <c r="BG45" s="358"/>
      <c r="BH45" s="358"/>
      <c r="BI45" s="358"/>
      <c r="BJ45" s="592"/>
      <c r="BK45" s="592"/>
      <c r="BL45" s="592"/>
      <c r="BM45" s="592"/>
      <c r="BN45" s="592"/>
      <c r="BO45" s="592"/>
      <c r="BP45" s="592"/>
      <c r="BQ45" s="594"/>
      <c r="BR45" s="594"/>
      <c r="BS45" s="394"/>
      <c r="BT45" s="594"/>
      <c r="BU45" s="594"/>
      <c r="BV45" s="594"/>
      <c r="BW45" s="618"/>
      <c r="BX45" s="608"/>
      <c r="BY45" s="608" t="s">
        <v>272</v>
      </c>
      <c r="BZ45" s="632" t="s">
        <v>273</v>
      </c>
    </row>
    <row r="46" ht="25.5" customHeight="1">
      <c r="A46" s="635"/>
      <c r="B46" s="572">
        <v>45344.455555555556</v>
      </c>
      <c r="C46" s="573">
        <v>0.0</v>
      </c>
      <c r="D46" s="573">
        <v>1.0</v>
      </c>
      <c r="E46" s="574" t="s">
        <v>226</v>
      </c>
      <c r="F46" s="620"/>
      <c r="G46" s="600">
        <v>0.01045296</v>
      </c>
      <c r="H46" s="577"/>
      <c r="I46" s="577"/>
      <c r="J46" s="613"/>
      <c r="K46" s="579"/>
      <c r="L46" s="579"/>
      <c r="M46" s="613"/>
      <c r="N46" s="643"/>
      <c r="O46" s="643"/>
      <c r="P46" s="628"/>
      <c r="Q46" s="628"/>
      <c r="R46" s="579"/>
      <c r="S46" s="579"/>
      <c r="T46" s="581"/>
      <c r="U46" s="582"/>
      <c r="V46" s="614"/>
      <c r="W46" s="581"/>
      <c r="X46" s="615"/>
      <c r="Y46" s="643"/>
      <c r="Z46" s="580"/>
      <c r="AA46" s="634"/>
      <c r="AB46" s="577"/>
      <c r="AC46" s="639"/>
      <c r="AD46" s="634"/>
      <c r="AE46" s="587"/>
      <c r="AF46" s="587"/>
      <c r="AG46" s="582"/>
      <c r="AH46" s="582"/>
      <c r="AI46" s="582"/>
      <c r="AJ46" s="582"/>
      <c r="AK46" s="588"/>
      <c r="AL46" s="582"/>
      <c r="AM46" s="582"/>
      <c r="AN46" s="589"/>
      <c r="AO46" s="616"/>
      <c r="AP46" s="592"/>
      <c r="AQ46" s="358"/>
      <c r="AR46" s="592"/>
      <c r="AS46" s="592"/>
      <c r="AT46" s="592"/>
      <c r="AU46" s="592"/>
      <c r="AV46" s="592"/>
      <c r="AW46" s="592"/>
      <c r="AX46" s="592"/>
      <c r="AY46" s="592"/>
      <c r="AZ46" s="592"/>
      <c r="BA46" s="617"/>
      <c r="BB46" s="592"/>
      <c r="BC46" s="592"/>
      <c r="BD46" s="592"/>
      <c r="BE46" s="592"/>
      <c r="BF46" s="592"/>
      <c r="BG46" s="358"/>
      <c r="BH46" s="358"/>
      <c r="BI46" s="358"/>
      <c r="BJ46" s="592"/>
      <c r="BK46" s="592"/>
      <c r="BL46" s="592"/>
      <c r="BM46" s="592"/>
      <c r="BN46" s="592"/>
      <c r="BO46" s="592"/>
      <c r="BP46" s="592"/>
      <c r="BQ46" s="594"/>
      <c r="BR46" s="594"/>
      <c r="BS46" s="394"/>
      <c r="BT46" s="594"/>
      <c r="BU46" s="594"/>
      <c r="BV46" s="594"/>
      <c r="BW46" s="618"/>
      <c r="BX46" s="608"/>
      <c r="BY46" s="608" t="s">
        <v>274</v>
      </c>
      <c r="BZ46" s="632" t="s">
        <v>275</v>
      </c>
    </row>
    <row r="47" ht="25.5" customHeight="1">
      <c r="A47" s="635"/>
      <c r="B47" s="572">
        <v>45344.47222222222</v>
      </c>
      <c r="C47" s="642"/>
      <c r="D47" s="573">
        <v>1.0</v>
      </c>
      <c r="E47" s="574" t="s">
        <v>226</v>
      </c>
      <c r="F47" s="620"/>
      <c r="G47" s="600">
        <v>-0.03071916</v>
      </c>
      <c r="H47" s="577"/>
      <c r="I47" s="577"/>
      <c r="J47" s="613"/>
      <c r="K47" s="579"/>
      <c r="L47" s="579"/>
      <c r="M47" s="613"/>
      <c r="N47" s="643"/>
      <c r="O47" s="643"/>
      <c r="P47" s="628"/>
      <c r="Q47" s="628"/>
      <c r="R47" s="579"/>
      <c r="S47" s="579"/>
      <c r="T47" s="581"/>
      <c r="U47" s="582"/>
      <c r="V47" s="614"/>
      <c r="W47" s="581"/>
      <c r="X47" s="615"/>
      <c r="Y47" s="643"/>
      <c r="Z47" s="580"/>
      <c r="AA47" s="634"/>
      <c r="AB47" s="577"/>
      <c r="AC47" s="639"/>
      <c r="AD47" s="634"/>
      <c r="AE47" s="587"/>
      <c r="AF47" s="587"/>
      <c r="AG47" s="582"/>
      <c r="AH47" s="582"/>
      <c r="AI47" s="582"/>
      <c r="AJ47" s="582"/>
      <c r="AK47" s="588"/>
      <c r="AL47" s="582"/>
      <c r="AM47" s="582"/>
      <c r="AN47" s="589"/>
      <c r="AO47" s="616"/>
      <c r="AP47" s="592"/>
      <c r="AQ47" s="358"/>
      <c r="AR47" s="592"/>
      <c r="AS47" s="592"/>
      <c r="AT47" s="592"/>
      <c r="AU47" s="592"/>
      <c r="AV47" s="592"/>
      <c r="AW47" s="592"/>
      <c r="AX47" s="592"/>
      <c r="AY47" s="592"/>
      <c r="AZ47" s="592"/>
      <c r="BA47" s="617"/>
      <c r="BB47" s="592"/>
      <c r="BC47" s="592"/>
      <c r="BD47" s="592"/>
      <c r="BE47" s="592"/>
      <c r="BF47" s="592"/>
      <c r="BG47" s="358"/>
      <c r="BH47" s="358"/>
      <c r="BI47" s="358"/>
      <c r="BJ47" s="592"/>
      <c r="BK47" s="592"/>
      <c r="BL47" s="592"/>
      <c r="BM47" s="592"/>
      <c r="BN47" s="592"/>
      <c r="BO47" s="592"/>
      <c r="BP47" s="592"/>
      <c r="BQ47" s="594"/>
      <c r="BR47" s="594"/>
      <c r="BS47" s="394"/>
      <c r="BT47" s="594"/>
      <c r="BU47" s="594"/>
      <c r="BV47" s="594"/>
      <c r="BW47" s="618"/>
      <c r="BX47" s="608"/>
      <c r="BY47" s="608" t="s">
        <v>276</v>
      </c>
      <c r="BZ47" s="632" t="s">
        <v>277</v>
      </c>
    </row>
    <row r="48" ht="25.5" customHeight="1">
      <c r="A48" s="635"/>
      <c r="B48" s="572">
        <v>45347.71391268518</v>
      </c>
      <c r="C48" s="642"/>
      <c r="D48" s="642"/>
      <c r="E48" s="574" t="s">
        <v>231</v>
      </c>
      <c r="F48" s="620"/>
      <c r="G48" s="621"/>
      <c r="H48" s="622"/>
      <c r="I48" s="622"/>
      <c r="J48" s="613"/>
      <c r="K48" s="581"/>
      <c r="L48" s="581"/>
      <c r="M48" s="613"/>
      <c r="N48" s="643"/>
      <c r="O48" s="643"/>
      <c r="P48" s="628"/>
      <c r="Q48" s="628"/>
      <c r="R48" s="581"/>
      <c r="S48" s="581"/>
      <c r="T48" s="581"/>
      <c r="U48" s="623"/>
      <c r="V48" s="614"/>
      <c r="W48" s="581"/>
      <c r="X48" s="615"/>
      <c r="Y48" s="643"/>
      <c r="Z48" s="580"/>
      <c r="AA48" s="634"/>
      <c r="AB48" s="622">
        <f>-0.884788</f>
        <v>-0.884788</v>
      </c>
      <c r="AC48" s="636">
        <v>14.9714976</v>
      </c>
      <c r="AD48" s="634"/>
      <c r="AE48" s="610"/>
      <c r="AF48" s="610"/>
      <c r="AG48" s="623"/>
      <c r="AH48" s="623"/>
      <c r="AI48" s="623"/>
      <c r="AJ48" s="623"/>
      <c r="AK48" s="588"/>
      <c r="AL48" s="623"/>
      <c r="AM48" s="623"/>
      <c r="AN48" s="611"/>
      <c r="AO48" s="616"/>
      <c r="AP48" s="591"/>
      <c r="AQ48" s="358"/>
      <c r="AR48" s="591"/>
      <c r="AS48" s="591"/>
      <c r="AT48" s="591"/>
      <c r="AU48" s="591"/>
      <c r="AV48" s="591"/>
      <c r="AW48" s="591"/>
      <c r="AX48" s="591"/>
      <c r="AY48" s="591"/>
      <c r="AZ48" s="591"/>
      <c r="BA48" s="617"/>
      <c r="BB48" s="591"/>
      <c r="BC48" s="591"/>
      <c r="BD48" s="591"/>
      <c r="BE48" s="591"/>
      <c r="BF48" s="591"/>
      <c r="BG48" s="358"/>
      <c r="BH48" s="358"/>
      <c r="BI48" s="358"/>
      <c r="BJ48" s="591"/>
      <c r="BK48" s="591"/>
      <c r="BL48" s="591"/>
      <c r="BM48" s="591"/>
      <c r="BN48" s="591"/>
      <c r="BO48" s="591"/>
      <c r="BP48" s="591"/>
      <c r="BQ48" s="624"/>
      <c r="BR48" s="624"/>
      <c r="BS48" s="394"/>
      <c r="BT48" s="624"/>
      <c r="BU48" s="624"/>
      <c r="BV48" s="624"/>
      <c r="BW48" s="618"/>
      <c r="CA48" s="608">
        <f>-AB48/AC48</f>
        <v>0.05909816263</v>
      </c>
      <c r="CB48" s="626">
        <v>-0.001062</v>
      </c>
    </row>
    <row r="49" ht="25.5" customHeight="1">
      <c r="A49" s="635"/>
      <c r="B49" s="572">
        <v>45347.73525326389</v>
      </c>
      <c r="C49" s="642"/>
      <c r="D49" s="642"/>
      <c r="E49" s="574" t="s">
        <v>218</v>
      </c>
      <c r="F49" s="612">
        <v>-3.00003789</v>
      </c>
      <c r="G49" s="621"/>
      <c r="H49" s="622"/>
      <c r="I49" s="622"/>
      <c r="J49" s="604"/>
      <c r="K49" s="581"/>
      <c r="L49" s="581"/>
      <c r="M49" s="604"/>
      <c r="N49" s="627"/>
      <c r="O49" s="627"/>
      <c r="P49" s="628"/>
      <c r="Q49" s="628"/>
      <c r="R49" s="581"/>
      <c r="S49" s="581"/>
      <c r="T49" s="581"/>
      <c r="U49" s="623"/>
      <c r="V49" s="630"/>
      <c r="W49" s="581"/>
      <c r="X49" s="631"/>
      <c r="Y49" s="627"/>
      <c r="Z49" s="580"/>
      <c r="AA49" s="634"/>
      <c r="AB49" s="622">
        <v>3.0</v>
      </c>
      <c r="AC49" s="586"/>
      <c r="AD49" s="634"/>
      <c r="AE49" s="587"/>
      <c r="AF49" s="587"/>
      <c r="AG49" s="623"/>
      <c r="AH49" s="623"/>
      <c r="AI49" s="623"/>
      <c r="AJ49" s="623"/>
      <c r="AK49" s="588"/>
      <c r="AL49" s="623"/>
      <c r="AM49" s="623"/>
      <c r="AN49" s="589"/>
      <c r="AO49" s="616"/>
      <c r="AP49" s="591"/>
      <c r="AQ49" s="358"/>
      <c r="AR49" s="591"/>
      <c r="AS49" s="591"/>
      <c r="AT49" s="591"/>
      <c r="AU49" s="591"/>
      <c r="AV49" s="591"/>
      <c r="AW49" s="591"/>
      <c r="AX49" s="591"/>
      <c r="AY49" s="591"/>
      <c r="AZ49" s="591"/>
      <c r="BA49" s="617"/>
      <c r="BB49" s="591"/>
      <c r="BC49" s="591"/>
      <c r="BD49" s="591"/>
      <c r="BE49" s="591"/>
      <c r="BF49" s="591"/>
      <c r="BG49" s="358"/>
      <c r="BH49" s="358"/>
      <c r="BI49" s="358"/>
      <c r="BJ49" s="591"/>
      <c r="BK49" s="591"/>
      <c r="BL49" s="591"/>
      <c r="BM49" s="591"/>
      <c r="BN49" s="591"/>
      <c r="BO49" s="591"/>
      <c r="BP49" s="591"/>
      <c r="BQ49" s="624"/>
      <c r="BR49" s="624"/>
      <c r="BS49" s="394"/>
      <c r="BT49" s="624"/>
      <c r="BU49" s="624"/>
      <c r="BV49" s="624"/>
      <c r="BW49" s="618"/>
      <c r="CA49" s="608"/>
    </row>
    <row r="50" ht="25.5" customHeight="1">
      <c r="A50" s="635"/>
      <c r="B50" s="572">
        <v>45347.813888888886</v>
      </c>
      <c r="C50" s="642"/>
      <c r="D50" s="642"/>
      <c r="E50" s="574" t="s">
        <v>231</v>
      </c>
      <c r="F50" s="620"/>
      <c r="G50" s="621"/>
      <c r="H50" s="622"/>
      <c r="I50" s="622"/>
      <c r="J50" s="613"/>
      <c r="K50" s="581"/>
      <c r="L50" s="581"/>
      <c r="M50" s="613"/>
      <c r="N50" s="643"/>
      <c r="O50" s="643"/>
      <c r="P50" s="628"/>
      <c r="Q50" s="628"/>
      <c r="R50" s="581"/>
      <c r="S50" s="581"/>
      <c r="T50" s="581"/>
      <c r="U50" s="623"/>
      <c r="V50" s="614"/>
      <c r="W50" s="581"/>
      <c r="X50" s="615"/>
      <c r="Y50" s="643"/>
      <c r="Z50" s="580"/>
      <c r="AA50" s="634"/>
      <c r="AB50" s="622">
        <f>-1.000002-0.001096</f>
        <v>-1.001098</v>
      </c>
      <c r="AC50" s="625">
        <v>16.732895</v>
      </c>
      <c r="AD50" s="634"/>
      <c r="AE50" s="587"/>
      <c r="AF50" s="587"/>
      <c r="AG50" s="623"/>
      <c r="AH50" s="623"/>
      <c r="AI50" s="623"/>
      <c r="AJ50" s="623"/>
      <c r="AK50" s="588"/>
      <c r="AL50" s="623"/>
      <c r="AM50" s="623"/>
      <c r="AN50" s="589"/>
      <c r="AO50" s="616"/>
      <c r="AP50" s="591"/>
      <c r="AQ50" s="358"/>
      <c r="AR50" s="591"/>
      <c r="AS50" s="591"/>
      <c r="AT50" s="591"/>
      <c r="AU50" s="591"/>
      <c r="AV50" s="591"/>
      <c r="AW50" s="591"/>
      <c r="AX50" s="591"/>
      <c r="AY50" s="591"/>
      <c r="AZ50" s="591"/>
      <c r="BA50" s="617"/>
      <c r="BB50" s="591"/>
      <c r="BC50" s="591"/>
      <c r="BD50" s="591"/>
      <c r="BE50" s="591"/>
      <c r="BF50" s="591"/>
      <c r="BG50" s="358"/>
      <c r="BH50" s="358"/>
      <c r="BI50" s="358"/>
      <c r="BJ50" s="591"/>
      <c r="BK50" s="591"/>
      <c r="BL50" s="591"/>
      <c r="BM50" s="591"/>
      <c r="BN50" s="591"/>
      <c r="BO50" s="591"/>
      <c r="BP50" s="591"/>
      <c r="BQ50" s="624"/>
      <c r="BR50" s="624"/>
      <c r="BS50" s="394"/>
      <c r="BT50" s="624"/>
      <c r="BU50" s="624"/>
      <c r="BV50" s="624"/>
      <c r="BW50" s="618"/>
      <c r="CA50" s="608">
        <f t="shared" ref="CA50:CA51" si="21">-AB50/AC50</f>
        <v>0.05982814092</v>
      </c>
      <c r="CB50" s="626">
        <v>-0.001096</v>
      </c>
    </row>
    <row r="51" ht="25.5" customHeight="1">
      <c r="A51" s="635"/>
      <c r="B51" s="572">
        <v>45348.802083333336</v>
      </c>
      <c r="C51" s="642"/>
      <c r="D51" s="642"/>
      <c r="E51" s="574" t="s">
        <v>231</v>
      </c>
      <c r="F51" s="620"/>
      <c r="G51" s="621"/>
      <c r="H51" s="622"/>
      <c r="I51" s="622"/>
      <c r="J51" s="613"/>
      <c r="K51" s="581"/>
      <c r="L51" s="581"/>
      <c r="M51" s="613"/>
      <c r="N51" s="643"/>
      <c r="O51" s="643"/>
      <c r="P51" s="628"/>
      <c r="Q51" s="628"/>
      <c r="R51" s="581"/>
      <c r="S51" s="581"/>
      <c r="T51" s="581"/>
      <c r="U51" s="623"/>
      <c r="V51" s="614"/>
      <c r="W51" s="581"/>
      <c r="X51" s="615"/>
      <c r="Y51" s="643"/>
      <c r="Z51" s="580"/>
      <c r="AA51" s="634"/>
      <c r="AB51" s="622">
        <f>-0.9-0.0009</f>
        <v>-0.9009</v>
      </c>
      <c r="AC51" s="636">
        <v>15.41680836</v>
      </c>
      <c r="AD51" s="634"/>
      <c r="AE51" s="610"/>
      <c r="AF51" s="610"/>
      <c r="AG51" s="623"/>
      <c r="AH51" s="623"/>
      <c r="AI51" s="623"/>
      <c r="AJ51" s="623"/>
      <c r="AK51" s="588"/>
      <c r="AL51" s="623"/>
      <c r="AM51" s="623"/>
      <c r="AN51" s="611"/>
      <c r="AO51" s="616"/>
      <c r="AP51" s="591"/>
      <c r="AQ51" s="358"/>
      <c r="AR51" s="591"/>
      <c r="AS51" s="591"/>
      <c r="AT51" s="591"/>
      <c r="AU51" s="591"/>
      <c r="AV51" s="591"/>
      <c r="AW51" s="591"/>
      <c r="AX51" s="591"/>
      <c r="AY51" s="591"/>
      <c r="AZ51" s="591"/>
      <c r="BA51" s="617"/>
      <c r="BB51" s="591"/>
      <c r="BC51" s="591"/>
      <c r="BD51" s="591"/>
      <c r="BE51" s="591"/>
      <c r="BF51" s="591"/>
      <c r="BG51" s="358"/>
      <c r="BH51" s="358"/>
      <c r="BI51" s="358"/>
      <c r="BJ51" s="591"/>
      <c r="BK51" s="591"/>
      <c r="BL51" s="591"/>
      <c r="BM51" s="591"/>
      <c r="BN51" s="591"/>
      <c r="BO51" s="591"/>
      <c r="BP51" s="591"/>
      <c r="BQ51" s="624"/>
      <c r="BR51" s="624"/>
      <c r="BS51" s="394"/>
      <c r="BT51" s="624"/>
      <c r="BU51" s="624"/>
      <c r="BV51" s="624"/>
      <c r="BW51" s="618"/>
      <c r="BX51" s="644"/>
      <c r="BY51" s="644"/>
      <c r="CA51" s="608">
        <f t="shared" si="21"/>
        <v>0.05843621967</v>
      </c>
      <c r="CB51" s="53">
        <v>-9.0E-4</v>
      </c>
    </row>
    <row r="52" ht="25.5" customHeight="1">
      <c r="A52" s="635"/>
      <c r="B52" s="572">
        <v>45348.95518053241</v>
      </c>
      <c r="C52" s="642"/>
      <c r="D52" s="642"/>
      <c r="E52" s="574" t="s">
        <v>218</v>
      </c>
      <c r="F52" s="620"/>
      <c r="G52" s="621"/>
      <c r="H52" s="577"/>
      <c r="I52" s="577"/>
      <c r="J52" s="613"/>
      <c r="K52" s="581"/>
      <c r="L52" s="581"/>
      <c r="M52" s="613"/>
      <c r="N52" s="645">
        <v>63.57398372</v>
      </c>
      <c r="O52" s="627"/>
      <c r="P52" s="628"/>
      <c r="Q52" s="629"/>
      <c r="R52" s="581"/>
      <c r="S52" s="581"/>
      <c r="T52" s="581"/>
      <c r="U52" s="582"/>
      <c r="V52" s="630"/>
      <c r="W52" s="581"/>
      <c r="X52" s="631"/>
      <c r="Y52" s="627"/>
      <c r="Z52" s="580"/>
      <c r="AA52" s="634"/>
      <c r="AB52" s="577"/>
      <c r="AC52" s="625">
        <v>-63.59398372</v>
      </c>
      <c r="AD52" s="634"/>
      <c r="AE52" s="587"/>
      <c r="AF52" s="587"/>
      <c r="AG52" s="582"/>
      <c r="AH52" s="582"/>
      <c r="AI52" s="582"/>
      <c r="AJ52" s="582"/>
      <c r="AK52" s="588"/>
      <c r="AL52" s="582"/>
      <c r="AM52" s="582"/>
      <c r="AN52" s="589"/>
      <c r="AO52" s="616"/>
      <c r="AP52" s="592"/>
      <c r="AQ52" s="358"/>
      <c r="AR52" s="592"/>
      <c r="AS52" s="592"/>
      <c r="AT52" s="592"/>
      <c r="AU52" s="592"/>
      <c r="AV52" s="592"/>
      <c r="AW52" s="592"/>
      <c r="AX52" s="592"/>
      <c r="AY52" s="592"/>
      <c r="AZ52" s="592"/>
      <c r="BA52" s="617"/>
      <c r="BB52" s="592"/>
      <c r="BC52" s="592"/>
      <c r="BD52" s="592"/>
      <c r="BE52" s="592"/>
      <c r="BF52" s="592"/>
      <c r="BG52" s="358"/>
      <c r="BH52" s="358"/>
      <c r="BI52" s="358"/>
      <c r="BJ52" s="592"/>
      <c r="BK52" s="592"/>
      <c r="BL52" s="592"/>
      <c r="BM52" s="592"/>
      <c r="BN52" s="592"/>
      <c r="BO52" s="592"/>
      <c r="BP52" s="592"/>
      <c r="BQ52" s="594"/>
      <c r="BR52" s="594"/>
      <c r="BS52" s="394"/>
      <c r="BT52" s="594"/>
      <c r="BU52" s="594"/>
      <c r="BV52" s="594"/>
      <c r="BW52" s="618"/>
      <c r="BX52" s="608"/>
      <c r="BY52" s="608"/>
      <c r="BZ52" s="609" t="s">
        <v>278</v>
      </c>
    </row>
    <row r="53" ht="25.5" customHeight="1">
      <c r="A53" s="635"/>
      <c r="B53" s="572">
        <v>45350.33541666667</v>
      </c>
      <c r="C53" s="642"/>
      <c r="D53" s="642"/>
      <c r="E53" s="574" t="s">
        <v>231</v>
      </c>
      <c r="F53" s="620"/>
      <c r="G53" s="621"/>
      <c r="H53" s="622"/>
      <c r="I53" s="622"/>
      <c r="J53" s="604"/>
      <c r="K53" s="581"/>
      <c r="L53" s="581"/>
      <c r="M53" s="604"/>
      <c r="N53" s="604"/>
      <c r="O53" s="604"/>
      <c r="P53" s="580"/>
      <c r="Q53" s="580"/>
      <c r="R53" s="581"/>
      <c r="S53" s="581"/>
      <c r="T53" s="581"/>
      <c r="U53" s="623"/>
      <c r="V53" s="630"/>
      <c r="W53" s="581"/>
      <c r="X53" s="631"/>
      <c r="Y53" s="604"/>
      <c r="Z53" s="580"/>
      <c r="AA53" s="634"/>
      <c r="AB53" s="622">
        <v>-1.09800274</v>
      </c>
      <c r="AC53" s="639"/>
      <c r="AD53" s="634"/>
      <c r="AE53" s="606">
        <f>64233.1603-64.23316</f>
        <v>64168.92714</v>
      </c>
      <c r="AF53" s="606"/>
      <c r="AG53" s="623"/>
      <c r="AH53" s="623"/>
      <c r="AI53" s="623"/>
      <c r="AJ53" s="623"/>
      <c r="AK53" s="588"/>
      <c r="AL53" s="623"/>
      <c r="AM53" s="623"/>
      <c r="AN53" s="589"/>
      <c r="AO53" s="616"/>
      <c r="AP53" s="591"/>
      <c r="AQ53" s="358"/>
      <c r="AR53" s="591"/>
      <c r="AS53" s="591"/>
      <c r="AT53" s="591"/>
      <c r="AU53" s="591"/>
      <c r="AV53" s="591"/>
      <c r="AW53" s="591"/>
      <c r="AX53" s="591"/>
      <c r="AY53" s="591"/>
      <c r="AZ53" s="591"/>
      <c r="BA53" s="617"/>
      <c r="BB53" s="591"/>
      <c r="BC53" s="591"/>
      <c r="BD53" s="591"/>
      <c r="BE53" s="591"/>
      <c r="BF53" s="591"/>
      <c r="BG53" s="358"/>
      <c r="BH53" s="358"/>
      <c r="BI53" s="358"/>
      <c r="BJ53" s="591"/>
      <c r="BK53" s="591"/>
      <c r="BL53" s="591"/>
      <c r="BM53" s="591"/>
      <c r="BN53" s="591"/>
      <c r="BO53" s="591"/>
      <c r="BP53" s="591"/>
      <c r="BQ53" s="624"/>
      <c r="BR53" s="624"/>
      <c r="BS53" s="394"/>
      <c r="BT53" s="624"/>
      <c r="BU53" s="624"/>
      <c r="BV53" s="624"/>
      <c r="BW53" s="618"/>
      <c r="BX53" s="644"/>
      <c r="BY53" s="644"/>
      <c r="CA53" s="646">
        <f>-AE53/AB53</f>
        <v>58441.50001</v>
      </c>
    </row>
    <row r="54" ht="25.5" customHeight="1">
      <c r="A54" s="635"/>
      <c r="B54" s="572">
        <v>45350.37734953704</v>
      </c>
      <c r="C54" s="642"/>
      <c r="D54" s="642"/>
      <c r="E54" s="574" t="s">
        <v>218</v>
      </c>
      <c r="F54" s="620"/>
      <c r="G54" s="621"/>
      <c r="H54" s="577"/>
      <c r="I54" s="577"/>
      <c r="J54" s="613"/>
      <c r="K54" s="581"/>
      <c r="L54" s="581"/>
      <c r="M54" s="613"/>
      <c r="N54" s="604">
        <v>-24.00335</v>
      </c>
      <c r="O54" s="604"/>
      <c r="P54" s="580"/>
      <c r="Q54" s="633"/>
      <c r="R54" s="581"/>
      <c r="S54" s="581"/>
      <c r="T54" s="581"/>
      <c r="U54" s="582"/>
      <c r="V54" s="630"/>
      <c r="W54" s="581"/>
      <c r="X54" s="631"/>
      <c r="Y54" s="604"/>
      <c r="Z54" s="580"/>
      <c r="AA54" s="634"/>
      <c r="AB54" s="577"/>
      <c r="AC54" s="625">
        <v>24.0</v>
      </c>
      <c r="AD54" s="634"/>
      <c r="AE54" s="587"/>
      <c r="AF54" s="587"/>
      <c r="AG54" s="582"/>
      <c r="AH54" s="582"/>
      <c r="AI54" s="582"/>
      <c r="AJ54" s="582"/>
      <c r="AK54" s="588"/>
      <c r="AL54" s="582"/>
      <c r="AM54" s="582"/>
      <c r="AN54" s="589"/>
      <c r="AO54" s="616"/>
      <c r="AP54" s="592"/>
      <c r="AQ54" s="358"/>
      <c r="AR54" s="592"/>
      <c r="AS54" s="592"/>
      <c r="AT54" s="592"/>
      <c r="AU54" s="592"/>
      <c r="AV54" s="592"/>
      <c r="AW54" s="592"/>
      <c r="AX54" s="592"/>
      <c r="AY54" s="592"/>
      <c r="AZ54" s="592"/>
      <c r="BA54" s="617"/>
      <c r="BB54" s="592"/>
      <c r="BC54" s="592"/>
      <c r="BD54" s="592"/>
      <c r="BE54" s="592"/>
      <c r="BF54" s="592"/>
      <c r="BG54" s="358"/>
      <c r="BH54" s="358"/>
      <c r="BI54" s="358"/>
      <c r="BJ54" s="592"/>
      <c r="BK54" s="592"/>
      <c r="BL54" s="592"/>
      <c r="BM54" s="592"/>
      <c r="BN54" s="592"/>
      <c r="BO54" s="592"/>
      <c r="BP54" s="592"/>
      <c r="BQ54" s="594"/>
      <c r="BR54" s="594"/>
      <c r="BS54" s="394"/>
      <c r="BT54" s="594"/>
      <c r="BU54" s="594"/>
      <c r="BV54" s="594"/>
      <c r="BW54" s="618"/>
      <c r="BX54" s="608"/>
      <c r="BY54" s="608"/>
      <c r="BZ54" s="609" t="s">
        <v>279</v>
      </c>
    </row>
    <row r="55" ht="25.5" customHeight="1">
      <c r="A55" s="647"/>
      <c r="B55" s="648">
        <v>45350.38680555556</v>
      </c>
      <c r="C55" s="649"/>
      <c r="D55" s="649"/>
      <c r="E55" s="650" t="s">
        <v>231</v>
      </c>
      <c r="F55" s="620"/>
      <c r="G55" s="621"/>
      <c r="H55" s="622"/>
      <c r="I55" s="622"/>
      <c r="J55" s="613"/>
      <c r="K55" s="581"/>
      <c r="L55" s="581"/>
      <c r="M55" s="613"/>
      <c r="N55" s="613"/>
      <c r="O55" s="613"/>
      <c r="P55" s="580"/>
      <c r="Q55" s="580"/>
      <c r="R55" s="581"/>
      <c r="S55" s="581"/>
      <c r="T55" s="581"/>
      <c r="U55" s="582"/>
      <c r="V55" s="614"/>
      <c r="W55" s="581"/>
      <c r="X55" s="615"/>
      <c r="Y55" s="613"/>
      <c r="Z55" s="580"/>
      <c r="AA55" s="585"/>
      <c r="AB55" s="622"/>
      <c r="AC55" s="625">
        <v>-24.0</v>
      </c>
      <c r="AD55" s="585"/>
      <c r="AE55" s="610"/>
      <c r="AF55" s="623">
        <f>79848.24-79.84</f>
        <v>79768.4</v>
      </c>
      <c r="AG55" s="582"/>
      <c r="AH55" s="582"/>
      <c r="AI55" s="582"/>
      <c r="AJ55" s="582"/>
      <c r="AK55" s="588"/>
      <c r="AL55" s="582"/>
      <c r="AM55" s="582"/>
      <c r="AN55" s="611"/>
      <c r="AO55" s="616"/>
      <c r="AP55" s="592"/>
      <c r="AQ55" s="358"/>
      <c r="AR55" s="592"/>
      <c r="AS55" s="592"/>
      <c r="AT55" s="592"/>
      <c r="AU55" s="592"/>
      <c r="AV55" s="592"/>
      <c r="AW55" s="592"/>
      <c r="AX55" s="592"/>
      <c r="AY55" s="592"/>
      <c r="AZ55" s="592"/>
      <c r="BA55" s="617"/>
      <c r="BB55" s="592"/>
      <c r="BC55" s="592"/>
      <c r="BD55" s="592"/>
      <c r="BE55" s="592"/>
      <c r="BF55" s="592"/>
      <c r="BG55" s="358"/>
      <c r="BH55" s="358"/>
      <c r="BI55" s="358"/>
      <c r="BJ55" s="592"/>
      <c r="BK55" s="592"/>
      <c r="BL55" s="592"/>
      <c r="BM55" s="592"/>
      <c r="BN55" s="592"/>
      <c r="BO55" s="592"/>
      <c r="BP55" s="592"/>
      <c r="BQ55" s="594"/>
      <c r="BR55" s="594"/>
      <c r="BS55" s="394"/>
      <c r="BT55" s="594"/>
      <c r="BU55" s="594"/>
      <c r="BV55" s="594"/>
      <c r="BW55" s="618"/>
      <c r="BX55" s="644"/>
      <c r="BY55" s="644"/>
    </row>
    <row r="56" ht="25.5" customHeight="1">
      <c r="A56" s="647"/>
      <c r="B56" s="648">
        <v>45350.39791666667</v>
      </c>
      <c r="C56" s="649"/>
      <c r="D56" s="649"/>
      <c r="E56" s="650" t="s">
        <v>231</v>
      </c>
      <c r="F56" s="620"/>
      <c r="G56" s="621"/>
      <c r="H56" s="622"/>
      <c r="I56" s="622"/>
      <c r="J56" s="613"/>
      <c r="K56" s="581"/>
      <c r="L56" s="581"/>
      <c r="M56" s="613"/>
      <c r="N56" s="613"/>
      <c r="O56" s="613"/>
      <c r="P56" s="580"/>
      <c r="Q56" s="580"/>
      <c r="R56" s="581"/>
      <c r="S56" s="581"/>
      <c r="T56" s="581"/>
      <c r="U56" s="582"/>
      <c r="V56" s="614"/>
      <c r="W56" s="581"/>
      <c r="X56" s="615"/>
      <c r="Y56" s="613"/>
      <c r="Z56" s="580"/>
      <c r="AA56" s="585"/>
      <c r="AB56" s="622"/>
      <c r="AC56" s="586"/>
      <c r="AD56" s="585"/>
      <c r="AE56" s="651">
        <v>-64168.93</v>
      </c>
      <c r="AF56" s="651">
        <f>64201.65-51.36</f>
        <v>64150.29</v>
      </c>
      <c r="AG56" s="582"/>
      <c r="AH56" s="582"/>
      <c r="AI56" s="582"/>
      <c r="AJ56" s="582"/>
      <c r="AK56" s="588"/>
      <c r="AL56" s="582"/>
      <c r="AM56" s="582"/>
      <c r="AN56" s="611"/>
      <c r="AO56" s="616"/>
      <c r="AP56" s="592"/>
      <c r="AQ56" s="358"/>
      <c r="AR56" s="592"/>
      <c r="AS56" s="592"/>
      <c r="AT56" s="592"/>
      <c r="AU56" s="592"/>
      <c r="AV56" s="592"/>
      <c r="AW56" s="592"/>
      <c r="AX56" s="592"/>
      <c r="AY56" s="592"/>
      <c r="AZ56" s="592"/>
      <c r="BA56" s="617"/>
      <c r="BB56" s="592"/>
      <c r="BC56" s="592"/>
      <c r="BD56" s="592"/>
      <c r="BE56" s="592"/>
      <c r="BF56" s="592"/>
      <c r="BG56" s="358"/>
      <c r="BH56" s="358"/>
      <c r="BI56" s="358"/>
      <c r="BJ56" s="592"/>
      <c r="BK56" s="592"/>
      <c r="BL56" s="592"/>
      <c r="BM56" s="592"/>
      <c r="BN56" s="592"/>
      <c r="BO56" s="592"/>
      <c r="BP56" s="592"/>
      <c r="BQ56" s="594"/>
      <c r="BR56" s="594"/>
      <c r="BS56" s="394"/>
      <c r="BT56" s="594"/>
      <c r="BU56" s="594"/>
      <c r="BV56" s="594"/>
      <c r="BW56" s="618"/>
      <c r="BX56" s="644"/>
      <c r="BY56" s="644"/>
    </row>
    <row r="57" ht="25.5" customHeight="1">
      <c r="A57" s="652"/>
      <c r="B57" s="653">
        <v>45350.4125</v>
      </c>
      <c r="C57" s="654"/>
      <c r="D57" s="654"/>
      <c r="E57" s="655" t="s">
        <v>231</v>
      </c>
      <c r="F57" s="620"/>
      <c r="G57" s="621"/>
      <c r="H57" s="622"/>
      <c r="I57" s="622"/>
      <c r="J57" s="613"/>
      <c r="K57" s="581"/>
      <c r="L57" s="581"/>
      <c r="M57" s="613"/>
      <c r="N57" s="613"/>
      <c r="O57" s="613"/>
      <c r="P57" s="580"/>
      <c r="Q57" s="580"/>
      <c r="R57" s="581"/>
      <c r="S57" s="581"/>
      <c r="T57" s="581"/>
      <c r="U57" s="582"/>
      <c r="V57" s="614"/>
      <c r="W57" s="581"/>
      <c r="X57" s="615"/>
      <c r="Y57" s="613"/>
      <c r="Z57" s="580"/>
      <c r="AA57" s="585"/>
      <c r="AB57" s="622"/>
      <c r="AE57" s="53">
        <f>143838.1346-115.0676</f>
        <v>143723.067</v>
      </c>
      <c r="AF57" s="53">
        <v>-143918.68</v>
      </c>
      <c r="AG57" s="582"/>
      <c r="AH57" s="582"/>
      <c r="AI57" s="582"/>
      <c r="AJ57" s="582"/>
      <c r="AK57" s="588"/>
      <c r="AN57" s="611"/>
      <c r="AO57" s="616"/>
      <c r="AP57" s="592"/>
      <c r="AQ57" s="358"/>
      <c r="AR57" s="592"/>
      <c r="AS57" s="592"/>
      <c r="AT57" s="592"/>
      <c r="AU57" s="592"/>
      <c r="AV57" s="592"/>
      <c r="AW57" s="592"/>
      <c r="AX57" s="592"/>
      <c r="AY57" s="592"/>
      <c r="AZ57" s="592"/>
      <c r="BA57" s="617"/>
      <c r="BB57" s="592"/>
      <c r="BC57" s="592"/>
      <c r="BD57" s="592"/>
      <c r="BE57" s="592"/>
      <c r="BF57" s="592"/>
      <c r="BG57" s="358"/>
      <c r="BH57" s="358"/>
      <c r="BI57" s="358"/>
      <c r="BJ57" s="592"/>
      <c r="BK57" s="592"/>
      <c r="BL57" s="592"/>
      <c r="BM57" s="592"/>
      <c r="BN57" s="592"/>
      <c r="BO57" s="592"/>
      <c r="BP57" s="592"/>
      <c r="BQ57" s="594"/>
      <c r="BR57" s="594"/>
      <c r="BS57" s="394"/>
      <c r="BT57" s="594"/>
      <c r="BU57" s="594"/>
      <c r="BV57" s="594"/>
      <c r="BW57" s="618"/>
      <c r="BX57" s="644"/>
      <c r="BY57" s="644"/>
    </row>
    <row r="58" ht="25.5" customHeight="1">
      <c r="A58" s="635"/>
      <c r="B58" s="572">
        <v>45350.67546983797</v>
      </c>
      <c r="C58" s="642"/>
      <c r="D58" s="642"/>
      <c r="E58" s="574" t="s">
        <v>218</v>
      </c>
      <c r="F58" s="620"/>
      <c r="G58" s="621"/>
      <c r="H58" s="577"/>
      <c r="I58" s="577"/>
      <c r="J58" s="613"/>
      <c r="K58" s="579"/>
      <c r="L58" s="579"/>
      <c r="M58" s="613"/>
      <c r="N58" s="613"/>
      <c r="O58" s="613"/>
      <c r="P58" s="580"/>
      <c r="Q58" s="580"/>
      <c r="R58" s="579"/>
      <c r="S58" s="579"/>
      <c r="T58" s="581"/>
      <c r="U58" s="623"/>
      <c r="V58" s="614"/>
      <c r="W58" s="581"/>
      <c r="X58" s="615"/>
      <c r="Y58" s="613"/>
      <c r="Z58" s="580"/>
      <c r="AA58" s="634"/>
      <c r="AB58" s="577"/>
      <c r="AC58" s="639"/>
      <c r="AD58" s="634"/>
      <c r="AE58" s="606">
        <v>-10001.0</v>
      </c>
      <c r="AF58" s="606"/>
      <c r="AG58" s="623"/>
      <c r="AH58" s="623"/>
      <c r="AI58" s="623"/>
      <c r="AJ58" s="623"/>
      <c r="AK58" s="588"/>
      <c r="AL58" s="623">
        <v>10000.0</v>
      </c>
      <c r="AM58" s="623"/>
      <c r="AN58" s="589"/>
      <c r="AO58" s="616"/>
      <c r="AP58" s="591"/>
      <c r="AQ58" s="358"/>
      <c r="AR58" s="591"/>
      <c r="AS58" s="591"/>
      <c r="AT58" s="591"/>
      <c r="AU58" s="591"/>
      <c r="AV58" s="591"/>
      <c r="AW58" s="591"/>
      <c r="AX58" s="591"/>
      <c r="AY58" s="591"/>
      <c r="AZ58" s="591"/>
      <c r="BA58" s="617"/>
      <c r="BB58" s="591"/>
      <c r="BC58" s="591"/>
      <c r="BD58" s="591"/>
      <c r="BE58" s="591"/>
      <c r="BF58" s="591"/>
      <c r="BG58" s="358"/>
      <c r="BH58" s="358"/>
      <c r="BI58" s="358"/>
      <c r="BJ58" s="591"/>
      <c r="BK58" s="591"/>
      <c r="BL58" s="591"/>
      <c r="BM58" s="591"/>
      <c r="BN58" s="591"/>
      <c r="BO58" s="591"/>
      <c r="BP58" s="591"/>
      <c r="BQ58" s="624"/>
      <c r="BR58" s="624"/>
      <c r="BS58" s="394"/>
      <c r="BT58" s="624"/>
      <c r="BU58" s="624"/>
      <c r="BV58" s="624"/>
      <c r="BW58" s="618"/>
      <c r="BX58" s="644"/>
      <c r="BY58" s="644"/>
    </row>
    <row r="59" ht="25.5" customHeight="1">
      <c r="A59" s="635"/>
      <c r="B59" s="572">
        <v>45350.69144376158</v>
      </c>
      <c r="C59" s="642"/>
      <c r="D59" s="642"/>
      <c r="E59" s="574" t="s">
        <v>218</v>
      </c>
      <c r="F59" s="620"/>
      <c r="G59" s="621"/>
      <c r="H59" s="577"/>
      <c r="I59" s="577"/>
      <c r="J59" s="613"/>
      <c r="K59" s="581"/>
      <c r="L59" s="581"/>
      <c r="M59" s="613"/>
      <c r="N59" s="613"/>
      <c r="O59" s="613"/>
      <c r="P59" s="580"/>
      <c r="Q59" s="580"/>
      <c r="R59" s="581"/>
      <c r="S59" s="581"/>
      <c r="T59" s="581"/>
      <c r="U59" s="623"/>
      <c r="V59" s="614"/>
      <c r="W59" s="581"/>
      <c r="X59" s="615"/>
      <c r="Y59" s="613"/>
      <c r="Z59" s="580"/>
      <c r="AA59" s="634"/>
      <c r="AB59" s="577"/>
      <c r="AC59" s="639"/>
      <c r="AD59" s="634"/>
      <c r="AE59" s="610"/>
      <c r="AF59" s="610"/>
      <c r="AG59" s="623"/>
      <c r="AH59" s="623"/>
      <c r="AI59" s="623"/>
      <c r="AJ59" s="623">
        <v>9999.62000805</v>
      </c>
      <c r="AK59" s="588"/>
      <c r="AL59" s="623">
        <v>-10000.0</v>
      </c>
      <c r="AM59" s="623"/>
      <c r="AN59" s="611"/>
      <c r="AO59" s="616"/>
      <c r="AP59" s="591"/>
      <c r="AQ59" s="358"/>
      <c r="AR59" s="591"/>
      <c r="AS59" s="591"/>
      <c r="AT59" s="591"/>
      <c r="AU59" s="591"/>
      <c r="AV59" s="591"/>
      <c r="AW59" s="591"/>
      <c r="AX59" s="591"/>
      <c r="AY59" s="591"/>
      <c r="AZ59" s="591"/>
      <c r="BA59" s="617"/>
      <c r="BB59" s="591"/>
      <c r="BC59" s="591"/>
      <c r="BD59" s="591"/>
      <c r="BE59" s="591"/>
      <c r="BF59" s="591"/>
      <c r="BG59" s="358"/>
      <c r="BH59" s="358"/>
      <c r="BI59" s="358"/>
      <c r="BJ59" s="591"/>
      <c r="BK59" s="591"/>
      <c r="BL59" s="591"/>
      <c r="BM59" s="591"/>
      <c r="BN59" s="591"/>
      <c r="BO59" s="591"/>
      <c r="BP59" s="591"/>
      <c r="BQ59" s="624"/>
      <c r="BR59" s="624"/>
      <c r="BS59" s="394"/>
      <c r="BT59" s="624"/>
      <c r="BU59" s="624"/>
      <c r="BV59" s="624"/>
      <c r="BW59" s="618"/>
      <c r="BX59" s="644"/>
      <c r="BY59" s="644"/>
      <c r="BZ59" s="609" t="s">
        <v>280</v>
      </c>
      <c r="CA59" s="609" t="s">
        <v>281</v>
      </c>
    </row>
    <row r="60" ht="25.5" customHeight="1">
      <c r="A60" s="635"/>
      <c r="B60" s="572">
        <v>45350.69935613426</v>
      </c>
      <c r="C60" s="642"/>
      <c r="D60" s="642"/>
      <c r="E60" s="574" t="s">
        <v>231</v>
      </c>
      <c r="F60" s="620"/>
      <c r="G60" s="621"/>
      <c r="H60" s="577"/>
      <c r="I60" s="577"/>
      <c r="J60" s="613"/>
      <c r="K60" s="579"/>
      <c r="L60" s="579"/>
      <c r="M60" s="613"/>
      <c r="N60" s="613"/>
      <c r="O60" s="613"/>
      <c r="P60" s="580"/>
      <c r="Q60" s="580"/>
      <c r="R60" s="579"/>
      <c r="S60" s="579"/>
      <c r="T60" s="581"/>
      <c r="U60" s="582"/>
      <c r="V60" s="614"/>
      <c r="W60" s="581"/>
      <c r="X60" s="615"/>
      <c r="Y60" s="613"/>
      <c r="Z60" s="580"/>
      <c r="AA60" s="634"/>
      <c r="AB60" s="577"/>
      <c r="AC60" s="586"/>
      <c r="AD60" s="634"/>
      <c r="AE60" s="610"/>
      <c r="AF60" s="610"/>
      <c r="AG60" s="582"/>
      <c r="AH60" s="582"/>
      <c r="AI60" s="582"/>
      <c r="AJ60" s="623">
        <v>-2499.9</v>
      </c>
      <c r="AK60" s="588"/>
      <c r="AL60" s="582"/>
      <c r="AM60" s="582"/>
      <c r="AN60" s="611"/>
      <c r="AO60" s="616"/>
      <c r="AP60" s="591"/>
      <c r="AQ60" s="358"/>
      <c r="AR60" s="591"/>
      <c r="AS60" s="591"/>
      <c r="AT60" s="591"/>
      <c r="AU60" s="591"/>
      <c r="AV60" s="591"/>
      <c r="AW60" s="591"/>
      <c r="AX60" s="591"/>
      <c r="AY60" s="591"/>
      <c r="AZ60" s="591"/>
      <c r="BA60" s="617"/>
      <c r="BB60" s="591"/>
      <c r="BC60" s="591"/>
      <c r="BD60" s="591"/>
      <c r="BE60" s="591"/>
      <c r="BF60" s="591"/>
      <c r="BG60" s="358"/>
      <c r="BH60" s="656"/>
      <c r="BI60" s="656">
        <v>2666.0</v>
      </c>
      <c r="BJ60" s="591"/>
      <c r="BK60" s="591"/>
      <c r="BL60" s="591"/>
      <c r="BM60" s="591"/>
      <c r="BN60" s="591"/>
      <c r="BO60" s="591"/>
      <c r="BP60" s="591"/>
      <c r="BQ60" s="624"/>
      <c r="BR60" s="624"/>
      <c r="BS60" s="394"/>
      <c r="BT60" s="624"/>
      <c r="BU60" s="624"/>
      <c r="BV60" s="624"/>
      <c r="BW60" s="618"/>
      <c r="BX60" s="608">
        <v>2500.0</v>
      </c>
      <c r="BY60" s="644"/>
      <c r="BZ60" s="609" t="s">
        <v>282</v>
      </c>
    </row>
    <row r="61" ht="25.5" customHeight="1">
      <c r="A61" s="571"/>
      <c r="B61" s="572">
        <v>45351.354168668986</v>
      </c>
      <c r="C61" s="642"/>
      <c r="D61" s="642"/>
      <c r="E61" s="574" t="s">
        <v>231</v>
      </c>
      <c r="F61" s="620"/>
      <c r="G61" s="621"/>
      <c r="H61" s="622"/>
      <c r="I61" s="622"/>
      <c r="J61" s="613"/>
      <c r="K61" s="581"/>
      <c r="L61" s="581"/>
      <c r="M61" s="613"/>
      <c r="N61" s="613"/>
      <c r="O61" s="613"/>
      <c r="P61" s="580"/>
      <c r="Q61" s="580"/>
      <c r="R61" s="581"/>
      <c r="S61" s="581"/>
      <c r="T61" s="581"/>
      <c r="U61" s="582"/>
      <c r="V61" s="614"/>
      <c r="W61" s="581"/>
      <c r="X61" s="615"/>
      <c r="Y61" s="613"/>
      <c r="Z61" s="580"/>
      <c r="AA61" s="585"/>
      <c r="AB61" s="622">
        <v>1.59636621</v>
      </c>
      <c r="AC61" s="586"/>
      <c r="AD61" s="585"/>
      <c r="AE61" s="610">
        <f>-100291.547-85.48314</f>
        <v>-100377.0301</v>
      </c>
      <c r="AF61" s="610"/>
      <c r="AG61" s="582"/>
      <c r="AH61" s="582"/>
      <c r="AI61" s="582"/>
      <c r="AJ61" s="582"/>
      <c r="AK61" s="588"/>
      <c r="AL61" s="582"/>
      <c r="AM61" s="582"/>
      <c r="AN61" s="611"/>
      <c r="AO61" s="616"/>
      <c r="AP61" s="592"/>
      <c r="AQ61" s="358"/>
      <c r="AR61" s="592"/>
      <c r="AS61" s="592"/>
      <c r="AT61" s="592"/>
      <c r="AU61" s="592"/>
      <c r="AV61" s="592"/>
      <c r="AW61" s="592"/>
      <c r="AX61" s="592"/>
      <c r="AY61" s="592"/>
      <c r="AZ61" s="592"/>
      <c r="BA61" s="617"/>
      <c r="BB61" s="592"/>
      <c r="BC61" s="592"/>
      <c r="BD61" s="592"/>
      <c r="BE61" s="592"/>
      <c r="BF61" s="592"/>
      <c r="BG61" s="358"/>
      <c r="BH61" s="358"/>
      <c r="BI61" s="358"/>
      <c r="BJ61" s="592"/>
      <c r="BK61" s="592"/>
      <c r="BL61" s="592"/>
      <c r="BM61" s="592"/>
      <c r="BN61" s="592"/>
      <c r="BO61" s="592"/>
      <c r="BP61" s="592"/>
      <c r="BQ61" s="594"/>
      <c r="BR61" s="594"/>
      <c r="BS61" s="394"/>
      <c r="BT61" s="594"/>
      <c r="BU61" s="594"/>
      <c r="BV61" s="594"/>
      <c r="BW61" s="618"/>
      <c r="BX61" s="644"/>
      <c r="BY61" s="644"/>
      <c r="CA61" s="646">
        <f>-AE61/AB61</f>
        <v>62878.44826</v>
      </c>
    </row>
    <row r="62" ht="25.5" customHeight="1">
      <c r="A62" s="635"/>
      <c r="B62" s="572">
        <v>45351.791256550925</v>
      </c>
      <c r="C62" s="642"/>
      <c r="D62" s="642"/>
      <c r="E62" s="574" t="s">
        <v>231</v>
      </c>
      <c r="F62" s="620"/>
      <c r="G62" s="621"/>
      <c r="H62" s="577"/>
      <c r="I62" s="577"/>
      <c r="J62" s="613"/>
      <c r="K62" s="579"/>
      <c r="L62" s="579"/>
      <c r="M62" s="613"/>
      <c r="N62" s="613"/>
      <c r="O62" s="613"/>
      <c r="P62" s="580"/>
      <c r="Q62" s="580"/>
      <c r="R62" s="579"/>
      <c r="S62" s="579"/>
      <c r="T62" s="581"/>
      <c r="U62" s="582"/>
      <c r="V62" s="614"/>
      <c r="W62" s="581"/>
      <c r="X62" s="615"/>
      <c r="Y62" s="613"/>
      <c r="Z62" s="580"/>
      <c r="AA62" s="634"/>
      <c r="AB62" s="577"/>
      <c r="AC62" s="586"/>
      <c r="AD62" s="634"/>
      <c r="AE62" s="606">
        <v>-5004.0</v>
      </c>
      <c r="AF62" s="606"/>
      <c r="AG62" s="582"/>
      <c r="AH62" s="582"/>
      <c r="AI62" s="582"/>
      <c r="AJ62" s="582"/>
      <c r="AK62" s="588"/>
      <c r="AL62" s="582"/>
      <c r="AM62" s="582"/>
      <c r="AN62" s="589"/>
      <c r="AO62" s="616"/>
      <c r="AP62" s="592"/>
      <c r="AQ62" s="358"/>
      <c r="AR62" s="592"/>
      <c r="AS62" s="592"/>
      <c r="AT62" s="592"/>
      <c r="AU62" s="591">
        <v>428.32789356</v>
      </c>
      <c r="AV62" s="592"/>
      <c r="AW62" s="592"/>
      <c r="AX62" s="592"/>
      <c r="AY62" s="592"/>
      <c r="AZ62" s="592"/>
      <c r="BA62" s="617"/>
      <c r="BB62" s="592"/>
      <c r="BC62" s="592"/>
      <c r="BD62" s="592"/>
      <c r="BE62" s="592"/>
      <c r="BF62" s="592"/>
      <c r="BG62" s="358"/>
      <c r="BH62" s="358"/>
      <c r="BI62" s="358"/>
      <c r="BJ62" s="592"/>
      <c r="BK62" s="592"/>
      <c r="BL62" s="592"/>
      <c r="BM62" s="592"/>
      <c r="BN62" s="592"/>
      <c r="BO62" s="592"/>
      <c r="BP62" s="592"/>
      <c r="BQ62" s="594"/>
      <c r="BR62" s="594"/>
      <c r="BS62" s="394"/>
      <c r="BT62" s="594"/>
      <c r="BU62" s="594"/>
      <c r="BV62" s="594"/>
      <c r="BW62" s="618"/>
      <c r="BX62" s="644"/>
      <c r="BY62" s="644"/>
    </row>
    <row r="63" ht="25.5" customHeight="1">
      <c r="A63" s="635"/>
      <c r="B63" s="572">
        <v>45351.791256550925</v>
      </c>
      <c r="C63" s="642"/>
      <c r="D63" s="642"/>
      <c r="E63" s="574" t="s">
        <v>218</v>
      </c>
      <c r="F63" s="620"/>
      <c r="G63" s="621"/>
      <c r="H63" s="577"/>
      <c r="I63" s="577"/>
      <c r="J63" s="613"/>
      <c r="K63" s="579"/>
      <c r="L63" s="579"/>
      <c r="M63" s="613"/>
      <c r="N63" s="613"/>
      <c r="O63" s="613"/>
      <c r="P63" s="580"/>
      <c r="Q63" s="580"/>
      <c r="R63" s="579"/>
      <c r="S63" s="579"/>
      <c r="T63" s="581"/>
      <c r="U63" s="582"/>
      <c r="V63" s="614"/>
      <c r="W63" s="581"/>
      <c r="X63" s="615"/>
      <c r="Y63" s="613"/>
      <c r="Z63" s="580"/>
      <c r="AA63" s="585"/>
      <c r="AB63" s="577"/>
      <c r="AC63" s="586"/>
      <c r="AD63" s="585"/>
      <c r="AE63" s="587"/>
      <c r="AF63" s="587"/>
      <c r="AG63" s="582"/>
      <c r="AH63" s="582"/>
      <c r="AI63" s="582"/>
      <c r="AJ63" s="582"/>
      <c r="AK63" s="588"/>
      <c r="AL63" s="582"/>
      <c r="AM63" s="582"/>
      <c r="AN63" s="589"/>
      <c r="AO63" s="616"/>
      <c r="AP63" s="657"/>
      <c r="AQ63" s="358"/>
      <c r="AR63" s="657"/>
      <c r="AS63" s="657"/>
      <c r="AT63" s="657"/>
      <c r="AU63" s="591">
        <v>-428.32789356</v>
      </c>
      <c r="AV63" s="657">
        <v>428.12789356</v>
      </c>
      <c r="AW63" s="592"/>
      <c r="AX63" s="592"/>
      <c r="AY63" s="592"/>
      <c r="AZ63" s="592"/>
      <c r="BA63" s="617"/>
      <c r="BB63" s="592"/>
      <c r="BC63" s="592"/>
      <c r="BD63" s="592"/>
      <c r="BE63" s="592"/>
      <c r="BF63" s="592"/>
      <c r="BG63" s="358"/>
      <c r="BH63" s="358"/>
      <c r="BI63" s="358"/>
      <c r="BJ63" s="592"/>
      <c r="BK63" s="592"/>
      <c r="BL63" s="592"/>
      <c r="BM63" s="592"/>
      <c r="BN63" s="592"/>
      <c r="BO63" s="592"/>
      <c r="BP63" s="592"/>
      <c r="BQ63" s="594"/>
      <c r="BR63" s="594"/>
      <c r="BS63" s="394"/>
      <c r="BT63" s="594"/>
      <c r="BU63" s="594"/>
      <c r="BV63" s="594"/>
      <c r="BW63" s="618"/>
      <c r="BX63" s="608"/>
      <c r="BY63" s="608"/>
    </row>
    <row r="64" ht="25.5" customHeight="1">
      <c r="A64" s="635"/>
      <c r="B64" s="572">
        <v>45351.791256550925</v>
      </c>
      <c r="C64" s="642"/>
      <c r="D64" s="642"/>
      <c r="E64" s="574" t="s">
        <v>231</v>
      </c>
      <c r="F64" s="620"/>
      <c r="G64" s="621"/>
      <c r="H64" s="577"/>
      <c r="I64" s="577"/>
      <c r="J64" s="613"/>
      <c r="K64" s="581"/>
      <c r="L64" s="581"/>
      <c r="M64" s="613"/>
      <c r="N64" s="613"/>
      <c r="O64" s="613"/>
      <c r="P64" s="580"/>
      <c r="Q64" s="580"/>
      <c r="R64" s="581"/>
      <c r="S64" s="581"/>
      <c r="T64" s="581"/>
      <c r="U64" s="582"/>
      <c r="V64" s="614"/>
      <c r="W64" s="581"/>
      <c r="X64" s="615"/>
      <c r="Y64" s="613"/>
      <c r="Z64" s="580"/>
      <c r="AA64" s="634"/>
      <c r="AB64" s="577"/>
      <c r="AC64" s="586"/>
      <c r="AD64" s="634"/>
      <c r="AE64" s="587"/>
      <c r="AF64" s="587"/>
      <c r="AG64" s="582"/>
      <c r="AH64" s="582"/>
      <c r="AI64" s="582"/>
      <c r="AJ64" s="582"/>
      <c r="AK64" s="588"/>
      <c r="AL64" s="582"/>
      <c r="AM64" s="582"/>
      <c r="AN64" s="589"/>
      <c r="AO64" s="616"/>
      <c r="AP64" s="591"/>
      <c r="AQ64" s="358"/>
      <c r="AR64" s="591"/>
      <c r="AS64" s="591"/>
      <c r="AT64" s="591"/>
      <c r="AU64" s="592"/>
      <c r="AV64" s="591">
        <v>-214.176231</v>
      </c>
      <c r="AW64" s="591">
        <v>435.31136632</v>
      </c>
      <c r="AX64" s="591"/>
      <c r="AY64" s="592"/>
      <c r="AZ64" s="592"/>
      <c r="BA64" s="617"/>
      <c r="BB64" s="592"/>
      <c r="BC64" s="592"/>
      <c r="BD64" s="592"/>
      <c r="BE64" s="592"/>
      <c r="BF64" s="592"/>
      <c r="BG64" s="358"/>
      <c r="BH64" s="358"/>
      <c r="BI64" s="358"/>
      <c r="BJ64" s="592"/>
      <c r="BK64" s="592"/>
      <c r="BL64" s="592"/>
      <c r="BM64" s="592"/>
      <c r="BN64" s="592"/>
      <c r="BO64" s="592"/>
      <c r="BP64" s="592"/>
      <c r="BQ64" s="594"/>
      <c r="BR64" s="594"/>
      <c r="BS64" s="394"/>
      <c r="BT64" s="594"/>
      <c r="BU64" s="594"/>
      <c r="BV64" s="594"/>
      <c r="BW64" s="618"/>
      <c r="BX64" s="608">
        <v>2500.0</v>
      </c>
      <c r="BY64" s="644"/>
      <c r="BZ64" s="609" t="s">
        <v>283</v>
      </c>
    </row>
    <row r="65" ht="25.5" customHeight="1">
      <c r="A65" s="635"/>
      <c r="B65" s="572">
        <v>45351.79722222222</v>
      </c>
      <c r="C65" s="642"/>
      <c r="D65" s="642"/>
      <c r="E65" s="574" t="s">
        <v>231</v>
      </c>
      <c r="F65" s="620"/>
      <c r="G65" s="621"/>
      <c r="H65" s="577"/>
      <c r="I65" s="577"/>
      <c r="J65" s="613"/>
      <c r="K65" s="581"/>
      <c r="L65" s="581"/>
      <c r="M65" s="613"/>
      <c r="N65" s="613"/>
      <c r="O65" s="613"/>
      <c r="P65" s="580"/>
      <c r="Q65" s="580"/>
      <c r="R65" s="581"/>
      <c r="S65" s="581"/>
      <c r="T65" s="581"/>
      <c r="U65" s="582"/>
      <c r="V65" s="614"/>
      <c r="W65" s="581"/>
      <c r="X65" s="615"/>
      <c r="Y65" s="613"/>
      <c r="Z65" s="580"/>
      <c r="AA65" s="634"/>
      <c r="AB65" s="577"/>
      <c r="AC65" s="586"/>
      <c r="AD65" s="634"/>
      <c r="AE65" s="587"/>
      <c r="AF65" s="587"/>
      <c r="AG65" s="582"/>
      <c r="AH65" s="582"/>
      <c r="AI65" s="582"/>
      <c r="AJ65" s="582"/>
      <c r="AK65" s="588"/>
      <c r="AL65" s="582"/>
      <c r="AM65" s="582"/>
      <c r="AN65" s="589"/>
      <c r="AO65" s="616"/>
      <c r="AP65" s="591"/>
      <c r="AQ65" s="358"/>
      <c r="AR65" s="591"/>
      <c r="AS65" s="591"/>
      <c r="AT65" s="591"/>
      <c r="AU65" s="592"/>
      <c r="AV65" s="591">
        <v>-213.95166256</v>
      </c>
      <c r="AW65" s="592"/>
      <c r="AX65" s="592"/>
      <c r="AY65" s="592"/>
      <c r="AZ65" s="591">
        <v>566.319536</v>
      </c>
      <c r="BA65" s="617"/>
      <c r="BB65" s="592"/>
      <c r="BC65" s="592"/>
      <c r="BD65" s="592"/>
      <c r="BE65" s="592"/>
      <c r="BF65" s="592"/>
      <c r="BG65" s="358"/>
      <c r="BH65" s="358"/>
      <c r="BI65" s="358"/>
      <c r="BJ65" s="592"/>
      <c r="BK65" s="592"/>
      <c r="BL65" s="592"/>
      <c r="BM65" s="592"/>
      <c r="BN65" s="592"/>
      <c r="BO65" s="592"/>
      <c r="BP65" s="592"/>
      <c r="BQ65" s="594"/>
      <c r="BR65" s="594"/>
      <c r="BS65" s="394"/>
      <c r="BT65" s="594"/>
      <c r="BU65" s="594"/>
      <c r="BV65" s="594"/>
      <c r="BW65" s="618"/>
      <c r="BX65" s="608">
        <v>2500.0</v>
      </c>
      <c r="BY65" s="608"/>
      <c r="BZ65" s="609" t="s">
        <v>284</v>
      </c>
      <c r="CA65" s="609" t="s">
        <v>285</v>
      </c>
      <c r="CB65" s="658" t="s">
        <v>286</v>
      </c>
    </row>
    <row r="66" ht="25.5" customHeight="1">
      <c r="A66" s="635"/>
      <c r="B66" s="572">
        <v>45352.21509109954</v>
      </c>
      <c r="C66" s="642"/>
      <c r="D66" s="642"/>
      <c r="E66" s="574" t="s">
        <v>218</v>
      </c>
      <c r="F66" s="620"/>
      <c r="G66" s="621"/>
      <c r="H66" s="577"/>
      <c r="I66" s="577"/>
      <c r="J66" s="613"/>
      <c r="K66" s="581"/>
      <c r="L66" s="581"/>
      <c r="M66" s="613"/>
      <c r="N66" s="613"/>
      <c r="O66" s="613"/>
      <c r="P66" s="580"/>
      <c r="Q66" s="580"/>
      <c r="R66" s="581"/>
      <c r="S66" s="581"/>
      <c r="T66" s="581"/>
      <c r="U66" s="623"/>
      <c r="V66" s="614"/>
      <c r="W66" s="581"/>
      <c r="X66" s="615"/>
      <c r="Y66" s="613"/>
      <c r="Z66" s="580"/>
      <c r="AA66" s="634"/>
      <c r="AB66" s="577"/>
      <c r="AC66" s="586"/>
      <c r="AD66" s="634"/>
      <c r="AE66" s="606">
        <v>-10001.0</v>
      </c>
      <c r="AF66" s="606"/>
      <c r="AG66" s="623"/>
      <c r="AH66" s="623"/>
      <c r="AI66" s="623"/>
      <c r="AJ66" s="582"/>
      <c r="AK66" s="588"/>
      <c r="AL66" s="623">
        <v>10000.0</v>
      </c>
      <c r="AM66" s="623"/>
      <c r="AN66" s="589"/>
      <c r="AO66" s="616"/>
      <c r="AP66" s="592"/>
      <c r="AQ66" s="358"/>
      <c r="AR66" s="592"/>
      <c r="AS66" s="592"/>
      <c r="AT66" s="592"/>
      <c r="AU66" s="592"/>
      <c r="AV66" s="592"/>
      <c r="AW66" s="592"/>
      <c r="AX66" s="592"/>
      <c r="AY66" s="592"/>
      <c r="AZ66" s="592"/>
      <c r="BA66" s="617"/>
      <c r="BB66" s="592"/>
      <c r="BC66" s="592"/>
      <c r="BD66" s="592"/>
      <c r="BE66" s="592"/>
      <c r="BF66" s="592"/>
      <c r="BG66" s="358"/>
      <c r="BH66" s="358"/>
      <c r="BI66" s="358"/>
      <c r="BJ66" s="592"/>
      <c r="BK66" s="592"/>
      <c r="BL66" s="592"/>
      <c r="BM66" s="592"/>
      <c r="BN66" s="592"/>
      <c r="BO66" s="592"/>
      <c r="BP66" s="592"/>
      <c r="BQ66" s="594"/>
      <c r="BR66" s="594"/>
      <c r="BS66" s="394"/>
      <c r="BT66" s="594"/>
      <c r="BU66" s="594"/>
      <c r="BV66" s="594"/>
      <c r="BW66" s="618"/>
      <c r="BX66" s="608"/>
      <c r="BY66" s="608"/>
    </row>
    <row r="67" ht="25.5" customHeight="1">
      <c r="A67" s="571"/>
      <c r="B67" s="572">
        <v>45352.62777777778</v>
      </c>
      <c r="C67" s="573"/>
      <c r="D67" s="573">
        <v>1.0</v>
      </c>
      <c r="E67" s="571" t="s">
        <v>226</v>
      </c>
      <c r="F67" s="200"/>
      <c r="G67" s="600">
        <v>0.60107112</v>
      </c>
      <c r="H67" s="577"/>
      <c r="I67" s="577"/>
      <c r="J67" s="578"/>
      <c r="K67" s="579"/>
      <c r="L67" s="579"/>
      <c r="M67" s="578"/>
      <c r="N67" s="578"/>
      <c r="O67" s="578"/>
      <c r="P67" s="580"/>
      <c r="Q67" s="580"/>
      <c r="R67" s="579"/>
      <c r="S67" s="579"/>
      <c r="T67" s="581"/>
      <c r="U67" s="582"/>
      <c r="V67" s="583"/>
      <c r="W67" s="581"/>
      <c r="X67" s="584"/>
      <c r="Y67" s="578"/>
      <c r="Z67" s="580"/>
      <c r="AA67" s="585"/>
      <c r="AB67" s="577"/>
      <c r="AC67" s="586"/>
      <c r="AD67" s="585"/>
      <c r="AE67" s="587"/>
      <c r="AF67" s="587"/>
      <c r="AG67" s="582"/>
      <c r="AH67" s="582"/>
      <c r="AI67" s="582"/>
      <c r="AJ67" s="582"/>
      <c r="AK67" s="588"/>
      <c r="AL67" s="582"/>
      <c r="AM67" s="582"/>
      <c r="AN67" s="589"/>
      <c r="AO67" s="590"/>
      <c r="AP67" s="592"/>
      <c r="AQ67" s="358"/>
      <c r="AR67" s="592"/>
      <c r="AS67" s="592"/>
      <c r="AT67" s="592"/>
      <c r="AU67" s="592"/>
      <c r="AV67" s="592"/>
      <c r="AW67" s="592"/>
      <c r="AX67" s="592"/>
      <c r="AY67" s="592"/>
      <c r="AZ67" s="592"/>
      <c r="BA67" s="593"/>
      <c r="BB67" s="592"/>
      <c r="BC67" s="592"/>
      <c r="BD67" s="592"/>
      <c r="BE67" s="592"/>
      <c r="BF67" s="592"/>
      <c r="BG67" s="358"/>
      <c r="BH67" s="358"/>
      <c r="BI67" s="358"/>
      <c r="BJ67" s="592"/>
      <c r="BK67" s="592"/>
      <c r="BL67" s="592"/>
      <c r="BM67" s="592"/>
      <c r="BN67" s="592"/>
      <c r="BO67" s="592"/>
      <c r="BP67" s="592"/>
      <c r="BQ67" s="594"/>
      <c r="BR67" s="594"/>
      <c r="BS67" s="394"/>
      <c r="BT67" s="594"/>
      <c r="BU67" s="594"/>
      <c r="BV67" s="594"/>
      <c r="BW67" s="601"/>
      <c r="BX67" s="602"/>
      <c r="BY67" s="602" t="s">
        <v>227</v>
      </c>
      <c r="BZ67" s="609" t="s">
        <v>287</v>
      </c>
    </row>
    <row r="68" ht="25.5" customHeight="1">
      <c r="A68" s="635"/>
      <c r="B68" s="572">
        <v>45352.63125</v>
      </c>
      <c r="C68" s="642"/>
      <c r="D68" s="573">
        <v>1.0</v>
      </c>
      <c r="E68" s="574" t="s">
        <v>226</v>
      </c>
      <c r="F68" s="620"/>
      <c r="G68" s="600">
        <v>-0.57048178</v>
      </c>
      <c r="H68" s="577"/>
      <c r="I68" s="577"/>
      <c r="J68" s="613"/>
      <c r="K68" s="579"/>
      <c r="L68" s="579"/>
      <c r="M68" s="613"/>
      <c r="N68" s="613"/>
      <c r="O68" s="613"/>
      <c r="P68" s="580"/>
      <c r="Q68" s="580"/>
      <c r="R68" s="579"/>
      <c r="S68" s="579"/>
      <c r="T68" s="581"/>
      <c r="U68" s="582"/>
      <c r="V68" s="614"/>
      <c r="W68" s="581"/>
      <c r="X68" s="615"/>
      <c r="Y68" s="613"/>
      <c r="Z68" s="580"/>
      <c r="AA68" s="634"/>
      <c r="AB68" s="577"/>
      <c r="AC68" s="586"/>
      <c r="AD68" s="634"/>
      <c r="AE68" s="587"/>
      <c r="AF68" s="587"/>
      <c r="AG68" s="582"/>
      <c r="AH68" s="582"/>
      <c r="AI68" s="582"/>
      <c r="AJ68" s="582"/>
      <c r="AK68" s="588"/>
      <c r="AL68" s="582"/>
      <c r="AM68" s="582"/>
      <c r="AN68" s="589"/>
      <c r="AO68" s="616"/>
      <c r="AP68" s="592"/>
      <c r="AQ68" s="358"/>
      <c r="AR68" s="592"/>
      <c r="AS68" s="592"/>
      <c r="AT68" s="592"/>
      <c r="AU68" s="592"/>
      <c r="AV68" s="592"/>
      <c r="AW68" s="592"/>
      <c r="AX68" s="592"/>
      <c r="AY68" s="592"/>
      <c r="AZ68" s="592"/>
      <c r="BA68" s="617"/>
      <c r="BB68" s="592"/>
      <c r="BC68" s="592"/>
      <c r="BD68" s="592"/>
      <c r="BE68" s="592"/>
      <c r="BF68" s="592"/>
      <c r="BG68" s="358"/>
      <c r="BH68" s="358"/>
      <c r="BI68" s="358"/>
      <c r="BJ68" s="592"/>
      <c r="BK68" s="592"/>
      <c r="BL68" s="592"/>
      <c r="BM68" s="592"/>
      <c r="BN68" s="592"/>
      <c r="BO68" s="592"/>
      <c r="BP68" s="592"/>
      <c r="BQ68" s="594"/>
      <c r="BR68" s="594"/>
      <c r="BS68" s="394"/>
      <c r="BT68" s="594"/>
      <c r="BU68" s="594"/>
      <c r="BV68" s="594"/>
      <c r="BW68" s="618"/>
      <c r="BX68" s="608"/>
      <c r="BY68" s="608" t="s">
        <v>288</v>
      </c>
      <c r="BZ68" s="609" t="s">
        <v>289</v>
      </c>
    </row>
    <row r="69" ht="25.5" customHeight="1">
      <c r="A69" s="635"/>
      <c r="B69" s="572">
        <v>45353.35258101852</v>
      </c>
      <c r="C69" s="642"/>
      <c r="D69" s="642"/>
      <c r="E69" s="574" t="s">
        <v>231</v>
      </c>
      <c r="F69" s="620"/>
      <c r="G69" s="621"/>
      <c r="H69" s="577"/>
      <c r="I69" s="577"/>
      <c r="J69" s="613"/>
      <c r="K69" s="579"/>
      <c r="L69" s="579"/>
      <c r="M69" s="613"/>
      <c r="N69" s="613"/>
      <c r="O69" s="613"/>
      <c r="P69" s="580"/>
      <c r="Q69" s="580"/>
      <c r="R69" s="579"/>
      <c r="S69" s="579"/>
      <c r="T69" s="581"/>
      <c r="U69" s="623"/>
      <c r="V69" s="614"/>
      <c r="W69" s="581"/>
      <c r="X69" s="615"/>
      <c r="Y69" s="613"/>
      <c r="Z69" s="580"/>
      <c r="AA69" s="634"/>
      <c r="AB69" s="577"/>
      <c r="AC69" s="586"/>
      <c r="AD69" s="634"/>
      <c r="AE69" s="587"/>
      <c r="AF69" s="587"/>
      <c r="AG69" s="623"/>
      <c r="AH69" s="623"/>
      <c r="AI69" s="623"/>
      <c r="AJ69" s="582"/>
      <c r="AK69" s="588"/>
      <c r="AL69" s="623">
        <v>-2500.0</v>
      </c>
      <c r="AM69" s="623"/>
      <c r="AN69" s="589"/>
      <c r="AO69" s="616"/>
      <c r="AP69" s="592"/>
      <c r="AQ69" s="358"/>
      <c r="AR69" s="592"/>
      <c r="AS69" s="592"/>
      <c r="AT69" s="592"/>
      <c r="AU69" s="592"/>
      <c r="AV69" s="592"/>
      <c r="AW69" s="592"/>
      <c r="AX69" s="592"/>
      <c r="AY69" s="591"/>
      <c r="AZ69" s="592"/>
      <c r="BA69" s="617"/>
      <c r="BB69" s="592"/>
      <c r="BC69" s="592"/>
      <c r="BD69" s="592"/>
      <c r="BE69" s="591"/>
      <c r="BF69" s="591"/>
      <c r="BG69" s="358"/>
      <c r="BH69" s="358"/>
      <c r="BI69" s="358"/>
      <c r="BJ69" s="591"/>
      <c r="BK69" s="591"/>
      <c r="BL69" s="591"/>
      <c r="BM69" s="591">
        <v>689.22</v>
      </c>
      <c r="BN69" s="592"/>
      <c r="BO69" s="592"/>
      <c r="BP69" s="592"/>
      <c r="BQ69" s="594"/>
      <c r="BR69" s="594"/>
      <c r="BS69" s="394"/>
      <c r="BT69" s="594"/>
      <c r="BU69" s="594"/>
      <c r="BV69" s="594"/>
      <c r="BW69" s="618"/>
      <c r="BX69" s="608">
        <v>2500.0</v>
      </c>
      <c r="BY69" s="644"/>
    </row>
    <row r="70" ht="25.5" customHeight="1">
      <c r="A70" s="635"/>
      <c r="B70" s="572">
        <v>45354.37152777778</v>
      </c>
      <c r="C70" s="642"/>
      <c r="D70" s="642"/>
      <c r="E70" s="574" t="s">
        <v>231</v>
      </c>
      <c r="F70" s="620"/>
      <c r="G70" s="621"/>
      <c r="H70" s="577"/>
      <c r="I70" s="577"/>
      <c r="J70" s="613"/>
      <c r="K70" s="579"/>
      <c r="L70" s="579"/>
      <c r="M70" s="613"/>
      <c r="N70" s="613"/>
      <c r="O70" s="613"/>
      <c r="P70" s="580"/>
      <c r="Q70" s="580"/>
      <c r="R70" s="579"/>
      <c r="S70" s="579"/>
      <c r="T70" s="581"/>
      <c r="U70" s="623"/>
      <c r="V70" s="614"/>
      <c r="W70" s="581"/>
      <c r="X70" s="615"/>
      <c r="Y70" s="613"/>
      <c r="Z70" s="580"/>
      <c r="AA70" s="634"/>
      <c r="AB70" s="577"/>
      <c r="AC70" s="586"/>
      <c r="AD70" s="634"/>
      <c r="AE70" s="587"/>
      <c r="AF70" s="587"/>
      <c r="AG70" s="623"/>
      <c r="AH70" s="623"/>
      <c r="AI70" s="623"/>
      <c r="AJ70" s="582"/>
      <c r="AK70" s="588"/>
      <c r="AL70" s="623">
        <v>-2500.0</v>
      </c>
      <c r="AM70" s="623"/>
      <c r="AN70" s="589"/>
      <c r="AO70" s="616"/>
      <c r="AP70" s="592"/>
      <c r="AQ70" s="358"/>
      <c r="AR70" s="592"/>
      <c r="AS70" s="592"/>
      <c r="AT70" s="592"/>
      <c r="AU70" s="592"/>
      <c r="AV70" s="592"/>
      <c r="AW70" s="592"/>
      <c r="AX70" s="592"/>
      <c r="AY70" s="592"/>
      <c r="AZ70" s="592"/>
      <c r="BA70" s="617"/>
      <c r="BB70" s="592"/>
      <c r="BC70" s="592"/>
      <c r="BD70" s="591"/>
      <c r="BE70" s="592"/>
      <c r="BF70" s="592"/>
      <c r="BG70" s="358"/>
      <c r="BH70" s="358"/>
      <c r="BI70" s="358"/>
      <c r="BJ70" s="592"/>
      <c r="BK70" s="592"/>
      <c r="BL70" s="592"/>
      <c r="BM70" s="592"/>
      <c r="BN70" s="591">
        <v>3626.87</v>
      </c>
      <c r="BO70" s="591"/>
      <c r="BP70" s="591"/>
      <c r="BQ70" s="624"/>
      <c r="BR70" s="624"/>
      <c r="BS70" s="394"/>
      <c r="BT70" s="624"/>
      <c r="BU70" s="624"/>
      <c r="BV70" s="624"/>
      <c r="BW70" s="618"/>
      <c r="BX70" s="608">
        <v>2500.0</v>
      </c>
      <c r="BY70" s="644"/>
    </row>
    <row r="71" ht="25.5" customHeight="1">
      <c r="A71" s="635"/>
      <c r="B71" s="572">
        <v>45353.37998752315</v>
      </c>
      <c r="C71" s="642"/>
      <c r="D71" s="642"/>
      <c r="E71" s="574" t="s">
        <v>231</v>
      </c>
      <c r="F71" s="620"/>
      <c r="G71" s="621"/>
      <c r="H71" s="577"/>
      <c r="I71" s="577"/>
      <c r="J71" s="613"/>
      <c r="K71" s="581"/>
      <c r="L71" s="581"/>
      <c r="M71" s="613"/>
      <c r="N71" s="613"/>
      <c r="O71" s="613"/>
      <c r="P71" s="580"/>
      <c r="Q71" s="580"/>
      <c r="R71" s="581"/>
      <c r="S71" s="581"/>
      <c r="T71" s="581"/>
      <c r="U71" s="623"/>
      <c r="V71" s="614"/>
      <c r="W71" s="581"/>
      <c r="X71" s="615"/>
      <c r="Y71" s="613"/>
      <c r="Z71" s="580"/>
      <c r="AA71" s="634"/>
      <c r="AB71" s="577"/>
      <c r="AC71" s="586"/>
      <c r="AD71" s="634"/>
      <c r="AE71" s="587"/>
      <c r="AF71" s="587"/>
      <c r="AG71" s="623"/>
      <c r="AH71" s="623"/>
      <c r="AI71" s="623"/>
      <c r="AJ71" s="582"/>
      <c r="AK71" s="588"/>
      <c r="AL71" s="623">
        <v>-2500.0</v>
      </c>
      <c r="AM71" s="623"/>
      <c r="AN71" s="589"/>
      <c r="AO71" s="616"/>
      <c r="AP71" s="592"/>
      <c r="AQ71" s="358"/>
      <c r="AR71" s="592"/>
      <c r="AS71" s="592"/>
      <c r="AT71" s="592"/>
      <c r="AU71" s="592"/>
      <c r="AV71" s="592"/>
      <c r="AW71" s="592"/>
      <c r="AX71" s="592"/>
      <c r="AY71" s="592"/>
      <c r="AZ71" s="592"/>
      <c r="BA71" s="617"/>
      <c r="BB71" s="592"/>
      <c r="BC71" s="592"/>
      <c r="BD71" s="591"/>
      <c r="BE71" s="592"/>
      <c r="BF71" s="592"/>
      <c r="BG71" s="358"/>
      <c r="BH71" s="358"/>
      <c r="BI71" s="358"/>
      <c r="BJ71" s="592"/>
      <c r="BK71" s="592"/>
      <c r="BL71" s="592"/>
      <c r="BM71" s="592"/>
      <c r="BN71" s="592"/>
      <c r="BO71" s="591">
        <v>730.6686</v>
      </c>
      <c r="BP71" s="591"/>
      <c r="BQ71" s="624"/>
      <c r="BR71" s="624"/>
      <c r="BS71" s="394"/>
      <c r="BT71" s="624"/>
      <c r="BU71" s="624"/>
      <c r="BV71" s="624"/>
      <c r="BW71" s="618"/>
      <c r="BX71" s="608">
        <v>2500.0</v>
      </c>
      <c r="BY71" s="608"/>
    </row>
    <row r="72" ht="25.5" customHeight="1">
      <c r="A72" s="635"/>
      <c r="B72" s="572">
        <v>45353.38997685185</v>
      </c>
      <c r="C72" s="642"/>
      <c r="D72" s="642"/>
      <c r="E72" s="574" t="s">
        <v>231</v>
      </c>
      <c r="F72" s="620"/>
      <c r="G72" s="621"/>
      <c r="H72" s="577"/>
      <c r="I72" s="577"/>
      <c r="J72" s="604"/>
      <c r="K72" s="579"/>
      <c r="L72" s="579"/>
      <c r="M72" s="604"/>
      <c r="N72" s="604"/>
      <c r="O72" s="604"/>
      <c r="P72" s="580"/>
      <c r="Q72" s="580"/>
      <c r="R72" s="579"/>
      <c r="S72" s="579"/>
      <c r="T72" s="581"/>
      <c r="U72" s="582"/>
      <c r="V72" s="630"/>
      <c r="W72" s="581"/>
      <c r="X72" s="631"/>
      <c r="Y72" s="604"/>
      <c r="Z72" s="580"/>
      <c r="AA72" s="634"/>
      <c r="AB72" s="577"/>
      <c r="AC72" s="586"/>
      <c r="AD72" s="634"/>
      <c r="AE72" s="587"/>
      <c r="AF72" s="587"/>
      <c r="AG72" s="582"/>
      <c r="AH72" s="582"/>
      <c r="AI72" s="582"/>
      <c r="AJ72" s="623">
        <v>-2500.0</v>
      </c>
      <c r="AK72" s="588"/>
      <c r="AL72" s="582"/>
      <c r="AM72" s="582"/>
      <c r="AN72" s="589"/>
      <c r="AO72" s="616"/>
      <c r="AP72" s="592"/>
      <c r="AQ72" s="358"/>
      <c r="AR72" s="592"/>
      <c r="AS72" s="592"/>
      <c r="AT72" s="592"/>
      <c r="AU72" s="592"/>
      <c r="AV72" s="592"/>
      <c r="AW72" s="592"/>
      <c r="AX72" s="592"/>
      <c r="AY72" s="592"/>
      <c r="AZ72" s="592"/>
      <c r="BA72" s="617"/>
      <c r="BB72" s="591"/>
      <c r="BC72" s="591"/>
      <c r="BD72" s="592"/>
      <c r="BE72" s="592"/>
      <c r="BF72" s="592"/>
      <c r="BG72" s="358"/>
      <c r="BH72" s="656"/>
      <c r="BI72" s="656">
        <v>2950.73</v>
      </c>
      <c r="BJ72" s="592"/>
      <c r="BK72" s="592"/>
      <c r="BL72" s="592"/>
      <c r="BM72" s="592"/>
      <c r="BN72" s="592"/>
      <c r="BO72" s="592"/>
      <c r="BP72" s="592"/>
      <c r="BQ72" s="594"/>
      <c r="BR72" s="594"/>
      <c r="BS72" s="394"/>
      <c r="BT72" s="594"/>
      <c r="BU72" s="594"/>
      <c r="BV72" s="594"/>
      <c r="BW72" s="618"/>
      <c r="BX72" s="608">
        <v>2500.0</v>
      </c>
      <c r="BY72" s="608"/>
      <c r="BZ72" s="609" t="s">
        <v>290</v>
      </c>
    </row>
    <row r="73" ht="25.5" customHeight="1">
      <c r="A73" s="635"/>
      <c r="B73" s="572">
        <v>45353.396104224536</v>
      </c>
      <c r="C73" s="642"/>
      <c r="D73" s="642"/>
      <c r="E73" s="574" t="s">
        <v>231</v>
      </c>
      <c r="F73" s="620"/>
      <c r="G73" s="621"/>
      <c r="H73" s="577"/>
      <c r="I73" s="577"/>
      <c r="J73" s="604"/>
      <c r="K73" s="581"/>
      <c r="L73" s="581"/>
      <c r="M73" s="604"/>
      <c r="N73" s="604"/>
      <c r="O73" s="604"/>
      <c r="P73" s="580"/>
      <c r="Q73" s="580"/>
      <c r="R73" s="581"/>
      <c r="S73" s="581"/>
      <c r="T73" s="581"/>
      <c r="U73" s="582"/>
      <c r="V73" s="630"/>
      <c r="W73" s="581"/>
      <c r="X73" s="631"/>
      <c r="Y73" s="604"/>
      <c r="Z73" s="580"/>
      <c r="AA73" s="634"/>
      <c r="AB73" s="577"/>
      <c r="AC73" s="586"/>
      <c r="AD73" s="634"/>
      <c r="AE73" s="606">
        <v>-5000.0</v>
      </c>
      <c r="AF73" s="606"/>
      <c r="AG73" s="582"/>
      <c r="AH73" s="582"/>
      <c r="AI73" s="582"/>
      <c r="AJ73" s="582"/>
      <c r="AK73" s="588"/>
      <c r="AL73" s="582"/>
      <c r="AM73" s="582"/>
      <c r="AN73" s="589"/>
      <c r="AO73" s="616"/>
      <c r="AP73" s="592"/>
      <c r="AQ73" s="358"/>
      <c r="AR73" s="592"/>
      <c r="AS73" s="592"/>
      <c r="AT73" s="592"/>
      <c r="AU73" s="591">
        <v>422.429997</v>
      </c>
      <c r="AV73" s="592"/>
      <c r="AW73" s="592"/>
      <c r="AX73" s="592"/>
      <c r="AY73" s="592"/>
      <c r="AZ73" s="592"/>
      <c r="BA73" s="617"/>
      <c r="BB73" s="592"/>
      <c r="BC73" s="592"/>
      <c r="BD73" s="592"/>
      <c r="BE73" s="592"/>
      <c r="BF73" s="592"/>
      <c r="BG73" s="358"/>
      <c r="BH73" s="358"/>
      <c r="BI73" s="358"/>
      <c r="BJ73" s="592"/>
      <c r="BK73" s="592"/>
      <c r="BL73" s="592"/>
      <c r="BM73" s="592"/>
      <c r="BN73" s="592"/>
      <c r="BO73" s="592"/>
      <c r="BP73" s="592"/>
      <c r="BQ73" s="594"/>
      <c r="BR73" s="594"/>
      <c r="BS73" s="394"/>
      <c r="BT73" s="594"/>
      <c r="BU73" s="594"/>
      <c r="BV73" s="594"/>
      <c r="BW73" s="618"/>
      <c r="BX73" s="608"/>
      <c r="BY73" s="608" t="s">
        <v>291</v>
      </c>
    </row>
    <row r="74" ht="25.5" customHeight="1">
      <c r="A74" s="635"/>
      <c r="B74" s="572">
        <v>45353.396104224536</v>
      </c>
      <c r="C74" s="573"/>
      <c r="D74" s="573"/>
      <c r="E74" s="574" t="s">
        <v>218</v>
      </c>
      <c r="F74" s="620"/>
      <c r="G74" s="621"/>
      <c r="H74" s="577"/>
      <c r="I74" s="577"/>
      <c r="J74" s="613"/>
      <c r="K74" s="579"/>
      <c r="L74" s="579"/>
      <c r="M74" s="613"/>
      <c r="N74" s="613"/>
      <c r="O74" s="613"/>
      <c r="P74" s="580"/>
      <c r="Q74" s="580"/>
      <c r="R74" s="579"/>
      <c r="S74" s="579"/>
      <c r="T74" s="581"/>
      <c r="U74" s="582"/>
      <c r="V74" s="614"/>
      <c r="W74" s="581"/>
      <c r="X74" s="615"/>
      <c r="Y74" s="613"/>
      <c r="Z74" s="580"/>
      <c r="AA74" s="585"/>
      <c r="AB74" s="577"/>
      <c r="AC74" s="586"/>
      <c r="AD74" s="585"/>
      <c r="AE74" s="587"/>
      <c r="AF74" s="587"/>
      <c r="AG74" s="582"/>
      <c r="AH74" s="582"/>
      <c r="AI74" s="582"/>
      <c r="AJ74" s="582"/>
      <c r="AK74" s="588"/>
      <c r="AL74" s="582"/>
      <c r="AM74" s="582"/>
      <c r="AN74" s="589"/>
      <c r="AO74" s="616"/>
      <c r="AP74" s="591"/>
      <c r="AQ74" s="358"/>
      <c r="AR74" s="591"/>
      <c r="AS74" s="591"/>
      <c r="AT74" s="591"/>
      <c r="AU74" s="591">
        <v>-422.429997</v>
      </c>
      <c r="AV74" s="591">
        <v>422.429997</v>
      </c>
      <c r="AW74" s="592"/>
      <c r="AX74" s="592"/>
      <c r="AY74" s="592"/>
      <c r="AZ74" s="592"/>
      <c r="BA74" s="617"/>
      <c r="BB74" s="592"/>
      <c r="BC74" s="592"/>
      <c r="BD74" s="592"/>
      <c r="BE74" s="592"/>
      <c r="BF74" s="592"/>
      <c r="BG74" s="358"/>
      <c r="BH74" s="358"/>
      <c r="BI74" s="358"/>
      <c r="BJ74" s="592"/>
      <c r="BK74" s="592"/>
      <c r="BL74" s="592"/>
      <c r="BM74" s="592"/>
      <c r="BN74" s="592"/>
      <c r="BO74" s="592"/>
      <c r="BP74" s="592"/>
      <c r="BQ74" s="594"/>
      <c r="BR74" s="594"/>
      <c r="BS74" s="394"/>
      <c r="BT74" s="594"/>
      <c r="BU74" s="594"/>
      <c r="BV74" s="594"/>
      <c r="BW74" s="618"/>
      <c r="BX74" s="608"/>
      <c r="BY74" s="608"/>
      <c r="BZ74" s="53"/>
      <c r="CA74" s="53"/>
    </row>
    <row r="75" ht="25.5" customHeight="1">
      <c r="A75" s="635"/>
      <c r="B75" s="572">
        <v>45353.40704305556</v>
      </c>
      <c r="C75" s="573"/>
      <c r="D75" s="573"/>
      <c r="E75" s="574" t="s">
        <v>231</v>
      </c>
      <c r="F75" s="620"/>
      <c r="G75" s="621"/>
      <c r="H75" s="577"/>
      <c r="I75" s="577"/>
      <c r="J75" s="613"/>
      <c r="K75" s="579"/>
      <c r="L75" s="579"/>
      <c r="M75" s="613"/>
      <c r="N75" s="613"/>
      <c r="O75" s="613"/>
      <c r="P75" s="580"/>
      <c r="Q75" s="580"/>
      <c r="R75" s="579"/>
      <c r="S75" s="579"/>
      <c r="T75" s="581"/>
      <c r="U75" s="582"/>
      <c r="V75" s="614"/>
      <c r="W75" s="581"/>
      <c r="X75" s="615"/>
      <c r="Y75" s="613"/>
      <c r="Z75" s="580"/>
      <c r="AA75" s="585"/>
      <c r="AB75" s="577"/>
      <c r="AC75" s="586"/>
      <c r="AD75" s="585"/>
      <c r="AE75" s="587"/>
      <c r="AF75" s="587"/>
      <c r="AG75" s="582"/>
      <c r="AH75" s="582"/>
      <c r="AI75" s="582"/>
      <c r="AJ75" s="582"/>
      <c r="AK75" s="588"/>
      <c r="AL75" s="582"/>
      <c r="AM75" s="582"/>
      <c r="AN75" s="589"/>
      <c r="AO75" s="616"/>
      <c r="AP75" s="591"/>
      <c r="AQ75" s="358"/>
      <c r="AR75" s="591"/>
      <c r="AS75" s="591"/>
      <c r="AT75" s="591"/>
      <c r="AU75" s="592"/>
      <c r="AV75" s="591">
        <v>-211.21</v>
      </c>
      <c r="AW75" s="592"/>
      <c r="AX75" s="592"/>
      <c r="AY75" s="592"/>
      <c r="AZ75" s="591">
        <v>584.206437</v>
      </c>
      <c r="BA75" s="617"/>
      <c r="BB75" s="592"/>
      <c r="BC75" s="592"/>
      <c r="BD75" s="592"/>
      <c r="BE75" s="592"/>
      <c r="BF75" s="592"/>
      <c r="BG75" s="358"/>
      <c r="BH75" s="358"/>
      <c r="BI75" s="358"/>
      <c r="BJ75" s="592"/>
      <c r="BK75" s="592"/>
      <c r="BL75" s="592"/>
      <c r="BM75" s="592"/>
      <c r="BN75" s="592"/>
      <c r="BO75" s="592"/>
      <c r="BP75" s="592"/>
      <c r="BQ75" s="594"/>
      <c r="BR75" s="594"/>
      <c r="BS75" s="394"/>
      <c r="BT75" s="594"/>
      <c r="BU75" s="594"/>
      <c r="BV75" s="594"/>
      <c r="BW75" s="618"/>
      <c r="BX75" s="608">
        <v>2500.0</v>
      </c>
      <c r="BY75" s="608"/>
      <c r="BZ75" s="609" t="s">
        <v>292</v>
      </c>
      <c r="CA75" s="609" t="s">
        <v>293</v>
      </c>
    </row>
    <row r="76" ht="25.5" customHeight="1">
      <c r="A76" s="635"/>
      <c r="B76" s="572">
        <v>45353.41180555556</v>
      </c>
      <c r="C76" s="642"/>
      <c r="D76" s="642"/>
      <c r="E76" s="574" t="s">
        <v>231</v>
      </c>
      <c r="F76" s="620"/>
      <c r="G76" s="621"/>
      <c r="H76" s="577"/>
      <c r="I76" s="577"/>
      <c r="J76" s="613"/>
      <c r="K76" s="579"/>
      <c r="L76" s="579"/>
      <c r="M76" s="613"/>
      <c r="N76" s="613"/>
      <c r="O76" s="613"/>
      <c r="P76" s="580"/>
      <c r="Q76" s="580"/>
      <c r="R76" s="579"/>
      <c r="S76" s="579"/>
      <c r="T76" s="581"/>
      <c r="U76" s="582"/>
      <c r="V76" s="614"/>
      <c r="W76" s="581"/>
      <c r="X76" s="615"/>
      <c r="Y76" s="613"/>
      <c r="Z76" s="580"/>
      <c r="AA76" s="585"/>
      <c r="AB76" s="577"/>
      <c r="AC76" s="586"/>
      <c r="AD76" s="585"/>
      <c r="AE76" s="610"/>
      <c r="AF76" s="610"/>
      <c r="AG76" s="582"/>
      <c r="AH76" s="582"/>
      <c r="AI76" s="582"/>
      <c r="AJ76" s="582"/>
      <c r="AK76" s="588"/>
      <c r="AL76" s="582"/>
      <c r="AM76" s="582"/>
      <c r="AN76" s="611"/>
      <c r="AO76" s="616"/>
      <c r="AP76" s="591"/>
      <c r="AQ76" s="358"/>
      <c r="AR76" s="591"/>
      <c r="AS76" s="591"/>
      <c r="AT76" s="591"/>
      <c r="AU76" s="592"/>
      <c r="AV76" s="591">
        <v>-211.22</v>
      </c>
      <c r="AW76" s="591">
        <v>421.8589</v>
      </c>
      <c r="AX76" s="591"/>
      <c r="AY76" s="592"/>
      <c r="AZ76" s="592"/>
      <c r="BA76" s="617"/>
      <c r="BB76" s="592"/>
      <c r="BC76" s="592"/>
      <c r="BD76" s="592"/>
      <c r="BE76" s="592"/>
      <c r="BF76" s="592"/>
      <c r="BG76" s="358"/>
      <c r="BH76" s="358"/>
      <c r="BI76" s="358"/>
      <c r="BJ76" s="592"/>
      <c r="BK76" s="592"/>
      <c r="BL76" s="592"/>
      <c r="BM76" s="592"/>
      <c r="BN76" s="592"/>
      <c r="BO76" s="592"/>
      <c r="BP76" s="592"/>
      <c r="BQ76" s="594"/>
      <c r="BR76" s="594"/>
      <c r="BS76" s="394"/>
      <c r="BT76" s="594"/>
      <c r="BU76" s="594"/>
      <c r="BV76" s="594"/>
      <c r="BW76" s="618"/>
      <c r="BX76" s="608">
        <v>2500.0</v>
      </c>
      <c r="BY76" s="644"/>
      <c r="BZ76" s="609" t="s">
        <v>294</v>
      </c>
    </row>
    <row r="77" ht="25.5" customHeight="1">
      <c r="A77" s="635"/>
      <c r="B77" s="572">
        <v>45353.85486111111</v>
      </c>
      <c r="C77" s="642"/>
      <c r="D77" s="642"/>
      <c r="E77" s="574" t="s">
        <v>226</v>
      </c>
      <c r="F77" s="620"/>
      <c r="G77" s="600">
        <v>0.08846096</v>
      </c>
      <c r="H77" s="577"/>
      <c r="I77" s="577"/>
      <c r="J77" s="604"/>
      <c r="K77" s="581"/>
      <c r="L77" s="581"/>
      <c r="M77" s="604"/>
      <c r="N77" s="604"/>
      <c r="O77" s="604"/>
      <c r="P77" s="580"/>
      <c r="Q77" s="580"/>
      <c r="R77" s="581"/>
      <c r="S77" s="581"/>
      <c r="T77" s="581"/>
      <c r="U77" s="582"/>
      <c r="V77" s="630"/>
      <c r="W77" s="581"/>
      <c r="X77" s="631"/>
      <c r="Y77" s="604"/>
      <c r="Z77" s="580"/>
      <c r="AA77" s="634"/>
      <c r="AB77" s="577"/>
      <c r="AC77" s="586"/>
      <c r="AD77" s="634"/>
      <c r="AE77" s="610"/>
      <c r="AF77" s="610"/>
      <c r="AG77" s="582"/>
      <c r="AH77" s="582"/>
      <c r="AI77" s="582"/>
      <c r="AJ77" s="582"/>
      <c r="AK77" s="588"/>
      <c r="AL77" s="582"/>
      <c r="AM77" s="582"/>
      <c r="AN77" s="611"/>
      <c r="AO77" s="616"/>
      <c r="AP77" s="592"/>
      <c r="AQ77" s="358"/>
      <c r="AR77" s="592"/>
      <c r="AS77" s="592"/>
      <c r="AT77" s="592"/>
      <c r="AU77" s="592"/>
      <c r="AV77" s="592"/>
      <c r="AW77" s="592"/>
      <c r="AX77" s="592"/>
      <c r="AY77" s="592"/>
      <c r="AZ77" s="592"/>
      <c r="BA77" s="617"/>
      <c r="BB77" s="592"/>
      <c r="BC77" s="592"/>
      <c r="BD77" s="592"/>
      <c r="BE77" s="592"/>
      <c r="BF77" s="592"/>
      <c r="BG77" s="358"/>
      <c r="BH77" s="358"/>
      <c r="BI77" s="358"/>
      <c r="BJ77" s="592"/>
      <c r="BK77" s="592"/>
      <c r="BL77" s="592"/>
      <c r="BM77" s="592"/>
      <c r="BN77" s="592"/>
      <c r="BO77" s="592"/>
      <c r="BP77" s="592"/>
      <c r="BQ77" s="594"/>
      <c r="BR77" s="594"/>
      <c r="BS77" s="394"/>
      <c r="BT77" s="594"/>
      <c r="BU77" s="594"/>
      <c r="BV77" s="594"/>
      <c r="BW77" s="618"/>
      <c r="BX77" s="644"/>
      <c r="BY77" s="659" t="s">
        <v>276</v>
      </c>
      <c r="BZ77" s="609" t="s">
        <v>295</v>
      </c>
    </row>
    <row r="78" ht="25.5" customHeight="1">
      <c r="A78" s="613">
        <f>A43+M78</f>
        <v>1.543878377</v>
      </c>
      <c r="B78" s="572">
        <v>45354.23218039352</v>
      </c>
      <c r="C78" s="642"/>
      <c r="D78" s="642"/>
      <c r="E78" s="574" t="s">
        <v>218</v>
      </c>
      <c r="F78" s="620"/>
      <c r="G78" s="621"/>
      <c r="H78" s="577"/>
      <c r="I78" s="577"/>
      <c r="J78" s="604"/>
      <c r="K78" s="581"/>
      <c r="L78" s="581"/>
      <c r="M78" s="604">
        <v>1.5</v>
      </c>
      <c r="N78" s="604">
        <v>-1.50008</v>
      </c>
      <c r="O78" s="604"/>
      <c r="P78" s="580"/>
      <c r="Q78" s="633"/>
      <c r="R78" s="581"/>
      <c r="S78" s="581"/>
      <c r="T78" s="581"/>
      <c r="U78" s="582"/>
      <c r="V78" s="630"/>
      <c r="W78" s="581"/>
      <c r="X78" s="631"/>
      <c r="Y78" s="604"/>
      <c r="Z78" s="633"/>
      <c r="AA78" s="634"/>
      <c r="AB78" s="577"/>
      <c r="AC78" s="586"/>
      <c r="AD78" s="634"/>
      <c r="AE78" s="610"/>
      <c r="AF78" s="610"/>
      <c r="AG78" s="582"/>
      <c r="AH78" s="582"/>
      <c r="AI78" s="582"/>
      <c r="AJ78" s="582"/>
      <c r="AK78" s="588"/>
      <c r="AL78" s="582"/>
      <c r="AM78" s="582"/>
      <c r="AN78" s="611"/>
      <c r="AO78" s="616"/>
      <c r="AP78" s="592"/>
      <c r="AQ78" s="358"/>
      <c r="AR78" s="592"/>
      <c r="AS78" s="592"/>
      <c r="AT78" s="592"/>
      <c r="AU78" s="592"/>
      <c r="AV78" s="592"/>
      <c r="AW78" s="592"/>
      <c r="AX78" s="592"/>
      <c r="AY78" s="592"/>
      <c r="AZ78" s="592"/>
      <c r="BA78" s="617"/>
      <c r="BB78" s="592"/>
      <c r="BC78" s="592"/>
      <c r="BD78" s="592"/>
      <c r="BE78" s="592"/>
      <c r="BF78" s="592"/>
      <c r="BG78" s="358"/>
      <c r="BH78" s="358"/>
      <c r="BI78" s="358"/>
      <c r="BJ78" s="592"/>
      <c r="BK78" s="592"/>
      <c r="BL78" s="592"/>
      <c r="BM78" s="592"/>
      <c r="BN78" s="592"/>
      <c r="BO78" s="592"/>
      <c r="BP78" s="592"/>
      <c r="BQ78" s="594"/>
      <c r="BR78" s="594"/>
      <c r="BS78" s="394"/>
      <c r="BT78" s="594"/>
      <c r="BU78" s="594"/>
      <c r="BV78" s="594"/>
      <c r="BW78" s="618"/>
      <c r="BX78" s="644"/>
      <c r="BY78" s="644"/>
      <c r="BZ78" s="609" t="s">
        <v>296</v>
      </c>
    </row>
    <row r="79" ht="25.5" customHeight="1">
      <c r="A79" s="613">
        <f>A78+M79</f>
        <v>0.808593197</v>
      </c>
      <c r="B79" s="572">
        <v>45354.23218039352</v>
      </c>
      <c r="E79" s="574" t="s">
        <v>231</v>
      </c>
      <c r="F79" s="620"/>
      <c r="G79" s="621"/>
      <c r="H79" s="577"/>
      <c r="I79" s="577"/>
      <c r="J79" s="604"/>
      <c r="K79" s="581"/>
      <c r="L79" s="581"/>
      <c r="M79" s="604">
        <v>-0.73528518</v>
      </c>
      <c r="N79" s="613"/>
      <c r="O79" s="613"/>
      <c r="P79" s="580"/>
      <c r="Q79" s="580"/>
      <c r="R79" s="581"/>
      <c r="S79" s="581"/>
      <c r="T79" s="581"/>
      <c r="U79" s="582"/>
      <c r="V79" s="614"/>
      <c r="W79" s="581"/>
      <c r="X79" s="615"/>
      <c r="Y79" s="613"/>
      <c r="Z79" s="633"/>
      <c r="AA79" s="634"/>
      <c r="AB79" s="577"/>
      <c r="AC79" s="586"/>
      <c r="AD79" s="634"/>
      <c r="AE79" s="587"/>
      <c r="AF79" s="587"/>
      <c r="AG79" s="582"/>
      <c r="AH79" s="582"/>
      <c r="AI79" s="582"/>
      <c r="AJ79" s="582"/>
      <c r="AK79" s="588"/>
      <c r="AL79" s="582"/>
      <c r="AM79" s="582"/>
      <c r="AN79" s="589"/>
      <c r="AO79" s="616"/>
      <c r="AP79" s="592"/>
      <c r="AQ79" s="358"/>
      <c r="AR79" s="592"/>
      <c r="AS79" s="592"/>
      <c r="AT79" s="592"/>
      <c r="AU79" s="592"/>
      <c r="AV79" s="592"/>
      <c r="AW79" s="592"/>
      <c r="AX79" s="592"/>
      <c r="AY79" s="592"/>
      <c r="AZ79" s="592"/>
      <c r="BA79" s="617"/>
      <c r="BB79" s="591">
        <v>663.4027</v>
      </c>
      <c r="BC79" s="592"/>
      <c r="BD79" s="592"/>
      <c r="BE79" s="592"/>
      <c r="BF79" s="592"/>
      <c r="BG79" s="358"/>
      <c r="BH79" s="358"/>
      <c r="BI79" s="358"/>
      <c r="BJ79" s="592"/>
      <c r="BK79" s="592"/>
      <c r="BL79" s="592"/>
      <c r="BM79" s="592"/>
      <c r="BN79" s="592"/>
      <c r="BO79" s="592"/>
      <c r="BP79" s="592"/>
      <c r="BQ79" s="594"/>
      <c r="BR79" s="594"/>
      <c r="BS79" s="394"/>
      <c r="BT79" s="594"/>
      <c r="BU79" s="594"/>
      <c r="BV79" s="594"/>
      <c r="BW79" s="618"/>
      <c r="BX79" s="608">
        <v>2530.0</v>
      </c>
      <c r="BY79" s="608"/>
      <c r="BZ79" s="609" t="s">
        <v>297</v>
      </c>
    </row>
    <row r="80" ht="25.5" customHeight="1">
      <c r="A80" s="635"/>
      <c r="B80" s="572">
        <v>45355.04729159722</v>
      </c>
      <c r="C80" s="642"/>
      <c r="D80" s="642"/>
      <c r="E80" s="574" t="s">
        <v>226</v>
      </c>
      <c r="F80" s="620"/>
      <c r="G80" s="600">
        <v>-0.09918232</v>
      </c>
      <c r="H80" s="577"/>
      <c r="I80" s="577"/>
      <c r="J80" s="613"/>
      <c r="K80" s="581"/>
      <c r="L80" s="581"/>
      <c r="M80" s="613"/>
      <c r="N80" s="613"/>
      <c r="O80" s="613"/>
      <c r="P80" s="580"/>
      <c r="Q80" s="580"/>
      <c r="R80" s="581"/>
      <c r="S80" s="581"/>
      <c r="T80" s="581"/>
      <c r="U80" s="582"/>
      <c r="V80" s="614"/>
      <c r="W80" s="581"/>
      <c r="X80" s="615"/>
      <c r="Y80" s="613"/>
      <c r="Z80" s="580"/>
      <c r="AA80" s="634"/>
      <c r="AB80" s="577"/>
      <c r="AC80" s="586"/>
      <c r="AD80" s="634"/>
      <c r="AE80" s="587"/>
      <c r="AF80" s="587"/>
      <c r="AG80" s="582"/>
      <c r="AH80" s="582"/>
      <c r="AI80" s="582"/>
      <c r="AJ80" s="582"/>
      <c r="AK80" s="588"/>
      <c r="AL80" s="582"/>
      <c r="AM80" s="582"/>
      <c r="AN80" s="589"/>
      <c r="AO80" s="616"/>
      <c r="AP80" s="592"/>
      <c r="AQ80" s="358"/>
      <c r="AR80" s="592"/>
      <c r="AS80" s="592"/>
      <c r="AT80" s="592"/>
      <c r="AU80" s="592"/>
      <c r="AV80" s="592"/>
      <c r="AW80" s="592"/>
      <c r="AX80" s="592"/>
      <c r="AY80" s="592"/>
      <c r="AZ80" s="592"/>
      <c r="BA80" s="617"/>
      <c r="BB80" s="592"/>
      <c r="BC80" s="592"/>
      <c r="BD80" s="592"/>
      <c r="BE80" s="592"/>
      <c r="BF80" s="592"/>
      <c r="BG80" s="358"/>
      <c r="BH80" s="358"/>
      <c r="BI80" s="358"/>
      <c r="BJ80" s="592"/>
      <c r="BK80" s="592"/>
      <c r="BL80" s="592"/>
      <c r="BM80" s="592"/>
      <c r="BN80" s="592"/>
      <c r="BO80" s="592"/>
      <c r="BP80" s="592"/>
      <c r="BQ80" s="594"/>
      <c r="BR80" s="594"/>
      <c r="BS80" s="394"/>
      <c r="BT80" s="594"/>
      <c r="BU80" s="594"/>
      <c r="BV80" s="594"/>
      <c r="BW80" s="618"/>
      <c r="BX80" s="608"/>
      <c r="BY80" s="608" t="s">
        <v>298</v>
      </c>
      <c r="BZ80" s="609" t="s">
        <v>299</v>
      </c>
    </row>
    <row r="81" ht="25.5" customHeight="1">
      <c r="A81" s="635"/>
      <c r="B81" s="572">
        <v>45355.58125016204</v>
      </c>
      <c r="C81" s="642"/>
      <c r="D81" s="642"/>
      <c r="E81" s="574" t="s">
        <v>218</v>
      </c>
      <c r="F81" s="612"/>
      <c r="G81" s="600"/>
      <c r="H81" s="660"/>
      <c r="I81" s="660"/>
      <c r="J81" s="613"/>
      <c r="K81" s="579"/>
      <c r="L81" s="579"/>
      <c r="M81" s="613"/>
      <c r="N81" s="613"/>
      <c r="O81" s="613"/>
      <c r="P81" s="580"/>
      <c r="Q81" s="580"/>
      <c r="R81" s="579">
        <v>10000.0</v>
      </c>
      <c r="S81" s="579"/>
      <c r="T81" s="581"/>
      <c r="U81" s="661"/>
      <c r="V81" s="614"/>
      <c r="W81" s="581"/>
      <c r="X81" s="615"/>
      <c r="Y81" s="613"/>
      <c r="Z81" s="580"/>
      <c r="AA81" s="634"/>
      <c r="AB81" s="660"/>
      <c r="AC81" s="586"/>
      <c r="AD81" s="634"/>
      <c r="AE81" s="606">
        <v>-10001.0</v>
      </c>
      <c r="AF81" s="606"/>
      <c r="AG81" s="661"/>
      <c r="AH81" s="661"/>
      <c r="AI81" s="661"/>
      <c r="AJ81" s="661"/>
      <c r="AK81" s="588"/>
      <c r="AL81" s="661"/>
      <c r="AM81" s="661"/>
      <c r="AN81" s="589"/>
      <c r="AO81" s="616"/>
      <c r="AP81" s="656"/>
      <c r="AQ81" s="358"/>
      <c r="AR81" s="656"/>
      <c r="AS81" s="656"/>
      <c r="AT81" s="656"/>
      <c r="AU81" s="656"/>
      <c r="AV81" s="656"/>
      <c r="AW81" s="656"/>
      <c r="AX81" s="656"/>
      <c r="AY81" s="656"/>
      <c r="AZ81" s="656"/>
      <c r="BA81" s="617"/>
      <c r="BB81" s="656"/>
      <c r="BC81" s="656"/>
      <c r="BD81" s="656"/>
      <c r="BE81" s="656"/>
      <c r="BF81" s="656"/>
      <c r="BG81" s="358"/>
      <c r="BH81" s="358"/>
      <c r="BI81" s="358"/>
      <c r="BJ81" s="656"/>
      <c r="BK81" s="656"/>
      <c r="BL81" s="656"/>
      <c r="BM81" s="656"/>
      <c r="BN81" s="656"/>
      <c r="BO81" s="656"/>
      <c r="BP81" s="656"/>
      <c r="BQ81" s="662"/>
      <c r="BR81" s="662"/>
      <c r="BS81" s="394"/>
      <c r="BT81" s="662"/>
      <c r="BU81" s="662"/>
      <c r="BV81" s="662"/>
      <c r="BW81" s="618"/>
      <c r="BX81" s="644"/>
      <c r="BY81" s="644"/>
      <c r="BZ81" s="609" t="s">
        <v>300</v>
      </c>
    </row>
    <row r="82" ht="25.5" customHeight="1">
      <c r="A82" s="635"/>
      <c r="B82" s="572">
        <v>45355.59350486111</v>
      </c>
      <c r="C82" s="642"/>
      <c r="D82" s="642"/>
      <c r="E82" s="574" t="s">
        <v>231</v>
      </c>
      <c r="F82" s="620"/>
      <c r="G82" s="621"/>
      <c r="H82" s="660"/>
      <c r="I82" s="660"/>
      <c r="J82" s="613"/>
      <c r="K82" s="579"/>
      <c r="L82" s="579"/>
      <c r="M82" s="613"/>
      <c r="N82" s="613"/>
      <c r="O82" s="613"/>
      <c r="P82" s="580"/>
      <c r="Q82" s="580"/>
      <c r="R82" s="579">
        <v>-2500.0</v>
      </c>
      <c r="S82" s="579"/>
      <c r="T82" s="581"/>
      <c r="U82" s="661"/>
      <c r="V82" s="614"/>
      <c r="W82" s="581"/>
      <c r="X82" s="615"/>
      <c r="Y82" s="613"/>
      <c r="Z82" s="580"/>
      <c r="AA82" s="634"/>
      <c r="AB82" s="660"/>
      <c r="AC82" s="586"/>
      <c r="AD82" s="634"/>
      <c r="AE82" s="587"/>
      <c r="AF82" s="587"/>
      <c r="AG82" s="661"/>
      <c r="AH82" s="661"/>
      <c r="AI82" s="661"/>
      <c r="AJ82" s="661"/>
      <c r="AK82" s="588"/>
      <c r="AL82" s="661"/>
      <c r="AM82" s="661"/>
      <c r="AN82" s="589"/>
      <c r="AO82" s="616"/>
      <c r="AP82" s="656"/>
      <c r="AQ82" s="358"/>
      <c r="AR82" s="656"/>
      <c r="AS82" s="656"/>
      <c r="AT82" s="656"/>
      <c r="AU82" s="656"/>
      <c r="AV82" s="656"/>
      <c r="AW82" s="656"/>
      <c r="AX82" s="656"/>
      <c r="AY82" s="656"/>
      <c r="AZ82" s="656"/>
      <c r="BA82" s="617"/>
      <c r="BB82" s="656"/>
      <c r="BC82" s="656"/>
      <c r="BD82" s="663">
        <v>44266.794</v>
      </c>
      <c r="BE82" s="656"/>
      <c r="BF82" s="656"/>
      <c r="BG82" s="358"/>
      <c r="BH82" s="358"/>
      <c r="BI82" s="358"/>
      <c r="BJ82" s="656"/>
      <c r="BK82" s="656"/>
      <c r="BL82" s="656"/>
      <c r="BM82" s="656"/>
      <c r="BN82" s="656"/>
      <c r="BO82" s="656"/>
      <c r="BP82" s="663"/>
      <c r="BQ82" s="664"/>
      <c r="BR82" s="664"/>
      <c r="BS82" s="394"/>
      <c r="BT82" s="664"/>
      <c r="BU82" s="664"/>
      <c r="BV82" s="664"/>
      <c r="BW82" s="618"/>
      <c r="BX82" s="608">
        <v>2500.0</v>
      </c>
      <c r="BY82" s="644"/>
      <c r="BZ82" s="609" t="s">
        <v>301</v>
      </c>
    </row>
    <row r="83" ht="25.5" customHeight="1">
      <c r="A83" s="665"/>
      <c r="B83" s="666">
        <v>45355.611665335644</v>
      </c>
      <c r="C83" s="642"/>
      <c r="D83" s="642"/>
      <c r="E83" s="574" t="s">
        <v>231</v>
      </c>
      <c r="F83" s="620"/>
      <c r="G83" s="621"/>
      <c r="H83" s="660"/>
      <c r="I83" s="660"/>
      <c r="J83" s="613"/>
      <c r="K83" s="581"/>
      <c r="L83" s="581"/>
      <c r="M83" s="613"/>
      <c r="N83" s="613"/>
      <c r="O83" s="613"/>
      <c r="P83" s="580"/>
      <c r="Q83" s="580"/>
      <c r="R83" s="581"/>
      <c r="S83" s="581"/>
      <c r="T83" s="581"/>
      <c r="U83" s="661"/>
      <c r="V83" s="614"/>
      <c r="W83" s="581"/>
      <c r="X83" s="615"/>
      <c r="Y83" s="613"/>
      <c r="Z83" s="580"/>
      <c r="AA83" s="634"/>
      <c r="AB83" s="660"/>
      <c r="AC83" s="586"/>
      <c r="AD83" s="634"/>
      <c r="AE83" s="587"/>
      <c r="AF83" s="587"/>
      <c r="AG83" s="661"/>
      <c r="AH83" s="661"/>
      <c r="AI83" s="661"/>
      <c r="AJ83" s="667">
        <v>-2500.0</v>
      </c>
      <c r="AK83" s="588"/>
      <c r="AL83" s="661"/>
      <c r="AM83" s="661"/>
      <c r="AN83" s="589"/>
      <c r="AO83" s="616"/>
      <c r="AP83" s="656"/>
      <c r="AQ83" s="358"/>
      <c r="AR83" s="656"/>
      <c r="AS83" s="656"/>
      <c r="AT83" s="656"/>
      <c r="AU83" s="656"/>
      <c r="AV83" s="656"/>
      <c r="AW83" s="656"/>
      <c r="AX83" s="656"/>
      <c r="AY83" s="656"/>
      <c r="AZ83" s="656"/>
      <c r="BA83" s="617"/>
      <c r="BB83" s="656"/>
      <c r="BC83" s="663"/>
      <c r="BD83" s="656"/>
      <c r="BE83" s="656"/>
      <c r="BF83" s="656"/>
      <c r="BG83" s="358"/>
      <c r="BH83" s="656"/>
      <c r="BI83" s="656">
        <v>2908.29877</v>
      </c>
      <c r="BJ83" s="656"/>
      <c r="BK83" s="656"/>
      <c r="BL83" s="656"/>
      <c r="BM83" s="656"/>
      <c r="BN83" s="656"/>
      <c r="BO83" s="656"/>
      <c r="BP83" s="656"/>
      <c r="BQ83" s="662"/>
      <c r="BR83" s="662"/>
      <c r="BS83" s="394"/>
      <c r="BT83" s="662"/>
      <c r="BU83" s="662"/>
      <c r="BV83" s="662"/>
      <c r="BW83" s="618"/>
      <c r="BX83" s="608">
        <v>2500.0</v>
      </c>
      <c r="BY83" s="644"/>
      <c r="BZ83" s="609" t="s">
        <v>302</v>
      </c>
    </row>
    <row r="84" ht="25.5" customHeight="1">
      <c r="A84" s="635"/>
      <c r="B84" s="572">
        <f>now()</f>
        <v>45664.89611</v>
      </c>
      <c r="C84" s="642"/>
      <c r="D84" s="642"/>
      <c r="E84" s="574" t="s">
        <v>231</v>
      </c>
      <c r="F84" s="620"/>
      <c r="G84" s="621"/>
      <c r="H84" s="660"/>
      <c r="I84" s="660"/>
      <c r="J84" s="613"/>
      <c r="K84" s="579"/>
      <c r="L84" s="579"/>
      <c r="M84" s="613"/>
      <c r="N84" s="613"/>
      <c r="O84" s="613"/>
      <c r="P84" s="580"/>
      <c r="Q84" s="580"/>
      <c r="R84" s="579">
        <v>-2500.0</v>
      </c>
      <c r="S84" s="579"/>
      <c r="T84" s="581"/>
      <c r="U84" s="661"/>
      <c r="V84" s="614"/>
      <c r="W84" s="581"/>
      <c r="X84" s="615"/>
      <c r="Y84" s="613"/>
      <c r="Z84" s="580"/>
      <c r="AA84" s="634"/>
      <c r="AB84" s="660"/>
      <c r="AC84" s="586"/>
      <c r="AD84" s="634"/>
      <c r="AE84" s="587"/>
      <c r="AF84" s="587"/>
      <c r="AG84" s="661"/>
      <c r="AH84" s="661"/>
      <c r="AI84" s="661"/>
      <c r="AJ84" s="661"/>
      <c r="AK84" s="588"/>
      <c r="AL84" s="661"/>
      <c r="AM84" s="661"/>
      <c r="AN84" s="589"/>
      <c r="AO84" s="616"/>
      <c r="AP84" s="656"/>
      <c r="AQ84" s="358"/>
      <c r="AR84" s="656"/>
      <c r="AS84" s="656"/>
      <c r="AT84" s="656"/>
      <c r="AU84" s="656"/>
      <c r="AV84" s="656"/>
      <c r="AW84" s="656"/>
      <c r="AX84" s="656"/>
      <c r="AY84" s="656"/>
      <c r="AZ84" s="656"/>
      <c r="BA84" s="617"/>
      <c r="BB84" s="656"/>
      <c r="BC84" s="656"/>
      <c r="BD84" s="663">
        <v>39898.1396987</v>
      </c>
      <c r="BE84" s="656"/>
      <c r="BF84" s="656"/>
      <c r="BG84" s="358"/>
      <c r="BH84" s="358"/>
      <c r="BI84" s="358"/>
      <c r="BJ84" s="656"/>
      <c r="BK84" s="656"/>
      <c r="BL84" s="656"/>
      <c r="BM84" s="656"/>
      <c r="BN84" s="656"/>
      <c r="BO84" s="656"/>
      <c r="BP84" s="663"/>
      <c r="BQ84" s="664"/>
      <c r="BR84" s="664"/>
      <c r="BS84" s="394"/>
      <c r="BT84" s="664"/>
      <c r="BU84" s="664"/>
      <c r="BV84" s="664"/>
      <c r="BW84" s="618"/>
      <c r="BX84" s="608">
        <v>2500.0</v>
      </c>
      <c r="BY84" s="644"/>
      <c r="BZ84" s="609" t="s">
        <v>303</v>
      </c>
    </row>
    <row r="85" ht="25.5" customHeight="1">
      <c r="A85" s="635"/>
      <c r="B85" s="572">
        <v>45356.4375</v>
      </c>
      <c r="C85" s="642"/>
      <c r="D85" s="642"/>
      <c r="E85" s="574" t="s">
        <v>231</v>
      </c>
      <c r="F85" s="612"/>
      <c r="G85" s="600"/>
      <c r="H85" s="668"/>
      <c r="I85" s="668"/>
      <c r="J85" s="613"/>
      <c r="K85" s="581"/>
      <c r="L85" s="581"/>
      <c r="M85" s="613"/>
      <c r="N85" s="613"/>
      <c r="O85" s="613"/>
      <c r="P85" s="580"/>
      <c r="Q85" s="580"/>
      <c r="R85" s="581"/>
      <c r="S85" s="581"/>
      <c r="T85" s="581"/>
      <c r="U85" s="582"/>
      <c r="V85" s="614"/>
      <c r="W85" s="581"/>
      <c r="X85" s="615"/>
      <c r="Y85" s="613"/>
      <c r="Z85" s="580"/>
      <c r="AA85" s="634"/>
      <c r="AB85" s="668"/>
      <c r="AC85" s="586"/>
      <c r="AD85" s="634"/>
      <c r="AE85" s="606">
        <v>-3339.03396</v>
      </c>
      <c r="AF85" s="606"/>
      <c r="AG85" s="582"/>
      <c r="AH85" s="582"/>
      <c r="AI85" s="582"/>
      <c r="AJ85" s="582"/>
      <c r="AK85" s="588"/>
      <c r="AL85" s="582"/>
      <c r="AM85" s="582"/>
      <c r="AN85" s="589"/>
      <c r="AO85" s="616"/>
      <c r="AP85" s="592"/>
      <c r="AQ85" s="358"/>
      <c r="AR85" s="592"/>
      <c r="AS85" s="592"/>
      <c r="AT85" s="592"/>
      <c r="AU85" s="669">
        <v>260.864</v>
      </c>
      <c r="AV85" s="592"/>
      <c r="AW85" s="592"/>
      <c r="AX85" s="592"/>
      <c r="AY85" s="592"/>
      <c r="AZ85" s="592"/>
      <c r="BA85" s="617"/>
      <c r="BB85" s="592"/>
      <c r="BC85" s="592"/>
      <c r="BD85" s="592"/>
      <c r="BE85" s="592"/>
      <c r="BF85" s="592"/>
      <c r="BG85" s="358"/>
      <c r="BH85" s="358"/>
      <c r="BI85" s="358"/>
      <c r="BJ85" s="592"/>
      <c r="BK85" s="592"/>
      <c r="BL85" s="592"/>
      <c r="BM85" s="592"/>
      <c r="BN85" s="592"/>
      <c r="BO85" s="592"/>
      <c r="BP85" s="592"/>
      <c r="BQ85" s="594"/>
      <c r="BR85" s="594"/>
      <c r="BS85" s="394"/>
      <c r="BT85" s="594"/>
      <c r="BU85" s="594"/>
      <c r="BV85" s="594"/>
      <c r="BW85" s="618"/>
      <c r="BX85" s="644"/>
      <c r="BY85" s="644"/>
    </row>
    <row r="86" ht="25.5" customHeight="1">
      <c r="A86" s="635"/>
      <c r="B86" s="572">
        <v>45356.46388888889</v>
      </c>
      <c r="C86" s="642"/>
      <c r="D86" s="642"/>
      <c r="E86" s="574" t="s">
        <v>231</v>
      </c>
      <c r="F86" s="620"/>
      <c r="G86" s="621"/>
      <c r="H86" s="670"/>
      <c r="I86" s="670"/>
      <c r="J86" s="613"/>
      <c r="K86" s="581"/>
      <c r="L86" s="581"/>
      <c r="M86" s="613"/>
      <c r="N86" s="613"/>
      <c r="O86" s="613"/>
      <c r="P86" s="580"/>
      <c r="Q86" s="580"/>
      <c r="R86" s="581"/>
      <c r="S86" s="581"/>
      <c r="T86" s="581"/>
      <c r="U86" s="582"/>
      <c r="V86" s="614"/>
      <c r="W86" s="581"/>
      <c r="X86" s="615"/>
      <c r="Y86" s="613"/>
      <c r="Z86" s="580"/>
      <c r="AA86" s="634"/>
      <c r="AB86" s="670">
        <f>-0.2483248</f>
        <v>-0.2483248</v>
      </c>
      <c r="AC86" s="586"/>
      <c r="AD86" s="634"/>
      <c r="AE86" s="587"/>
      <c r="AF86" s="587"/>
      <c r="AG86" s="582"/>
      <c r="AH86" s="582"/>
      <c r="AI86" s="582"/>
      <c r="AJ86" s="582"/>
      <c r="AK86" s="588"/>
      <c r="AL86" s="582"/>
      <c r="AM86" s="582"/>
      <c r="AN86" s="589"/>
      <c r="AO86" s="616"/>
      <c r="AP86" s="592"/>
      <c r="AQ86" s="358"/>
      <c r="AR86" s="592"/>
      <c r="AS86" s="592"/>
      <c r="AT86" s="592"/>
      <c r="AU86" s="591">
        <v>1304.0</v>
      </c>
      <c r="AV86" s="592"/>
      <c r="AW86" s="592"/>
      <c r="AX86" s="592"/>
      <c r="AY86" s="592"/>
      <c r="AZ86" s="592"/>
      <c r="BA86" s="617"/>
      <c r="BB86" s="592"/>
      <c r="BC86" s="592"/>
      <c r="BD86" s="592"/>
      <c r="BE86" s="592"/>
      <c r="BF86" s="592"/>
      <c r="BG86" s="358"/>
      <c r="BH86" s="358"/>
      <c r="BI86" s="358"/>
      <c r="BJ86" s="592"/>
      <c r="BK86" s="592"/>
      <c r="BL86" s="592"/>
      <c r="BM86" s="592"/>
      <c r="BN86" s="592"/>
      <c r="BO86" s="592"/>
      <c r="BP86" s="592"/>
      <c r="BQ86" s="594"/>
      <c r="BR86" s="594"/>
      <c r="BS86" s="394"/>
      <c r="BT86" s="594"/>
      <c r="BU86" s="594"/>
      <c r="BV86" s="594"/>
      <c r="BW86" s="618"/>
      <c r="BY86" s="644"/>
    </row>
    <row r="87" ht="25.5" customHeight="1">
      <c r="A87" s="635"/>
      <c r="B87" s="572">
        <v>45356.479166666664</v>
      </c>
      <c r="C87" s="642"/>
      <c r="D87" s="642"/>
      <c r="E87" s="574" t="s">
        <v>218</v>
      </c>
      <c r="F87" s="620"/>
      <c r="G87" s="621"/>
      <c r="H87" s="668"/>
      <c r="I87" s="668"/>
      <c r="J87" s="613"/>
      <c r="K87" s="581"/>
      <c r="L87" s="581"/>
      <c r="M87" s="613"/>
      <c r="N87" s="613"/>
      <c r="O87" s="613"/>
      <c r="P87" s="580"/>
      <c r="Q87" s="580"/>
      <c r="R87" s="581"/>
      <c r="S87" s="581"/>
      <c r="T87" s="581"/>
      <c r="U87" s="582"/>
      <c r="V87" s="614"/>
      <c r="W87" s="581"/>
      <c r="X87" s="615"/>
      <c r="Y87" s="613"/>
      <c r="Z87" s="580"/>
      <c r="AA87" s="634"/>
      <c r="AB87" s="668"/>
      <c r="AC87" s="586"/>
      <c r="AD87" s="634"/>
      <c r="AE87" s="587"/>
      <c r="AF87" s="587"/>
      <c r="AG87" s="582"/>
      <c r="AH87" s="582"/>
      <c r="AI87" s="582"/>
      <c r="AJ87" s="582"/>
      <c r="AK87" s="588"/>
      <c r="AL87" s="582"/>
      <c r="AM87" s="582"/>
      <c r="AN87" s="589"/>
      <c r="AO87" s="616"/>
      <c r="AP87" s="591"/>
      <c r="AQ87" s="358"/>
      <c r="AR87" s="591"/>
      <c r="AS87" s="591"/>
      <c r="AT87" s="591"/>
      <c r="AU87" s="591">
        <v>-1564.86</v>
      </c>
      <c r="AV87" s="591">
        <v>1564.556009</v>
      </c>
      <c r="AW87" s="592"/>
      <c r="AX87" s="592"/>
      <c r="AY87" s="592"/>
      <c r="AZ87" s="592"/>
      <c r="BA87" s="617"/>
      <c r="BB87" s="592"/>
      <c r="BC87" s="592"/>
      <c r="BD87" s="592"/>
      <c r="BE87" s="592"/>
      <c r="BF87" s="592"/>
      <c r="BG87" s="358"/>
      <c r="BH87" s="358"/>
      <c r="BI87" s="358"/>
      <c r="BJ87" s="592"/>
      <c r="BK87" s="592"/>
      <c r="BL87" s="592"/>
      <c r="BM87" s="592"/>
      <c r="BN87" s="592"/>
      <c r="BO87" s="592"/>
      <c r="BP87" s="592"/>
      <c r="BQ87" s="594"/>
      <c r="BR87" s="594"/>
      <c r="BS87" s="394"/>
      <c r="BT87" s="594"/>
      <c r="BU87" s="594"/>
      <c r="BV87" s="594"/>
      <c r="BW87" s="618"/>
      <c r="BX87" s="608">
        <v>20000.0</v>
      </c>
      <c r="BY87" s="608"/>
      <c r="BZ87" s="609" t="s">
        <v>304</v>
      </c>
    </row>
    <row r="88" ht="25.5" customHeight="1">
      <c r="A88" s="635"/>
      <c r="B88" s="572">
        <v>45356.48974795139</v>
      </c>
      <c r="C88" s="642"/>
      <c r="D88" s="642"/>
      <c r="E88" s="574" t="s">
        <v>231</v>
      </c>
      <c r="F88" s="620"/>
      <c r="G88" s="621"/>
      <c r="H88" s="668"/>
      <c r="I88" s="668"/>
      <c r="J88" s="613"/>
      <c r="K88" s="581"/>
      <c r="L88" s="581"/>
      <c r="M88" s="613"/>
      <c r="N88" s="613"/>
      <c r="O88" s="613"/>
      <c r="P88" s="580"/>
      <c r="Q88" s="580"/>
      <c r="R88" s="581"/>
      <c r="S88" s="581"/>
      <c r="T88" s="581"/>
      <c r="U88" s="582"/>
      <c r="V88" s="614"/>
      <c r="W88" s="581"/>
      <c r="X88" s="615"/>
      <c r="Y88" s="613"/>
      <c r="Z88" s="580"/>
      <c r="AA88" s="634"/>
      <c r="AB88" s="668"/>
      <c r="AC88" s="586"/>
      <c r="AD88" s="634"/>
      <c r="AE88" s="587"/>
      <c r="AF88" s="587"/>
      <c r="AG88" s="582"/>
      <c r="AH88" s="582"/>
      <c r="AI88" s="582"/>
      <c r="AJ88" s="582"/>
      <c r="AK88" s="588"/>
      <c r="AL88" s="582"/>
      <c r="AM88" s="582"/>
      <c r="AN88" s="589"/>
      <c r="AO88" s="616"/>
      <c r="AP88" s="591"/>
      <c r="AQ88" s="358"/>
      <c r="AR88" s="591"/>
      <c r="AS88" s="591"/>
      <c r="AT88" s="591"/>
      <c r="AU88" s="592"/>
      <c r="AV88" s="591">
        <v>-391.0</v>
      </c>
      <c r="AW88" s="592"/>
      <c r="AX88" s="592"/>
      <c r="AY88" s="591">
        <v>1163.36796</v>
      </c>
      <c r="AZ88" s="592"/>
      <c r="BA88" s="617"/>
      <c r="BB88" s="592"/>
      <c r="BC88" s="592"/>
      <c r="BD88" s="592"/>
      <c r="BE88" s="592"/>
      <c r="BF88" s="592"/>
      <c r="BG88" s="358"/>
      <c r="BH88" s="358"/>
      <c r="BI88" s="358"/>
      <c r="BJ88" s="592"/>
      <c r="BK88" s="592"/>
      <c r="BL88" s="592"/>
      <c r="BM88" s="592"/>
      <c r="BN88" s="592"/>
      <c r="BO88" s="592"/>
      <c r="BP88" s="592"/>
      <c r="BQ88" s="594"/>
      <c r="BR88" s="594"/>
      <c r="BS88" s="394"/>
      <c r="BT88" s="594"/>
      <c r="BU88" s="594"/>
      <c r="BV88" s="594"/>
      <c r="BW88" s="618"/>
      <c r="BX88" s="608">
        <v>5000.0</v>
      </c>
      <c r="BY88" s="644"/>
      <c r="BZ88" s="609" t="s">
        <v>305</v>
      </c>
    </row>
    <row r="89" ht="25.5" customHeight="1">
      <c r="A89" s="635"/>
      <c r="B89" s="572">
        <v>45356.500752314816</v>
      </c>
      <c r="C89" s="642"/>
      <c r="D89" s="642"/>
      <c r="E89" s="574" t="s">
        <v>231</v>
      </c>
      <c r="F89" s="620"/>
      <c r="G89" s="621"/>
      <c r="H89" s="668"/>
      <c r="I89" s="668"/>
      <c r="J89" s="613"/>
      <c r="K89" s="581"/>
      <c r="L89" s="581"/>
      <c r="M89" s="613"/>
      <c r="N89" s="613"/>
      <c r="O89" s="613"/>
      <c r="P89" s="580"/>
      <c r="Q89" s="580"/>
      <c r="R89" s="581"/>
      <c r="S89" s="581"/>
      <c r="T89" s="581"/>
      <c r="U89" s="582"/>
      <c r="V89" s="614"/>
      <c r="W89" s="581"/>
      <c r="X89" s="615"/>
      <c r="Y89" s="613"/>
      <c r="Z89" s="580"/>
      <c r="AA89" s="634"/>
      <c r="AB89" s="668"/>
      <c r="AC89" s="586"/>
      <c r="AD89" s="634"/>
      <c r="AE89" s="587"/>
      <c r="AF89" s="587"/>
      <c r="AG89" s="582"/>
      <c r="AH89" s="582"/>
      <c r="AI89" s="582"/>
      <c r="AJ89" s="582"/>
      <c r="AK89" s="588"/>
      <c r="AL89" s="582"/>
      <c r="AM89" s="582"/>
      <c r="AN89" s="589"/>
      <c r="AO89" s="616"/>
      <c r="AP89" s="591"/>
      <c r="AQ89" s="358"/>
      <c r="AR89" s="591"/>
      <c r="AS89" s="591"/>
      <c r="AT89" s="591"/>
      <c r="AU89" s="592"/>
      <c r="AV89" s="591">
        <f>-137.2-58.8</f>
        <v>-196</v>
      </c>
      <c r="AW89" s="591">
        <v>408.881989960255</v>
      </c>
      <c r="AX89" s="591"/>
      <c r="AY89" s="592"/>
      <c r="AZ89" s="592"/>
      <c r="BA89" s="617"/>
      <c r="BB89" s="592"/>
      <c r="BC89" s="592"/>
      <c r="BD89" s="592"/>
      <c r="BE89" s="592"/>
      <c r="BF89" s="592"/>
      <c r="BG89" s="358"/>
      <c r="BH89" s="358"/>
      <c r="BI89" s="358"/>
      <c r="BJ89" s="592"/>
      <c r="BK89" s="592"/>
      <c r="BL89" s="592"/>
      <c r="BM89" s="592"/>
      <c r="BN89" s="592"/>
      <c r="BO89" s="592"/>
      <c r="BP89" s="592"/>
      <c r="BQ89" s="594"/>
      <c r="BR89" s="594"/>
      <c r="BS89" s="394"/>
      <c r="BT89" s="594"/>
      <c r="BU89" s="594"/>
      <c r="BV89" s="594"/>
      <c r="BW89" s="618"/>
      <c r="BX89" s="608">
        <v>2500.0</v>
      </c>
      <c r="BY89" s="644"/>
      <c r="BZ89" s="609" t="s">
        <v>306</v>
      </c>
    </row>
    <row r="90" ht="25.5" customHeight="1">
      <c r="A90" s="635"/>
      <c r="B90" s="572">
        <v>45356.51356481481</v>
      </c>
      <c r="C90" s="642"/>
      <c r="D90" s="642"/>
      <c r="E90" s="574" t="s">
        <v>231</v>
      </c>
      <c r="F90" s="620"/>
      <c r="G90" s="621"/>
      <c r="H90" s="668"/>
      <c r="I90" s="668"/>
      <c r="J90" s="613"/>
      <c r="K90" s="581"/>
      <c r="L90" s="581"/>
      <c r="M90" s="613"/>
      <c r="N90" s="613"/>
      <c r="O90" s="613"/>
      <c r="P90" s="580"/>
      <c r="Q90" s="580"/>
      <c r="R90" s="581"/>
      <c r="S90" s="581"/>
      <c r="T90" s="581"/>
      <c r="U90" s="582"/>
      <c r="V90" s="614"/>
      <c r="W90" s="581"/>
      <c r="X90" s="615"/>
      <c r="Y90" s="613"/>
      <c r="Z90" s="580"/>
      <c r="AA90" s="634"/>
      <c r="AB90" s="668"/>
      <c r="AC90" s="586"/>
      <c r="AD90" s="634"/>
      <c r="AE90" s="587"/>
      <c r="AF90" s="587"/>
      <c r="AG90" s="582"/>
      <c r="AH90" s="582"/>
      <c r="AI90" s="582"/>
      <c r="AJ90" s="582"/>
      <c r="AK90" s="588"/>
      <c r="AL90" s="582"/>
      <c r="AM90" s="582"/>
      <c r="AN90" s="589"/>
      <c r="AO90" s="616"/>
      <c r="AP90" s="591"/>
      <c r="AQ90" s="358"/>
      <c r="AR90" s="591"/>
      <c r="AS90" s="591"/>
      <c r="AT90" s="591"/>
      <c r="AU90" s="592"/>
      <c r="AV90" s="591">
        <v>-196.0</v>
      </c>
      <c r="AW90" s="592"/>
      <c r="AX90" s="592"/>
      <c r="AY90" s="592"/>
      <c r="AZ90" s="591">
        <v>604.41796</v>
      </c>
      <c r="BA90" s="617"/>
      <c r="BB90" s="592"/>
      <c r="BC90" s="592"/>
      <c r="BD90" s="592"/>
      <c r="BE90" s="592"/>
      <c r="BF90" s="592"/>
      <c r="BG90" s="358"/>
      <c r="BH90" s="358"/>
      <c r="BI90" s="358"/>
      <c r="BJ90" s="592"/>
      <c r="BK90" s="592"/>
      <c r="BL90" s="592"/>
      <c r="BM90" s="592"/>
      <c r="BN90" s="592"/>
      <c r="BO90" s="592"/>
      <c r="BP90" s="592"/>
      <c r="BQ90" s="594"/>
      <c r="BR90" s="594"/>
      <c r="BS90" s="394"/>
      <c r="BT90" s="594"/>
      <c r="BU90" s="594"/>
      <c r="BV90" s="594"/>
      <c r="BW90" s="618"/>
      <c r="BX90" s="608">
        <v>2500.0</v>
      </c>
      <c r="BY90" s="608"/>
      <c r="BZ90" s="609" t="s">
        <v>307</v>
      </c>
    </row>
    <row r="91" ht="25.5" customHeight="1">
      <c r="A91" s="635"/>
      <c r="B91" s="572">
        <f>now()</f>
        <v>45664.89611</v>
      </c>
      <c r="C91" s="642"/>
      <c r="D91" s="642"/>
      <c r="E91" s="574" t="s">
        <v>75</v>
      </c>
      <c r="F91" s="612"/>
      <c r="G91" s="600"/>
      <c r="J91" s="613"/>
      <c r="K91" s="581"/>
      <c r="L91" s="581"/>
      <c r="M91" s="613"/>
      <c r="N91" s="613"/>
      <c r="O91" s="613"/>
      <c r="P91" s="580"/>
      <c r="Q91" s="580"/>
      <c r="R91" s="581"/>
      <c r="S91" s="581"/>
      <c r="T91" s="581"/>
      <c r="U91" s="582"/>
      <c r="V91" s="614"/>
      <c r="W91" s="581"/>
      <c r="X91" s="615"/>
      <c r="Y91" s="613"/>
      <c r="Z91" s="580"/>
      <c r="AA91" s="585">
        <v>-5597.0</v>
      </c>
      <c r="AC91" s="586"/>
      <c r="AD91" s="634"/>
      <c r="AE91" s="587"/>
      <c r="AF91" s="587"/>
      <c r="AG91" s="582"/>
      <c r="AH91" s="582"/>
      <c r="AI91" s="582"/>
      <c r="AJ91" s="582"/>
      <c r="AK91" s="588"/>
      <c r="AL91" s="582"/>
      <c r="AM91" s="582"/>
      <c r="AN91" s="589"/>
      <c r="AO91" s="616"/>
      <c r="AP91" s="592"/>
      <c r="AQ91" s="358"/>
      <c r="AR91" s="592"/>
      <c r="AS91" s="592"/>
      <c r="AT91" s="592"/>
      <c r="AU91" s="592"/>
      <c r="AV91" s="592"/>
      <c r="AW91" s="592"/>
      <c r="AX91" s="592"/>
      <c r="AY91" s="592"/>
      <c r="AZ91" s="592"/>
      <c r="BA91" s="617"/>
      <c r="BB91" s="592"/>
      <c r="BC91" s="592"/>
      <c r="BD91" s="592"/>
      <c r="BE91" s="592"/>
      <c r="BF91" s="592"/>
      <c r="BG91" s="358"/>
      <c r="BH91" s="358"/>
      <c r="BI91" s="358"/>
      <c r="BJ91" s="592"/>
      <c r="BK91" s="592"/>
      <c r="BL91" s="592"/>
      <c r="BM91" s="592"/>
      <c r="BN91" s="592"/>
      <c r="BO91" s="592"/>
      <c r="BP91" s="592"/>
      <c r="BQ91" s="594"/>
      <c r="BR91" s="594"/>
      <c r="BS91" s="394"/>
      <c r="BT91" s="594"/>
      <c r="BU91" s="594"/>
      <c r="BV91" s="594"/>
      <c r="BW91" s="618"/>
      <c r="BX91" s="644"/>
      <c r="BY91" s="608" t="s">
        <v>308</v>
      </c>
    </row>
    <row r="92" ht="25.5" customHeight="1">
      <c r="A92" s="635"/>
      <c r="B92" s="572">
        <v>45357.324320370375</v>
      </c>
      <c r="C92" s="642"/>
      <c r="D92" s="642"/>
      <c r="E92" s="574" t="s">
        <v>231</v>
      </c>
      <c r="F92" s="620"/>
      <c r="G92" s="621"/>
      <c r="H92" s="670"/>
      <c r="I92" s="670"/>
      <c r="J92" s="613"/>
      <c r="K92" s="581"/>
      <c r="L92" s="581"/>
      <c r="M92" s="613"/>
      <c r="N92" s="613"/>
      <c r="O92" s="613"/>
      <c r="P92" s="580"/>
      <c r="Q92" s="580"/>
      <c r="R92" s="581"/>
      <c r="S92" s="581"/>
      <c r="T92" s="581"/>
      <c r="U92" s="582"/>
      <c r="V92" s="614"/>
      <c r="W92" s="581"/>
      <c r="X92" s="615"/>
      <c r="Y92" s="613"/>
      <c r="Z92" s="580"/>
      <c r="AA92" s="634"/>
      <c r="AB92" s="670">
        <v>-1.34672006</v>
      </c>
      <c r="AC92" s="586"/>
      <c r="AD92" s="634"/>
      <c r="AE92" s="606">
        <v>88746.43696</v>
      </c>
      <c r="AF92" s="606"/>
      <c r="AG92" s="582"/>
      <c r="AH92" s="582"/>
      <c r="AI92" s="582"/>
      <c r="AJ92" s="582"/>
      <c r="AK92" s="588"/>
      <c r="AL92" s="582"/>
      <c r="AM92" s="582"/>
      <c r="AN92" s="589"/>
      <c r="AO92" s="616"/>
      <c r="AP92" s="592"/>
      <c r="AQ92" s="358"/>
      <c r="AR92" s="592"/>
      <c r="AS92" s="592"/>
      <c r="AT92" s="592"/>
      <c r="AU92" s="592"/>
      <c r="AV92" s="592"/>
      <c r="AW92" s="592"/>
      <c r="AX92" s="592"/>
      <c r="AY92" s="592"/>
      <c r="AZ92" s="592"/>
      <c r="BA92" s="617"/>
      <c r="BB92" s="592"/>
      <c r="BC92" s="592"/>
      <c r="BD92" s="592"/>
      <c r="BE92" s="592"/>
      <c r="BF92" s="592"/>
      <c r="BG92" s="358"/>
      <c r="BH92" s="358"/>
      <c r="BI92" s="358"/>
      <c r="BJ92" s="592"/>
      <c r="BK92" s="592"/>
      <c r="BL92" s="592"/>
      <c r="BM92" s="592"/>
      <c r="BN92" s="592"/>
      <c r="BO92" s="592"/>
      <c r="BP92" s="592"/>
      <c r="BQ92" s="594"/>
      <c r="BR92" s="594"/>
      <c r="BS92" s="394"/>
      <c r="BT92" s="594"/>
      <c r="BU92" s="594"/>
      <c r="BV92" s="594"/>
      <c r="BW92" s="618"/>
      <c r="BX92" s="644"/>
      <c r="BY92" s="644"/>
    </row>
    <row r="93" ht="25.5" customHeight="1">
      <c r="A93" s="635"/>
      <c r="B93" s="572">
        <v>45357.342956886576</v>
      </c>
      <c r="C93" s="642"/>
      <c r="D93" s="642"/>
      <c r="E93" s="574" t="s">
        <v>218</v>
      </c>
      <c r="F93" s="612"/>
      <c r="G93" s="600"/>
      <c r="H93" s="577"/>
      <c r="I93" s="577"/>
      <c r="J93" s="613"/>
      <c r="K93" s="581"/>
      <c r="L93" s="581"/>
      <c r="M93" s="613"/>
      <c r="N93" s="613"/>
      <c r="O93" s="613"/>
      <c r="P93" s="580"/>
      <c r="Q93" s="580"/>
      <c r="R93" s="581"/>
      <c r="S93" s="581"/>
      <c r="T93" s="581"/>
      <c r="U93" s="623"/>
      <c r="V93" s="614"/>
      <c r="W93" s="581"/>
      <c r="X93" s="615"/>
      <c r="Y93" s="613"/>
      <c r="Z93" s="580"/>
      <c r="AA93" s="634"/>
      <c r="AB93" s="577"/>
      <c r="AC93" s="586"/>
      <c r="AD93" s="634"/>
      <c r="AE93" s="606">
        <v>-12501.0</v>
      </c>
      <c r="AF93" s="606"/>
      <c r="AG93" s="623"/>
      <c r="AH93" s="623"/>
      <c r="AI93" s="623"/>
      <c r="AJ93" s="582"/>
      <c r="AK93" s="588"/>
      <c r="AL93" s="623">
        <v>12500.0</v>
      </c>
      <c r="AM93" s="623"/>
      <c r="AN93" s="589"/>
      <c r="AO93" s="616"/>
      <c r="AP93" s="592"/>
      <c r="AQ93" s="358"/>
      <c r="AR93" s="592"/>
      <c r="AS93" s="592"/>
      <c r="AT93" s="592"/>
      <c r="AU93" s="592"/>
      <c r="AV93" s="592"/>
      <c r="AW93" s="592"/>
      <c r="AX93" s="592"/>
      <c r="AY93" s="592"/>
      <c r="AZ93" s="592"/>
      <c r="BA93" s="617"/>
      <c r="BB93" s="592"/>
      <c r="BC93" s="592"/>
      <c r="BD93" s="592"/>
      <c r="BE93" s="592"/>
      <c r="BF93" s="592"/>
      <c r="BG93" s="358"/>
      <c r="BH93" s="358"/>
      <c r="BI93" s="358"/>
      <c r="BJ93" s="592"/>
      <c r="BK93" s="592"/>
      <c r="BL93" s="592"/>
      <c r="BM93" s="592"/>
      <c r="BN93" s="592"/>
      <c r="BO93" s="592"/>
      <c r="BP93" s="592"/>
      <c r="BQ93" s="594"/>
      <c r="BR93" s="594"/>
      <c r="BS93" s="394"/>
      <c r="BT93" s="594"/>
      <c r="BU93" s="594"/>
      <c r="BV93" s="594"/>
      <c r="BW93" s="618"/>
      <c r="BX93" s="644"/>
      <c r="BY93" s="644"/>
    </row>
    <row r="94" ht="25.5" customHeight="1">
      <c r="A94" s="635"/>
      <c r="B94" s="572">
        <v>45357.350826828704</v>
      </c>
      <c r="C94" s="573"/>
      <c r="D94" s="573"/>
      <c r="E94" s="574" t="s">
        <v>231</v>
      </c>
      <c r="F94" s="620"/>
      <c r="G94" s="621"/>
      <c r="H94" s="577"/>
      <c r="I94" s="577"/>
      <c r="J94" s="613"/>
      <c r="K94" s="581"/>
      <c r="L94" s="581"/>
      <c r="M94" s="613"/>
      <c r="N94" s="613"/>
      <c r="O94" s="613"/>
      <c r="P94" s="580"/>
      <c r="Q94" s="580"/>
      <c r="R94" s="581"/>
      <c r="S94" s="581"/>
      <c r="T94" s="581"/>
      <c r="U94" s="623"/>
      <c r="V94" s="614"/>
      <c r="W94" s="581"/>
      <c r="X94" s="615"/>
      <c r="Y94" s="613"/>
      <c r="Z94" s="580"/>
      <c r="AA94" s="634"/>
      <c r="AB94" s="577"/>
      <c r="AC94" s="586"/>
      <c r="AD94" s="634"/>
      <c r="AE94" s="587"/>
      <c r="AF94" s="587"/>
      <c r="AG94" s="623"/>
      <c r="AH94" s="623"/>
      <c r="AI94" s="623"/>
      <c r="AJ94" s="582"/>
      <c r="AK94" s="588"/>
      <c r="AL94" s="623">
        <v>-4999.55</v>
      </c>
      <c r="AM94" s="623"/>
      <c r="AN94" s="589"/>
      <c r="AO94" s="616"/>
      <c r="AP94" s="592"/>
      <c r="AQ94" s="358"/>
      <c r="AR94" s="592"/>
      <c r="AS94" s="592"/>
      <c r="AT94" s="592"/>
      <c r="AU94" s="592"/>
      <c r="AV94" s="592"/>
      <c r="AW94" s="592"/>
      <c r="AX94" s="592"/>
      <c r="AY94" s="592"/>
      <c r="AZ94" s="592"/>
      <c r="BA94" s="617"/>
      <c r="BB94" s="592"/>
      <c r="BC94" s="592"/>
      <c r="BD94" s="592"/>
      <c r="BE94" s="592"/>
      <c r="BF94" s="592"/>
      <c r="BG94" s="358"/>
      <c r="BH94" s="358"/>
      <c r="BI94" s="358"/>
      <c r="BJ94" s="592"/>
      <c r="BK94" s="592"/>
      <c r="BL94" s="592"/>
      <c r="BM94" s="592"/>
      <c r="BN94" s="592">
        <f> 11700.8124 - 3626.87</f>
        <v>8073.9424</v>
      </c>
      <c r="BO94" s="592"/>
      <c r="BP94" s="592"/>
      <c r="BQ94" s="594"/>
      <c r="BR94" s="594"/>
      <c r="BS94" s="394"/>
      <c r="BT94" s="594"/>
      <c r="BU94" s="594"/>
      <c r="BV94" s="594"/>
      <c r="BW94" s="618"/>
      <c r="BX94" s="608">
        <v>5000.0</v>
      </c>
      <c r="BY94" s="608"/>
    </row>
    <row r="95" ht="25.5" customHeight="1">
      <c r="A95" s="635"/>
      <c r="B95" s="671" t="s">
        <v>309</v>
      </c>
      <c r="C95" s="642"/>
      <c r="D95" s="642"/>
      <c r="E95" s="574" t="s">
        <v>231</v>
      </c>
      <c r="F95" s="620"/>
      <c r="G95" s="621"/>
      <c r="H95" s="577"/>
      <c r="I95" s="577"/>
      <c r="J95" s="613"/>
      <c r="K95" s="581"/>
      <c r="L95" s="581"/>
      <c r="M95" s="613"/>
      <c r="N95" s="613"/>
      <c r="O95" s="613"/>
      <c r="P95" s="580"/>
      <c r="Q95" s="580"/>
      <c r="R95" s="581"/>
      <c r="S95" s="581"/>
      <c r="T95" s="581"/>
      <c r="U95" s="623"/>
      <c r="V95" s="614"/>
      <c r="W95" s="581"/>
      <c r="X95" s="615"/>
      <c r="Y95" s="613"/>
      <c r="Z95" s="580"/>
      <c r="AA95" s="634"/>
      <c r="AB95" s="577"/>
      <c r="AC95" s="586"/>
      <c r="AD95" s="634"/>
      <c r="AE95" s="610"/>
      <c r="AF95" s="610"/>
      <c r="AG95" s="623"/>
      <c r="AH95" s="623"/>
      <c r="AI95" s="623"/>
      <c r="AJ95" s="582"/>
      <c r="AK95" s="588"/>
      <c r="AL95" s="623">
        <v>-4999.856</v>
      </c>
      <c r="AM95" s="623"/>
      <c r="AN95" s="611"/>
      <c r="AO95" s="616"/>
      <c r="AP95" s="592"/>
      <c r="AQ95" s="358"/>
      <c r="AR95" s="592"/>
      <c r="AS95" s="592"/>
      <c r="AT95" s="592"/>
      <c r="AU95" s="592"/>
      <c r="AV95" s="592"/>
      <c r="AW95" s="592"/>
      <c r="AX95" s="592"/>
      <c r="AY95" s="592"/>
      <c r="AZ95" s="592"/>
      <c r="BA95" s="617"/>
      <c r="BB95" s="592"/>
      <c r="BC95" s="592"/>
      <c r="BD95" s="592"/>
      <c r="BE95" s="592"/>
      <c r="BF95" s="592"/>
      <c r="BG95" s="358"/>
      <c r="BH95" s="358"/>
      <c r="BI95" s="358"/>
      <c r="BJ95" s="592"/>
      <c r="BK95" s="592"/>
      <c r="BL95" s="592"/>
      <c r="BM95" s="592"/>
      <c r="BN95" s="592"/>
      <c r="BO95" s="591">
        <f>1634.1-1.6341</f>
        <v>1632.4659</v>
      </c>
      <c r="BP95" s="592"/>
      <c r="BQ95" s="594"/>
      <c r="BR95" s="594"/>
      <c r="BS95" s="394"/>
      <c r="BT95" s="594"/>
      <c r="BU95" s="594"/>
      <c r="BV95" s="594"/>
      <c r="BW95" s="618"/>
      <c r="BX95" s="608">
        <v>5000.0</v>
      </c>
      <c r="BY95" s="644"/>
    </row>
    <row r="96" ht="25.5" customHeight="1">
      <c r="A96" s="635"/>
      <c r="B96" s="671" t="s">
        <v>309</v>
      </c>
      <c r="C96" s="642"/>
      <c r="D96" s="642"/>
      <c r="E96" s="574" t="s">
        <v>231</v>
      </c>
      <c r="F96" s="620"/>
      <c r="G96" s="621"/>
      <c r="H96" s="577"/>
      <c r="I96" s="577"/>
      <c r="J96" s="613"/>
      <c r="K96" s="581"/>
      <c r="L96" s="581"/>
      <c r="M96" s="613"/>
      <c r="N96" s="613"/>
      <c r="O96" s="613"/>
      <c r="P96" s="580"/>
      <c r="Q96" s="580"/>
      <c r="R96" s="581"/>
      <c r="S96" s="581"/>
      <c r="T96" s="581"/>
      <c r="U96" s="623"/>
      <c r="V96" s="614"/>
      <c r="W96" s="581"/>
      <c r="X96" s="615"/>
      <c r="Y96" s="613"/>
      <c r="Z96" s="580"/>
      <c r="AA96" s="585"/>
      <c r="AB96" s="577"/>
      <c r="AC96" s="586"/>
      <c r="AD96" s="585"/>
      <c r="AE96" s="610"/>
      <c r="AF96" s="610"/>
      <c r="AG96" s="623"/>
      <c r="AH96" s="623"/>
      <c r="AI96" s="623"/>
      <c r="AJ96" s="582"/>
      <c r="AK96" s="588"/>
      <c r="AL96" s="623">
        <v>-5000.59</v>
      </c>
      <c r="AM96" s="623"/>
      <c r="AN96" s="611"/>
      <c r="AO96" s="616"/>
      <c r="AP96" s="592"/>
      <c r="AQ96" s="358"/>
      <c r="AR96" s="592"/>
      <c r="AS96" s="592"/>
      <c r="AT96" s="592"/>
      <c r="AU96" s="592"/>
      <c r="AV96" s="592"/>
      <c r="AW96" s="592"/>
      <c r="AX96" s="592"/>
      <c r="AY96" s="592"/>
      <c r="AZ96" s="592"/>
      <c r="BA96" s="617"/>
      <c r="BB96" s="592"/>
      <c r="BC96" s="592"/>
      <c r="BD96" s="592"/>
      <c r="BE96" s="592"/>
      <c r="BF96" s="592"/>
      <c r="BG96" s="358"/>
      <c r="BH96" s="358"/>
      <c r="BI96" s="358"/>
      <c r="BJ96" s="592"/>
      <c r="BK96" s="592"/>
      <c r="BL96" s="592"/>
      <c r="BM96" s="592">
        <f>1926.59644-689.22</f>
        <v>1237.37644</v>
      </c>
      <c r="BN96" s="592"/>
      <c r="BO96" s="592"/>
      <c r="BP96" s="592"/>
      <c r="BQ96" s="594"/>
      <c r="BR96" s="594"/>
      <c r="BS96" s="394"/>
      <c r="BT96" s="594"/>
      <c r="BU96" s="594"/>
      <c r="BV96" s="594"/>
      <c r="BW96" s="618"/>
      <c r="BX96" s="644"/>
      <c r="BY96" s="644"/>
    </row>
    <row r="97" ht="25.5" customHeight="1">
      <c r="A97" s="635"/>
      <c r="B97" s="572">
        <v>45357.36971182871</v>
      </c>
      <c r="C97" s="642"/>
      <c r="D97" s="642"/>
      <c r="E97" s="574" t="s">
        <v>231</v>
      </c>
      <c r="F97" s="620"/>
      <c r="G97" s="621"/>
      <c r="H97" s="577"/>
      <c r="I97" s="577"/>
      <c r="J97" s="613"/>
      <c r="K97" s="581"/>
      <c r="L97" s="581"/>
      <c r="M97" s="613"/>
      <c r="N97" s="613"/>
      <c r="O97" s="613"/>
      <c r="P97" s="580"/>
      <c r="Q97" s="580"/>
      <c r="R97" s="581"/>
      <c r="S97" s="581"/>
      <c r="T97" s="581"/>
      <c r="U97" s="582"/>
      <c r="V97" s="614"/>
      <c r="W97" s="581"/>
      <c r="X97" s="615"/>
      <c r="Y97" s="613"/>
      <c r="Z97" s="580"/>
      <c r="AA97" s="634"/>
      <c r="AB97" s="577"/>
      <c r="AC97" s="586"/>
      <c r="AD97" s="634"/>
      <c r="AE97" s="610"/>
      <c r="AF97" s="610"/>
      <c r="AG97" s="582"/>
      <c r="AH97" s="582"/>
      <c r="AI97" s="582"/>
      <c r="AJ97" s="582">
        <f>-2499.72</f>
        <v>-2499.72</v>
      </c>
      <c r="AK97" s="588"/>
      <c r="AL97" s="582"/>
      <c r="AM97" s="582"/>
      <c r="AN97" s="611"/>
      <c r="AO97" s="616"/>
      <c r="AP97" s="592"/>
      <c r="AQ97" s="358"/>
      <c r="AR97" s="592"/>
      <c r="AS97" s="592"/>
      <c r="AT97" s="592"/>
      <c r="AU97" s="592"/>
      <c r="AV97" s="592"/>
      <c r="AW97" s="592"/>
      <c r="AX97" s="592"/>
      <c r="AY97" s="592"/>
      <c r="AZ97" s="592"/>
      <c r="BA97" s="617"/>
      <c r="BB97" s="592"/>
      <c r="BC97" s="591"/>
      <c r="BD97" s="592"/>
      <c r="BE97" s="592"/>
      <c r="BF97" s="592"/>
      <c r="BG97" s="358"/>
      <c r="BH97" s="656"/>
      <c r="BI97" s="656">
        <v>2966.703</v>
      </c>
      <c r="BJ97" s="592"/>
      <c r="BK97" s="592"/>
      <c r="BL97" s="592"/>
      <c r="BM97" s="592"/>
      <c r="BN97" s="592"/>
      <c r="BO97" s="592"/>
      <c r="BP97" s="592"/>
      <c r="BQ97" s="594"/>
      <c r="BR97" s="594"/>
      <c r="BS97" s="394"/>
      <c r="BT97" s="594"/>
      <c r="BU97" s="594"/>
      <c r="BV97" s="594"/>
      <c r="BW97" s="618"/>
      <c r="BX97" s="608">
        <v>2500.0</v>
      </c>
      <c r="BY97" s="644"/>
      <c r="BZ97" s="609" t="s">
        <v>310</v>
      </c>
    </row>
    <row r="98" ht="25.5" customHeight="1">
      <c r="A98" s="635"/>
      <c r="B98" s="572">
        <v>45357.42610019676</v>
      </c>
      <c r="C98" s="642"/>
      <c r="D98" s="642"/>
      <c r="E98" s="574" t="s">
        <v>218</v>
      </c>
      <c r="F98" s="620"/>
      <c r="G98" s="621"/>
      <c r="H98" s="577"/>
      <c r="I98" s="577"/>
      <c r="J98" s="613"/>
      <c r="K98" s="581"/>
      <c r="L98" s="581"/>
      <c r="M98" s="613"/>
      <c r="N98" s="613"/>
      <c r="O98" s="613"/>
      <c r="P98" s="580"/>
      <c r="Q98" s="580"/>
      <c r="R98" s="581"/>
      <c r="S98" s="581"/>
      <c r="T98" s="581"/>
      <c r="U98" s="623"/>
      <c r="V98" s="614"/>
      <c r="W98" s="581"/>
      <c r="X98" s="615"/>
      <c r="Y98" s="613"/>
      <c r="Z98" s="580"/>
      <c r="AA98" s="634"/>
      <c r="AB98" s="577"/>
      <c r="AC98" s="586"/>
      <c r="AD98" s="634"/>
      <c r="AE98" s="606">
        <v>-2501.0</v>
      </c>
      <c r="AF98" s="606"/>
      <c r="AG98" s="623">
        <v>2498.0</v>
      </c>
      <c r="AH98" s="623"/>
      <c r="AI98" s="623"/>
      <c r="AJ98" s="582"/>
      <c r="AK98" s="588"/>
      <c r="AL98" s="582"/>
      <c r="AM98" s="582"/>
      <c r="AN98" s="589"/>
      <c r="AO98" s="616"/>
      <c r="AP98" s="592"/>
      <c r="AQ98" s="358"/>
      <c r="AR98" s="592"/>
      <c r="AS98" s="592"/>
      <c r="AT98" s="592"/>
      <c r="AU98" s="592"/>
      <c r="AV98" s="592"/>
      <c r="AW98" s="592"/>
      <c r="AX98" s="592"/>
      <c r="AY98" s="592"/>
      <c r="AZ98" s="592"/>
      <c r="BA98" s="617"/>
      <c r="BB98" s="592"/>
      <c r="BC98" s="592"/>
      <c r="BD98" s="592"/>
      <c r="BE98" s="592"/>
      <c r="BF98" s="592"/>
      <c r="BG98" s="358"/>
      <c r="BH98" s="358"/>
      <c r="BI98" s="358"/>
      <c r="BJ98" s="592"/>
      <c r="BK98" s="592"/>
      <c r="BL98" s="592"/>
      <c r="BM98" s="592"/>
      <c r="BN98" s="592"/>
      <c r="BO98" s="592"/>
      <c r="BP98" s="592"/>
      <c r="BQ98" s="594"/>
      <c r="BR98" s="594"/>
      <c r="BS98" s="394"/>
      <c r="BT98" s="594"/>
      <c r="BU98" s="594"/>
      <c r="BV98" s="594"/>
      <c r="BW98" s="618"/>
      <c r="BX98" s="644"/>
      <c r="BY98" s="672" t="s">
        <v>311</v>
      </c>
    </row>
    <row r="99" ht="25.5" customHeight="1">
      <c r="A99" s="613">
        <f>A79+M99</f>
        <v>2.108593197</v>
      </c>
      <c r="B99" s="572">
        <v>45357.46562596065</v>
      </c>
      <c r="C99" s="642"/>
      <c r="D99" s="642"/>
      <c r="E99" s="574" t="s">
        <v>218</v>
      </c>
      <c r="F99" s="620"/>
      <c r="G99" s="621"/>
      <c r="H99" s="577"/>
      <c r="I99" s="577"/>
      <c r="J99" s="604"/>
      <c r="K99" s="581"/>
      <c r="L99" s="581"/>
      <c r="M99" s="604">
        <v>1.3</v>
      </c>
      <c r="N99" s="604">
        <v>-1.301395</v>
      </c>
      <c r="O99" s="604"/>
      <c r="P99" s="580"/>
      <c r="Q99" s="633"/>
      <c r="R99" s="581"/>
      <c r="S99" s="581"/>
      <c r="T99" s="581"/>
      <c r="U99" s="582"/>
      <c r="V99" s="630"/>
      <c r="W99" s="581"/>
      <c r="X99" s="631"/>
      <c r="Y99" s="604"/>
      <c r="Z99" s="633"/>
      <c r="AA99" s="585"/>
      <c r="AB99" s="577"/>
      <c r="AC99" s="586"/>
      <c r="AD99" s="585"/>
      <c r="AE99" s="587"/>
      <c r="AF99" s="587"/>
      <c r="AG99" s="582"/>
      <c r="AH99" s="582"/>
      <c r="AI99" s="582"/>
      <c r="AJ99" s="582"/>
      <c r="AK99" s="588"/>
      <c r="AL99" s="582"/>
      <c r="AM99" s="582"/>
      <c r="AN99" s="589"/>
      <c r="AO99" s="616"/>
      <c r="AP99" s="592"/>
      <c r="AQ99" s="358"/>
      <c r="AR99" s="592"/>
      <c r="AS99" s="592"/>
      <c r="AT99" s="592"/>
      <c r="AU99" s="592"/>
      <c r="AV99" s="592"/>
      <c r="AW99" s="592"/>
      <c r="AX99" s="592"/>
      <c r="AY99" s="592"/>
      <c r="AZ99" s="592"/>
      <c r="BA99" s="617"/>
      <c r="BB99" s="592"/>
      <c r="BC99" s="592"/>
      <c r="BD99" s="592"/>
      <c r="BE99" s="592"/>
      <c r="BF99" s="592"/>
      <c r="BG99" s="358"/>
      <c r="BH99" s="358"/>
      <c r="BI99" s="358"/>
      <c r="BJ99" s="592"/>
      <c r="BK99" s="592"/>
      <c r="BL99" s="592"/>
      <c r="BM99" s="592"/>
      <c r="BN99" s="592"/>
      <c r="BO99" s="592"/>
      <c r="BP99" s="592"/>
      <c r="BQ99" s="594"/>
      <c r="BR99" s="594"/>
      <c r="BS99" s="394"/>
      <c r="BT99" s="594"/>
      <c r="BU99" s="594"/>
      <c r="BV99" s="594"/>
      <c r="BW99" s="618"/>
      <c r="BX99" s="644"/>
      <c r="BY99" s="644"/>
      <c r="BZ99" s="658" t="s">
        <v>312</v>
      </c>
    </row>
    <row r="100" ht="25.5" customHeight="1">
      <c r="A100" s="604">
        <f>A99+M100</f>
        <v>0.790635987</v>
      </c>
      <c r="B100" s="572">
        <v>45357.467149641205</v>
      </c>
      <c r="C100" s="642"/>
      <c r="D100" s="642"/>
      <c r="E100" s="574" t="s">
        <v>231</v>
      </c>
      <c r="F100" s="620"/>
      <c r="G100" s="621"/>
      <c r="H100" s="577"/>
      <c r="I100" s="577"/>
      <c r="J100" s="604"/>
      <c r="K100" s="581"/>
      <c r="L100" s="581"/>
      <c r="M100" s="604">
        <v>-1.31795721</v>
      </c>
      <c r="N100" s="613"/>
      <c r="O100" s="613"/>
      <c r="P100" s="580"/>
      <c r="Q100" s="580"/>
      <c r="R100" s="581"/>
      <c r="S100" s="581"/>
      <c r="T100" s="581"/>
      <c r="U100" s="582"/>
      <c r="V100" s="614"/>
      <c r="W100" s="581"/>
      <c r="X100" s="615"/>
      <c r="Y100" s="613"/>
      <c r="Z100" s="633"/>
      <c r="AA100" s="634"/>
      <c r="AB100" s="577"/>
      <c r="AC100" s="586"/>
      <c r="AD100" s="634"/>
      <c r="AE100" s="587"/>
      <c r="AF100" s="587"/>
      <c r="AG100" s="582"/>
      <c r="AH100" s="582"/>
      <c r="AI100" s="582"/>
      <c r="AJ100" s="582"/>
      <c r="AK100" s="588"/>
      <c r="AL100" s="582"/>
      <c r="AM100" s="582"/>
      <c r="AN100" s="589"/>
      <c r="AO100" s="616"/>
      <c r="AP100" s="592"/>
      <c r="AQ100" s="358"/>
      <c r="AR100" s="592"/>
      <c r="AS100" s="592"/>
      <c r="AT100" s="592"/>
      <c r="AU100" s="592"/>
      <c r="AV100" s="592"/>
      <c r="AW100" s="592"/>
      <c r="AX100" s="592"/>
      <c r="AY100" s="592"/>
      <c r="AZ100" s="592"/>
      <c r="BA100" s="617"/>
      <c r="BB100" s="591">
        <v>1452.21048890778</v>
      </c>
      <c r="BC100" s="592"/>
      <c r="BD100" s="592"/>
      <c r="BE100" s="592"/>
      <c r="BF100" s="592"/>
      <c r="BG100" s="358"/>
      <c r="BH100" s="358"/>
      <c r="BI100" s="358"/>
      <c r="BJ100" s="592"/>
      <c r="BK100" s="592"/>
      <c r="BL100" s="592"/>
      <c r="BM100" s="592"/>
      <c r="BN100" s="592"/>
      <c r="BO100" s="592"/>
      <c r="BP100" s="592"/>
      <c r="BQ100" s="594"/>
      <c r="BR100" s="594"/>
      <c r="BS100" s="394"/>
      <c r="BT100" s="594"/>
      <c r="BU100" s="594"/>
      <c r="BV100" s="594"/>
      <c r="BW100" s="618"/>
      <c r="BX100" s="608"/>
      <c r="BY100" s="608"/>
      <c r="BZ100" s="609" t="s">
        <v>313</v>
      </c>
    </row>
    <row r="101" ht="25.5" customHeight="1">
      <c r="A101" s="635"/>
      <c r="B101" s="572">
        <v>45357.47315268518</v>
      </c>
      <c r="C101" s="642"/>
      <c r="D101" s="642"/>
      <c r="E101" s="574" t="s">
        <v>231</v>
      </c>
      <c r="F101" s="620"/>
      <c r="G101" s="621"/>
      <c r="H101" s="660"/>
      <c r="I101" s="660"/>
      <c r="J101" s="613"/>
      <c r="K101" s="579"/>
      <c r="L101" s="579"/>
      <c r="M101" s="613"/>
      <c r="N101" s="613"/>
      <c r="O101" s="613"/>
      <c r="P101" s="580"/>
      <c r="Q101" s="580"/>
      <c r="R101" s="579">
        <v>-2500.0</v>
      </c>
      <c r="S101" s="579"/>
      <c r="T101" s="581"/>
      <c r="U101" s="661"/>
      <c r="V101" s="614"/>
      <c r="W101" s="581"/>
      <c r="X101" s="615"/>
      <c r="Y101" s="613"/>
      <c r="Z101" s="580"/>
      <c r="AA101" s="634"/>
      <c r="AB101" s="660"/>
      <c r="AC101" s="586"/>
      <c r="AD101" s="634"/>
      <c r="AE101" s="610"/>
      <c r="AF101" s="610"/>
      <c r="AG101" s="661"/>
      <c r="AH101" s="661"/>
      <c r="AI101" s="661"/>
      <c r="AJ101" s="661"/>
      <c r="AK101" s="588"/>
      <c r="AL101" s="661"/>
      <c r="AM101" s="661"/>
      <c r="AN101" s="611"/>
      <c r="AO101" s="616"/>
      <c r="AP101" s="656"/>
      <c r="AQ101" s="358"/>
      <c r="AR101" s="656"/>
      <c r="AS101" s="656"/>
      <c r="AT101" s="656"/>
      <c r="AU101" s="656"/>
      <c r="AV101" s="656"/>
      <c r="AW101" s="656"/>
      <c r="AX101" s="656"/>
      <c r="AY101" s="656"/>
      <c r="AZ101" s="656"/>
      <c r="BA101" s="617"/>
      <c r="BB101" s="656"/>
      <c r="BC101" s="656"/>
      <c r="BD101" s="663">
        <v>36980.5422812648</v>
      </c>
      <c r="BE101" s="656"/>
      <c r="BF101" s="656"/>
      <c r="BG101" s="358"/>
      <c r="BH101" s="358"/>
      <c r="BI101" s="358"/>
      <c r="BJ101" s="656"/>
      <c r="BK101" s="656"/>
      <c r="BL101" s="656"/>
      <c r="BM101" s="656"/>
      <c r="BN101" s="656"/>
      <c r="BO101" s="656"/>
      <c r="BP101" s="663"/>
      <c r="BQ101" s="664"/>
      <c r="BR101" s="664"/>
      <c r="BS101" s="394"/>
      <c r="BT101" s="664"/>
      <c r="BU101" s="664"/>
      <c r="BV101" s="664"/>
      <c r="BW101" s="618"/>
      <c r="BX101" s="608">
        <v>2500.0</v>
      </c>
      <c r="BY101" s="644"/>
      <c r="BZ101" s="609" t="s">
        <v>314</v>
      </c>
    </row>
    <row r="102" ht="25.5" customHeight="1">
      <c r="A102" s="635"/>
      <c r="B102" s="572">
        <v>45357.53472222222</v>
      </c>
      <c r="C102" s="642"/>
      <c r="D102" s="642"/>
      <c r="E102" s="574" t="s">
        <v>218</v>
      </c>
      <c r="F102" s="620"/>
      <c r="G102" s="621"/>
      <c r="H102" s="577"/>
      <c r="I102" s="577"/>
      <c r="J102" s="613"/>
      <c r="K102" s="581"/>
      <c r="L102" s="581"/>
      <c r="M102" s="613"/>
      <c r="N102" s="613"/>
      <c r="O102" s="613"/>
      <c r="P102" s="580"/>
      <c r="Q102" s="580"/>
      <c r="R102" s="581"/>
      <c r="S102" s="581"/>
      <c r="T102" s="581"/>
      <c r="U102" s="582"/>
      <c r="V102" s="614"/>
      <c r="W102" s="581"/>
      <c r="X102" s="615"/>
      <c r="Y102" s="613"/>
      <c r="Z102" s="580"/>
      <c r="AA102" s="585"/>
      <c r="AB102" s="577"/>
      <c r="AC102" s="586"/>
      <c r="AD102" s="585"/>
      <c r="AE102" s="651">
        <v>-17501.0</v>
      </c>
      <c r="AF102" s="651"/>
      <c r="AG102" s="582"/>
      <c r="AH102" s="582"/>
      <c r="AI102" s="582"/>
      <c r="AJ102" s="582"/>
      <c r="AK102" s="588"/>
      <c r="AL102" s="623">
        <v>17500.0</v>
      </c>
      <c r="AM102" s="623"/>
      <c r="AN102" s="611"/>
      <c r="AO102" s="616"/>
      <c r="AP102" s="592"/>
      <c r="AQ102" s="358"/>
      <c r="AR102" s="592"/>
      <c r="AS102" s="592"/>
      <c r="AT102" s="592"/>
      <c r="AU102" s="592"/>
      <c r="AV102" s="592"/>
      <c r="AW102" s="592"/>
      <c r="AX102" s="592"/>
      <c r="AY102" s="592"/>
      <c r="AZ102" s="592"/>
      <c r="BA102" s="617"/>
      <c r="BB102" s="592"/>
      <c r="BC102" s="592"/>
      <c r="BD102" s="592"/>
      <c r="BE102" s="592"/>
      <c r="BF102" s="592"/>
      <c r="BG102" s="358"/>
      <c r="BH102" s="358"/>
      <c r="BI102" s="358"/>
      <c r="BJ102" s="592"/>
      <c r="BK102" s="592"/>
      <c r="BL102" s="592"/>
      <c r="BM102" s="592"/>
      <c r="BN102" s="592"/>
      <c r="BO102" s="592"/>
      <c r="BP102" s="592"/>
      <c r="BQ102" s="594"/>
      <c r="BR102" s="594"/>
      <c r="BS102" s="394"/>
      <c r="BT102" s="594"/>
      <c r="BU102" s="594"/>
      <c r="BV102" s="594"/>
      <c r="BW102" s="618"/>
      <c r="BX102" s="644"/>
      <c r="BY102" s="644"/>
    </row>
    <row r="103" ht="25.5" customHeight="1">
      <c r="A103" s="635"/>
      <c r="B103" s="572">
        <v>45357.53472222222</v>
      </c>
      <c r="C103" s="642"/>
      <c r="D103" s="642"/>
      <c r="E103" s="574" t="s">
        <v>231</v>
      </c>
      <c r="F103" s="620"/>
      <c r="G103" s="621"/>
      <c r="H103" s="577"/>
      <c r="I103" s="577"/>
      <c r="J103" s="613"/>
      <c r="K103" s="581"/>
      <c r="L103" s="581"/>
      <c r="M103" s="613"/>
      <c r="N103" s="613"/>
      <c r="O103" s="613"/>
      <c r="P103" s="580"/>
      <c r="Q103" s="580"/>
      <c r="R103" s="581"/>
      <c r="S103" s="581"/>
      <c r="T103" s="581"/>
      <c r="U103" s="582"/>
      <c r="V103" s="614"/>
      <c r="W103" s="581"/>
      <c r="X103" s="615"/>
      <c r="Y103" s="613"/>
      <c r="Z103" s="580"/>
      <c r="AA103" s="634"/>
      <c r="AB103" s="577"/>
      <c r="AC103" s="586"/>
      <c r="AD103" s="634"/>
      <c r="AE103" s="610"/>
      <c r="AF103" s="610"/>
      <c r="AG103" s="582"/>
      <c r="AH103" s="582"/>
      <c r="AI103" s="582"/>
      <c r="AJ103" s="582"/>
      <c r="AK103" s="588"/>
      <c r="AL103" s="623">
        <v>-5000.0</v>
      </c>
      <c r="AM103" s="623"/>
      <c r="AN103" s="611"/>
      <c r="AO103" s="616"/>
      <c r="AP103" s="592"/>
      <c r="AQ103" s="358"/>
      <c r="AR103" s="592"/>
      <c r="AS103" s="592"/>
      <c r="AT103" s="592"/>
      <c r="AU103" s="592"/>
      <c r="AV103" s="592"/>
      <c r="AW103" s="592"/>
      <c r="AX103" s="592"/>
      <c r="AY103" s="592"/>
      <c r="AZ103" s="592"/>
      <c r="BA103" s="617"/>
      <c r="BB103" s="592"/>
      <c r="BC103" s="592"/>
      <c r="BD103" s="592"/>
      <c r="BE103" s="591"/>
      <c r="BF103" s="591"/>
      <c r="BG103" s="358"/>
      <c r="BH103" s="358"/>
      <c r="BI103" s="358"/>
      <c r="BJ103" s="591"/>
      <c r="BK103" s="591"/>
      <c r="BL103" s="591">
        <v>6873.5196</v>
      </c>
      <c r="BM103" s="592"/>
      <c r="BN103" s="592"/>
      <c r="BO103" s="592"/>
      <c r="BP103" s="592"/>
      <c r="BQ103" s="594"/>
      <c r="BR103" s="594"/>
      <c r="BS103" s="394"/>
      <c r="BT103" s="594"/>
      <c r="BU103" s="594"/>
      <c r="BV103" s="594"/>
      <c r="BW103" s="618"/>
      <c r="BX103" s="608">
        <v>5000.0</v>
      </c>
      <c r="BY103" s="608"/>
    </row>
    <row r="104" ht="25.5" customHeight="1">
      <c r="A104" s="635"/>
      <c r="B104" s="572">
        <v>45358.3755787037</v>
      </c>
      <c r="C104" s="642"/>
      <c r="D104" s="642"/>
      <c r="E104" s="574" t="s">
        <v>231</v>
      </c>
      <c r="F104" s="620"/>
      <c r="G104" s="621"/>
      <c r="H104" s="577"/>
      <c r="I104" s="577"/>
      <c r="J104" s="613"/>
      <c r="K104" s="581"/>
      <c r="L104" s="581"/>
      <c r="M104" s="613"/>
      <c r="N104" s="613"/>
      <c r="O104" s="613"/>
      <c r="P104" s="580"/>
      <c r="Q104" s="580"/>
      <c r="R104" s="581"/>
      <c r="S104" s="581"/>
      <c r="T104" s="581"/>
      <c r="U104" s="582"/>
      <c r="V104" s="614"/>
      <c r="W104" s="581"/>
      <c r="X104" s="615"/>
      <c r="Y104" s="613"/>
      <c r="Z104" s="580"/>
      <c r="AA104" s="634"/>
      <c r="AB104" s="577"/>
      <c r="AC104" s="586"/>
      <c r="AD104" s="634"/>
      <c r="AE104" s="610"/>
      <c r="AF104" s="610"/>
      <c r="AG104" s="582"/>
      <c r="AH104" s="582"/>
      <c r="AI104" s="582"/>
      <c r="AJ104" s="582"/>
      <c r="AK104" s="588"/>
      <c r="AL104" s="623">
        <v>-2500.0</v>
      </c>
      <c r="AM104" s="623"/>
      <c r="AN104" s="611"/>
      <c r="AO104" s="616"/>
      <c r="AP104" s="592"/>
      <c r="AQ104" s="358"/>
      <c r="AR104" s="592"/>
      <c r="AS104" s="592"/>
      <c r="AT104" s="592"/>
      <c r="AU104" s="592"/>
      <c r="AV104" s="592"/>
      <c r="AW104" s="592"/>
      <c r="AX104" s="592"/>
      <c r="AY104" s="592"/>
      <c r="AZ104" s="592"/>
      <c r="BA104" s="617"/>
      <c r="BB104" s="592"/>
      <c r="BC104" s="592"/>
      <c r="BD104" s="592"/>
      <c r="BE104" s="591"/>
      <c r="BF104" s="591"/>
      <c r="BG104" s="358"/>
      <c r="BH104" s="358"/>
      <c r="BI104" s="358"/>
      <c r="BJ104" s="591"/>
      <c r="BK104" s="591">
        <v>900.099</v>
      </c>
      <c r="BL104" s="592"/>
      <c r="BM104" s="592"/>
      <c r="BN104" s="592"/>
      <c r="BO104" s="592"/>
      <c r="BP104" s="592"/>
      <c r="BQ104" s="594"/>
      <c r="BR104" s="594"/>
      <c r="BS104" s="394"/>
      <c r="BT104" s="594"/>
      <c r="BU104" s="594"/>
      <c r="BV104" s="594"/>
      <c r="BW104" s="618"/>
      <c r="BX104" s="608">
        <v>2500.0</v>
      </c>
      <c r="BY104" s="644"/>
    </row>
    <row r="105" ht="25.5" customHeight="1">
      <c r="A105" s="635"/>
      <c r="B105" s="572">
        <v>45358.40227193287</v>
      </c>
      <c r="C105" s="642"/>
      <c r="D105" s="642"/>
      <c r="E105" s="574" t="s">
        <v>231</v>
      </c>
      <c r="F105" s="620"/>
      <c r="G105" s="621"/>
      <c r="H105" s="660"/>
      <c r="I105" s="660"/>
      <c r="J105" s="613"/>
      <c r="K105" s="579"/>
      <c r="L105" s="579"/>
      <c r="M105" s="613"/>
      <c r="N105" s="613"/>
      <c r="O105" s="613"/>
      <c r="P105" s="580"/>
      <c r="Q105" s="580"/>
      <c r="R105" s="579">
        <v>-2500.0</v>
      </c>
      <c r="S105" s="579"/>
      <c r="T105" s="581"/>
      <c r="U105" s="661"/>
      <c r="V105" s="614"/>
      <c r="W105" s="581"/>
      <c r="X105" s="615"/>
      <c r="Y105" s="613"/>
      <c r="Z105" s="580"/>
      <c r="AA105" s="634"/>
      <c r="AB105" s="660"/>
      <c r="AC105" s="673"/>
      <c r="AD105" s="634"/>
      <c r="AE105" s="610"/>
      <c r="AF105" s="610"/>
      <c r="AG105" s="661"/>
      <c r="AH105" s="661"/>
      <c r="AI105" s="661"/>
      <c r="AJ105" s="661"/>
      <c r="AK105" s="588"/>
      <c r="AL105" s="661"/>
      <c r="AM105" s="661"/>
      <c r="AN105" s="611"/>
      <c r="AO105" s="616"/>
      <c r="AP105" s="656"/>
      <c r="AQ105" s="358"/>
      <c r="AR105" s="656"/>
      <c r="AS105" s="656"/>
      <c r="AT105" s="656"/>
      <c r="AU105" s="656"/>
      <c r="AV105" s="656"/>
      <c r="AW105" s="656"/>
      <c r="AX105" s="656"/>
      <c r="AY105" s="656"/>
      <c r="AZ105" s="656"/>
      <c r="BA105" s="617"/>
      <c r="BB105" s="656"/>
      <c r="BC105" s="656"/>
      <c r="BD105" s="663">
        <v>39437.4971</v>
      </c>
      <c r="BE105" s="656"/>
      <c r="BF105" s="656"/>
      <c r="BG105" s="358"/>
      <c r="BH105" s="358"/>
      <c r="BI105" s="358"/>
      <c r="BJ105" s="656"/>
      <c r="BK105" s="656"/>
      <c r="BL105" s="656"/>
      <c r="BM105" s="656"/>
      <c r="BN105" s="656"/>
      <c r="BO105" s="656"/>
      <c r="BP105" s="663"/>
      <c r="BQ105" s="664"/>
      <c r="BR105" s="664"/>
      <c r="BS105" s="394"/>
      <c r="BT105" s="664"/>
      <c r="BU105" s="664"/>
      <c r="BV105" s="664"/>
      <c r="BW105" s="618"/>
      <c r="BX105" s="608">
        <v>2500.0</v>
      </c>
      <c r="BY105" s="644"/>
      <c r="BZ105" s="609" t="s">
        <v>315</v>
      </c>
    </row>
    <row r="106" ht="25.5" customHeight="1">
      <c r="A106" s="635"/>
      <c r="B106" s="572">
        <v>45358.41355452546</v>
      </c>
      <c r="C106" s="642"/>
      <c r="D106" s="642"/>
      <c r="E106" s="574" t="s">
        <v>231</v>
      </c>
      <c r="F106" s="620"/>
      <c r="G106" s="621"/>
      <c r="H106" s="660"/>
      <c r="I106" s="660"/>
      <c r="J106" s="613"/>
      <c r="K106" s="581"/>
      <c r="L106" s="581"/>
      <c r="M106" s="613"/>
      <c r="N106" s="613"/>
      <c r="O106" s="613"/>
      <c r="P106" s="580"/>
      <c r="Q106" s="580"/>
      <c r="R106" s="581"/>
      <c r="S106" s="581"/>
      <c r="T106" s="581"/>
      <c r="U106" s="661"/>
      <c r="V106" s="614"/>
      <c r="W106" s="581"/>
      <c r="X106" s="615"/>
      <c r="Y106" s="613"/>
      <c r="Z106" s="580"/>
      <c r="AA106" s="634"/>
      <c r="AB106" s="660"/>
      <c r="AC106" s="673"/>
      <c r="AD106" s="634"/>
      <c r="AE106" s="651">
        <v>-10008.0</v>
      </c>
      <c r="AF106" s="651"/>
      <c r="AG106" s="661"/>
      <c r="AH106" s="661"/>
      <c r="AI106" s="661"/>
      <c r="AJ106" s="661"/>
      <c r="AK106" s="588"/>
      <c r="AL106" s="661"/>
      <c r="AM106" s="661"/>
      <c r="AN106" s="611"/>
      <c r="AO106" s="616"/>
      <c r="AP106" s="656"/>
      <c r="AQ106" s="358"/>
      <c r="AR106" s="656"/>
      <c r="AS106" s="656"/>
      <c r="AT106" s="656"/>
      <c r="AU106" s="663">
        <v>717.45275573</v>
      </c>
      <c r="AV106" s="656"/>
      <c r="AW106" s="656"/>
      <c r="AX106" s="656"/>
      <c r="AY106" s="656"/>
      <c r="AZ106" s="656"/>
      <c r="BA106" s="617"/>
      <c r="BB106" s="656"/>
      <c r="BC106" s="656"/>
      <c r="BD106" s="656"/>
      <c r="BE106" s="656"/>
      <c r="BF106" s="656"/>
      <c r="BG106" s="358"/>
      <c r="BH106" s="358"/>
      <c r="BI106" s="358"/>
      <c r="BJ106" s="656"/>
      <c r="BK106" s="656"/>
      <c r="BL106" s="656"/>
      <c r="BM106" s="656"/>
      <c r="BN106" s="656"/>
      <c r="BO106" s="656"/>
      <c r="BP106" s="656"/>
      <c r="BQ106" s="662"/>
      <c r="BR106" s="662"/>
      <c r="BS106" s="394"/>
      <c r="BT106" s="662"/>
      <c r="BU106" s="662"/>
      <c r="BV106" s="662"/>
      <c r="BW106" s="618"/>
      <c r="BX106" s="608">
        <v>10000.0</v>
      </c>
      <c r="BY106" s="644"/>
    </row>
    <row r="107" ht="25.5" customHeight="1">
      <c r="A107" s="635"/>
      <c r="B107" s="572">
        <v>45358.41736111111</v>
      </c>
      <c r="C107" s="642"/>
      <c r="D107" s="642"/>
      <c r="E107" s="574" t="s">
        <v>218</v>
      </c>
      <c r="F107" s="620"/>
      <c r="G107" s="621"/>
      <c r="H107" s="577"/>
      <c r="I107" s="577"/>
      <c r="J107" s="613"/>
      <c r="K107" s="581"/>
      <c r="L107" s="581"/>
      <c r="M107" s="613"/>
      <c r="N107" s="613"/>
      <c r="O107" s="613"/>
      <c r="P107" s="580"/>
      <c r="Q107" s="580"/>
      <c r="R107" s="581"/>
      <c r="S107" s="581"/>
      <c r="T107" s="581"/>
      <c r="U107" s="582"/>
      <c r="V107" s="614"/>
      <c r="W107" s="581"/>
      <c r="X107" s="615"/>
      <c r="Y107" s="613"/>
      <c r="Z107" s="580"/>
      <c r="AA107" s="634"/>
      <c r="AB107" s="577"/>
      <c r="AC107" s="673"/>
      <c r="AD107" s="634"/>
      <c r="AE107" s="610"/>
      <c r="AF107" s="610"/>
      <c r="AG107" s="582"/>
      <c r="AH107" s="582"/>
      <c r="AI107" s="582"/>
      <c r="AJ107" s="582"/>
      <c r="AK107" s="588"/>
      <c r="AL107" s="582"/>
      <c r="AM107" s="582"/>
      <c r="AN107" s="611"/>
      <c r="AO107" s="616"/>
      <c r="AP107" s="669"/>
      <c r="AQ107" s="674"/>
      <c r="AR107" s="669"/>
      <c r="AS107" s="669"/>
      <c r="AT107" s="669"/>
      <c r="AU107" s="591">
        <v>-717.45</v>
      </c>
      <c r="AV107" s="669">
        <v>717.3527</v>
      </c>
      <c r="AW107" s="592"/>
      <c r="AX107" s="592"/>
      <c r="AY107" s="592"/>
      <c r="AZ107" s="592"/>
      <c r="BA107" s="617"/>
      <c r="BB107" s="592"/>
      <c r="BC107" s="592"/>
      <c r="BD107" s="592"/>
      <c r="BE107" s="592"/>
      <c r="BF107" s="592"/>
      <c r="BG107" s="358"/>
      <c r="BH107" s="358"/>
      <c r="BI107" s="358"/>
      <c r="BJ107" s="592"/>
      <c r="BK107" s="592"/>
      <c r="BL107" s="592"/>
      <c r="BM107" s="592"/>
      <c r="BN107" s="592"/>
      <c r="BO107" s="592"/>
      <c r="BP107" s="592"/>
      <c r="BQ107" s="594"/>
      <c r="BR107" s="594"/>
      <c r="BS107" s="394"/>
      <c r="BT107" s="594"/>
      <c r="BU107" s="594"/>
      <c r="BV107" s="594"/>
      <c r="BW107" s="618"/>
      <c r="BX107" s="644"/>
      <c r="BY107" s="644"/>
      <c r="BZ107" s="609" t="s">
        <v>316</v>
      </c>
    </row>
    <row r="108" ht="25.5" customHeight="1">
      <c r="A108" s="635"/>
      <c r="B108" s="572">
        <v>45358.42269630787</v>
      </c>
      <c r="C108" s="642"/>
      <c r="D108" s="642"/>
      <c r="E108" s="574" t="s">
        <v>231</v>
      </c>
      <c r="F108" s="612"/>
      <c r="G108" s="600"/>
      <c r="H108" s="660"/>
      <c r="I108" s="660"/>
      <c r="J108" s="613"/>
      <c r="K108" s="581"/>
      <c r="L108" s="581"/>
      <c r="M108" s="613"/>
      <c r="N108" s="613"/>
      <c r="O108" s="613"/>
      <c r="P108" s="580"/>
      <c r="Q108" s="580"/>
      <c r="R108" s="581"/>
      <c r="S108" s="581"/>
      <c r="T108" s="581"/>
      <c r="U108" s="661"/>
      <c r="V108" s="614"/>
      <c r="W108" s="581"/>
      <c r="X108" s="615"/>
      <c r="Y108" s="613"/>
      <c r="Z108" s="580"/>
      <c r="AA108" s="634"/>
      <c r="AB108" s="660"/>
      <c r="AC108" s="673"/>
      <c r="AD108" s="634"/>
      <c r="AE108" s="587"/>
      <c r="AF108" s="587"/>
      <c r="AG108" s="661"/>
      <c r="AH108" s="661"/>
      <c r="AI108" s="661"/>
      <c r="AJ108" s="661"/>
      <c r="AK108" s="588"/>
      <c r="AL108" s="661"/>
      <c r="AM108" s="661"/>
      <c r="AN108" s="589"/>
      <c r="AO108" s="616"/>
      <c r="AP108" s="663"/>
      <c r="AQ108" s="358"/>
      <c r="AR108" s="663"/>
      <c r="AS108" s="663"/>
      <c r="AT108" s="663"/>
      <c r="AU108" s="656"/>
      <c r="AV108" s="663">
        <f>-323.1-35.9</f>
        <v>-359</v>
      </c>
      <c r="AW108" s="656"/>
      <c r="AX108" s="656"/>
      <c r="AY108" s="663">
        <v>903.523575</v>
      </c>
      <c r="AZ108" s="656"/>
      <c r="BA108" s="617"/>
      <c r="BB108" s="656"/>
      <c r="BC108" s="656"/>
      <c r="BD108" s="656"/>
      <c r="BE108" s="656"/>
      <c r="BF108" s="656"/>
      <c r="BG108" s="358"/>
      <c r="BH108" s="358"/>
      <c r="BI108" s="358"/>
      <c r="BJ108" s="656"/>
      <c r="BK108" s="656"/>
      <c r="BL108" s="656"/>
      <c r="BM108" s="656"/>
      <c r="BN108" s="656"/>
      <c r="BO108" s="656"/>
      <c r="BP108" s="656"/>
      <c r="BQ108" s="662"/>
      <c r="BR108" s="662"/>
      <c r="BS108" s="394"/>
      <c r="BT108" s="662"/>
      <c r="BU108" s="662"/>
      <c r="BV108" s="662"/>
      <c r="BW108" s="618"/>
      <c r="BX108" s="608">
        <v>5000.0</v>
      </c>
      <c r="BY108" s="644"/>
    </row>
    <row r="109" ht="25.5" customHeight="1">
      <c r="A109" s="635"/>
      <c r="B109" s="572">
        <v>45359.42269675926</v>
      </c>
      <c r="C109" s="573"/>
      <c r="D109" s="573"/>
      <c r="E109" s="574" t="s">
        <v>218</v>
      </c>
      <c r="F109" s="620"/>
      <c r="G109" s="621"/>
      <c r="H109" s="577"/>
      <c r="I109" s="577"/>
      <c r="J109" s="613"/>
      <c r="K109" s="581"/>
      <c r="L109" s="581"/>
      <c r="M109" s="613"/>
      <c r="N109" s="613"/>
      <c r="O109" s="613"/>
      <c r="P109" s="580"/>
      <c r="Q109" s="580"/>
      <c r="R109" s="581"/>
      <c r="S109" s="581"/>
      <c r="T109" s="581"/>
      <c r="U109" s="623"/>
      <c r="V109" s="614"/>
      <c r="W109" s="581"/>
      <c r="X109" s="615"/>
      <c r="Y109" s="613"/>
      <c r="Z109" s="580"/>
      <c r="AA109" s="634"/>
      <c r="AB109" s="577"/>
      <c r="AC109" s="673"/>
      <c r="AD109" s="634"/>
      <c r="AE109" s="606">
        <v>-5001.0</v>
      </c>
      <c r="AF109" s="606"/>
      <c r="AG109" s="582"/>
      <c r="AH109" s="623">
        <v>5000.0</v>
      </c>
      <c r="AI109" s="623">
        <v>5000.0</v>
      </c>
      <c r="AJ109" s="582"/>
      <c r="AK109" s="588"/>
      <c r="AL109" s="582"/>
      <c r="AM109" s="582"/>
      <c r="AN109" s="589"/>
      <c r="AO109" s="616"/>
      <c r="AP109" s="592"/>
      <c r="AQ109" s="358"/>
      <c r="AR109" s="592"/>
      <c r="AS109" s="592"/>
      <c r="AT109" s="592"/>
      <c r="AU109" s="592"/>
      <c r="AV109" s="592"/>
      <c r="AW109" s="592"/>
      <c r="AX109" s="592"/>
      <c r="AY109" s="592"/>
      <c r="AZ109" s="592"/>
      <c r="BA109" s="617"/>
      <c r="BB109" s="592"/>
      <c r="BC109" s="592"/>
      <c r="BD109" s="592"/>
      <c r="BE109" s="592"/>
      <c r="BF109" s="592"/>
      <c r="BG109" s="358"/>
      <c r="BH109" s="358"/>
      <c r="BI109" s="358"/>
      <c r="BJ109" s="592"/>
      <c r="BK109" s="592"/>
      <c r="BL109" s="592"/>
      <c r="BM109" s="592"/>
      <c r="BN109" s="592"/>
      <c r="BO109" s="592"/>
      <c r="BP109" s="592"/>
      <c r="BQ109" s="594"/>
      <c r="BR109" s="594"/>
      <c r="BS109" s="394"/>
      <c r="BT109" s="594"/>
      <c r="BU109" s="594"/>
      <c r="BV109" s="594"/>
      <c r="BW109" s="618"/>
      <c r="BX109" s="608"/>
      <c r="BY109" s="608"/>
    </row>
    <row r="110" ht="25.5" customHeight="1">
      <c r="A110" s="635"/>
      <c r="B110" s="572">
        <v>45358.44384840278</v>
      </c>
      <c r="C110" s="573"/>
      <c r="D110" s="573"/>
      <c r="E110" s="574" t="s">
        <v>231</v>
      </c>
      <c r="F110" s="620"/>
      <c r="G110" s="621"/>
      <c r="H110" s="577"/>
      <c r="I110" s="577"/>
      <c r="J110" s="613"/>
      <c r="K110" s="581"/>
      <c r="L110" s="581"/>
      <c r="M110" s="613"/>
      <c r="N110" s="613"/>
      <c r="O110" s="613"/>
      <c r="P110" s="580"/>
      <c r="Q110" s="580"/>
      <c r="R110" s="581"/>
      <c r="S110" s="581"/>
      <c r="T110" s="581"/>
      <c r="U110" s="582"/>
      <c r="V110" s="614"/>
      <c r="W110" s="581"/>
      <c r="X110" s="615"/>
      <c r="Y110" s="613"/>
      <c r="Z110" s="580"/>
      <c r="AA110" s="634"/>
      <c r="AB110" s="577"/>
      <c r="AC110" s="673"/>
      <c r="AD110" s="634"/>
      <c r="AE110" s="606"/>
      <c r="AF110" s="606"/>
      <c r="AG110" s="623">
        <v>-2498.0</v>
      </c>
      <c r="AH110" s="582"/>
      <c r="AI110" s="582"/>
      <c r="AJ110" s="582"/>
      <c r="AK110" s="588"/>
      <c r="AL110" s="582"/>
      <c r="AM110" s="582"/>
      <c r="AN110" s="607"/>
      <c r="AO110" s="616"/>
      <c r="AP110" s="592"/>
      <c r="AQ110" s="358"/>
      <c r="AR110" s="592"/>
      <c r="AS110" s="592"/>
      <c r="AT110" s="592"/>
      <c r="AU110" s="592"/>
      <c r="AV110" s="592"/>
      <c r="AW110" s="592"/>
      <c r="AX110" s="592"/>
      <c r="AY110" s="592"/>
      <c r="AZ110" s="592"/>
      <c r="BA110" s="617"/>
      <c r="BB110" s="591">
        <v>776.78198</v>
      </c>
      <c r="BC110" s="592"/>
      <c r="BD110" s="592"/>
      <c r="BE110" s="592"/>
      <c r="BF110" s="592"/>
      <c r="BG110" s="358"/>
      <c r="BH110" s="358"/>
      <c r="BI110" s="358"/>
      <c r="BJ110" s="592"/>
      <c r="BK110" s="592"/>
      <c r="BL110" s="592"/>
      <c r="BM110" s="592"/>
      <c r="BN110" s="592"/>
      <c r="BO110" s="592"/>
      <c r="BP110" s="592"/>
      <c r="BQ110" s="594"/>
      <c r="BR110" s="594"/>
      <c r="BS110" s="394"/>
      <c r="BT110" s="594"/>
      <c r="BU110" s="594"/>
      <c r="BV110" s="594"/>
      <c r="BW110" s="618"/>
      <c r="BX110" s="608"/>
      <c r="BY110" s="608"/>
    </row>
    <row r="111" ht="25.5" customHeight="1">
      <c r="A111" s="635"/>
      <c r="B111" s="572">
        <v>45358.458333333336</v>
      </c>
      <c r="C111" s="573"/>
      <c r="D111" s="573"/>
      <c r="E111" s="574" t="s">
        <v>231</v>
      </c>
      <c r="F111" s="620"/>
      <c r="G111" s="621"/>
      <c r="H111" s="577"/>
      <c r="I111" s="577"/>
      <c r="J111" s="604"/>
      <c r="K111" s="581"/>
      <c r="L111" s="581"/>
      <c r="M111" s="604"/>
      <c r="N111" s="613"/>
      <c r="O111" s="613"/>
      <c r="P111" s="580"/>
      <c r="Q111" s="580"/>
      <c r="R111" s="581"/>
      <c r="S111" s="581"/>
      <c r="T111" s="581"/>
      <c r="U111" s="623"/>
      <c r="V111" s="614"/>
      <c r="W111" s="581"/>
      <c r="X111" s="615"/>
      <c r="Y111" s="613"/>
      <c r="Z111" s="580"/>
      <c r="AA111" s="634"/>
      <c r="AB111" s="577"/>
      <c r="AC111" s="673"/>
      <c r="AD111" s="634"/>
      <c r="AE111" s="606"/>
      <c r="AF111" s="606"/>
      <c r="AG111" s="582"/>
      <c r="AH111" s="623">
        <v>-5000.0</v>
      </c>
      <c r="AI111" s="623">
        <v>-5000.0</v>
      </c>
      <c r="AJ111" s="582"/>
      <c r="AK111" s="588"/>
      <c r="AL111" s="582"/>
      <c r="AM111" s="582"/>
      <c r="AN111" s="607"/>
      <c r="AO111" s="616"/>
      <c r="AP111" s="592"/>
      <c r="AQ111" s="358"/>
      <c r="AR111" s="592"/>
      <c r="AS111" s="592"/>
      <c r="AT111" s="592"/>
      <c r="AU111" s="592"/>
      <c r="AV111" s="592"/>
      <c r="AW111" s="592"/>
      <c r="AX111" s="592"/>
      <c r="AY111" s="592"/>
      <c r="AZ111" s="592"/>
      <c r="BA111" s="617"/>
      <c r="BB111" s="592"/>
      <c r="BC111" s="591">
        <v>22727.27</v>
      </c>
      <c r="BD111" s="592"/>
      <c r="BE111" s="592"/>
      <c r="BF111" s="592"/>
      <c r="BG111" s="358"/>
      <c r="BH111" s="358"/>
      <c r="BI111" s="358"/>
      <c r="BJ111" s="592"/>
      <c r="BK111" s="592"/>
      <c r="BL111" s="592"/>
      <c r="BM111" s="592"/>
      <c r="BN111" s="592"/>
      <c r="BO111" s="592"/>
      <c r="BP111" s="592"/>
      <c r="BQ111" s="594"/>
      <c r="BR111" s="594"/>
      <c r="BS111" s="394"/>
      <c r="BT111" s="594"/>
      <c r="BU111" s="594"/>
      <c r="BV111" s="594"/>
      <c r="BW111" s="618"/>
      <c r="BX111" s="608"/>
      <c r="BY111" s="608"/>
      <c r="BZ111" s="53"/>
      <c r="CA111" s="53"/>
    </row>
    <row r="112" ht="25.5" customHeight="1">
      <c r="A112" s="613">
        <f>A100+M112</f>
        <v>0.786935987</v>
      </c>
      <c r="B112" s="572">
        <v>45358.47584783565</v>
      </c>
      <c r="C112" s="573"/>
      <c r="D112" s="573"/>
      <c r="E112" s="574" t="s">
        <v>241</v>
      </c>
      <c r="F112" s="620"/>
      <c r="G112" s="621"/>
      <c r="H112" s="577"/>
      <c r="I112" s="577"/>
      <c r="J112" s="604"/>
      <c r="K112" s="581"/>
      <c r="L112" s="581"/>
      <c r="M112" s="604">
        <v>-0.0037</v>
      </c>
      <c r="N112" s="613"/>
      <c r="O112" s="613"/>
      <c r="P112" s="580"/>
      <c r="Q112" s="580"/>
      <c r="R112" s="581"/>
      <c r="S112" s="581"/>
      <c r="T112" s="581"/>
      <c r="U112" s="582"/>
      <c r="V112" s="614"/>
      <c r="W112" s="581"/>
      <c r="X112" s="615"/>
      <c r="Y112" s="613"/>
      <c r="Z112" s="633"/>
      <c r="AA112" s="634"/>
      <c r="AB112" s="577"/>
      <c r="AC112" s="673"/>
      <c r="AD112" s="634"/>
      <c r="AE112" s="606"/>
      <c r="AF112" s="606"/>
      <c r="AG112" s="582"/>
      <c r="AH112" s="582"/>
      <c r="AI112" s="582"/>
      <c r="AJ112" s="582"/>
      <c r="AK112" s="588"/>
      <c r="AL112" s="582"/>
      <c r="AM112" s="582"/>
      <c r="AN112" s="607"/>
      <c r="AO112" s="616"/>
      <c r="AP112" s="592"/>
      <c r="AQ112" s="358"/>
      <c r="AR112" s="592"/>
      <c r="AS112" s="592"/>
      <c r="AT112" s="592"/>
      <c r="AU112" s="592"/>
      <c r="AV112" s="592"/>
      <c r="AW112" s="592"/>
      <c r="AX112" s="592"/>
      <c r="AY112" s="592"/>
      <c r="AZ112" s="592"/>
      <c r="BA112" s="617"/>
      <c r="BB112" s="592"/>
      <c r="BC112" s="592"/>
      <c r="BD112" s="592"/>
      <c r="BE112" s="592"/>
      <c r="BF112" s="592"/>
      <c r="BG112" s="358"/>
      <c r="BH112" s="358"/>
      <c r="BI112" s="358"/>
      <c r="BJ112" s="592"/>
      <c r="BK112" s="592"/>
      <c r="BL112" s="592"/>
      <c r="BM112" s="592"/>
      <c r="BN112" s="592"/>
      <c r="BO112" s="592"/>
      <c r="BP112" s="592"/>
      <c r="BQ112" s="594"/>
      <c r="BR112" s="594"/>
      <c r="BS112" s="394"/>
      <c r="BT112" s="594"/>
      <c r="BU112" s="594"/>
      <c r="BV112" s="594"/>
      <c r="BW112" s="618"/>
      <c r="BX112" s="608"/>
      <c r="BY112" s="608" t="s">
        <v>317</v>
      </c>
      <c r="BZ112" s="609" t="s">
        <v>318</v>
      </c>
      <c r="CA112" s="609" t="s">
        <v>319</v>
      </c>
    </row>
    <row r="113" ht="25.5" customHeight="1">
      <c r="A113" s="635"/>
      <c r="B113" s="572">
        <v>45358.47905819444</v>
      </c>
      <c r="C113" s="573"/>
      <c r="D113" s="573"/>
      <c r="E113" s="574" t="s">
        <v>218</v>
      </c>
      <c r="F113" s="620"/>
      <c r="G113" s="621"/>
      <c r="H113" s="577"/>
      <c r="I113" s="577"/>
      <c r="J113" s="613"/>
      <c r="K113" s="581"/>
      <c r="L113" s="581"/>
      <c r="M113" s="613"/>
      <c r="N113" s="613"/>
      <c r="O113" s="613"/>
      <c r="P113" s="580"/>
      <c r="Q113" s="580"/>
      <c r="R113" s="581"/>
      <c r="S113" s="581"/>
      <c r="T113" s="581"/>
      <c r="U113" s="623"/>
      <c r="V113" s="614"/>
      <c r="W113" s="581"/>
      <c r="X113" s="615"/>
      <c r="Y113" s="613"/>
      <c r="Z113" s="580"/>
      <c r="AA113" s="634"/>
      <c r="AB113" s="577"/>
      <c r="AC113" s="673"/>
      <c r="AD113" s="634"/>
      <c r="AE113" s="606">
        <v>-5001.0</v>
      </c>
      <c r="AF113" s="606"/>
      <c r="AG113" s="582"/>
      <c r="AH113" s="623">
        <v>5000.0</v>
      </c>
      <c r="AI113" s="623">
        <v>5000.0</v>
      </c>
      <c r="AJ113" s="582"/>
      <c r="AK113" s="588"/>
      <c r="AL113" s="582"/>
      <c r="AM113" s="582"/>
      <c r="AN113" s="589"/>
      <c r="AO113" s="616"/>
      <c r="AP113" s="591"/>
      <c r="AQ113" s="358"/>
      <c r="AR113" s="591"/>
      <c r="AS113" s="591"/>
      <c r="AT113" s="591"/>
      <c r="AU113" s="591"/>
      <c r="AV113" s="591"/>
      <c r="AW113" s="591"/>
      <c r="AX113" s="591"/>
      <c r="AY113" s="591"/>
      <c r="AZ113" s="591"/>
      <c r="BA113" s="617"/>
      <c r="BB113" s="591"/>
      <c r="BC113" s="591"/>
      <c r="BD113" s="591"/>
      <c r="BE113" s="591"/>
      <c r="BF113" s="591"/>
      <c r="BG113" s="358"/>
      <c r="BH113" s="358"/>
      <c r="BI113" s="358"/>
      <c r="BJ113" s="591"/>
      <c r="BK113" s="591"/>
      <c r="BL113" s="591"/>
      <c r="BM113" s="591"/>
      <c r="BN113" s="591"/>
      <c r="BO113" s="591"/>
      <c r="BP113" s="591"/>
      <c r="BQ113" s="624"/>
      <c r="BR113" s="624"/>
      <c r="BS113" s="394"/>
      <c r="BT113" s="624"/>
      <c r="BU113" s="624"/>
      <c r="BV113" s="624"/>
      <c r="BW113" s="618"/>
      <c r="BX113" s="608"/>
      <c r="BY113" s="608"/>
    </row>
    <row r="114" ht="25.5" customHeight="1">
      <c r="A114" s="635"/>
      <c r="B114" s="572">
        <v>45358.48819444444</v>
      </c>
      <c r="C114" s="573"/>
      <c r="D114" s="573"/>
      <c r="E114" s="574" t="s">
        <v>231</v>
      </c>
      <c r="F114" s="620"/>
      <c r="G114" s="621"/>
      <c r="H114" s="577"/>
      <c r="I114" s="577"/>
      <c r="J114" s="613"/>
      <c r="K114" s="581"/>
      <c r="L114" s="581"/>
      <c r="M114" s="613"/>
      <c r="N114" s="613"/>
      <c r="O114" s="613"/>
      <c r="P114" s="580"/>
      <c r="Q114" s="580"/>
      <c r="R114" s="581"/>
      <c r="S114" s="581"/>
      <c r="T114" s="581"/>
      <c r="U114" s="582"/>
      <c r="V114" s="614"/>
      <c r="W114" s="581"/>
      <c r="X114" s="615"/>
      <c r="Y114" s="613"/>
      <c r="Z114" s="580"/>
      <c r="AA114" s="634"/>
      <c r="AB114" s="577"/>
      <c r="AC114" s="673"/>
      <c r="AD114" s="634"/>
      <c r="AE114" s="587"/>
      <c r="AF114" s="587"/>
      <c r="AG114" s="582"/>
      <c r="AH114" s="582"/>
      <c r="AI114" s="582"/>
      <c r="AJ114" s="582"/>
      <c r="AK114" s="588"/>
      <c r="AL114" s="623">
        <v>-2498.0</v>
      </c>
      <c r="AM114" s="623"/>
      <c r="AN114" s="589"/>
      <c r="AO114" s="616"/>
      <c r="AP114" s="592"/>
      <c r="AQ114" s="358"/>
      <c r="AR114" s="592"/>
      <c r="AS114" s="592"/>
      <c r="AT114" s="592"/>
      <c r="AU114" s="592"/>
      <c r="AV114" s="592"/>
      <c r="AW114" s="592"/>
      <c r="AX114" s="592"/>
      <c r="AY114" s="592"/>
      <c r="AZ114" s="592"/>
      <c r="BA114" s="617"/>
      <c r="BB114" s="592"/>
      <c r="BC114" s="592"/>
      <c r="BD114" s="592"/>
      <c r="BE114" s="591"/>
      <c r="BF114" s="591"/>
      <c r="BG114" s="358"/>
      <c r="BH114" s="358"/>
      <c r="BI114" s="358"/>
      <c r="BJ114" s="591"/>
      <c r="BK114" s="591">
        <v>923.0</v>
      </c>
      <c r="BL114" s="592"/>
      <c r="BM114" s="592"/>
      <c r="BN114" s="592"/>
      <c r="BO114" s="592"/>
      <c r="BP114" s="592"/>
      <c r="BQ114" s="594"/>
      <c r="BR114" s="594"/>
      <c r="BS114" s="394"/>
      <c r="BT114" s="594"/>
      <c r="BU114" s="594"/>
      <c r="BV114" s="594"/>
      <c r="BW114" s="618"/>
      <c r="BX114" s="608"/>
      <c r="BY114" s="608"/>
    </row>
    <row r="115" ht="25.5" customHeight="1">
      <c r="A115" s="635"/>
      <c r="B115" s="572">
        <v>45358.52638888889</v>
      </c>
      <c r="C115" s="642"/>
      <c r="D115" s="642"/>
      <c r="E115" s="574" t="s">
        <v>231</v>
      </c>
      <c r="F115" s="620"/>
      <c r="G115" s="621"/>
      <c r="H115" s="577"/>
      <c r="I115" s="577"/>
      <c r="J115" s="613"/>
      <c r="K115" s="581"/>
      <c r="L115" s="581"/>
      <c r="M115" s="613"/>
      <c r="N115" s="613"/>
      <c r="O115" s="613"/>
      <c r="P115" s="580"/>
      <c r="Q115" s="580"/>
      <c r="R115" s="581"/>
      <c r="S115" s="581"/>
      <c r="T115" s="581"/>
      <c r="U115" s="582"/>
      <c r="V115" s="614"/>
      <c r="W115" s="581"/>
      <c r="X115" s="615"/>
      <c r="Y115" s="613"/>
      <c r="Z115" s="580"/>
      <c r="AA115" s="634"/>
      <c r="AB115" s="577"/>
      <c r="AC115" s="673"/>
      <c r="AD115" s="634"/>
      <c r="AE115" s="587"/>
      <c r="AF115" s="587"/>
      <c r="AG115" s="582"/>
      <c r="AH115" s="582"/>
      <c r="AI115" s="582"/>
      <c r="AJ115" s="582"/>
      <c r="AK115" s="588"/>
      <c r="AL115" s="623">
        <v>-2498.38</v>
      </c>
      <c r="AM115" s="623"/>
      <c r="AN115" s="589"/>
      <c r="AO115" s="616"/>
      <c r="AP115" s="592"/>
      <c r="AQ115" s="358"/>
      <c r="AR115" s="592"/>
      <c r="AS115" s="592"/>
      <c r="AT115" s="592"/>
      <c r="AU115" s="592"/>
      <c r="AV115" s="592"/>
      <c r="AW115" s="592"/>
      <c r="AX115" s="592"/>
      <c r="AY115" s="592"/>
      <c r="AZ115" s="592"/>
      <c r="BA115" s="617"/>
      <c r="BB115" s="592"/>
      <c r="BC115" s="592"/>
      <c r="BD115" s="592"/>
      <c r="BE115" s="591"/>
      <c r="BF115" s="591"/>
      <c r="BG115" s="358"/>
      <c r="BH115" s="358"/>
      <c r="BI115" s="358"/>
      <c r="BJ115" s="591"/>
      <c r="BK115" s="591">
        <v>955.0</v>
      </c>
      <c r="BL115" s="592"/>
      <c r="BM115" s="592"/>
      <c r="BN115" s="592"/>
      <c r="BO115" s="592"/>
      <c r="BP115" s="592"/>
      <c r="BQ115" s="594"/>
      <c r="BR115" s="594"/>
      <c r="BS115" s="394"/>
      <c r="BT115" s="594"/>
      <c r="BU115" s="594"/>
      <c r="BV115" s="594"/>
      <c r="BW115" s="618"/>
      <c r="BX115" s="644"/>
      <c r="BY115" s="644"/>
    </row>
    <row r="116" ht="25.5" customHeight="1">
      <c r="A116" s="635"/>
      <c r="B116" s="572">
        <v>45358.54236111111</v>
      </c>
      <c r="C116" s="642"/>
      <c r="D116" s="642"/>
      <c r="E116" s="574" t="s">
        <v>231</v>
      </c>
      <c r="F116" s="620"/>
      <c r="G116" s="621"/>
      <c r="H116" s="577"/>
      <c r="I116" s="577"/>
      <c r="J116" s="613"/>
      <c r="K116" s="581"/>
      <c r="L116" s="581"/>
      <c r="M116" s="613"/>
      <c r="N116" s="613"/>
      <c r="O116" s="613"/>
      <c r="P116" s="580"/>
      <c r="Q116" s="580"/>
      <c r="R116" s="581"/>
      <c r="S116" s="581"/>
      <c r="T116" s="581"/>
      <c r="U116" s="623"/>
      <c r="V116" s="614"/>
      <c r="W116" s="581"/>
      <c r="X116" s="615"/>
      <c r="Y116" s="613"/>
      <c r="Z116" s="580"/>
      <c r="AA116" s="634"/>
      <c r="AB116" s="577"/>
      <c r="AC116" s="673"/>
      <c r="AD116" s="634"/>
      <c r="AE116" s="587"/>
      <c r="AF116" s="587"/>
      <c r="AG116" s="582"/>
      <c r="AH116" s="623">
        <v>-5000.0</v>
      </c>
      <c r="AI116" s="623">
        <v>-5000.0</v>
      </c>
      <c r="AJ116" s="582"/>
      <c r="AK116" s="588"/>
      <c r="AL116" s="582"/>
      <c r="AM116" s="582"/>
      <c r="AN116" s="589"/>
      <c r="AO116" s="616"/>
      <c r="AP116" s="592"/>
      <c r="AQ116" s="358"/>
      <c r="AR116" s="592"/>
      <c r="AS116" s="592"/>
      <c r="AT116" s="592"/>
      <c r="AU116" s="592"/>
      <c r="AV116" s="592"/>
      <c r="AW116" s="592"/>
      <c r="AX116" s="592"/>
      <c r="AY116" s="592"/>
      <c r="AZ116" s="592"/>
      <c r="BA116" s="617"/>
      <c r="BB116" s="592"/>
      <c r="BC116" s="592">
        <v>23451.88</v>
      </c>
      <c r="BD116" s="592"/>
      <c r="BE116" s="592"/>
      <c r="BF116" s="592"/>
      <c r="BG116" s="358"/>
      <c r="BH116" s="358"/>
      <c r="BI116" s="358"/>
      <c r="BJ116" s="592"/>
      <c r="BK116" s="592"/>
      <c r="BL116" s="592"/>
      <c r="BM116" s="592"/>
      <c r="BN116" s="592"/>
      <c r="BO116" s="592"/>
      <c r="BP116" s="592"/>
      <c r="BQ116" s="594"/>
      <c r="BR116" s="594"/>
      <c r="BS116" s="394"/>
      <c r="BT116" s="594"/>
      <c r="BU116" s="594"/>
      <c r="BV116" s="594"/>
      <c r="BW116" s="618"/>
      <c r="BX116" s="644"/>
      <c r="BY116" s="644"/>
    </row>
    <row r="117" ht="25.5" customHeight="1">
      <c r="A117" s="635"/>
      <c r="B117" s="572">
        <v>45358.55615071759</v>
      </c>
      <c r="C117" s="642"/>
      <c r="D117" s="642"/>
      <c r="E117" s="574" t="s">
        <v>218</v>
      </c>
      <c r="F117" s="200"/>
      <c r="G117" s="621"/>
      <c r="H117" s="622"/>
      <c r="I117" s="622"/>
      <c r="J117" s="613"/>
      <c r="K117" s="579"/>
      <c r="L117" s="579"/>
      <c r="M117" s="613"/>
      <c r="N117" s="613"/>
      <c r="O117" s="613"/>
      <c r="P117" s="580"/>
      <c r="Q117" s="580"/>
      <c r="R117" s="579">
        <v>1000.0</v>
      </c>
      <c r="S117" s="579"/>
      <c r="T117" s="581"/>
      <c r="U117" s="623"/>
      <c r="V117" s="614"/>
      <c r="W117" s="581"/>
      <c r="X117" s="615"/>
      <c r="Y117" s="613"/>
      <c r="Z117" s="580"/>
      <c r="AA117" s="634"/>
      <c r="AB117" s="622"/>
      <c r="AC117" s="673"/>
      <c r="AD117" s="634"/>
      <c r="AE117" s="606">
        <v>-1001.0</v>
      </c>
      <c r="AF117" s="606"/>
      <c r="AG117" s="623"/>
      <c r="AH117" s="623"/>
      <c r="AI117" s="623"/>
      <c r="AJ117" s="623"/>
      <c r="AK117" s="588"/>
      <c r="AL117" s="623"/>
      <c r="AM117" s="623"/>
      <c r="AN117" s="589"/>
      <c r="AO117" s="616"/>
      <c r="AP117" s="591"/>
      <c r="AQ117" s="358"/>
      <c r="AR117" s="591"/>
      <c r="AS117" s="591"/>
      <c r="AT117" s="591"/>
      <c r="AU117" s="591"/>
      <c r="AV117" s="591"/>
      <c r="AW117" s="591"/>
      <c r="AX117" s="591"/>
      <c r="AY117" s="591"/>
      <c r="AZ117" s="591"/>
      <c r="BA117" s="617"/>
      <c r="BB117" s="591"/>
      <c r="BC117" s="591"/>
      <c r="BD117" s="591"/>
      <c r="BE117" s="591"/>
      <c r="BF117" s="591"/>
      <c r="BG117" s="358"/>
      <c r="BH117" s="358"/>
      <c r="BI117" s="358"/>
      <c r="BJ117" s="591"/>
      <c r="BK117" s="591"/>
      <c r="BL117" s="591"/>
      <c r="BM117" s="591"/>
      <c r="BN117" s="591"/>
      <c r="BO117" s="591"/>
      <c r="BP117" s="591"/>
      <c r="BQ117" s="624"/>
      <c r="BR117" s="624"/>
      <c r="BS117" s="394"/>
      <c r="BT117" s="624"/>
      <c r="BU117" s="624"/>
      <c r="BV117" s="624"/>
      <c r="BW117" s="618"/>
      <c r="BX117" s="608"/>
      <c r="BY117" s="608"/>
      <c r="BZ117" s="609" t="s">
        <v>320</v>
      </c>
    </row>
    <row r="118" ht="25.5" customHeight="1">
      <c r="A118" s="635"/>
      <c r="B118" s="572">
        <v>45358.56458348379</v>
      </c>
      <c r="C118" s="642"/>
      <c r="D118" s="642"/>
      <c r="E118" s="574" t="s">
        <v>241</v>
      </c>
      <c r="F118" s="200"/>
      <c r="G118" s="621"/>
      <c r="H118" s="622"/>
      <c r="I118" s="622"/>
      <c r="J118" s="613"/>
      <c r="K118" s="579"/>
      <c r="L118" s="579"/>
      <c r="M118" s="613"/>
      <c r="N118" s="613"/>
      <c r="O118" s="613"/>
      <c r="P118" s="580"/>
      <c r="Q118" s="580"/>
      <c r="R118" s="579">
        <v>-1000.0</v>
      </c>
      <c r="S118" s="579"/>
      <c r="T118" s="581"/>
      <c r="U118" s="623"/>
      <c r="V118" s="614"/>
      <c r="W118" s="581"/>
      <c r="X118" s="615"/>
      <c r="Y118" s="613"/>
      <c r="Z118" s="580"/>
      <c r="AA118" s="634"/>
      <c r="AB118" s="622"/>
      <c r="AC118" s="673"/>
      <c r="AD118" s="634"/>
      <c r="AE118" s="587"/>
      <c r="AF118" s="587"/>
      <c r="AG118" s="623"/>
      <c r="AH118" s="623"/>
      <c r="AI118" s="623"/>
      <c r="AJ118" s="623"/>
      <c r="AK118" s="588"/>
      <c r="AL118" s="623"/>
      <c r="AM118" s="623"/>
      <c r="AN118" s="589"/>
      <c r="AO118" s="616"/>
      <c r="AP118" s="591"/>
      <c r="AQ118" s="358"/>
      <c r="AR118" s="591"/>
      <c r="AS118" s="591"/>
      <c r="AT118" s="591"/>
      <c r="AU118" s="591"/>
      <c r="AV118" s="591"/>
      <c r="AW118" s="591"/>
      <c r="AX118" s="591"/>
      <c r="AY118" s="591"/>
      <c r="AZ118" s="591"/>
      <c r="BA118" s="617"/>
      <c r="BB118" s="591"/>
      <c r="BC118" s="591"/>
      <c r="BD118" s="591"/>
      <c r="BE118" s="591"/>
      <c r="BF118" s="591"/>
      <c r="BG118" s="358"/>
      <c r="BH118" s="358"/>
      <c r="BI118" s="358"/>
      <c r="BJ118" s="591"/>
      <c r="BK118" s="591"/>
      <c r="BL118" s="591"/>
      <c r="BM118" s="591"/>
      <c r="BN118" s="591"/>
      <c r="BO118" s="591"/>
      <c r="BP118" s="591"/>
      <c r="BQ118" s="624"/>
      <c r="BR118" s="624"/>
      <c r="BS118" s="394"/>
      <c r="BT118" s="624"/>
      <c r="BU118" s="624"/>
      <c r="BV118" s="624"/>
      <c r="BW118" s="618"/>
      <c r="BX118" s="608">
        <v>1000.0</v>
      </c>
      <c r="BY118" s="608" t="s">
        <v>321</v>
      </c>
      <c r="BZ118" s="609" t="s">
        <v>322</v>
      </c>
    </row>
    <row r="119" ht="25.5" customHeight="1">
      <c r="A119" s="635"/>
      <c r="B119" s="572">
        <v>45358.634999305556</v>
      </c>
      <c r="C119" s="642"/>
      <c r="D119" s="642"/>
      <c r="E119" s="574" t="s">
        <v>231</v>
      </c>
      <c r="F119" s="612"/>
      <c r="G119" s="600"/>
      <c r="H119" s="622"/>
      <c r="I119" s="622"/>
      <c r="J119" s="613"/>
      <c r="K119" s="581"/>
      <c r="L119" s="581"/>
      <c r="M119" s="613"/>
      <c r="N119" s="613"/>
      <c r="O119" s="613"/>
      <c r="P119" s="580"/>
      <c r="Q119" s="580"/>
      <c r="R119" s="581"/>
      <c r="S119" s="581"/>
      <c r="T119" s="581"/>
      <c r="U119" s="623"/>
      <c r="V119" s="614"/>
      <c r="W119" s="581"/>
      <c r="X119" s="615"/>
      <c r="Y119" s="613"/>
      <c r="Z119" s="580"/>
      <c r="AA119" s="634"/>
      <c r="AB119" s="622"/>
      <c r="AC119" s="673"/>
      <c r="AD119" s="634"/>
      <c r="AE119" s="587"/>
      <c r="AF119" s="587"/>
      <c r="AG119" s="623"/>
      <c r="AH119" s="623"/>
      <c r="AI119" s="623"/>
      <c r="AJ119" s="623"/>
      <c r="AK119" s="588"/>
      <c r="AL119" s="623">
        <v>-2500.0</v>
      </c>
      <c r="AM119" s="623"/>
      <c r="AN119" s="589"/>
      <c r="AO119" s="616"/>
      <c r="AP119" s="591"/>
      <c r="AQ119" s="358"/>
      <c r="AR119" s="591"/>
      <c r="AS119" s="591"/>
      <c r="AT119" s="591"/>
      <c r="AU119" s="591"/>
      <c r="AV119" s="591"/>
      <c r="AW119" s="591"/>
      <c r="AX119" s="591"/>
      <c r="AY119" s="591"/>
      <c r="AZ119" s="591"/>
      <c r="BA119" s="617"/>
      <c r="BB119" s="591"/>
      <c r="BC119" s="591"/>
      <c r="BD119" s="591"/>
      <c r="BE119" s="591"/>
      <c r="BF119" s="591"/>
      <c r="BG119" s="358"/>
      <c r="BH119" s="358"/>
      <c r="BI119" s="358"/>
      <c r="BJ119" s="591"/>
      <c r="BK119" s="591"/>
      <c r="BL119" s="591"/>
      <c r="BM119" s="591"/>
      <c r="BN119" s="591"/>
      <c r="BO119" s="591"/>
      <c r="BP119" s="591"/>
      <c r="BQ119" s="624">
        <v>8.8778409E7</v>
      </c>
      <c r="BR119" s="624"/>
      <c r="BS119" s="394"/>
      <c r="BT119" s="624"/>
      <c r="BU119" s="624"/>
      <c r="BV119" s="624"/>
      <c r="BW119" s="618"/>
      <c r="BX119" s="608">
        <v>2500.0</v>
      </c>
      <c r="BY119" s="608" t="s">
        <v>212</v>
      </c>
    </row>
    <row r="120" ht="25.5" customHeight="1">
      <c r="A120" s="635"/>
      <c r="B120" s="572">
        <v>45358.65081020833</v>
      </c>
      <c r="C120" s="642"/>
      <c r="D120" s="642"/>
      <c r="E120" s="574" t="s">
        <v>231</v>
      </c>
      <c r="F120" s="620"/>
      <c r="G120" s="621"/>
      <c r="H120" s="577"/>
      <c r="I120" s="577"/>
      <c r="J120" s="613"/>
      <c r="K120" s="581"/>
      <c r="L120" s="581"/>
      <c r="M120" s="613"/>
      <c r="N120" s="613"/>
      <c r="O120" s="613"/>
      <c r="P120" s="580"/>
      <c r="Q120" s="580"/>
      <c r="R120" s="581"/>
      <c r="S120" s="581"/>
      <c r="T120" s="581"/>
      <c r="U120" s="582"/>
      <c r="V120" s="614"/>
      <c r="W120" s="581"/>
      <c r="X120" s="615"/>
      <c r="Y120" s="613"/>
      <c r="Z120" s="580"/>
      <c r="AA120" s="634"/>
      <c r="AB120" s="577"/>
      <c r="AC120" s="673"/>
      <c r="AD120" s="634"/>
      <c r="AE120" s="587"/>
      <c r="AF120" s="587"/>
      <c r="AG120" s="582"/>
      <c r="AH120" s="582"/>
      <c r="AI120" s="582"/>
      <c r="AJ120" s="582"/>
      <c r="AK120" s="588"/>
      <c r="AL120" s="623">
        <v>-2504.0</v>
      </c>
      <c r="AM120" s="623"/>
      <c r="AN120" s="589"/>
      <c r="AO120" s="616"/>
      <c r="AP120" s="592"/>
      <c r="AQ120" s="358"/>
      <c r="AR120" s="592"/>
      <c r="AS120" s="592"/>
      <c r="AT120" s="592"/>
      <c r="AU120" s="592"/>
      <c r="AV120" s="592"/>
      <c r="AW120" s="592"/>
      <c r="AX120" s="592"/>
      <c r="AY120" s="592"/>
      <c r="AZ120" s="592"/>
      <c r="BA120" s="617"/>
      <c r="BB120" s="592"/>
      <c r="BC120" s="592"/>
      <c r="BD120" s="592"/>
      <c r="BE120" s="592"/>
      <c r="BF120" s="592"/>
      <c r="BG120" s="358"/>
      <c r="BH120" s="358"/>
      <c r="BI120" s="358"/>
      <c r="BJ120" s="592"/>
      <c r="BK120" s="592"/>
      <c r="BL120" s="592"/>
      <c r="BM120" s="592"/>
      <c r="BN120" s="592"/>
      <c r="BO120" s="592"/>
      <c r="BP120" s="592"/>
      <c r="BQ120" s="594"/>
      <c r="BR120" s="594">
        <f>
61952</f>
        <v>61952</v>
      </c>
      <c r="BS120" s="394"/>
      <c r="BT120" s="594"/>
      <c r="BU120" s="594"/>
      <c r="BV120" s="594"/>
      <c r="BW120" s="618"/>
      <c r="BX120" s="608">
        <v>2500.0</v>
      </c>
      <c r="BY120" s="608" t="s">
        <v>213</v>
      </c>
    </row>
    <row r="121" ht="25.5" customHeight="1">
      <c r="A121" s="571"/>
      <c r="B121" s="572">
        <v>45358.65301491898</v>
      </c>
      <c r="C121" s="642"/>
      <c r="D121" s="642"/>
      <c r="E121" s="574" t="s">
        <v>218</v>
      </c>
      <c r="F121" s="620"/>
      <c r="G121" s="621"/>
      <c r="H121" s="577"/>
      <c r="I121" s="577"/>
      <c r="J121" s="613"/>
      <c r="K121" s="581"/>
      <c r="L121" s="581"/>
      <c r="M121" s="613"/>
      <c r="N121" s="613"/>
      <c r="O121" s="613"/>
      <c r="P121" s="580"/>
      <c r="Q121" s="580"/>
      <c r="R121" s="581"/>
      <c r="S121" s="581"/>
      <c r="T121" s="581"/>
      <c r="U121" s="582"/>
      <c r="V121" s="614"/>
      <c r="W121" s="581"/>
      <c r="X121" s="615"/>
      <c r="Y121" s="613"/>
      <c r="Z121" s="580"/>
      <c r="AA121" s="634"/>
      <c r="AB121" s="577"/>
      <c r="AC121" s="673"/>
      <c r="AD121" s="634"/>
      <c r="AE121" s="606">
        <v>-20001.0</v>
      </c>
      <c r="AF121" s="606"/>
      <c r="AG121" s="582"/>
      <c r="AH121" s="582"/>
      <c r="AI121" s="582"/>
      <c r="AJ121" s="582"/>
      <c r="AK121" s="588"/>
      <c r="AL121" s="623">
        <v>20000.0</v>
      </c>
      <c r="AM121" s="623"/>
      <c r="AN121" s="589"/>
      <c r="AO121" s="616"/>
      <c r="AP121" s="592"/>
      <c r="AQ121" s="358"/>
      <c r="AR121" s="592"/>
      <c r="AS121" s="592"/>
      <c r="AT121" s="592"/>
      <c r="AU121" s="592"/>
      <c r="AV121" s="592"/>
      <c r="AW121" s="592"/>
      <c r="AX121" s="592"/>
      <c r="AY121" s="592"/>
      <c r="AZ121" s="592"/>
      <c r="BA121" s="617"/>
      <c r="BB121" s="592"/>
      <c r="BC121" s="592"/>
      <c r="BD121" s="592"/>
      <c r="BE121" s="592"/>
      <c r="BF121" s="592"/>
      <c r="BG121" s="358"/>
      <c r="BH121" s="358"/>
      <c r="BI121" s="358"/>
      <c r="BJ121" s="592"/>
      <c r="BK121" s="592"/>
      <c r="BL121" s="592"/>
      <c r="BM121" s="592"/>
      <c r="BN121" s="592"/>
      <c r="BO121" s="592"/>
      <c r="BP121" s="592"/>
      <c r="BQ121" s="594"/>
      <c r="BR121" s="594"/>
      <c r="BS121" s="394"/>
      <c r="BT121" s="594"/>
      <c r="BU121" s="594"/>
      <c r="BV121" s="594"/>
      <c r="BW121" s="618"/>
      <c r="BX121" s="608"/>
      <c r="BY121" s="608"/>
    </row>
    <row r="122" ht="25.5" customHeight="1">
      <c r="A122" s="571"/>
      <c r="B122" s="572">
        <v>45358.657638888886</v>
      </c>
      <c r="C122" s="642"/>
      <c r="D122" s="642"/>
      <c r="E122" s="574" t="s">
        <v>231</v>
      </c>
      <c r="F122" s="620"/>
      <c r="G122" s="621"/>
      <c r="H122" s="577"/>
      <c r="I122" s="577"/>
      <c r="J122" s="613"/>
      <c r="K122" s="581"/>
      <c r="L122" s="581"/>
      <c r="M122" s="613"/>
      <c r="N122" s="613"/>
      <c r="O122" s="613"/>
      <c r="P122" s="580"/>
      <c r="Q122" s="580"/>
      <c r="R122" s="581"/>
      <c r="S122" s="581"/>
      <c r="T122" s="581"/>
      <c r="U122" s="582"/>
      <c r="V122" s="614"/>
      <c r="W122" s="581"/>
      <c r="X122" s="615"/>
      <c r="Y122" s="613"/>
      <c r="Z122" s="580"/>
      <c r="AA122" s="634"/>
      <c r="AB122" s="577"/>
      <c r="AC122" s="673"/>
      <c r="AD122" s="634"/>
      <c r="AE122" s="587"/>
      <c r="AF122" s="587"/>
      <c r="AG122" s="582"/>
      <c r="AH122" s="582"/>
      <c r="AI122" s="582"/>
      <c r="AJ122" s="582"/>
      <c r="AK122" s="588"/>
      <c r="AL122" s="623">
        <v>-1622.103</v>
      </c>
      <c r="AM122" s="623"/>
      <c r="AN122" s="589"/>
      <c r="AO122" s="616"/>
      <c r="AP122" s="592"/>
      <c r="AQ122" s="358"/>
      <c r="AR122" s="592"/>
      <c r="AS122" s="592"/>
      <c r="AT122" s="592"/>
      <c r="AU122" s="592"/>
      <c r="AV122" s="592"/>
      <c r="AW122" s="592"/>
      <c r="AX122" s="592"/>
      <c r="AY122" s="592"/>
      <c r="AZ122" s="592"/>
      <c r="BA122" s="617"/>
      <c r="BB122" s="592"/>
      <c r="BC122" s="592"/>
      <c r="BD122" s="592"/>
      <c r="BE122" s="592"/>
      <c r="BF122" s="592"/>
      <c r="BG122" s="358"/>
      <c r="BH122" s="358"/>
      <c r="BI122" s="358"/>
      <c r="BJ122" s="592"/>
      <c r="BK122" s="592"/>
      <c r="BL122" s="592"/>
      <c r="BM122" s="592"/>
      <c r="BN122" s="592"/>
      <c r="BO122" s="592"/>
      <c r="BP122" s="591">
        <v>2587.5</v>
      </c>
      <c r="BQ122" s="594"/>
      <c r="BR122" s="594"/>
      <c r="BS122" s="394"/>
      <c r="BT122" s="594"/>
      <c r="BU122" s="594"/>
      <c r="BV122" s="594"/>
      <c r="BW122" s="618"/>
      <c r="BX122" s="608"/>
      <c r="BY122" s="608"/>
    </row>
    <row r="123" ht="25.5" customHeight="1">
      <c r="A123" s="571"/>
      <c r="B123" s="572">
        <v>45358.66111111111</v>
      </c>
      <c r="C123" s="642"/>
      <c r="D123" s="642"/>
      <c r="E123" s="574" t="s">
        <v>231</v>
      </c>
      <c r="F123" s="620"/>
      <c r="G123" s="621"/>
      <c r="H123" s="577"/>
      <c r="I123" s="577"/>
      <c r="J123" s="613"/>
      <c r="K123" s="581"/>
      <c r="L123" s="581"/>
      <c r="M123" s="613"/>
      <c r="N123" s="613"/>
      <c r="O123" s="613"/>
      <c r="P123" s="580"/>
      <c r="Q123" s="580"/>
      <c r="R123" s="581"/>
      <c r="S123" s="581"/>
      <c r="T123" s="581"/>
      <c r="U123" s="582"/>
      <c r="V123" s="614"/>
      <c r="W123" s="581"/>
      <c r="X123" s="615"/>
      <c r="Y123" s="613"/>
      <c r="Z123" s="580"/>
      <c r="AA123" s="634"/>
      <c r="AB123" s="577"/>
      <c r="AC123" s="673"/>
      <c r="AD123" s="634"/>
      <c r="AE123" s="587"/>
      <c r="AF123" s="587"/>
      <c r="AG123" s="582"/>
      <c r="AH123" s="582"/>
      <c r="AI123" s="582"/>
      <c r="AJ123" s="582"/>
      <c r="AK123" s="588"/>
      <c r="AL123" s="623">
        <v>-5000.0</v>
      </c>
      <c r="AM123" s="623"/>
      <c r="AN123" s="589"/>
      <c r="AO123" s="616"/>
      <c r="AP123" s="592"/>
      <c r="AQ123" s="358"/>
      <c r="AR123" s="592"/>
      <c r="AS123" s="592"/>
      <c r="AT123" s="592"/>
      <c r="AU123" s="592"/>
      <c r="AV123" s="592"/>
      <c r="AW123" s="592"/>
      <c r="AX123" s="592"/>
      <c r="AY123" s="592"/>
      <c r="AZ123" s="592"/>
      <c r="BA123" s="617"/>
      <c r="BB123" s="592"/>
      <c r="BC123" s="592"/>
      <c r="BD123" s="592"/>
      <c r="BE123" s="592"/>
      <c r="BF123" s="592"/>
      <c r="BG123" s="358"/>
      <c r="BH123" s="358"/>
      <c r="BI123" s="358"/>
      <c r="BJ123" s="592"/>
      <c r="BK123" s="592"/>
      <c r="BL123" s="592"/>
      <c r="BM123" s="592"/>
      <c r="BN123" s="592"/>
      <c r="BO123" s="592"/>
      <c r="BP123" s="591">
        <v>7874.0</v>
      </c>
      <c r="BQ123" s="594"/>
      <c r="BR123" s="594"/>
      <c r="BS123" s="394"/>
      <c r="BT123" s="594"/>
      <c r="BU123" s="594"/>
      <c r="BV123" s="594"/>
      <c r="BW123" s="618"/>
      <c r="BX123" s="608">
        <v>2500.0</v>
      </c>
      <c r="BY123" s="608" t="s">
        <v>211</v>
      </c>
    </row>
    <row r="124" ht="25.5" customHeight="1">
      <c r="A124" s="571"/>
      <c r="B124" s="572">
        <v>45358.66388888889</v>
      </c>
      <c r="C124" s="642"/>
      <c r="D124" s="642"/>
      <c r="E124" s="574" t="s">
        <v>231</v>
      </c>
      <c r="F124" s="620"/>
      <c r="G124" s="621"/>
      <c r="H124" s="577"/>
      <c r="I124" s="577"/>
      <c r="J124" s="613"/>
      <c r="K124" s="581"/>
      <c r="L124" s="581"/>
      <c r="M124" s="613"/>
      <c r="N124" s="613"/>
      <c r="O124" s="613"/>
      <c r="P124" s="580"/>
      <c r="Q124" s="580"/>
      <c r="R124" s="581"/>
      <c r="S124" s="581"/>
      <c r="T124" s="581"/>
      <c r="U124" s="582"/>
      <c r="V124" s="614"/>
      <c r="W124" s="581"/>
      <c r="X124" s="615"/>
      <c r="Y124" s="613"/>
      <c r="Z124" s="580"/>
      <c r="AA124" s="634"/>
      <c r="AB124" s="577"/>
      <c r="AC124" s="673"/>
      <c r="AD124" s="634"/>
      <c r="AE124" s="587"/>
      <c r="AF124" s="587"/>
      <c r="AG124" s="582"/>
      <c r="AH124" s="582"/>
      <c r="AI124" s="582"/>
      <c r="AJ124" s="582"/>
      <c r="AK124" s="588"/>
      <c r="AL124" s="623">
        <v>-2500.0</v>
      </c>
      <c r="AM124" s="623"/>
      <c r="AN124" s="589"/>
      <c r="AO124" s="616"/>
      <c r="AP124" s="592"/>
      <c r="AQ124" s="358"/>
      <c r="AR124" s="592"/>
      <c r="AS124" s="592"/>
      <c r="AT124" s="592"/>
      <c r="AU124" s="592"/>
      <c r="AV124" s="592"/>
      <c r="AW124" s="592"/>
      <c r="AX124" s="592"/>
      <c r="AY124" s="592"/>
      <c r="AZ124" s="592"/>
      <c r="BA124" s="617"/>
      <c r="BB124" s="592"/>
      <c r="BC124" s="592"/>
      <c r="BD124" s="592"/>
      <c r="BE124" s="592"/>
      <c r="BF124" s="592"/>
      <c r="BG124" s="358"/>
      <c r="BH124" s="358"/>
      <c r="BI124" s="358"/>
      <c r="BJ124" s="592"/>
      <c r="BK124" s="592"/>
      <c r="BL124" s="592"/>
      <c r="BM124" s="592"/>
      <c r="BN124" s="592"/>
      <c r="BO124" s="592"/>
      <c r="BP124" s="592"/>
      <c r="BQ124" s="594"/>
      <c r="BR124" s="594"/>
      <c r="BS124" s="394"/>
      <c r="BT124" s="594"/>
      <c r="BU124" s="594"/>
      <c r="BV124" s="624">
        <v>1.8725189E7</v>
      </c>
      <c r="BW124" s="618"/>
      <c r="BX124" s="608">
        <v>2500.0</v>
      </c>
      <c r="BY124" s="608" t="s">
        <v>217</v>
      </c>
    </row>
    <row r="125" ht="25.5" customHeight="1">
      <c r="A125" s="635"/>
      <c r="B125" s="572">
        <v>45358.663194444445</v>
      </c>
      <c r="C125" s="675">
        <f>AL125/BU125</f>
        <v>-1.854709478</v>
      </c>
      <c r="D125" s="642"/>
      <c r="E125" s="574" t="s">
        <v>231</v>
      </c>
      <c r="F125" s="620"/>
      <c r="G125" s="621"/>
      <c r="H125" s="577"/>
      <c r="I125" s="577"/>
      <c r="J125" s="613"/>
      <c r="K125" s="581"/>
      <c r="L125" s="581"/>
      <c r="M125" s="613"/>
      <c r="N125" s="613"/>
      <c r="O125" s="613"/>
      <c r="P125" s="580"/>
      <c r="Q125" s="580"/>
      <c r="R125" s="581"/>
      <c r="S125" s="581"/>
      <c r="T125" s="581"/>
      <c r="U125" s="582"/>
      <c r="V125" s="614"/>
      <c r="W125" s="581"/>
      <c r="X125" s="615"/>
      <c r="Y125" s="613"/>
      <c r="Z125" s="580"/>
      <c r="AA125" s="634"/>
      <c r="AB125" s="577"/>
      <c r="AC125" s="673"/>
      <c r="AD125" s="634"/>
      <c r="AE125" s="587"/>
      <c r="AF125" s="587"/>
      <c r="AG125" s="582"/>
      <c r="AH125" s="582"/>
      <c r="AI125" s="582"/>
      <c r="AJ125" s="582"/>
      <c r="AK125" s="588"/>
      <c r="AL125" s="623">
        <v>-2500.0</v>
      </c>
      <c r="AM125" s="623"/>
      <c r="AN125" s="587"/>
      <c r="AO125" s="676"/>
      <c r="AP125" s="592"/>
      <c r="AQ125" s="358"/>
      <c r="AR125" s="592"/>
      <c r="AS125" s="592"/>
      <c r="AT125" s="592"/>
      <c r="AU125" s="592"/>
      <c r="AV125" s="592"/>
      <c r="AW125" s="592"/>
      <c r="AX125" s="592"/>
      <c r="AY125" s="592"/>
      <c r="AZ125" s="592"/>
      <c r="BA125" s="617"/>
      <c r="BB125" s="592"/>
      <c r="BC125" s="592"/>
      <c r="BD125" s="592"/>
      <c r="BE125" s="592"/>
      <c r="BF125" s="592"/>
      <c r="BG125" s="358"/>
      <c r="BH125" s="358"/>
      <c r="BI125" s="358"/>
      <c r="BJ125" s="592"/>
      <c r="BK125" s="592"/>
      <c r="BL125" s="592"/>
      <c r="BM125" s="592"/>
      <c r="BN125" s="592"/>
      <c r="BO125" s="592"/>
      <c r="BP125" s="592"/>
      <c r="BQ125" s="594"/>
      <c r="BR125" s="594"/>
      <c r="BS125" s="394"/>
      <c r="BT125" s="594"/>
      <c r="BU125" s="624">
        <v>1347.92</v>
      </c>
      <c r="BV125" s="594"/>
      <c r="BW125" s="618"/>
      <c r="BX125" s="608">
        <v>2500.0</v>
      </c>
      <c r="BY125" s="608" t="s">
        <v>216</v>
      </c>
    </row>
    <row r="126" ht="25.5" customHeight="1">
      <c r="A126" s="635"/>
      <c r="B126" s="572">
        <v>45358.82366903935</v>
      </c>
      <c r="C126" s="642"/>
      <c r="D126" s="642"/>
      <c r="E126" s="574" t="s">
        <v>231</v>
      </c>
      <c r="F126" s="620"/>
      <c r="G126" s="621"/>
      <c r="H126" s="577"/>
      <c r="I126" s="577"/>
      <c r="J126" s="613"/>
      <c r="K126" s="581"/>
      <c r="L126" s="581"/>
      <c r="M126" s="613"/>
      <c r="N126" s="613"/>
      <c r="O126" s="613"/>
      <c r="P126" s="580"/>
      <c r="Q126" s="580"/>
      <c r="R126" s="581"/>
      <c r="S126" s="581"/>
      <c r="T126" s="581"/>
      <c r="U126" s="582"/>
      <c r="V126" s="614"/>
      <c r="W126" s="581"/>
      <c r="X126" s="615"/>
      <c r="Y126" s="613"/>
      <c r="Z126" s="580"/>
      <c r="AA126" s="634"/>
      <c r="AB126" s="577"/>
      <c r="AC126" s="673"/>
      <c r="AD126" s="634"/>
      <c r="AE126" s="587"/>
      <c r="AF126" s="587"/>
      <c r="AG126" s="582"/>
      <c r="AH126" s="582"/>
      <c r="AI126" s="582"/>
      <c r="AJ126" s="582"/>
      <c r="AK126" s="588"/>
      <c r="AL126" s="582"/>
      <c r="AM126" s="582"/>
      <c r="AN126" s="589"/>
      <c r="AO126" s="616"/>
      <c r="AP126" s="592"/>
      <c r="AQ126" s="358"/>
      <c r="AR126" s="592"/>
      <c r="AS126" s="592"/>
      <c r="AT126" s="592"/>
      <c r="AU126" s="592"/>
      <c r="AV126" s="592">
        <f>-(108.6+72.4)</f>
        <v>-181</v>
      </c>
      <c r="AW126" s="591">
        <v>357.9727568</v>
      </c>
      <c r="AX126" s="591"/>
      <c r="AY126" s="592"/>
      <c r="AZ126" s="592"/>
      <c r="BA126" s="617"/>
      <c r="BB126" s="592"/>
      <c r="BC126" s="592"/>
      <c r="BD126" s="592"/>
      <c r="BE126" s="592"/>
      <c r="BF126" s="592"/>
      <c r="BG126" s="358"/>
      <c r="BH126" s="358"/>
      <c r="BI126" s="358"/>
      <c r="BJ126" s="592"/>
      <c r="BK126" s="592"/>
      <c r="BL126" s="592"/>
      <c r="BM126" s="592"/>
      <c r="BN126" s="592"/>
      <c r="BO126" s="592"/>
      <c r="BP126" s="592"/>
      <c r="BQ126" s="594"/>
      <c r="BR126" s="594"/>
      <c r="BS126" s="394"/>
      <c r="BT126" s="594"/>
      <c r="BU126" s="594"/>
      <c r="BV126" s="594"/>
      <c r="BW126" s="618"/>
      <c r="BX126" s="608">
        <v>2500.0</v>
      </c>
      <c r="BY126" s="644"/>
      <c r="BZ126" s="609" t="s">
        <v>323</v>
      </c>
    </row>
    <row r="127" ht="25.5" customHeight="1">
      <c r="A127" s="571"/>
      <c r="B127" s="572">
        <v>45359.647074872686</v>
      </c>
      <c r="C127" s="642"/>
      <c r="D127" s="642"/>
      <c r="E127" s="574" t="s">
        <v>231</v>
      </c>
      <c r="F127" s="620"/>
      <c r="G127" s="621"/>
      <c r="H127" s="577"/>
      <c r="I127" s="577"/>
      <c r="J127" s="613"/>
      <c r="K127" s="581"/>
      <c r="L127" s="581"/>
      <c r="M127" s="613"/>
      <c r="N127" s="613"/>
      <c r="O127" s="613"/>
      <c r="P127" s="580"/>
      <c r="Q127" s="580"/>
      <c r="R127" s="581"/>
      <c r="S127" s="581"/>
      <c r="T127" s="581"/>
      <c r="U127" s="582"/>
      <c r="V127" s="614"/>
      <c r="W127" s="581"/>
      <c r="X127" s="615"/>
      <c r="Y127" s="613"/>
      <c r="Z127" s="580"/>
      <c r="AA127" s="634"/>
      <c r="AB127" s="577"/>
      <c r="AC127" s="673"/>
      <c r="AD127" s="634"/>
      <c r="AE127" s="587"/>
      <c r="AF127" s="587"/>
      <c r="AG127" s="582"/>
      <c r="AH127" s="582"/>
      <c r="AI127" s="582"/>
      <c r="AJ127" s="582"/>
      <c r="AK127" s="588"/>
      <c r="AL127" s="623">
        <v>-5000.0</v>
      </c>
      <c r="AM127" s="623"/>
      <c r="AN127" s="589"/>
      <c r="AO127" s="616"/>
      <c r="AP127" s="592"/>
      <c r="AQ127" s="358"/>
      <c r="AR127" s="592"/>
      <c r="AS127" s="592"/>
      <c r="AT127" s="592"/>
      <c r="AU127" s="592"/>
      <c r="AV127" s="592"/>
      <c r="AW127" s="592"/>
      <c r="AX127" s="592"/>
      <c r="AY127" s="592"/>
      <c r="AZ127" s="592"/>
      <c r="BA127" s="617"/>
      <c r="BB127" s="592"/>
      <c r="BC127" s="592"/>
      <c r="BD127" s="592"/>
      <c r="BE127" s="592"/>
      <c r="BF127" s="592"/>
      <c r="BG127" s="358"/>
      <c r="BH127" s="358"/>
      <c r="BI127" s="358"/>
      <c r="BJ127" s="592"/>
      <c r="BK127" s="592"/>
      <c r="BL127" s="591">
        <v>5614.880799999999</v>
      </c>
      <c r="BM127" s="592"/>
      <c r="BN127" s="592"/>
      <c r="BO127" s="592"/>
      <c r="BP127" s="592"/>
      <c r="BQ127" s="594"/>
      <c r="BR127" s="594"/>
      <c r="BS127" s="394"/>
      <c r="BT127" s="594"/>
      <c r="BU127" s="594"/>
      <c r="BV127" s="594"/>
      <c r="BW127" s="618"/>
      <c r="BX127" s="608">
        <v>5000.0</v>
      </c>
      <c r="BY127" s="608"/>
    </row>
    <row r="128" ht="25.5" customHeight="1">
      <c r="A128" s="635"/>
      <c r="B128" s="572">
        <v>45359.652853067135</v>
      </c>
      <c r="C128" s="642"/>
      <c r="D128" s="642"/>
      <c r="E128" s="574" t="s">
        <v>231</v>
      </c>
      <c r="F128" s="620"/>
      <c r="G128" s="621"/>
      <c r="H128" s="577"/>
      <c r="I128" s="577"/>
      <c r="J128" s="613"/>
      <c r="K128" s="581"/>
      <c r="L128" s="581"/>
      <c r="M128" s="613"/>
      <c r="N128" s="613"/>
      <c r="O128" s="613"/>
      <c r="P128" s="580"/>
      <c r="Q128" s="580"/>
      <c r="R128" s="581"/>
      <c r="S128" s="581"/>
      <c r="T128" s="581"/>
      <c r="U128" s="582"/>
      <c r="V128" s="614"/>
      <c r="W128" s="581"/>
      <c r="X128" s="615"/>
      <c r="Y128" s="613"/>
      <c r="Z128" s="580"/>
      <c r="AA128" s="634"/>
      <c r="AB128" s="577"/>
      <c r="AC128" s="673"/>
      <c r="AD128" s="634"/>
      <c r="AE128" s="587"/>
      <c r="AF128" s="587"/>
      <c r="AG128" s="582"/>
      <c r="AH128" s="582"/>
      <c r="AI128" s="582"/>
      <c r="AJ128" s="582"/>
      <c r="AK128" s="588"/>
      <c r="AL128" s="623">
        <v>-2498.9</v>
      </c>
      <c r="AM128" s="623"/>
      <c r="AN128" s="589"/>
      <c r="AO128" s="616"/>
      <c r="AP128" s="592"/>
      <c r="AQ128" s="358"/>
      <c r="AR128" s="592"/>
      <c r="AS128" s="592"/>
      <c r="AT128" s="592"/>
      <c r="AU128" s="592"/>
      <c r="AV128" s="592"/>
      <c r="AW128" s="592"/>
      <c r="AX128" s="592"/>
      <c r="AY128" s="592"/>
      <c r="AZ128" s="592"/>
      <c r="BA128" s="617"/>
      <c r="BB128" s="592"/>
      <c r="BC128" s="592"/>
      <c r="BD128" s="592"/>
      <c r="BE128" s="592"/>
      <c r="BF128" s="592"/>
      <c r="BG128" s="358"/>
      <c r="BH128" s="358"/>
      <c r="BI128" s="358"/>
      <c r="BJ128" s="592"/>
      <c r="BK128" s="592">
        <v>982.1399999999999</v>
      </c>
      <c r="BL128" s="592"/>
      <c r="BM128" s="592"/>
      <c r="BN128" s="592"/>
      <c r="BO128" s="592"/>
      <c r="BP128" s="592"/>
      <c r="BQ128" s="594"/>
      <c r="BR128" s="594"/>
      <c r="BS128" s="394"/>
      <c r="BT128" s="594"/>
      <c r="BU128" s="594"/>
      <c r="BV128" s="594"/>
      <c r="BW128" s="618"/>
      <c r="BX128" s="608">
        <v>2500.0</v>
      </c>
      <c r="BY128" s="644"/>
      <c r="BZ128" s="677"/>
    </row>
    <row r="129" ht="25.5" customHeight="1">
      <c r="A129" s="635"/>
      <c r="B129" s="572">
        <v>45359.65700876157</v>
      </c>
      <c r="C129" s="642"/>
      <c r="D129" s="642"/>
      <c r="E129" s="574" t="s">
        <v>231</v>
      </c>
      <c r="F129" s="620"/>
      <c r="G129" s="621"/>
      <c r="H129" s="577"/>
      <c r="I129" s="577"/>
      <c r="J129" s="613"/>
      <c r="K129" s="581"/>
      <c r="L129" s="581"/>
      <c r="M129" s="613"/>
      <c r="N129" s="613"/>
      <c r="O129" s="613"/>
      <c r="P129" s="580"/>
      <c r="Q129" s="580"/>
      <c r="R129" s="581"/>
      <c r="S129" s="581"/>
      <c r="T129" s="581"/>
      <c r="U129" s="582"/>
      <c r="V129" s="614"/>
      <c r="W129" s="581"/>
      <c r="X129" s="615"/>
      <c r="Y129" s="613"/>
      <c r="Z129" s="580"/>
      <c r="AA129" s="634"/>
      <c r="AB129" s="577"/>
      <c r="AC129" s="673"/>
      <c r="AD129" s="634"/>
      <c r="AE129" s="587"/>
      <c r="AF129" s="587"/>
      <c r="AG129" s="582"/>
      <c r="AH129" s="582"/>
      <c r="AI129" s="582"/>
      <c r="AJ129" s="582"/>
      <c r="AK129" s="588"/>
      <c r="AL129" s="582"/>
      <c r="AM129" s="582"/>
      <c r="AN129" s="589"/>
      <c r="AO129" s="616"/>
      <c r="AP129" s="591"/>
      <c r="AQ129" s="358"/>
      <c r="AR129" s="591"/>
      <c r="AS129" s="591"/>
      <c r="AT129" s="591"/>
      <c r="AU129" s="592"/>
      <c r="AV129" s="591">
        <v>-188.0</v>
      </c>
      <c r="AW129" s="592"/>
      <c r="AX129" s="592"/>
      <c r="AY129" s="592"/>
      <c r="AZ129" s="591">
        <v>508.40136</v>
      </c>
      <c r="BA129" s="617"/>
      <c r="BB129" s="592"/>
      <c r="BC129" s="592"/>
      <c r="BD129" s="592"/>
      <c r="BE129" s="592"/>
      <c r="BF129" s="592"/>
      <c r="BG129" s="358"/>
      <c r="BH129" s="358"/>
      <c r="BI129" s="358"/>
      <c r="BJ129" s="592"/>
      <c r="BK129" s="592"/>
      <c r="BL129" s="592"/>
      <c r="BM129" s="592"/>
      <c r="BN129" s="592"/>
      <c r="BO129" s="592"/>
      <c r="BP129" s="592"/>
      <c r="BQ129" s="594"/>
      <c r="BR129" s="594"/>
      <c r="BS129" s="394"/>
      <c r="BT129" s="594"/>
      <c r="BU129" s="594"/>
      <c r="BV129" s="594"/>
      <c r="BW129" s="618"/>
      <c r="BX129" s="608">
        <v>2500.0</v>
      </c>
      <c r="BY129" s="644"/>
      <c r="BZ129" s="609" t="s">
        <v>324</v>
      </c>
    </row>
    <row r="130" ht="25.5" customHeight="1">
      <c r="A130" s="635"/>
      <c r="B130" s="572">
        <v>45359.67812383102</v>
      </c>
      <c r="C130" s="642"/>
      <c r="D130" s="642"/>
      <c r="E130" s="574" t="s">
        <v>218</v>
      </c>
      <c r="F130" s="612"/>
      <c r="G130" s="600"/>
      <c r="H130" s="577"/>
      <c r="I130" s="577"/>
      <c r="J130" s="613"/>
      <c r="K130" s="581"/>
      <c r="L130" s="581"/>
      <c r="M130" s="613"/>
      <c r="N130" s="613"/>
      <c r="O130" s="613"/>
      <c r="P130" s="580"/>
      <c r="Q130" s="580"/>
      <c r="R130" s="581"/>
      <c r="S130" s="581"/>
      <c r="T130" s="581"/>
      <c r="U130" s="582"/>
      <c r="V130" s="614"/>
      <c r="W130" s="581"/>
      <c r="X130" s="615"/>
      <c r="Y130" s="613"/>
      <c r="Z130" s="580"/>
      <c r="AA130" s="634"/>
      <c r="AB130" s="577"/>
      <c r="AC130" s="673"/>
      <c r="AD130" s="634"/>
      <c r="AE130" s="606">
        <v>-15231.437</v>
      </c>
      <c r="AF130" s="606"/>
      <c r="AG130" s="582"/>
      <c r="AH130" s="582"/>
      <c r="AI130" s="582"/>
      <c r="AJ130" s="582"/>
      <c r="AK130" s="588"/>
      <c r="AL130" s="623">
        <v>15230.44</v>
      </c>
      <c r="AM130" s="623"/>
      <c r="AN130" s="589"/>
      <c r="AO130" s="616"/>
      <c r="AP130" s="592"/>
      <c r="AQ130" s="358"/>
      <c r="AR130" s="592"/>
      <c r="AS130" s="592"/>
      <c r="AT130" s="592"/>
      <c r="AU130" s="592"/>
      <c r="AV130" s="592"/>
      <c r="AW130" s="592"/>
      <c r="AX130" s="592"/>
      <c r="AY130" s="592"/>
      <c r="AZ130" s="592"/>
      <c r="BA130" s="617"/>
      <c r="BB130" s="592"/>
      <c r="BC130" s="592"/>
      <c r="BD130" s="592"/>
      <c r="BE130" s="592"/>
      <c r="BF130" s="592"/>
      <c r="BG130" s="358"/>
      <c r="BH130" s="358"/>
      <c r="BI130" s="358"/>
      <c r="BJ130" s="592"/>
      <c r="BK130" s="592"/>
      <c r="BL130" s="592"/>
      <c r="BM130" s="592"/>
      <c r="BN130" s="592"/>
      <c r="BO130" s="592"/>
      <c r="BP130" s="592"/>
      <c r="BQ130" s="594"/>
      <c r="BR130" s="594"/>
      <c r="BS130" s="394"/>
      <c r="BT130" s="594"/>
      <c r="BU130" s="594"/>
      <c r="BV130" s="594"/>
      <c r="BW130" s="618"/>
      <c r="BX130" s="608"/>
      <c r="BY130" s="608"/>
    </row>
    <row r="131" ht="25.5" customHeight="1">
      <c r="A131" s="571"/>
      <c r="B131" s="572">
        <v>45359.69211805556</v>
      </c>
      <c r="C131" s="642"/>
      <c r="D131" s="642"/>
      <c r="E131" s="574" t="s">
        <v>231</v>
      </c>
      <c r="F131" s="620"/>
      <c r="G131" s="621"/>
      <c r="H131" s="577"/>
      <c r="I131" s="577"/>
      <c r="J131" s="613"/>
      <c r="K131" s="581"/>
      <c r="L131" s="581"/>
      <c r="M131" s="613"/>
      <c r="N131" s="613"/>
      <c r="O131" s="613"/>
      <c r="P131" s="580"/>
      <c r="Q131" s="580"/>
      <c r="R131" s="581"/>
      <c r="S131" s="581"/>
      <c r="T131" s="581"/>
      <c r="U131" s="582"/>
      <c r="V131" s="614"/>
      <c r="W131" s="581"/>
      <c r="X131" s="615"/>
      <c r="Y131" s="613"/>
      <c r="Z131" s="580"/>
      <c r="AA131" s="634"/>
      <c r="AB131" s="577"/>
      <c r="AC131" s="673"/>
      <c r="AD131" s="634"/>
      <c r="AE131" s="587"/>
      <c r="AF131" s="587"/>
      <c r="AG131" s="582"/>
      <c r="AH131" s="582"/>
      <c r="AI131" s="582"/>
      <c r="AJ131" s="582"/>
      <c r="AK131" s="588"/>
      <c r="AL131" s="623">
        <v>-2500.0</v>
      </c>
      <c r="AM131" s="623"/>
      <c r="AN131" s="589"/>
      <c r="AO131" s="616"/>
      <c r="AP131" s="592"/>
      <c r="AQ131" s="358"/>
      <c r="AR131" s="592"/>
      <c r="AS131" s="592"/>
      <c r="AT131" s="592"/>
      <c r="AU131" s="592"/>
      <c r="AV131" s="592"/>
      <c r="AW131" s="592"/>
      <c r="AX131" s="592"/>
      <c r="AY131" s="592"/>
      <c r="AZ131" s="592"/>
      <c r="BA131" s="617"/>
      <c r="BB131" s="592"/>
      <c r="BC131" s="592"/>
      <c r="BD131" s="592"/>
      <c r="BE131" s="592"/>
      <c r="BF131" s="592"/>
      <c r="BG131" s="358"/>
      <c r="BH131" s="358"/>
      <c r="BI131" s="358"/>
      <c r="BJ131" s="592"/>
      <c r="BK131" s="592"/>
      <c r="BL131" s="592"/>
      <c r="BM131" s="591">
        <v>597.08</v>
      </c>
      <c r="BN131" s="592"/>
      <c r="BO131" s="592"/>
      <c r="BP131" s="592"/>
      <c r="BQ131" s="594"/>
      <c r="BR131" s="594"/>
      <c r="BS131" s="394"/>
      <c r="BT131" s="594"/>
      <c r="BU131" s="594"/>
      <c r="BV131" s="594"/>
      <c r="BW131" s="618"/>
      <c r="BX131" s="608"/>
      <c r="BY131" s="608"/>
    </row>
    <row r="132" ht="25.5" customHeight="1">
      <c r="A132" s="635"/>
      <c r="B132" s="572">
        <v>45359.6962877662</v>
      </c>
      <c r="C132" s="642"/>
      <c r="D132" s="642"/>
      <c r="E132" s="574" t="s">
        <v>231</v>
      </c>
      <c r="F132" s="620"/>
      <c r="G132" s="621"/>
      <c r="H132" s="577"/>
      <c r="I132" s="577"/>
      <c r="J132" s="613"/>
      <c r="K132" s="581"/>
      <c r="L132" s="581"/>
      <c r="M132" s="613"/>
      <c r="N132" s="613"/>
      <c r="O132" s="613"/>
      <c r="P132" s="580"/>
      <c r="Q132" s="580"/>
      <c r="R132" s="581"/>
      <c r="S132" s="581"/>
      <c r="T132" s="581"/>
      <c r="U132" s="582"/>
      <c r="V132" s="614"/>
      <c r="W132" s="581"/>
      <c r="X132" s="615"/>
      <c r="Y132" s="613"/>
      <c r="Z132" s="580"/>
      <c r="AA132" s="634"/>
      <c r="AB132" s="577"/>
      <c r="AC132" s="673"/>
      <c r="AD132" s="634"/>
      <c r="AE132" s="587"/>
      <c r="AF132" s="587"/>
      <c r="AG132" s="582"/>
      <c r="AH132" s="582"/>
      <c r="AI132" s="582"/>
      <c r="AJ132" s="582"/>
      <c r="AK132" s="588"/>
      <c r="AL132" s="623">
        <v>-2500.0</v>
      </c>
      <c r="AM132" s="623"/>
      <c r="AN132" s="589"/>
      <c r="AO132" s="616"/>
      <c r="AP132" s="592"/>
      <c r="AQ132" s="358"/>
      <c r="AR132" s="592"/>
      <c r="AS132" s="592"/>
      <c r="AT132" s="592"/>
      <c r="AU132" s="592"/>
      <c r="AV132" s="592"/>
      <c r="AW132" s="592"/>
      <c r="AX132" s="592"/>
      <c r="AY132" s="592"/>
      <c r="AZ132" s="592"/>
      <c r="BA132" s="617"/>
      <c r="BB132" s="592"/>
      <c r="BC132" s="592"/>
      <c r="BD132" s="592"/>
      <c r="BE132" s="592"/>
      <c r="BF132" s="592"/>
      <c r="BG132" s="358"/>
      <c r="BH132" s="358"/>
      <c r="BI132" s="358"/>
      <c r="BJ132" s="592"/>
      <c r="BK132" s="592"/>
      <c r="BL132" s="592"/>
      <c r="BM132" s="592"/>
      <c r="BN132" s="592"/>
      <c r="BO132" s="591">
        <v>806.4</v>
      </c>
      <c r="BP132" s="592"/>
      <c r="BQ132" s="594"/>
      <c r="BR132" s="594"/>
      <c r="BS132" s="394"/>
      <c r="BT132" s="594"/>
      <c r="BU132" s="594"/>
      <c r="BV132" s="594"/>
      <c r="BW132" s="618"/>
      <c r="BX132" s="644"/>
      <c r="BY132" s="644"/>
    </row>
    <row r="133" ht="25.5" customHeight="1">
      <c r="A133" s="635"/>
      <c r="B133" s="572">
        <v>45359.6962877662</v>
      </c>
      <c r="C133" s="642"/>
      <c r="D133" s="642"/>
      <c r="E133" s="574" t="s">
        <v>231</v>
      </c>
      <c r="F133" s="620"/>
      <c r="G133" s="621"/>
      <c r="H133" s="577"/>
      <c r="I133" s="577"/>
      <c r="J133" s="613"/>
      <c r="K133" s="581"/>
      <c r="L133" s="581"/>
      <c r="M133" s="613"/>
      <c r="N133" s="613"/>
      <c r="O133" s="613"/>
      <c r="P133" s="580"/>
      <c r="Q133" s="580"/>
      <c r="R133" s="581"/>
      <c r="S133" s="581"/>
      <c r="T133" s="581"/>
      <c r="U133" s="582"/>
      <c r="V133" s="614"/>
      <c r="W133" s="581"/>
      <c r="X133" s="615"/>
      <c r="Y133" s="613"/>
      <c r="Z133" s="580"/>
      <c r="AA133" s="634"/>
      <c r="AB133" s="577"/>
      <c r="AC133" s="673"/>
      <c r="AD133" s="634"/>
      <c r="AE133" s="587"/>
      <c r="AF133" s="587"/>
      <c r="AG133" s="582"/>
      <c r="AH133" s="582"/>
      <c r="AI133" s="582"/>
      <c r="AJ133" s="582"/>
      <c r="AK133" s="588"/>
      <c r="AL133" s="582">
        <f>-389.672-2108.55448</f>
        <v>-2498.22648</v>
      </c>
      <c r="AM133" s="582"/>
      <c r="AN133" s="589"/>
      <c r="AO133" s="616"/>
      <c r="AP133" s="592"/>
      <c r="AQ133" s="358"/>
      <c r="AR133" s="592"/>
      <c r="AS133" s="592"/>
      <c r="AT133" s="592"/>
      <c r="AU133" s="592"/>
      <c r="AV133" s="592"/>
      <c r="AW133" s="592"/>
      <c r="AX133" s="592"/>
      <c r="AY133" s="592"/>
      <c r="AZ133" s="592"/>
      <c r="BA133" s="617"/>
      <c r="BB133" s="592"/>
      <c r="BC133" s="592"/>
      <c r="BD133" s="592"/>
      <c r="BE133" s="592"/>
      <c r="BF133" s="592"/>
      <c r="BG133" s="358"/>
      <c r="BH133" s="358"/>
      <c r="BI133" s="358"/>
      <c r="BJ133" s="592"/>
      <c r="BK133" s="592"/>
      <c r="BL133" s="592"/>
      <c r="BM133" s="592"/>
      <c r="BN133" s="592">
        <f>581.6+3123.6</f>
        <v>3705.2</v>
      </c>
      <c r="BO133" s="592"/>
      <c r="BP133" s="592"/>
      <c r="BQ133" s="594"/>
      <c r="BR133" s="594"/>
      <c r="BS133" s="394"/>
      <c r="BT133" s="594"/>
      <c r="BU133" s="594"/>
      <c r="BV133" s="594"/>
      <c r="BW133" s="618"/>
      <c r="BX133" s="644"/>
      <c r="BY133" s="644"/>
    </row>
    <row r="134" ht="25.5" customHeight="1">
      <c r="A134" s="635"/>
      <c r="B134" s="572">
        <v>45359.60047453704</v>
      </c>
      <c r="C134" s="642"/>
      <c r="D134" s="642"/>
      <c r="E134" s="574" t="s">
        <v>231</v>
      </c>
      <c r="F134" s="612"/>
      <c r="G134" s="621"/>
      <c r="H134" s="622"/>
      <c r="I134" s="622"/>
      <c r="J134" s="613"/>
      <c r="K134" s="581"/>
      <c r="L134" s="581"/>
      <c r="M134" s="613"/>
      <c r="N134" s="613"/>
      <c r="O134" s="613"/>
      <c r="P134" s="580"/>
      <c r="Q134" s="580"/>
      <c r="R134" s="581"/>
      <c r="S134" s="581"/>
      <c r="T134" s="581"/>
      <c r="U134" s="582"/>
      <c r="V134" s="614"/>
      <c r="W134" s="581"/>
      <c r="X134" s="615"/>
      <c r="Y134" s="613"/>
      <c r="Z134" s="580"/>
      <c r="AA134" s="634"/>
      <c r="AB134" s="577"/>
      <c r="AC134" s="673"/>
      <c r="AD134" s="634"/>
      <c r="AE134" s="587"/>
      <c r="AF134" s="587"/>
      <c r="AG134" s="582"/>
      <c r="AH134" s="582"/>
      <c r="AI134" s="582"/>
      <c r="AJ134" s="582"/>
      <c r="AK134" s="588"/>
      <c r="AL134" s="623">
        <v>-4999.44</v>
      </c>
      <c r="AM134" s="623"/>
      <c r="AN134" s="589"/>
      <c r="AO134" s="616"/>
      <c r="AP134" s="592"/>
      <c r="AQ134" s="358"/>
      <c r="AR134" s="592"/>
      <c r="AS134" s="592"/>
      <c r="AT134" s="592"/>
      <c r="AU134" s="592"/>
      <c r="AV134" s="592"/>
      <c r="AW134" s="592"/>
      <c r="AX134" s="592"/>
      <c r="AY134" s="592"/>
      <c r="AZ134" s="592"/>
      <c r="BA134" s="617"/>
      <c r="BB134" s="592"/>
      <c r="BC134" s="592"/>
      <c r="BD134" s="592"/>
      <c r="BE134" s="591"/>
      <c r="BF134" s="592"/>
      <c r="BG134" s="358"/>
      <c r="BH134" s="358"/>
      <c r="BI134" s="358"/>
      <c r="BJ134" s="591">
        <v>527.2</v>
      </c>
      <c r="BK134" s="592"/>
      <c r="BL134" s="592"/>
      <c r="BM134" s="592"/>
      <c r="BN134" s="592"/>
      <c r="BO134" s="592"/>
      <c r="BP134" s="592"/>
      <c r="BQ134" s="594"/>
      <c r="BR134" s="594"/>
      <c r="BS134" s="394"/>
      <c r="BT134" s="594"/>
      <c r="BU134" s="594"/>
      <c r="BV134" s="594"/>
      <c r="BW134" s="618"/>
      <c r="BX134" s="608"/>
      <c r="BY134" s="608"/>
      <c r="BZ134" s="53"/>
    </row>
    <row r="135" ht="25.5" customHeight="1">
      <c r="A135" s="635"/>
      <c r="B135" s="572">
        <v>45360.607424305555</v>
      </c>
      <c r="C135" s="642"/>
      <c r="D135" s="642"/>
      <c r="E135" s="574" t="s">
        <v>218</v>
      </c>
      <c r="F135" s="612">
        <v>-1.2680444</v>
      </c>
      <c r="G135" s="621"/>
      <c r="H135" s="622">
        <v>1.268</v>
      </c>
      <c r="I135" s="622"/>
      <c r="J135" s="613"/>
      <c r="K135" s="581"/>
      <c r="L135" s="581"/>
      <c r="M135" s="613"/>
      <c r="N135" s="613"/>
      <c r="O135" s="613"/>
      <c r="P135" s="580"/>
      <c r="Q135" s="580"/>
      <c r="R135" s="581"/>
      <c r="S135" s="581"/>
      <c r="T135" s="581"/>
      <c r="U135" s="582"/>
      <c r="V135" s="614"/>
      <c r="W135" s="581"/>
      <c r="X135" s="615"/>
      <c r="Y135" s="613"/>
      <c r="Z135" s="580"/>
      <c r="AA135" s="634"/>
      <c r="AB135" s="577"/>
      <c r="AC135" s="673"/>
      <c r="AD135" s="634"/>
      <c r="AE135" s="587"/>
      <c r="AF135" s="587"/>
      <c r="AG135" s="582"/>
      <c r="AH135" s="582"/>
      <c r="AI135" s="582"/>
      <c r="AJ135" s="582"/>
      <c r="AK135" s="588"/>
      <c r="AL135" s="582"/>
      <c r="AM135" s="582"/>
      <c r="AN135" s="589"/>
      <c r="AO135" s="616"/>
      <c r="AP135" s="592"/>
      <c r="AQ135" s="358"/>
      <c r="AR135" s="592"/>
      <c r="AS135" s="592"/>
      <c r="AT135" s="592"/>
      <c r="AU135" s="592"/>
      <c r="AV135" s="592"/>
      <c r="AW135" s="592"/>
      <c r="AX135" s="592"/>
      <c r="AY135" s="592"/>
      <c r="AZ135" s="592"/>
      <c r="BA135" s="617"/>
      <c r="BB135" s="592"/>
      <c r="BC135" s="592"/>
      <c r="BD135" s="592"/>
      <c r="BE135" s="592"/>
      <c r="BF135" s="592"/>
      <c r="BG135" s="358"/>
      <c r="BH135" s="358"/>
      <c r="BI135" s="358"/>
      <c r="BJ135" s="592"/>
      <c r="BK135" s="592"/>
      <c r="BL135" s="592"/>
      <c r="BM135" s="592"/>
      <c r="BN135" s="592"/>
      <c r="BO135" s="592"/>
      <c r="BP135" s="592"/>
      <c r="BQ135" s="594"/>
      <c r="BR135" s="594"/>
      <c r="BS135" s="394"/>
      <c r="BT135" s="594"/>
      <c r="BU135" s="594"/>
      <c r="BV135" s="594"/>
      <c r="BW135" s="618"/>
      <c r="BX135" s="608"/>
      <c r="BY135" s="608"/>
      <c r="BZ135" s="609" t="s">
        <v>325</v>
      </c>
    </row>
    <row r="136" ht="25.5" customHeight="1">
      <c r="A136" s="635"/>
      <c r="B136" s="572">
        <v>45360.6200349537</v>
      </c>
      <c r="C136" s="642"/>
      <c r="D136" s="642"/>
      <c r="E136" s="574" t="s">
        <v>231</v>
      </c>
      <c r="F136" s="620"/>
      <c r="G136" s="621"/>
      <c r="H136" s="622">
        <v>-0.16671</v>
      </c>
      <c r="I136" s="622"/>
      <c r="J136" s="613"/>
      <c r="K136" s="581"/>
      <c r="L136" s="581"/>
      <c r="M136" s="613"/>
      <c r="N136" s="613"/>
      <c r="O136" s="613"/>
      <c r="P136" s="580"/>
      <c r="Q136" s="580"/>
      <c r="R136" s="581"/>
      <c r="S136" s="581"/>
      <c r="T136" s="581"/>
      <c r="U136" s="623"/>
      <c r="V136" s="614"/>
      <c r="W136" s="581"/>
      <c r="X136" s="615"/>
      <c r="Y136" s="613"/>
      <c r="Z136" s="580"/>
      <c r="AA136" s="634"/>
      <c r="AB136" s="622"/>
      <c r="AC136" s="673"/>
      <c r="AD136" s="634"/>
      <c r="AE136" s="587"/>
      <c r="AF136" s="587"/>
      <c r="AG136" s="623"/>
      <c r="AH136" s="623"/>
      <c r="AI136" s="623"/>
      <c r="AJ136" s="623"/>
      <c r="AK136" s="588"/>
      <c r="AL136" s="623">
        <v>11379.0</v>
      </c>
      <c r="AM136" s="623"/>
      <c r="AN136" s="589"/>
      <c r="AO136" s="616"/>
      <c r="AP136" s="591"/>
      <c r="AQ136" s="358"/>
      <c r="AR136" s="591"/>
      <c r="AS136" s="591"/>
      <c r="AT136" s="591"/>
      <c r="AU136" s="591"/>
      <c r="AV136" s="591"/>
      <c r="AW136" s="591"/>
      <c r="AX136" s="591"/>
      <c r="AY136" s="591"/>
      <c r="AZ136" s="591"/>
      <c r="BA136" s="617"/>
      <c r="BB136" s="591"/>
      <c r="BC136" s="591"/>
      <c r="BD136" s="591"/>
      <c r="BE136" s="591"/>
      <c r="BF136" s="591"/>
      <c r="BG136" s="358"/>
      <c r="BH136" s="358"/>
      <c r="BI136" s="358"/>
      <c r="BJ136" s="591"/>
      <c r="BK136" s="591"/>
      <c r="BL136" s="591"/>
      <c r="BM136" s="591"/>
      <c r="BN136" s="591"/>
      <c r="BO136" s="591"/>
      <c r="BP136" s="591"/>
      <c r="BQ136" s="624"/>
      <c r="BR136" s="624"/>
      <c r="BS136" s="394"/>
      <c r="BT136" s="624"/>
      <c r="BU136" s="624"/>
      <c r="BV136" s="624"/>
      <c r="BW136" s="618"/>
      <c r="BX136" s="644"/>
      <c r="BY136" s="644"/>
    </row>
    <row r="137" ht="25.5" customHeight="1">
      <c r="A137" s="635"/>
      <c r="B137" s="572">
        <v>45360.62152777778</v>
      </c>
      <c r="C137" s="642"/>
      <c r="D137" s="642"/>
      <c r="E137" s="574" t="s">
        <v>218</v>
      </c>
      <c r="F137" s="620"/>
      <c r="G137" s="621"/>
      <c r="H137" s="622"/>
      <c r="I137" s="622"/>
      <c r="J137" s="613"/>
      <c r="K137" s="581"/>
      <c r="L137" s="581"/>
      <c r="M137" s="613"/>
      <c r="N137" s="613"/>
      <c r="O137" s="613"/>
      <c r="P137" s="580"/>
      <c r="Q137" s="580"/>
      <c r="R137" s="581"/>
      <c r="S137" s="581"/>
      <c r="T137" s="581"/>
      <c r="U137" s="623"/>
      <c r="V137" s="614"/>
      <c r="W137" s="581"/>
      <c r="X137" s="615"/>
      <c r="Y137" s="613"/>
      <c r="Z137" s="580"/>
      <c r="AA137" s="634"/>
      <c r="AB137" s="622"/>
      <c r="AC137" s="673"/>
      <c r="AD137" s="634"/>
      <c r="AE137" s="587"/>
      <c r="AF137" s="587"/>
      <c r="AG137" s="623"/>
      <c r="AH137" s="623"/>
      <c r="AI137" s="623">
        <v>10000.0</v>
      </c>
      <c r="AJ137" s="623"/>
      <c r="AK137" s="588"/>
      <c r="AL137" s="623">
        <v>-10001.0</v>
      </c>
      <c r="AM137" s="623"/>
      <c r="AN137" s="589"/>
      <c r="AO137" s="616"/>
      <c r="AP137" s="591"/>
      <c r="AQ137" s="358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617"/>
      <c r="BB137" s="591"/>
      <c r="BC137" s="591"/>
      <c r="BD137" s="591"/>
      <c r="BE137" s="591"/>
      <c r="BF137" s="591"/>
      <c r="BG137" s="358"/>
      <c r="BH137" s="358"/>
      <c r="BI137" s="358"/>
      <c r="BJ137" s="591"/>
      <c r="BK137" s="591"/>
      <c r="BL137" s="591"/>
      <c r="BM137" s="591"/>
      <c r="BN137" s="591"/>
      <c r="BO137" s="591"/>
      <c r="BP137" s="591"/>
      <c r="BQ137" s="624"/>
      <c r="BR137" s="624"/>
      <c r="BS137" s="394"/>
      <c r="BT137" s="624"/>
      <c r="BU137" s="624"/>
      <c r="BV137" s="624"/>
      <c r="BW137" s="618"/>
      <c r="BX137" s="644"/>
      <c r="BY137" s="644"/>
    </row>
    <row r="138" ht="25.5" customHeight="1">
      <c r="A138" s="571"/>
      <c r="B138" s="572">
        <v>45360.63634309028</v>
      </c>
      <c r="D138" s="642"/>
      <c r="E138" s="574" t="s">
        <v>231</v>
      </c>
      <c r="F138" s="620"/>
      <c r="G138" s="621"/>
      <c r="H138" s="577"/>
      <c r="I138" s="577"/>
      <c r="J138" s="613"/>
      <c r="K138" s="581"/>
      <c r="L138" s="581"/>
      <c r="M138" s="613"/>
      <c r="N138" s="613"/>
      <c r="O138" s="613"/>
      <c r="P138" s="580"/>
      <c r="Q138" s="580"/>
      <c r="R138" s="581"/>
      <c r="S138" s="581"/>
      <c r="T138" s="581"/>
      <c r="U138" s="623"/>
      <c r="V138" s="614"/>
      <c r="W138" s="581"/>
      <c r="X138" s="615"/>
      <c r="Y138" s="613"/>
      <c r="Z138" s="580"/>
      <c r="AA138" s="634"/>
      <c r="AB138" s="577"/>
      <c r="AC138" s="673"/>
      <c r="AD138" s="634"/>
      <c r="AE138" s="587"/>
      <c r="AF138" s="587"/>
      <c r="AG138" s="582"/>
      <c r="AH138" s="582"/>
      <c r="AI138" s="623">
        <v>-5005.0</v>
      </c>
      <c r="AJ138" s="582"/>
      <c r="AK138" s="588"/>
      <c r="AL138" s="582"/>
      <c r="AM138" s="582"/>
      <c r="AN138" s="589"/>
      <c r="AO138" s="616"/>
      <c r="AP138" s="592"/>
      <c r="AQ138" s="358"/>
      <c r="AR138" s="592"/>
      <c r="AS138" s="592"/>
      <c r="AT138" s="592"/>
      <c r="AU138" s="592"/>
      <c r="AV138" s="592"/>
      <c r="AW138" s="592"/>
      <c r="AX138" s="592"/>
      <c r="AY138" s="592"/>
      <c r="AZ138" s="592"/>
      <c r="BA138" s="617"/>
      <c r="BB138" s="592"/>
      <c r="BC138" s="592"/>
      <c r="BD138" s="592"/>
      <c r="BE138" s="678">
        <v>47.152</v>
      </c>
      <c r="BF138" s="592"/>
      <c r="BG138" s="358"/>
      <c r="BH138" s="358"/>
      <c r="BI138" s="358"/>
      <c r="BJ138" s="592"/>
      <c r="BK138" s="592"/>
      <c r="BL138" s="592"/>
      <c r="BM138" s="592"/>
      <c r="BN138" s="592"/>
      <c r="BO138" s="592"/>
      <c r="BP138" s="592"/>
      <c r="BQ138" s="594"/>
      <c r="BR138" s="594"/>
      <c r="BS138" s="394"/>
      <c r="BT138" s="594"/>
      <c r="BU138" s="594"/>
      <c r="BV138" s="594"/>
      <c r="BW138" s="618"/>
      <c r="BX138" s="608"/>
      <c r="BY138" s="608"/>
    </row>
    <row r="139" ht="25.5" customHeight="1">
      <c r="A139" s="635"/>
      <c r="B139" s="572">
        <v>45361.455555555556</v>
      </c>
      <c r="C139" s="642"/>
      <c r="D139" s="642"/>
      <c r="E139" s="574" t="s">
        <v>231</v>
      </c>
      <c r="F139" s="620"/>
      <c r="G139" s="621"/>
      <c r="H139" s="622"/>
      <c r="I139" s="622"/>
      <c r="J139" s="613"/>
      <c r="K139" s="581"/>
      <c r="L139" s="581"/>
      <c r="M139" s="613"/>
      <c r="N139" s="613"/>
      <c r="O139" s="613"/>
      <c r="P139" s="580"/>
      <c r="Q139" s="580"/>
      <c r="R139" s="581"/>
      <c r="S139" s="581"/>
      <c r="T139" s="581"/>
      <c r="U139" s="623"/>
      <c r="V139" s="614"/>
      <c r="W139" s="581"/>
      <c r="X139" s="615"/>
      <c r="Y139" s="613"/>
      <c r="Z139" s="580"/>
      <c r="AA139" s="634"/>
      <c r="AB139" s="622"/>
      <c r="AC139" s="673"/>
      <c r="AD139" s="634"/>
      <c r="AE139" s="587"/>
      <c r="AF139" s="587"/>
      <c r="AG139" s="623"/>
      <c r="AH139" s="623"/>
      <c r="AI139" s="623"/>
      <c r="AJ139" s="623"/>
      <c r="AK139" s="588"/>
      <c r="AL139" s="623">
        <v>-4988.77</v>
      </c>
      <c r="AM139" s="623"/>
      <c r="AN139" s="589"/>
      <c r="AO139" s="616"/>
      <c r="AP139" s="591"/>
      <c r="AQ139" s="358"/>
      <c r="AR139" s="591"/>
      <c r="AS139" s="591"/>
      <c r="AT139" s="591"/>
      <c r="AU139" s="591"/>
      <c r="AV139" s="591"/>
      <c r="AW139" s="591"/>
      <c r="AX139" s="591"/>
      <c r="AY139" s="591"/>
      <c r="AZ139" s="591"/>
      <c r="BA139" s="617"/>
      <c r="BB139" s="591"/>
      <c r="BC139" s="591"/>
      <c r="BD139" s="591"/>
      <c r="BE139" s="591"/>
      <c r="BF139" s="591"/>
      <c r="BG139" s="358"/>
      <c r="BH139" s="358"/>
      <c r="BI139" s="358"/>
      <c r="BJ139" s="591">
        <v>564.2076</v>
      </c>
      <c r="BK139" s="591"/>
      <c r="BL139" s="591"/>
      <c r="BM139" s="591"/>
      <c r="BN139" s="591"/>
      <c r="BO139" s="591"/>
      <c r="BP139" s="591"/>
      <c r="BQ139" s="624"/>
      <c r="BR139" s="624"/>
      <c r="BS139" s="394"/>
      <c r="BT139" s="624"/>
      <c r="BU139" s="624"/>
      <c r="BV139" s="624"/>
      <c r="BW139" s="618"/>
      <c r="BX139" s="608">
        <v>5000.0</v>
      </c>
      <c r="BY139" s="644"/>
    </row>
    <row r="140" ht="25.5" customHeight="1">
      <c r="A140" s="613">
        <f>A112+M140</f>
        <v>0.275114487</v>
      </c>
      <c r="B140" s="572">
        <v>45359.47584490741</v>
      </c>
      <c r="C140" s="642"/>
      <c r="D140" s="642"/>
      <c r="E140" s="574" t="s">
        <v>231</v>
      </c>
      <c r="F140" s="620"/>
      <c r="G140" s="621"/>
      <c r="H140" s="577"/>
      <c r="I140" s="577"/>
      <c r="J140" s="604"/>
      <c r="K140" s="581"/>
      <c r="L140" s="581"/>
      <c r="M140" s="604">
        <v>-0.5118215</v>
      </c>
      <c r="N140" s="613"/>
      <c r="O140" s="613"/>
      <c r="P140" s="580"/>
      <c r="Q140" s="580"/>
      <c r="R140" s="581"/>
      <c r="S140" s="581"/>
      <c r="T140" s="581"/>
      <c r="U140" s="582"/>
      <c r="V140" s="614"/>
      <c r="W140" s="581"/>
      <c r="X140" s="615"/>
      <c r="Y140" s="613"/>
      <c r="Z140" s="633"/>
      <c r="AA140" s="634"/>
      <c r="AB140" s="577"/>
      <c r="AC140" s="673"/>
      <c r="AD140" s="634"/>
      <c r="AE140" s="587"/>
      <c r="AF140" s="587"/>
      <c r="AG140" s="582"/>
      <c r="AH140" s="582"/>
      <c r="AI140" s="582"/>
      <c r="AJ140" s="582"/>
      <c r="AK140" s="588"/>
      <c r="AL140" s="582"/>
      <c r="AM140" s="582"/>
      <c r="AN140" s="589"/>
      <c r="AO140" s="616"/>
      <c r="AP140" s="592"/>
      <c r="AQ140" s="358"/>
      <c r="AR140" s="592"/>
      <c r="AS140" s="592"/>
      <c r="AT140" s="592"/>
      <c r="AU140" s="592"/>
      <c r="AV140" s="592"/>
      <c r="AW140" s="592"/>
      <c r="AX140" s="592"/>
      <c r="AY140" s="592"/>
      <c r="AZ140" s="592"/>
      <c r="BA140" s="617">
        <f>76688.42482
</f>
        <v>76688.42482</v>
      </c>
      <c r="BB140" s="592"/>
      <c r="BC140" s="592"/>
      <c r="BD140" s="592"/>
      <c r="BE140" s="592"/>
      <c r="BF140" s="592"/>
      <c r="BG140" s="358"/>
      <c r="BH140" s="358"/>
      <c r="BI140" s="358"/>
      <c r="BJ140" s="592"/>
      <c r="BK140" s="592"/>
      <c r="BL140" s="592"/>
      <c r="BM140" s="592"/>
      <c r="BN140" s="592"/>
      <c r="BO140" s="592"/>
      <c r="BP140" s="592"/>
      <c r="BQ140" s="594"/>
      <c r="BR140" s="594"/>
      <c r="BS140" s="394"/>
      <c r="BT140" s="594"/>
      <c r="BU140" s="594"/>
      <c r="BV140" s="594"/>
      <c r="BW140" s="618"/>
      <c r="BX140" s="608"/>
      <c r="BY140" s="608" t="s">
        <v>199</v>
      </c>
      <c r="BZ140" s="609" t="s">
        <v>326</v>
      </c>
    </row>
    <row r="141" ht="25.5" customHeight="1">
      <c r="A141" s="635"/>
      <c r="B141" s="572">
        <v>45361.63055555556</v>
      </c>
      <c r="C141" s="642"/>
      <c r="D141" s="642"/>
      <c r="E141" s="574" t="s">
        <v>327</v>
      </c>
      <c r="F141" s="620"/>
      <c r="G141" s="600">
        <v>0.00384616</v>
      </c>
      <c r="H141" s="577"/>
      <c r="I141" s="577"/>
      <c r="J141" s="613"/>
      <c r="K141" s="581"/>
      <c r="L141" s="581"/>
      <c r="M141" s="613"/>
      <c r="N141" s="613"/>
      <c r="O141" s="613"/>
      <c r="P141" s="580"/>
      <c r="Q141" s="580"/>
      <c r="R141" s="581"/>
      <c r="S141" s="581"/>
      <c r="T141" s="581"/>
      <c r="U141" s="582"/>
      <c r="V141" s="614"/>
      <c r="W141" s="581"/>
      <c r="X141" s="615"/>
      <c r="Y141" s="613"/>
      <c r="Z141" s="580"/>
      <c r="AA141" s="634"/>
      <c r="AB141" s="577"/>
      <c r="AC141" s="673"/>
      <c r="AD141" s="634"/>
      <c r="AE141" s="587"/>
      <c r="AF141" s="587"/>
      <c r="AG141" s="582"/>
      <c r="AH141" s="582"/>
      <c r="AI141" s="582"/>
      <c r="AJ141" s="582"/>
      <c r="AK141" s="588"/>
      <c r="AL141" s="582"/>
      <c r="AM141" s="582"/>
      <c r="AN141" s="589"/>
      <c r="AO141" s="616"/>
      <c r="AP141" s="592"/>
      <c r="AQ141" s="358"/>
      <c r="AR141" s="592"/>
      <c r="AS141" s="592"/>
      <c r="AT141" s="592"/>
      <c r="AU141" s="592"/>
      <c r="AV141" s="592"/>
      <c r="AW141" s="592"/>
      <c r="AX141" s="592"/>
      <c r="AY141" s="592"/>
      <c r="AZ141" s="592"/>
      <c r="BA141" s="617"/>
      <c r="BB141" s="592"/>
      <c r="BC141" s="592"/>
      <c r="BD141" s="592"/>
      <c r="BE141" s="592"/>
      <c r="BF141" s="592"/>
      <c r="BG141" s="358"/>
      <c r="BH141" s="358"/>
      <c r="BI141" s="358"/>
      <c r="BJ141" s="592"/>
      <c r="BK141" s="592"/>
      <c r="BL141" s="592"/>
      <c r="BM141" s="592"/>
      <c r="BN141" s="592"/>
      <c r="BO141" s="592"/>
      <c r="BP141" s="592"/>
      <c r="BQ141" s="594"/>
      <c r="BR141" s="594"/>
      <c r="BS141" s="394"/>
      <c r="BT141" s="594"/>
      <c r="BU141" s="594"/>
      <c r="BV141" s="594"/>
      <c r="BW141" s="618"/>
      <c r="BX141" s="644"/>
      <c r="BY141" s="608" t="s">
        <v>328</v>
      </c>
      <c r="BZ141" s="609" t="s">
        <v>329</v>
      </c>
    </row>
    <row r="142" ht="25.5" customHeight="1">
      <c r="A142" s="635"/>
      <c r="B142" s="572">
        <v>45361.67222222222</v>
      </c>
      <c r="C142" s="642"/>
      <c r="D142" s="642"/>
      <c r="E142" s="574" t="s">
        <v>327</v>
      </c>
      <c r="F142" s="620"/>
      <c r="G142" s="600">
        <v>0.00344816</v>
      </c>
      <c r="H142" s="622"/>
      <c r="I142" s="622"/>
      <c r="J142" s="613"/>
      <c r="K142" s="581"/>
      <c r="L142" s="581"/>
      <c r="M142" s="613"/>
      <c r="N142" s="613"/>
      <c r="O142" s="613"/>
      <c r="P142" s="580"/>
      <c r="Q142" s="580"/>
      <c r="R142" s="581"/>
      <c r="S142" s="581"/>
      <c r="T142" s="581"/>
      <c r="U142" s="623"/>
      <c r="V142" s="614"/>
      <c r="W142" s="581"/>
      <c r="X142" s="615"/>
      <c r="Y142" s="613"/>
      <c r="Z142" s="580"/>
      <c r="AA142" s="634"/>
      <c r="AB142" s="622"/>
      <c r="AC142" s="673"/>
      <c r="AD142" s="634"/>
      <c r="AE142" s="587"/>
      <c r="AF142" s="587"/>
      <c r="AG142" s="623"/>
      <c r="AH142" s="623"/>
      <c r="AI142" s="623"/>
      <c r="AJ142" s="623"/>
      <c r="AK142" s="588"/>
      <c r="AN142" s="589"/>
      <c r="AO142" s="616"/>
      <c r="AP142" s="591"/>
      <c r="AQ142" s="358"/>
      <c r="AR142" s="591"/>
      <c r="AS142" s="591"/>
      <c r="AT142" s="591"/>
      <c r="AU142" s="591"/>
      <c r="AV142" s="591"/>
      <c r="AW142" s="591"/>
      <c r="AX142" s="591"/>
      <c r="AY142" s="591"/>
      <c r="AZ142" s="591"/>
      <c r="BA142" s="617"/>
      <c r="BB142" s="591"/>
      <c r="BC142" s="591"/>
      <c r="BD142" s="591"/>
      <c r="BE142" s="591"/>
      <c r="BF142" s="591"/>
      <c r="BG142" s="358"/>
      <c r="BH142" s="358"/>
      <c r="BI142" s="358"/>
      <c r="BJ142" s="591"/>
      <c r="BK142" s="591"/>
      <c r="BL142" s="591"/>
      <c r="BM142" s="591"/>
      <c r="BN142" s="591"/>
      <c r="BO142" s="591"/>
      <c r="BP142" s="591"/>
      <c r="BQ142" s="624"/>
      <c r="BR142" s="624"/>
      <c r="BS142" s="394"/>
      <c r="BT142" s="624"/>
      <c r="BU142" s="624"/>
      <c r="BV142" s="624"/>
      <c r="BW142" s="618"/>
      <c r="BX142" s="644"/>
      <c r="BY142" s="608" t="s">
        <v>330</v>
      </c>
      <c r="BZ142" s="609" t="s">
        <v>331</v>
      </c>
    </row>
    <row r="143" ht="25.5" customHeight="1">
      <c r="A143" s="635"/>
      <c r="B143" s="572">
        <v>45362.49625258102</v>
      </c>
      <c r="C143" s="642"/>
      <c r="D143" s="642"/>
      <c r="E143" s="574" t="s">
        <v>231</v>
      </c>
      <c r="F143" s="612"/>
      <c r="G143" s="600"/>
      <c r="H143" s="622"/>
      <c r="I143" s="622"/>
      <c r="J143" s="613"/>
      <c r="K143" s="581"/>
      <c r="L143" s="581"/>
      <c r="M143" s="613"/>
      <c r="N143" s="613"/>
      <c r="O143" s="613"/>
      <c r="P143" s="580"/>
      <c r="Q143" s="580"/>
      <c r="R143" s="581"/>
      <c r="S143" s="581"/>
      <c r="T143" s="581"/>
      <c r="U143" s="623"/>
      <c r="V143" s="614"/>
      <c r="W143" s="581"/>
      <c r="X143" s="615"/>
      <c r="Y143" s="613"/>
      <c r="Z143" s="580"/>
      <c r="AA143" s="634"/>
      <c r="AB143" s="622"/>
      <c r="AC143" s="673"/>
      <c r="AD143" s="634"/>
      <c r="AE143" s="587"/>
      <c r="AF143" s="587"/>
      <c r="AG143" s="623"/>
      <c r="AH143" s="623"/>
      <c r="AI143" s="623">
        <v>-4995.0</v>
      </c>
      <c r="AJ143" s="623"/>
      <c r="AK143" s="588"/>
      <c r="AL143" s="623"/>
      <c r="AM143" s="623"/>
      <c r="AN143" s="589"/>
      <c r="AO143" s="616"/>
      <c r="AP143" s="591"/>
      <c r="AQ143" s="358"/>
      <c r="AR143" s="591"/>
      <c r="AS143" s="591"/>
      <c r="AT143" s="591"/>
      <c r="AU143" s="591"/>
      <c r="AV143" s="591"/>
      <c r="AW143" s="591"/>
      <c r="AX143" s="591"/>
      <c r="AY143" s="591"/>
      <c r="AZ143" s="591"/>
      <c r="BA143" s="617"/>
      <c r="BB143" s="591"/>
      <c r="BC143" s="591"/>
      <c r="BD143" s="591"/>
      <c r="BE143" s="591">
        <v>35.3018</v>
      </c>
      <c r="BF143" s="591"/>
      <c r="BG143" s="358"/>
      <c r="BH143" s="358"/>
      <c r="BI143" s="358"/>
      <c r="BJ143" s="591"/>
      <c r="BK143" s="591"/>
      <c r="BL143" s="591"/>
      <c r="BM143" s="591"/>
      <c r="BN143" s="591"/>
      <c r="BO143" s="591"/>
      <c r="BP143" s="591"/>
      <c r="BQ143" s="624"/>
      <c r="BR143" s="624"/>
      <c r="BS143" s="394"/>
      <c r="BT143" s="624"/>
      <c r="BU143" s="624"/>
      <c r="BV143" s="624"/>
      <c r="BW143" s="618"/>
      <c r="BX143" s="608">
        <v>4995.0</v>
      </c>
      <c r="BY143" s="644"/>
    </row>
    <row r="144" ht="25.5" customHeight="1">
      <c r="A144" s="604">
        <f>A140+M144</f>
        <v>0.2724294089</v>
      </c>
      <c r="B144" s="572">
        <v>45362.524305555555</v>
      </c>
      <c r="C144" s="642"/>
      <c r="D144" s="642"/>
      <c r="E144" s="574" t="s">
        <v>241</v>
      </c>
      <c r="F144" s="620"/>
      <c r="G144" s="621"/>
      <c r="H144" s="577"/>
      <c r="I144" s="577"/>
      <c r="J144" s="604"/>
      <c r="K144" s="581"/>
      <c r="L144" s="581"/>
      <c r="M144" s="604">
        <v>-0.0026850780563243</v>
      </c>
      <c r="N144" s="613"/>
      <c r="O144" s="613"/>
      <c r="P144" s="580"/>
      <c r="Q144" s="580"/>
      <c r="R144" s="581"/>
      <c r="S144" s="581"/>
      <c r="T144" s="581"/>
      <c r="U144" s="582"/>
      <c r="V144" s="614"/>
      <c r="W144" s="581"/>
      <c r="X144" s="615"/>
      <c r="Y144" s="613"/>
      <c r="Z144" s="633"/>
      <c r="AA144" s="634"/>
      <c r="AB144" s="577"/>
      <c r="AC144" s="673"/>
      <c r="AD144" s="634"/>
      <c r="AE144" s="587"/>
      <c r="AF144" s="587"/>
      <c r="AG144" s="582"/>
      <c r="AH144" s="582"/>
      <c r="AI144" s="582"/>
      <c r="AJ144" s="582"/>
      <c r="AK144" s="588"/>
      <c r="AL144" s="582"/>
      <c r="AM144" s="582"/>
      <c r="AN144" s="589"/>
      <c r="AO144" s="616"/>
      <c r="AP144" s="592"/>
      <c r="AQ144" s="358"/>
      <c r="AR144" s="592"/>
      <c r="AS144" s="592"/>
      <c r="AT144" s="592"/>
      <c r="AU144" s="592"/>
      <c r="AV144" s="592"/>
      <c r="AW144" s="592"/>
      <c r="AX144" s="592"/>
      <c r="AY144" s="592"/>
      <c r="AZ144" s="592"/>
      <c r="BA144" s="617"/>
      <c r="BB144" s="592"/>
      <c r="BC144" s="592"/>
      <c r="BD144" s="592"/>
      <c r="BE144" s="592"/>
      <c r="BF144" s="592"/>
      <c r="BG144" s="358"/>
      <c r="BH144" s="358"/>
      <c r="BI144" s="358"/>
      <c r="BJ144" s="592"/>
      <c r="BK144" s="592"/>
      <c r="BL144" s="592"/>
      <c r="BM144" s="592"/>
      <c r="BN144" s="592"/>
      <c r="BO144" s="592"/>
      <c r="BP144" s="592"/>
      <c r="BQ144" s="594"/>
      <c r="BR144" s="594"/>
      <c r="BS144" s="394"/>
      <c r="BT144" s="594"/>
      <c r="BU144" s="594"/>
      <c r="BV144" s="594"/>
      <c r="BW144" s="618"/>
      <c r="BX144" s="608"/>
      <c r="BY144" s="608" t="s">
        <v>332</v>
      </c>
      <c r="BZ144" s="609" t="s">
        <v>333</v>
      </c>
    </row>
    <row r="145" ht="25.5" customHeight="1">
      <c r="A145" s="635"/>
      <c r="B145" s="572">
        <v>45362.60020006944</v>
      </c>
      <c r="C145" s="642"/>
      <c r="D145" s="642"/>
      <c r="E145" s="574" t="s">
        <v>231</v>
      </c>
      <c r="F145" s="620"/>
      <c r="G145" s="621"/>
      <c r="H145" s="622">
        <v>-1.10129</v>
      </c>
      <c r="I145" s="622"/>
      <c r="J145" s="613"/>
      <c r="K145" s="581"/>
      <c r="L145" s="581"/>
      <c r="M145" s="613"/>
      <c r="N145" s="613"/>
      <c r="O145" s="613"/>
      <c r="P145" s="580"/>
      <c r="Q145" s="580"/>
      <c r="R145" s="581"/>
      <c r="S145" s="581"/>
      <c r="T145" s="581"/>
      <c r="U145" s="582"/>
      <c r="V145" s="614"/>
      <c r="W145" s="581"/>
      <c r="X145" s="615"/>
      <c r="Y145" s="613"/>
      <c r="Z145" s="580"/>
      <c r="AA145" s="634"/>
      <c r="AB145" s="577"/>
      <c r="AC145" s="673"/>
      <c r="AD145" s="634"/>
      <c r="AE145" s="679"/>
      <c r="AF145" s="679"/>
      <c r="AG145" s="582"/>
      <c r="AH145" s="582"/>
      <c r="AI145" s="582"/>
      <c r="AJ145" s="582"/>
      <c r="AK145" s="588"/>
      <c r="AL145" s="582">
        <f>79351.58-0.62</f>
        <v>79350.96</v>
      </c>
      <c r="AM145" s="582"/>
      <c r="AN145" s="589"/>
      <c r="AO145" s="616"/>
      <c r="AP145" s="592"/>
      <c r="AQ145" s="358"/>
      <c r="AR145" s="592"/>
      <c r="AS145" s="592"/>
      <c r="AT145" s="592"/>
      <c r="AU145" s="592"/>
      <c r="AV145" s="592"/>
      <c r="AW145" s="592"/>
      <c r="AX145" s="592"/>
      <c r="AY145" s="592"/>
      <c r="AZ145" s="592"/>
      <c r="BA145" s="617"/>
      <c r="BB145" s="592"/>
      <c r="BC145" s="592"/>
      <c r="BD145" s="592"/>
      <c r="BE145" s="592"/>
      <c r="BF145" s="592"/>
      <c r="BG145" s="358"/>
      <c r="BH145" s="358"/>
      <c r="BI145" s="358"/>
      <c r="BJ145" s="592"/>
      <c r="BK145" s="592"/>
      <c r="BL145" s="592"/>
      <c r="BM145" s="592"/>
      <c r="BN145" s="592"/>
      <c r="BO145" s="592"/>
      <c r="BP145" s="592"/>
      <c r="BQ145" s="594"/>
      <c r="BR145" s="594"/>
      <c r="BS145" s="394"/>
      <c r="BT145" s="594"/>
      <c r="BU145" s="594"/>
      <c r="BV145" s="594"/>
      <c r="BW145" s="618"/>
      <c r="BX145" s="644"/>
      <c r="BY145" s="644"/>
    </row>
    <row r="146" ht="25.5" customHeight="1">
      <c r="A146" s="635"/>
      <c r="B146" s="572">
        <v>45362.609176342594</v>
      </c>
      <c r="C146" s="642"/>
      <c r="D146" s="642"/>
      <c r="E146" s="574" t="s">
        <v>218</v>
      </c>
      <c r="F146" s="620"/>
      <c r="G146" s="621"/>
      <c r="H146" s="577"/>
      <c r="I146" s="577"/>
      <c r="J146" s="613"/>
      <c r="K146" s="581"/>
      <c r="L146" s="581"/>
      <c r="M146" s="613"/>
      <c r="N146" s="613"/>
      <c r="O146" s="613"/>
      <c r="P146" s="580"/>
      <c r="Q146" s="580"/>
      <c r="R146" s="581"/>
      <c r="S146" s="581"/>
      <c r="T146" s="581"/>
      <c r="U146" s="623"/>
      <c r="V146" s="614"/>
      <c r="W146" s="581"/>
      <c r="X146" s="615"/>
      <c r="Y146" s="613"/>
      <c r="Z146" s="580"/>
      <c r="AA146" s="634"/>
      <c r="AB146" s="577"/>
      <c r="AC146" s="673"/>
      <c r="AD146" s="634"/>
      <c r="AE146" s="587"/>
      <c r="AF146" s="587"/>
      <c r="AG146" s="582"/>
      <c r="AH146" s="582"/>
      <c r="AI146" s="623">
        <v>20000.0</v>
      </c>
      <c r="AJ146" s="582"/>
      <c r="AK146" s="588"/>
      <c r="AL146" s="623">
        <v>-20001.0</v>
      </c>
      <c r="AM146" s="623"/>
      <c r="AN146" s="589"/>
      <c r="AO146" s="616"/>
      <c r="AP146" s="592"/>
      <c r="AQ146" s="358"/>
      <c r="AR146" s="592"/>
      <c r="AS146" s="592"/>
      <c r="AT146" s="592"/>
      <c r="AU146" s="592"/>
      <c r="AV146" s="592"/>
      <c r="AW146" s="592"/>
      <c r="AX146" s="592"/>
      <c r="AY146" s="592"/>
      <c r="AZ146" s="592"/>
      <c r="BA146" s="617"/>
      <c r="BB146" s="592"/>
      <c r="BC146" s="592"/>
      <c r="BD146" s="592"/>
      <c r="BE146" s="592"/>
      <c r="BF146" s="592"/>
      <c r="BG146" s="358"/>
      <c r="BH146" s="358"/>
      <c r="BI146" s="358"/>
      <c r="BJ146" s="592"/>
      <c r="BK146" s="592"/>
      <c r="BL146" s="592"/>
      <c r="BM146" s="592"/>
      <c r="BN146" s="592"/>
      <c r="BO146" s="592"/>
      <c r="BP146" s="592"/>
      <c r="BQ146" s="594"/>
      <c r="BR146" s="594"/>
      <c r="BS146" s="394"/>
      <c r="BT146" s="594"/>
      <c r="BU146" s="594"/>
      <c r="BV146" s="594"/>
      <c r="BW146" s="618"/>
      <c r="BX146" s="644"/>
    </row>
    <row r="147" ht="25.5" customHeight="1">
      <c r="A147" s="635"/>
      <c r="B147" s="572">
        <v>45362.80640396991</v>
      </c>
      <c r="C147" s="642"/>
      <c r="D147" s="642"/>
      <c r="E147" s="574" t="s">
        <v>231</v>
      </c>
      <c r="F147" s="620"/>
      <c r="G147" s="621"/>
      <c r="H147" s="577"/>
      <c r="I147" s="577"/>
      <c r="J147" s="613"/>
      <c r="K147" s="581"/>
      <c r="L147" s="581"/>
      <c r="M147" s="613"/>
      <c r="N147" s="613"/>
      <c r="O147" s="613"/>
      <c r="P147" s="580"/>
      <c r="Q147" s="580"/>
      <c r="R147" s="581"/>
      <c r="S147" s="581"/>
      <c r="T147" s="581"/>
      <c r="U147" s="623"/>
      <c r="V147" s="614"/>
      <c r="W147" s="581"/>
      <c r="X147" s="615"/>
      <c r="Y147" s="613"/>
      <c r="Z147" s="580"/>
      <c r="AA147" s="634"/>
      <c r="AB147" s="577"/>
      <c r="AC147" s="673"/>
      <c r="AD147" s="634"/>
      <c r="AE147" s="587"/>
      <c r="AF147" s="587"/>
      <c r="AG147" s="582"/>
      <c r="AH147" s="582"/>
      <c r="AI147" s="623">
        <v>-2505.0</v>
      </c>
      <c r="AJ147" s="582"/>
      <c r="AK147" s="588"/>
      <c r="AL147" s="582"/>
      <c r="AM147" s="582"/>
      <c r="AN147" s="589"/>
      <c r="AO147" s="616"/>
      <c r="AP147" s="592"/>
      <c r="AQ147" s="358"/>
      <c r="AR147" s="592"/>
      <c r="AS147" s="592"/>
      <c r="AT147" s="592"/>
      <c r="AU147" s="592"/>
      <c r="AV147" s="592"/>
      <c r="AW147" s="592"/>
      <c r="AX147" s="592"/>
      <c r="AY147" s="592"/>
      <c r="AZ147" s="592"/>
      <c r="BA147" s="617"/>
      <c r="BB147" s="592"/>
      <c r="BC147" s="592"/>
      <c r="BD147" s="592"/>
      <c r="BE147" s="592"/>
      <c r="BF147" s="591">
        <v>771.6049</v>
      </c>
      <c r="BG147" s="656"/>
      <c r="BH147" s="358"/>
      <c r="BI147" s="358"/>
      <c r="BJ147" s="592"/>
      <c r="BK147" s="592"/>
      <c r="BL147" s="592"/>
      <c r="BM147" s="592"/>
      <c r="BN147" s="592"/>
      <c r="BO147" s="592"/>
      <c r="BP147" s="592"/>
      <c r="BQ147" s="594"/>
      <c r="BR147" s="594"/>
      <c r="BS147" s="394"/>
      <c r="BT147" s="594"/>
      <c r="BU147" s="594"/>
      <c r="BV147" s="594"/>
      <c r="BW147" s="618"/>
      <c r="BX147" s="608"/>
      <c r="BY147" s="608"/>
    </row>
    <row r="148" ht="25.5" customHeight="1">
      <c r="A148" s="635"/>
      <c r="B148" s="572">
        <v>45363.40318291666</v>
      </c>
      <c r="C148" s="642"/>
      <c r="D148" s="642"/>
      <c r="E148" s="574" t="s">
        <v>231</v>
      </c>
      <c r="F148" s="620"/>
      <c r="G148" s="621"/>
      <c r="H148" s="622"/>
      <c r="I148" s="622"/>
      <c r="J148" s="613"/>
      <c r="K148" s="581"/>
      <c r="L148" s="581"/>
      <c r="M148" s="613"/>
      <c r="N148" s="613"/>
      <c r="O148" s="613"/>
      <c r="P148" s="580"/>
      <c r="Q148" s="580"/>
      <c r="R148" s="581"/>
      <c r="S148" s="581"/>
      <c r="T148" s="581"/>
      <c r="U148" s="623"/>
      <c r="V148" s="614"/>
      <c r="W148" s="581"/>
      <c r="X148" s="615"/>
      <c r="Y148" s="613"/>
      <c r="Z148" s="580"/>
      <c r="AA148" s="634"/>
      <c r="AB148" s="622"/>
      <c r="AC148" s="673"/>
      <c r="AD148" s="634"/>
      <c r="AE148" s="587"/>
      <c r="AF148" s="587"/>
      <c r="AG148" s="623"/>
      <c r="AH148" s="623"/>
      <c r="AI148" s="623">
        <v>-2505.0</v>
      </c>
      <c r="AJ148" s="623"/>
      <c r="AK148" s="588"/>
      <c r="AL148" s="623"/>
      <c r="AM148" s="623"/>
      <c r="AN148" s="589"/>
      <c r="AO148" s="616"/>
      <c r="AP148" s="591"/>
      <c r="AQ148" s="358"/>
      <c r="AR148" s="591"/>
      <c r="AS148" s="591"/>
      <c r="AT148" s="591"/>
      <c r="AU148" s="591"/>
      <c r="AV148" s="591"/>
      <c r="AW148" s="591"/>
      <c r="AX148" s="591"/>
      <c r="AY148" s="591"/>
      <c r="AZ148" s="591"/>
      <c r="BA148" s="617"/>
      <c r="BB148" s="591"/>
      <c r="BC148" s="591"/>
      <c r="BD148" s="591"/>
      <c r="BE148" s="591"/>
      <c r="BF148" s="591">
        <v>833.0556</v>
      </c>
      <c r="BG148" s="656"/>
      <c r="BH148" s="358"/>
      <c r="BI148" s="358"/>
      <c r="BJ148" s="591"/>
      <c r="BK148" s="591"/>
      <c r="BL148" s="591"/>
      <c r="BM148" s="591"/>
      <c r="BN148" s="591"/>
      <c r="BO148" s="591"/>
      <c r="BP148" s="591"/>
      <c r="BQ148" s="624"/>
      <c r="BR148" s="624"/>
      <c r="BS148" s="394"/>
      <c r="BT148" s="624"/>
      <c r="BU148" s="624"/>
      <c r="BV148" s="624"/>
      <c r="BW148" s="618"/>
      <c r="BX148" s="644"/>
      <c r="BY148" s="644"/>
    </row>
    <row r="149" ht="25.5" customHeight="1">
      <c r="A149" s="635"/>
      <c r="B149" s="572">
        <v>45363.40318291666</v>
      </c>
      <c r="C149" s="642"/>
      <c r="D149" s="642"/>
      <c r="E149" s="574" t="s">
        <v>226</v>
      </c>
      <c r="F149" s="620"/>
      <c r="G149" s="600">
        <f t="shared" ref="G149:G150" si="22">0.07463055*2</f>
        <v>0.1492611</v>
      </c>
      <c r="H149" s="577"/>
      <c r="I149" s="577"/>
      <c r="J149" s="613"/>
      <c r="K149" s="581"/>
      <c r="L149" s="581"/>
      <c r="M149" s="613"/>
      <c r="N149" s="613"/>
      <c r="O149" s="613"/>
      <c r="P149" s="580"/>
      <c r="Q149" s="580"/>
      <c r="R149" s="581"/>
      <c r="S149" s="581"/>
      <c r="T149" s="581"/>
      <c r="U149" s="582"/>
      <c r="V149" s="614"/>
      <c r="W149" s="581"/>
      <c r="X149" s="615"/>
      <c r="Y149" s="613"/>
      <c r="Z149" s="580"/>
      <c r="AA149" s="634"/>
      <c r="AB149" s="577"/>
      <c r="AC149" s="673"/>
      <c r="AD149" s="634"/>
      <c r="AE149" s="587"/>
      <c r="AF149" s="587"/>
      <c r="AG149" s="582"/>
      <c r="AH149" s="582"/>
      <c r="AI149" s="582"/>
      <c r="AJ149" s="582"/>
      <c r="AK149" s="588"/>
      <c r="AL149" s="582"/>
      <c r="AM149" s="582"/>
      <c r="AN149" s="589"/>
      <c r="AO149" s="616"/>
      <c r="AP149" s="592"/>
      <c r="AQ149" s="358"/>
      <c r="AR149" s="592"/>
      <c r="AS149" s="592"/>
      <c r="AT149" s="592"/>
      <c r="AU149" s="592"/>
      <c r="AV149" s="592"/>
      <c r="AW149" s="592"/>
      <c r="AX149" s="592"/>
      <c r="AY149" s="592"/>
      <c r="AZ149" s="592"/>
      <c r="BA149" s="617"/>
      <c r="BB149" s="592"/>
      <c r="BC149" s="592"/>
      <c r="BD149" s="592"/>
      <c r="BE149" s="592"/>
      <c r="BF149" s="592"/>
      <c r="BG149" s="358"/>
      <c r="BH149" s="358"/>
      <c r="BI149" s="358"/>
      <c r="BJ149" s="592"/>
      <c r="BK149" s="592"/>
      <c r="BL149" s="592"/>
      <c r="BM149" s="592"/>
      <c r="BN149" s="592"/>
      <c r="BO149" s="592"/>
      <c r="BP149" s="592"/>
      <c r="BQ149" s="594"/>
      <c r="BR149" s="594"/>
      <c r="BS149" s="394"/>
      <c r="BT149" s="594"/>
      <c r="BU149" s="594"/>
      <c r="BV149" s="594"/>
      <c r="BW149" s="618"/>
      <c r="BX149" s="608"/>
      <c r="BY149" s="608" t="s">
        <v>334</v>
      </c>
      <c r="BZ149" s="609" t="s">
        <v>335</v>
      </c>
    </row>
    <row r="150" ht="25.5" customHeight="1">
      <c r="A150" s="635"/>
      <c r="B150" s="572">
        <v>45363.40318291666</v>
      </c>
      <c r="C150" s="642"/>
      <c r="D150" s="642"/>
      <c r="E150" s="574" t="s">
        <v>226</v>
      </c>
      <c r="F150" s="620"/>
      <c r="G150" s="600">
        <f t="shared" si="22"/>
        <v>0.1492611</v>
      </c>
      <c r="H150" s="577"/>
      <c r="I150" s="577"/>
      <c r="J150" s="604"/>
      <c r="K150" s="581"/>
      <c r="L150" s="581"/>
      <c r="M150" s="604"/>
      <c r="N150" s="604"/>
      <c r="O150" s="604"/>
      <c r="P150" s="580"/>
      <c r="Q150" s="580"/>
      <c r="R150" s="581"/>
      <c r="S150" s="581"/>
      <c r="T150" s="581"/>
      <c r="U150" s="582"/>
      <c r="V150" s="630"/>
      <c r="W150" s="581"/>
      <c r="X150" s="631"/>
      <c r="Y150" s="604"/>
      <c r="Z150" s="580"/>
      <c r="AA150" s="634"/>
      <c r="AB150" s="577"/>
      <c r="AC150" s="673"/>
      <c r="AD150" s="634"/>
      <c r="AE150" s="587"/>
      <c r="AF150" s="587"/>
      <c r="AG150" s="582"/>
      <c r="AH150" s="582"/>
      <c r="AI150" s="582"/>
      <c r="AJ150" s="582"/>
      <c r="AK150" s="588"/>
      <c r="AL150" s="582"/>
      <c r="AM150" s="582"/>
      <c r="AN150" s="589"/>
      <c r="AO150" s="616"/>
      <c r="AP150" s="592"/>
      <c r="AQ150" s="358"/>
      <c r="AR150" s="592"/>
      <c r="AS150" s="592"/>
      <c r="AT150" s="592"/>
      <c r="AU150" s="592"/>
      <c r="AV150" s="592"/>
      <c r="AW150" s="592"/>
      <c r="AX150" s="592"/>
      <c r="AY150" s="592"/>
      <c r="AZ150" s="592"/>
      <c r="BA150" s="617"/>
      <c r="BB150" s="592"/>
      <c r="BC150" s="592"/>
      <c r="BD150" s="592"/>
      <c r="BE150" s="592"/>
      <c r="BF150" s="592"/>
      <c r="BG150" s="358"/>
      <c r="BH150" s="358"/>
      <c r="BI150" s="358"/>
      <c r="BJ150" s="592"/>
      <c r="BK150" s="592"/>
      <c r="BL150" s="592"/>
      <c r="BM150" s="592"/>
      <c r="BN150" s="592"/>
      <c r="BO150" s="592"/>
      <c r="BP150" s="592"/>
      <c r="BQ150" s="594"/>
      <c r="BR150" s="594"/>
      <c r="BS150" s="394"/>
      <c r="BT150" s="594"/>
      <c r="BU150" s="594"/>
      <c r="BV150" s="594"/>
      <c r="BW150" s="618"/>
      <c r="BX150" s="608"/>
      <c r="BY150" s="608" t="s">
        <v>334</v>
      </c>
      <c r="BZ150" s="609" t="s">
        <v>336</v>
      </c>
    </row>
    <row r="151" ht="25.5" customHeight="1">
      <c r="A151" s="635"/>
      <c r="B151" s="572">
        <v>45363.40318291666</v>
      </c>
      <c r="C151" s="642"/>
      <c r="D151" s="642"/>
      <c r="E151" s="574" t="s">
        <v>226</v>
      </c>
      <c r="F151" s="620"/>
      <c r="G151" s="600">
        <v>0.07463055</v>
      </c>
      <c r="H151" s="622"/>
      <c r="I151" s="622"/>
      <c r="J151" s="613"/>
      <c r="K151" s="581"/>
      <c r="L151" s="581"/>
      <c r="M151" s="613"/>
      <c r="N151" s="613"/>
      <c r="O151" s="613"/>
      <c r="P151" s="580"/>
      <c r="Q151" s="580"/>
      <c r="R151" s="581"/>
      <c r="S151" s="581"/>
      <c r="T151" s="581"/>
      <c r="U151" s="623"/>
      <c r="V151" s="614"/>
      <c r="W151" s="581"/>
      <c r="X151" s="615"/>
      <c r="Y151" s="613"/>
      <c r="Z151" s="580"/>
      <c r="AA151" s="634"/>
      <c r="AB151" s="622"/>
      <c r="AC151" s="673"/>
      <c r="AD151" s="634"/>
      <c r="AE151" s="587"/>
      <c r="AF151" s="587"/>
      <c r="AG151" s="623"/>
      <c r="AH151" s="623"/>
      <c r="AI151" s="623"/>
      <c r="AJ151" s="623"/>
      <c r="AK151" s="588"/>
      <c r="AL151" s="623"/>
      <c r="AM151" s="623"/>
      <c r="AN151" s="589"/>
      <c r="AO151" s="616"/>
      <c r="AP151" s="591"/>
      <c r="AQ151" s="358"/>
      <c r="AR151" s="591"/>
      <c r="AS151" s="591"/>
      <c r="AT151" s="591"/>
      <c r="AU151" s="591"/>
      <c r="AV151" s="591"/>
      <c r="AW151" s="591"/>
      <c r="AX151" s="591"/>
      <c r="AY151" s="591"/>
      <c r="AZ151" s="591"/>
      <c r="BA151" s="617"/>
      <c r="BB151" s="591"/>
      <c r="BC151" s="591"/>
      <c r="BD151" s="591"/>
      <c r="BE151" s="591"/>
      <c r="BF151" s="591"/>
      <c r="BG151" s="358"/>
      <c r="BH151" s="358"/>
      <c r="BI151" s="358"/>
      <c r="BJ151" s="591"/>
      <c r="BK151" s="591"/>
      <c r="BL151" s="591"/>
      <c r="BM151" s="591"/>
      <c r="BN151" s="591"/>
      <c r="BO151" s="591"/>
      <c r="BP151" s="591"/>
      <c r="BQ151" s="624"/>
      <c r="BR151" s="624"/>
      <c r="BS151" s="394"/>
      <c r="BT151" s="624"/>
      <c r="BU151" s="624"/>
      <c r="BV151" s="624"/>
      <c r="BW151" s="618"/>
      <c r="BX151" s="644"/>
      <c r="BY151" s="608" t="s">
        <v>337</v>
      </c>
      <c r="BZ151" s="609" t="s">
        <v>338</v>
      </c>
    </row>
    <row r="152" ht="25.5" customHeight="1">
      <c r="A152" s="635"/>
      <c r="B152" s="572">
        <v>45363.40318291666</v>
      </c>
      <c r="C152" s="642"/>
      <c r="D152" s="642"/>
      <c r="E152" s="574" t="s">
        <v>226</v>
      </c>
      <c r="F152" s="620"/>
      <c r="G152" s="600">
        <v>0.07463055</v>
      </c>
      <c r="H152" s="577"/>
      <c r="I152" s="577"/>
      <c r="J152" s="604"/>
      <c r="K152" s="581"/>
      <c r="L152" s="581"/>
      <c r="M152" s="604"/>
      <c r="N152" s="604"/>
      <c r="O152" s="604"/>
      <c r="P152" s="580"/>
      <c r="Q152" s="580"/>
      <c r="R152" s="581"/>
      <c r="S152" s="581"/>
      <c r="T152" s="581"/>
      <c r="U152" s="582"/>
      <c r="V152" s="630"/>
      <c r="W152" s="581"/>
      <c r="X152" s="631"/>
      <c r="Y152" s="604"/>
      <c r="Z152" s="580"/>
      <c r="AA152" s="634"/>
      <c r="AB152" s="577"/>
      <c r="AC152" s="680"/>
      <c r="AD152" s="634"/>
      <c r="AE152" s="587"/>
      <c r="AF152" s="587"/>
      <c r="AG152" s="582"/>
      <c r="AH152" s="582"/>
      <c r="AI152" s="582"/>
      <c r="AJ152" s="582"/>
      <c r="AK152" s="588"/>
      <c r="AL152" s="582"/>
      <c r="AM152" s="582"/>
      <c r="AN152" s="589"/>
      <c r="AO152" s="616"/>
      <c r="AP152" s="592"/>
      <c r="AQ152" s="358"/>
      <c r="AR152" s="592"/>
      <c r="AS152" s="592"/>
      <c r="AT152" s="592"/>
      <c r="AU152" s="592"/>
      <c r="AV152" s="592"/>
      <c r="AW152" s="592"/>
      <c r="AX152" s="592"/>
      <c r="AY152" s="592"/>
      <c r="AZ152" s="592"/>
      <c r="BA152" s="617"/>
      <c r="BB152" s="592"/>
      <c r="BC152" s="592"/>
      <c r="BD152" s="592"/>
      <c r="BE152" s="592"/>
      <c r="BF152" s="592"/>
      <c r="BG152" s="358"/>
      <c r="BH152" s="358"/>
      <c r="BI152" s="358"/>
      <c r="BJ152" s="592"/>
      <c r="BK152" s="592"/>
      <c r="BL152" s="592"/>
      <c r="BM152" s="592"/>
      <c r="BN152" s="592"/>
      <c r="BO152" s="592"/>
      <c r="BP152" s="592"/>
      <c r="BQ152" s="594"/>
      <c r="BR152" s="594"/>
      <c r="BS152" s="394"/>
      <c r="BT152" s="594"/>
      <c r="BU152" s="594"/>
      <c r="BV152" s="594"/>
      <c r="BW152" s="618"/>
      <c r="BX152" s="644"/>
      <c r="BY152" s="608" t="s">
        <v>337</v>
      </c>
      <c r="BZ152" s="609" t="s">
        <v>339</v>
      </c>
    </row>
    <row r="153" ht="25.5" customHeight="1">
      <c r="A153" s="613">
        <f>A144+M153</f>
        <v>0.6340404089</v>
      </c>
      <c r="B153" s="572">
        <v>45363.624913402775</v>
      </c>
      <c r="C153" s="642"/>
      <c r="D153" s="642"/>
      <c r="E153" s="574" t="s">
        <v>231</v>
      </c>
      <c r="F153" s="620"/>
      <c r="G153" s="621"/>
      <c r="H153" s="622"/>
      <c r="I153" s="622"/>
      <c r="J153" s="604"/>
      <c r="K153" s="581"/>
      <c r="L153" s="581"/>
      <c r="M153" s="604">
        <f>0.37288-0.011269</f>
        <v>0.361611</v>
      </c>
      <c r="N153" s="613"/>
      <c r="O153" s="613"/>
      <c r="P153" s="580"/>
      <c r="Q153" s="580"/>
      <c r="R153" s="581"/>
      <c r="S153" s="581"/>
      <c r="T153" s="581"/>
      <c r="U153" s="623"/>
      <c r="V153" s="614"/>
      <c r="W153" s="581"/>
      <c r="X153" s="615"/>
      <c r="Y153" s="613"/>
      <c r="Z153" s="633"/>
      <c r="AA153" s="634"/>
      <c r="AB153" s="622"/>
      <c r="AC153" s="680"/>
      <c r="AD153" s="634"/>
      <c r="AE153" s="587"/>
      <c r="AF153" s="587"/>
      <c r="AG153" s="623"/>
      <c r="AH153" s="623"/>
      <c r="AI153" s="623"/>
      <c r="AJ153" s="623"/>
      <c r="AK153" s="588"/>
      <c r="AL153" s="623"/>
      <c r="AM153" s="623"/>
      <c r="AN153" s="589"/>
      <c r="AO153" s="616"/>
      <c r="AP153" s="591"/>
      <c r="AQ153" s="358"/>
      <c r="AR153" s="591"/>
      <c r="AS153" s="591"/>
      <c r="AT153" s="591"/>
      <c r="AU153" s="591"/>
      <c r="AV153" s="591"/>
      <c r="AW153" s="591"/>
      <c r="AX153" s="591"/>
      <c r="AY153" s="591"/>
      <c r="AZ153" s="591"/>
      <c r="BA153" s="617">
        <f>-BA140</f>
        <v>-76688.42482</v>
      </c>
      <c r="BB153" s="591"/>
      <c r="BC153" s="591"/>
      <c r="BD153" s="591"/>
      <c r="BE153" s="591"/>
      <c r="BF153" s="591"/>
      <c r="BG153" s="358"/>
      <c r="BH153" s="358"/>
      <c r="BI153" s="358"/>
      <c r="BJ153" s="591"/>
      <c r="BK153" s="591"/>
      <c r="BL153" s="591"/>
      <c r="BM153" s="591"/>
      <c r="BN153" s="591"/>
      <c r="BO153" s="591"/>
      <c r="BP153" s="591"/>
      <c r="BQ153" s="624"/>
      <c r="BR153" s="624"/>
      <c r="BS153" s="394"/>
      <c r="BT153" s="624"/>
      <c r="BU153" s="624"/>
      <c r="BV153" s="624"/>
      <c r="BW153" s="618"/>
      <c r="BX153" s="644"/>
      <c r="BY153" s="608" t="s">
        <v>340</v>
      </c>
      <c r="BZ153" s="609" t="s">
        <v>341</v>
      </c>
    </row>
    <row r="154" ht="25.5" customHeight="1">
      <c r="A154" s="635"/>
      <c r="B154" s="572">
        <v>45363.722916666666</v>
      </c>
      <c r="C154" s="642"/>
      <c r="D154" s="642"/>
      <c r="E154" s="574" t="s">
        <v>226</v>
      </c>
      <c r="F154" s="612"/>
      <c r="G154" s="600">
        <v>0.49659612</v>
      </c>
      <c r="H154" s="622"/>
      <c r="I154" s="622"/>
      <c r="J154" s="613"/>
      <c r="K154" s="581"/>
      <c r="L154" s="581"/>
      <c r="M154" s="613"/>
      <c r="N154" s="613"/>
      <c r="O154" s="613"/>
      <c r="P154" s="580"/>
      <c r="Q154" s="580"/>
      <c r="R154" s="581"/>
      <c r="S154" s="581"/>
      <c r="T154" s="581"/>
      <c r="U154" s="623"/>
      <c r="V154" s="614"/>
      <c r="W154" s="581"/>
      <c r="X154" s="615"/>
      <c r="Y154" s="613"/>
      <c r="Z154" s="580"/>
      <c r="AA154" s="634"/>
      <c r="AB154" s="622"/>
      <c r="AC154" s="673"/>
      <c r="AD154" s="634"/>
      <c r="AE154" s="587"/>
      <c r="AF154" s="587"/>
      <c r="AG154" s="623"/>
      <c r="AH154" s="623"/>
      <c r="AI154" s="623"/>
      <c r="AJ154" s="623"/>
      <c r="AK154" s="588"/>
      <c r="AL154" s="623"/>
      <c r="AM154" s="623"/>
      <c r="AN154" s="589"/>
      <c r="AO154" s="616"/>
      <c r="AP154" s="591"/>
      <c r="AQ154" s="358"/>
      <c r="AR154" s="591"/>
      <c r="AS154" s="591"/>
      <c r="AT154" s="591"/>
      <c r="AU154" s="591"/>
      <c r="AV154" s="591"/>
      <c r="AW154" s="591"/>
      <c r="AX154" s="591"/>
      <c r="AY154" s="591"/>
      <c r="AZ154" s="591"/>
      <c r="BA154" s="617"/>
      <c r="BB154" s="591"/>
      <c r="BC154" s="591"/>
      <c r="BD154" s="591"/>
      <c r="BE154" s="591"/>
      <c r="BF154" s="591"/>
      <c r="BG154" s="358"/>
      <c r="BH154" s="358"/>
      <c r="BI154" s="358"/>
      <c r="BJ154" s="591"/>
      <c r="BK154" s="591"/>
      <c r="BL154" s="591"/>
      <c r="BM154" s="591"/>
      <c r="BN154" s="591"/>
      <c r="BO154" s="591"/>
      <c r="BP154" s="591"/>
      <c r="BQ154" s="624"/>
      <c r="BR154" s="624"/>
      <c r="BS154" s="394"/>
      <c r="BT154" s="624"/>
      <c r="BU154" s="624"/>
      <c r="BV154" s="624"/>
      <c r="BW154" s="618"/>
      <c r="BX154" s="644"/>
      <c r="BY154" s="659" t="s">
        <v>342</v>
      </c>
      <c r="BZ154" s="609" t="s">
        <v>343</v>
      </c>
    </row>
    <row r="155" ht="25.5" customHeight="1">
      <c r="A155" s="635"/>
      <c r="B155" s="572">
        <v>45363.791666666664</v>
      </c>
      <c r="C155" s="642"/>
      <c r="D155" s="642"/>
      <c r="E155" s="574" t="s">
        <v>226</v>
      </c>
      <c r="F155" s="612"/>
      <c r="G155" s="600">
        <v>0.07960555</v>
      </c>
      <c r="H155" s="577"/>
      <c r="I155" s="577"/>
      <c r="J155" s="613"/>
      <c r="K155" s="581"/>
      <c r="L155" s="581"/>
      <c r="M155" s="613"/>
      <c r="N155" s="613"/>
      <c r="O155" s="613"/>
      <c r="P155" s="580"/>
      <c r="Q155" s="580"/>
      <c r="R155" s="581"/>
      <c r="S155" s="581"/>
      <c r="T155" s="581"/>
      <c r="U155" s="582"/>
      <c r="V155" s="614"/>
      <c r="W155" s="581"/>
      <c r="X155" s="615"/>
      <c r="Y155" s="613"/>
      <c r="Z155" s="580"/>
      <c r="AA155" s="634"/>
      <c r="AB155" s="577"/>
      <c r="AC155" s="673"/>
      <c r="AD155" s="634"/>
      <c r="AE155" s="587"/>
      <c r="AF155" s="587"/>
      <c r="AG155" s="582"/>
      <c r="AH155" s="582"/>
      <c r="AI155" s="582"/>
      <c r="AJ155" s="582"/>
      <c r="AK155" s="588"/>
      <c r="AL155" s="582"/>
      <c r="AM155" s="582"/>
      <c r="AN155" s="589"/>
      <c r="AO155" s="616"/>
      <c r="AP155" s="592"/>
      <c r="AQ155" s="358"/>
      <c r="AR155" s="592"/>
      <c r="AS155" s="592"/>
      <c r="AT155" s="592"/>
      <c r="AU155" s="592"/>
      <c r="AV155" s="592"/>
      <c r="AW155" s="592"/>
      <c r="AX155" s="592"/>
      <c r="AY155" s="592"/>
      <c r="AZ155" s="592"/>
      <c r="BA155" s="617"/>
      <c r="BB155" s="592"/>
      <c r="BC155" s="592"/>
      <c r="BD155" s="592"/>
      <c r="BE155" s="592"/>
      <c r="BF155" s="592"/>
      <c r="BG155" s="358"/>
      <c r="BH155" s="358"/>
      <c r="BI155" s="358"/>
      <c r="BJ155" s="592"/>
      <c r="BK155" s="592"/>
      <c r="BL155" s="592"/>
      <c r="BM155" s="592"/>
      <c r="BN155" s="592"/>
      <c r="BO155" s="592"/>
      <c r="BP155" s="592"/>
      <c r="BQ155" s="594"/>
      <c r="BR155" s="594"/>
      <c r="BS155" s="394"/>
      <c r="BT155" s="594"/>
      <c r="BU155" s="594"/>
      <c r="BV155" s="594"/>
      <c r="BW155" s="618"/>
      <c r="BX155" s="608"/>
      <c r="BY155" s="608" t="s">
        <v>337</v>
      </c>
      <c r="BZ155" s="609" t="s">
        <v>344</v>
      </c>
    </row>
    <row r="156" ht="25.5" customHeight="1">
      <c r="A156" s="635"/>
      <c r="B156" s="572">
        <v>45364.740233275465</v>
      </c>
      <c r="C156" s="642"/>
      <c r="D156" s="642"/>
      <c r="E156" s="574" t="s">
        <v>231</v>
      </c>
      <c r="F156" s="620"/>
      <c r="G156" s="621"/>
      <c r="H156" s="577"/>
      <c r="I156" s="577"/>
      <c r="J156" s="613"/>
      <c r="K156" s="581"/>
      <c r="L156" s="581"/>
      <c r="M156" s="613"/>
      <c r="N156" s="613"/>
      <c r="O156" s="613"/>
      <c r="P156" s="580"/>
      <c r="Q156" s="580"/>
      <c r="R156" s="581"/>
      <c r="S156" s="581"/>
      <c r="T156" s="581"/>
      <c r="V156" s="614"/>
      <c r="W156" s="581"/>
      <c r="X156" s="615"/>
      <c r="Y156" s="613"/>
      <c r="Z156" s="580"/>
      <c r="AA156" s="634"/>
      <c r="AB156" s="577"/>
      <c r="AC156" s="673"/>
      <c r="AD156" s="634"/>
      <c r="AE156" s="587"/>
      <c r="AF156" s="587"/>
      <c r="AG156" s="582"/>
      <c r="AH156" s="582"/>
      <c r="AJ156" s="582"/>
      <c r="AK156" s="588"/>
      <c r="AL156" s="582"/>
      <c r="AM156" s="582"/>
      <c r="AN156" s="589"/>
      <c r="AO156" s="616"/>
      <c r="AP156" s="591"/>
      <c r="AQ156" s="358"/>
      <c r="AR156" s="591"/>
      <c r="AS156" s="591"/>
      <c r="AT156" s="591"/>
      <c r="AU156" s="592"/>
      <c r="AV156" s="591">
        <f>-(385.351475*2)</f>
        <v>-770.70295</v>
      </c>
      <c r="AW156" s="591">
        <v>1486.73817441356</v>
      </c>
      <c r="AX156" s="591"/>
      <c r="AY156" s="592"/>
      <c r="AZ156" s="592"/>
      <c r="BA156" s="617"/>
      <c r="BB156" s="592"/>
      <c r="BC156" s="592"/>
      <c r="BD156" s="592"/>
      <c r="BE156" s="592"/>
      <c r="BF156" s="592"/>
      <c r="BG156" s="681"/>
      <c r="BH156" s="358"/>
      <c r="BI156" s="358"/>
      <c r="BJ156" s="592"/>
      <c r="BK156" s="592"/>
      <c r="BL156" s="592"/>
      <c r="BM156" s="592"/>
      <c r="BN156" s="592"/>
      <c r="BO156" s="592"/>
      <c r="BP156" s="592"/>
      <c r="BQ156" s="594"/>
      <c r="BR156" s="594"/>
      <c r="BS156" s="394"/>
      <c r="BT156" s="594"/>
      <c r="BU156" s="594"/>
      <c r="BV156" s="594"/>
      <c r="BW156" s="618"/>
      <c r="BX156" s="608">
        <v>10500.0</v>
      </c>
      <c r="BY156" s="644"/>
      <c r="BZ156" s="609" t="s">
        <v>345</v>
      </c>
    </row>
    <row r="157" ht="25.5" customHeight="1">
      <c r="A157" s="635"/>
      <c r="B157" s="572">
        <v>45364.796667013885</v>
      </c>
      <c r="C157" s="642"/>
      <c r="D157" s="642"/>
      <c r="E157" s="574" t="s">
        <v>231</v>
      </c>
      <c r="F157" s="620"/>
      <c r="G157" s="621"/>
      <c r="H157" s="577"/>
      <c r="I157" s="577"/>
      <c r="J157" s="613"/>
      <c r="K157" s="581"/>
      <c r="L157" s="581"/>
      <c r="M157" s="613"/>
      <c r="N157" s="613"/>
      <c r="O157" s="613"/>
      <c r="P157" s="580"/>
      <c r="Q157" s="580"/>
      <c r="R157" s="581"/>
      <c r="S157" s="581"/>
      <c r="T157" s="581"/>
      <c r="U157" s="582"/>
      <c r="V157" s="614"/>
      <c r="W157" s="581"/>
      <c r="X157" s="615"/>
      <c r="Y157" s="613"/>
      <c r="Z157" s="580"/>
      <c r="AA157" s="634"/>
      <c r="AB157" s="577"/>
      <c r="AC157" s="673"/>
      <c r="AD157" s="634"/>
      <c r="AE157" s="587"/>
      <c r="AF157" s="587"/>
      <c r="AG157" s="582"/>
      <c r="AH157" s="582"/>
      <c r="AI157" s="582">
        <v>-2515.7739321999998</v>
      </c>
      <c r="AJ157" s="582"/>
      <c r="AK157" s="588"/>
      <c r="AL157" s="582"/>
      <c r="AM157" s="582"/>
      <c r="AN157" s="589"/>
      <c r="AO157" s="616"/>
      <c r="AP157" s="592"/>
      <c r="AQ157" s="358"/>
      <c r="AR157" s="592"/>
      <c r="AS157" s="592"/>
      <c r="AT157" s="592"/>
      <c r="AU157" s="592"/>
      <c r="AV157" s="592"/>
      <c r="AW157" s="592"/>
      <c r="AX157" s="592"/>
      <c r="AY157" s="592"/>
      <c r="AZ157" s="592"/>
      <c r="BA157" s="617"/>
      <c r="BB157" s="592"/>
      <c r="BC157" s="592"/>
      <c r="BD157" s="592"/>
      <c r="BE157" s="592"/>
      <c r="BF157" s="592"/>
      <c r="BG157" s="681">
        <v>676143.8464</v>
      </c>
      <c r="BH157" s="358"/>
      <c r="BI157" s="358"/>
      <c r="BJ157" s="592"/>
      <c r="BK157" s="592"/>
      <c r="BL157" s="592"/>
      <c r="BM157" s="592"/>
      <c r="BN157" s="592"/>
      <c r="BO157" s="592"/>
      <c r="BP157" s="592"/>
      <c r="BQ157" s="594"/>
      <c r="BR157" s="594"/>
      <c r="BS157" s="394"/>
      <c r="BT157" s="594"/>
      <c r="BU157" s="594"/>
      <c r="BV157" s="594"/>
      <c r="BW157" s="618"/>
      <c r="BX157" s="608">
        <v>2500.0</v>
      </c>
      <c r="BY157" s="608"/>
    </row>
    <row r="158" ht="25.5" customHeight="1">
      <c r="A158" s="635"/>
      <c r="B158" s="572">
        <v>45365.571916898145</v>
      </c>
      <c r="C158" s="642"/>
      <c r="D158" s="642"/>
      <c r="E158" s="574" t="s">
        <v>218</v>
      </c>
      <c r="F158" s="620"/>
      <c r="G158" s="621">
        <f>-1.053-0.00036413</f>
        <v>-1.05336413</v>
      </c>
      <c r="H158" s="577"/>
      <c r="I158" s="577"/>
      <c r="J158" s="613"/>
      <c r="K158" s="581"/>
      <c r="L158" s="581"/>
      <c r="M158" s="613"/>
      <c r="N158" s="613"/>
      <c r="O158" s="613"/>
      <c r="P158" s="580"/>
      <c r="Q158" s="580"/>
      <c r="R158" s="581"/>
      <c r="S158" s="581"/>
      <c r="T158" s="581"/>
      <c r="U158" s="582"/>
      <c r="V158" s="614"/>
      <c r="W158" s="581"/>
      <c r="X158" s="615"/>
      <c r="Y158" s="613"/>
      <c r="Z158" s="580"/>
      <c r="AA158" s="634"/>
      <c r="AB158" s="682">
        <v>1.053</v>
      </c>
      <c r="AC158" s="673"/>
      <c r="AD158" s="634"/>
      <c r="AE158" s="587"/>
      <c r="AF158" s="587"/>
      <c r="AG158" s="582"/>
      <c r="AH158" s="582"/>
      <c r="AI158" s="582"/>
      <c r="AJ158" s="582"/>
      <c r="AK158" s="588"/>
      <c r="AL158" s="582"/>
      <c r="AM158" s="582"/>
      <c r="AN158" s="589"/>
      <c r="AO158" s="616"/>
      <c r="AP158" s="592"/>
      <c r="AQ158" s="358"/>
      <c r="AR158" s="592"/>
      <c r="AS158" s="592"/>
      <c r="AT158" s="592"/>
      <c r="AU158" s="592"/>
      <c r="AV158" s="592"/>
      <c r="AW158" s="592"/>
      <c r="AX158" s="592"/>
      <c r="AY158" s="592"/>
      <c r="AZ158" s="592"/>
      <c r="BA158" s="617"/>
      <c r="BB158" s="592"/>
      <c r="BC158" s="592"/>
      <c r="BD158" s="592"/>
      <c r="BE158" s="592"/>
      <c r="BF158" s="592"/>
      <c r="BG158" s="358"/>
      <c r="BH158" s="358"/>
      <c r="BI158" s="358"/>
      <c r="BJ158" s="592"/>
      <c r="BK158" s="592"/>
      <c r="BL158" s="592"/>
      <c r="BM158" s="592"/>
      <c r="BN158" s="592"/>
      <c r="BO158" s="592"/>
      <c r="BP158" s="592"/>
      <c r="BQ158" s="594"/>
      <c r="BR158" s="594"/>
      <c r="BS158" s="394"/>
      <c r="BT158" s="594"/>
      <c r="BU158" s="594"/>
      <c r="BV158" s="594"/>
      <c r="BW158" s="618"/>
      <c r="BX158" s="644"/>
      <c r="BY158" s="644"/>
      <c r="BZ158" s="609" t="s">
        <v>346</v>
      </c>
    </row>
    <row r="159" ht="25.5" customHeight="1">
      <c r="A159" s="635"/>
      <c r="B159" s="572">
        <v>45365.655210069446</v>
      </c>
      <c r="C159" s="642"/>
      <c r="D159" s="642"/>
      <c r="E159" s="574" t="s">
        <v>231</v>
      </c>
      <c r="F159" s="620"/>
      <c r="G159" s="621"/>
      <c r="H159" s="577"/>
      <c r="I159" s="577"/>
      <c r="J159" s="613"/>
      <c r="K159" s="581"/>
      <c r="L159" s="581"/>
      <c r="M159" s="613"/>
      <c r="N159" s="613"/>
      <c r="O159" s="613"/>
      <c r="P159" s="580"/>
      <c r="Q159" s="580"/>
      <c r="R159" s="581"/>
      <c r="S159" s="581"/>
      <c r="T159" s="581"/>
      <c r="U159" s="582"/>
      <c r="V159" s="614"/>
      <c r="W159" s="581"/>
      <c r="X159" s="615"/>
      <c r="Y159" s="613"/>
      <c r="Z159" s="580"/>
      <c r="AA159" s="634"/>
      <c r="AB159" s="622">
        <v>-1.053</v>
      </c>
      <c r="AC159" s="673"/>
      <c r="AD159" s="634"/>
      <c r="AE159" s="606">
        <v>75492.3</v>
      </c>
      <c r="AF159" s="606"/>
      <c r="AG159" s="582"/>
      <c r="AH159" s="582"/>
      <c r="AI159" s="582"/>
      <c r="AJ159" s="582"/>
      <c r="AK159" s="588"/>
      <c r="AL159" s="582"/>
      <c r="AM159" s="582"/>
      <c r="AN159" s="589"/>
      <c r="AO159" s="616"/>
      <c r="AP159" s="592"/>
      <c r="AQ159" s="358"/>
      <c r="AR159" s="592"/>
      <c r="AS159" s="592"/>
      <c r="AT159" s="592"/>
      <c r="AU159" s="592"/>
      <c r="AV159" s="592"/>
      <c r="AW159" s="592"/>
      <c r="AX159" s="592"/>
      <c r="AY159" s="592"/>
      <c r="AZ159" s="592"/>
      <c r="BA159" s="617"/>
      <c r="BB159" s="592"/>
      <c r="BC159" s="592"/>
      <c r="BD159" s="592"/>
      <c r="BE159" s="592"/>
      <c r="BF159" s="592"/>
      <c r="BG159" s="358"/>
      <c r="BH159" s="358"/>
      <c r="BI159" s="358"/>
      <c r="BJ159" s="592"/>
      <c r="BK159" s="592"/>
      <c r="BL159" s="592"/>
      <c r="BM159" s="592"/>
      <c r="BN159" s="592"/>
      <c r="BO159" s="592"/>
      <c r="BP159" s="592"/>
      <c r="BQ159" s="594"/>
      <c r="BR159" s="594"/>
      <c r="BS159" s="394"/>
      <c r="BT159" s="594"/>
      <c r="BU159" s="594"/>
      <c r="BV159" s="594"/>
      <c r="BW159" s="618"/>
      <c r="BX159" s="644"/>
      <c r="BY159" s="644"/>
    </row>
    <row r="160" ht="25.5" customHeight="1">
      <c r="A160" s="635"/>
      <c r="B160" s="572">
        <v>45365.69368039352</v>
      </c>
      <c r="C160" s="642"/>
      <c r="D160" s="642"/>
      <c r="E160" s="574" t="s">
        <v>231</v>
      </c>
      <c r="F160" s="620"/>
      <c r="G160" s="621"/>
      <c r="H160" s="577"/>
      <c r="I160" s="577"/>
      <c r="J160" s="613"/>
      <c r="K160" s="581"/>
      <c r="L160" s="581"/>
      <c r="M160" s="613"/>
      <c r="N160" s="613"/>
      <c r="O160" s="613"/>
      <c r="P160" s="580"/>
      <c r="Q160" s="580"/>
      <c r="R160" s="581"/>
      <c r="S160" s="581"/>
      <c r="T160" s="581"/>
      <c r="U160" s="582"/>
      <c r="V160" s="614"/>
      <c r="W160" s="581"/>
      <c r="X160" s="615"/>
      <c r="Y160" s="613"/>
      <c r="Z160" s="580"/>
      <c r="AA160" s="634"/>
      <c r="AB160" s="577"/>
      <c r="AC160" s="673"/>
      <c r="AD160" s="634"/>
      <c r="AE160" s="587"/>
      <c r="AF160" s="587"/>
      <c r="AG160" s="623">
        <v>7635.64</v>
      </c>
      <c r="AH160" s="582"/>
      <c r="AI160" s="582"/>
      <c r="AJ160" s="582"/>
      <c r="AK160" s="588"/>
      <c r="AL160" s="582"/>
      <c r="AM160" s="582"/>
      <c r="AN160" s="589"/>
      <c r="AO160" s="616"/>
      <c r="AP160" s="592"/>
      <c r="AQ160" s="358"/>
      <c r="AR160" s="592"/>
      <c r="AS160" s="592"/>
      <c r="AT160" s="592"/>
      <c r="AU160" s="592"/>
      <c r="AV160" s="592"/>
      <c r="AW160" s="592"/>
      <c r="AX160" s="592"/>
      <c r="AY160" s="592"/>
      <c r="AZ160" s="592"/>
      <c r="BA160" s="617"/>
      <c r="BB160" s="592">
        <f>-2892.4</f>
        <v>-2892.4</v>
      </c>
      <c r="BC160" s="592"/>
      <c r="BD160" s="592"/>
      <c r="BE160" s="592"/>
      <c r="BF160" s="592"/>
      <c r="BG160" s="358"/>
      <c r="BH160" s="358"/>
      <c r="BI160" s="358"/>
      <c r="BJ160" s="592"/>
      <c r="BK160" s="592"/>
      <c r="BL160" s="592"/>
      <c r="BM160" s="592"/>
      <c r="BN160" s="592"/>
      <c r="BO160" s="592"/>
      <c r="BP160" s="592"/>
      <c r="BQ160" s="594"/>
      <c r="BR160" s="594"/>
      <c r="BS160" s="394"/>
      <c r="BT160" s="594"/>
      <c r="BU160" s="594"/>
      <c r="BV160" s="594"/>
      <c r="BW160" s="618"/>
      <c r="BX160" s="608"/>
      <c r="BY160" s="608"/>
    </row>
    <row r="161" ht="25.5" customHeight="1">
      <c r="A161" s="635"/>
      <c r="B161" s="572">
        <v>45365.69808599537</v>
      </c>
      <c r="C161" s="642"/>
      <c r="D161" s="642"/>
      <c r="E161" s="574" t="s">
        <v>218</v>
      </c>
      <c r="F161" s="620"/>
      <c r="G161" s="621"/>
      <c r="H161" s="622"/>
      <c r="I161" s="622"/>
      <c r="J161" s="613"/>
      <c r="K161" s="581"/>
      <c r="L161" s="581"/>
      <c r="M161" s="613"/>
      <c r="N161" s="613"/>
      <c r="O161" s="613"/>
      <c r="P161" s="580"/>
      <c r="Q161" s="580"/>
      <c r="R161" s="581"/>
      <c r="S161" s="581"/>
      <c r="T161" s="581"/>
      <c r="U161" s="623"/>
      <c r="V161" s="614"/>
      <c r="W161" s="581"/>
      <c r="X161" s="615"/>
      <c r="Y161" s="613"/>
      <c r="Z161" s="580"/>
      <c r="AA161" s="634"/>
      <c r="AB161" s="622"/>
      <c r="AC161" s="673"/>
      <c r="AD161" s="634"/>
      <c r="AE161" s="587"/>
      <c r="AF161" s="587"/>
      <c r="AG161" s="623">
        <v>-7635.64</v>
      </c>
      <c r="AH161" s="623"/>
      <c r="AI161" s="623"/>
      <c r="AJ161" s="623"/>
      <c r="AK161" s="588"/>
      <c r="AL161" s="623">
        <v>7635.14</v>
      </c>
      <c r="AM161" s="623"/>
      <c r="AN161" s="589"/>
      <c r="AO161" s="616"/>
      <c r="AP161" s="591"/>
      <c r="AQ161" s="358"/>
      <c r="AR161" s="591"/>
      <c r="AS161" s="591"/>
      <c r="AT161" s="591"/>
      <c r="AU161" s="591"/>
      <c r="AV161" s="591"/>
      <c r="AW161" s="591"/>
      <c r="AX161" s="591"/>
      <c r="AY161" s="591"/>
      <c r="AZ161" s="591"/>
      <c r="BA161" s="617"/>
      <c r="BB161" s="591"/>
      <c r="BC161" s="591"/>
      <c r="BD161" s="591"/>
      <c r="BE161" s="591"/>
      <c r="BF161" s="591"/>
      <c r="BG161" s="358"/>
      <c r="BH161" s="358"/>
      <c r="BI161" s="358"/>
      <c r="BJ161" s="591"/>
      <c r="BK161" s="591"/>
      <c r="BL161" s="591"/>
      <c r="BM161" s="591"/>
      <c r="BN161" s="591"/>
      <c r="BO161" s="591"/>
      <c r="BP161" s="591"/>
      <c r="BQ161" s="624"/>
      <c r="BR161" s="624"/>
      <c r="BS161" s="394"/>
      <c r="BT161" s="624"/>
      <c r="BU161" s="624"/>
      <c r="BV161" s="624"/>
      <c r="BW161" s="618"/>
      <c r="BX161" s="644"/>
      <c r="BY161" s="644"/>
    </row>
    <row r="162" ht="25.5" customHeight="1">
      <c r="A162" s="635"/>
      <c r="B162" s="572">
        <v>45365.81458333333</v>
      </c>
      <c r="C162" s="642"/>
      <c r="D162" s="642"/>
      <c r="E162" s="574" t="s">
        <v>231</v>
      </c>
      <c r="F162" s="620"/>
      <c r="G162" s="626"/>
      <c r="H162" s="577"/>
      <c r="I162" s="577"/>
      <c r="J162" s="613"/>
      <c r="K162" s="581"/>
      <c r="L162" s="581"/>
      <c r="M162" s="613"/>
      <c r="N162" s="613"/>
      <c r="O162" s="613"/>
      <c r="P162" s="580"/>
      <c r="Q162" s="580"/>
      <c r="R162" s="581"/>
      <c r="S162" s="581"/>
      <c r="T162" s="581"/>
      <c r="U162" s="582"/>
      <c r="V162" s="614"/>
      <c r="W162" s="581"/>
      <c r="X162" s="615"/>
      <c r="Y162" s="613"/>
      <c r="Z162" s="580"/>
      <c r="AA162" s="634"/>
      <c r="AB162" s="603">
        <v>1.09259</v>
      </c>
      <c r="AC162" s="673"/>
      <c r="AD162" s="634"/>
      <c r="AE162" s="606">
        <v>-75492.3</v>
      </c>
      <c r="AF162" s="606"/>
      <c r="AG162" s="582"/>
      <c r="AH162" s="582"/>
      <c r="AI162" s="582"/>
      <c r="AJ162" s="582"/>
      <c r="AK162" s="588"/>
      <c r="AL162" s="582"/>
      <c r="AM162" s="582"/>
      <c r="AN162" s="589"/>
      <c r="AO162" s="616"/>
      <c r="AP162" s="592"/>
      <c r="AQ162" s="358"/>
      <c r="AR162" s="592"/>
      <c r="AS162" s="592"/>
      <c r="AT162" s="592"/>
      <c r="AU162" s="592"/>
      <c r="AV162" s="592"/>
      <c r="AW162" s="592"/>
      <c r="AX162" s="592"/>
      <c r="AY162" s="592"/>
      <c r="AZ162" s="592"/>
      <c r="BA162" s="617"/>
      <c r="BB162" s="592"/>
      <c r="BC162" s="592"/>
      <c r="BD162" s="592"/>
      <c r="BE162" s="592"/>
      <c r="BF162" s="592"/>
      <c r="BG162" s="358"/>
      <c r="BH162" s="358"/>
      <c r="BI162" s="358"/>
      <c r="BJ162" s="592"/>
      <c r="BK162" s="592"/>
      <c r="BL162" s="592"/>
      <c r="BM162" s="592"/>
      <c r="BN162" s="592"/>
      <c r="BO162" s="592"/>
      <c r="BP162" s="592"/>
      <c r="BQ162" s="594"/>
      <c r="BR162" s="594"/>
      <c r="BS162" s="394"/>
      <c r="BT162" s="594"/>
      <c r="BU162" s="594"/>
      <c r="BV162" s="594"/>
      <c r="BW162" s="618"/>
      <c r="BX162" s="644"/>
      <c r="BY162" s="644"/>
    </row>
    <row r="163" ht="25.5" customHeight="1">
      <c r="A163" s="635"/>
      <c r="B163" s="572">
        <v>45365.69808599537</v>
      </c>
      <c r="C163" s="642"/>
      <c r="D163" s="642"/>
      <c r="E163" s="574" t="s">
        <v>231</v>
      </c>
      <c r="F163" s="620"/>
      <c r="G163" s="621"/>
      <c r="H163" s="577"/>
      <c r="I163" s="577"/>
      <c r="J163" s="613"/>
      <c r="K163" s="581"/>
      <c r="L163" s="581"/>
      <c r="M163" s="613"/>
      <c r="N163" s="613"/>
      <c r="O163" s="613"/>
      <c r="P163" s="580"/>
      <c r="Q163" s="580"/>
      <c r="R163" s="581"/>
      <c r="S163" s="581"/>
      <c r="T163" s="581"/>
      <c r="U163" s="582"/>
      <c r="V163" s="614"/>
      <c r="W163" s="581"/>
      <c r="X163" s="615"/>
      <c r="Y163" s="613"/>
      <c r="Z163" s="580"/>
      <c r="AA163" s="634"/>
      <c r="AB163" s="577"/>
      <c r="AC163" s="673"/>
      <c r="AD163" s="634"/>
      <c r="AE163" s="587"/>
      <c r="AF163" s="587"/>
      <c r="AG163" s="582"/>
      <c r="AH163" s="582"/>
      <c r="AI163" s="582">
        <v>-5004.996999999999</v>
      </c>
      <c r="AJ163" s="582"/>
      <c r="AK163" s="588"/>
      <c r="AN163" s="589"/>
      <c r="AO163" s="616"/>
      <c r="AP163" s="592"/>
      <c r="AQ163" s="358"/>
      <c r="AR163" s="592"/>
      <c r="AS163" s="592"/>
      <c r="AT163" s="592"/>
      <c r="AU163" s="592"/>
      <c r="AV163" s="592"/>
      <c r="AW163" s="592"/>
      <c r="AX163" s="592"/>
      <c r="AY163" s="592"/>
      <c r="AZ163" s="592"/>
      <c r="BA163" s="617"/>
      <c r="BB163" s="592"/>
      <c r="BC163" s="592"/>
      <c r="BD163" s="592"/>
      <c r="BE163" s="592">
        <f>124.0165-82.45</f>
        <v>41.5665</v>
      </c>
      <c r="BF163" s="592"/>
      <c r="BG163" s="358"/>
      <c r="BH163" s="358"/>
      <c r="BI163" s="358"/>
      <c r="BJ163" s="592"/>
      <c r="BK163" s="592"/>
      <c r="BL163" s="592"/>
      <c r="BM163" s="592"/>
      <c r="BN163" s="592"/>
      <c r="BO163" s="592"/>
      <c r="BP163" s="592"/>
      <c r="BQ163" s="594"/>
      <c r="BR163" s="594"/>
      <c r="BS163" s="394"/>
      <c r="BT163" s="594"/>
      <c r="BU163" s="594"/>
      <c r="BV163" s="594"/>
      <c r="BW163" s="618"/>
      <c r="BX163" s="608">
        <v>2500.0</v>
      </c>
      <c r="BY163" s="608"/>
    </row>
    <row r="164" ht="25.5" customHeight="1">
      <c r="A164" s="635"/>
      <c r="B164" s="572">
        <v>45366.40681753472</v>
      </c>
      <c r="C164" s="642"/>
      <c r="D164" s="642"/>
      <c r="E164" s="574" t="s">
        <v>231</v>
      </c>
      <c r="F164" s="620"/>
      <c r="G164" s="621"/>
      <c r="H164" s="577"/>
      <c r="I164" s="577"/>
      <c r="J164" s="613"/>
      <c r="K164" s="581"/>
      <c r="L164" s="581"/>
      <c r="M164" s="613"/>
      <c r="N164" s="613"/>
      <c r="O164" s="613"/>
      <c r="P164" s="580"/>
      <c r="Q164" s="580"/>
      <c r="R164" s="581"/>
      <c r="S164" s="581"/>
      <c r="T164" s="581"/>
      <c r="U164" s="582"/>
      <c r="V164" s="614"/>
      <c r="W164" s="581"/>
      <c r="X164" s="615"/>
      <c r="Y164" s="613"/>
      <c r="Z164" s="580"/>
      <c r="AA164" s="634"/>
      <c r="AB164" s="577"/>
      <c r="AC164" s="673"/>
      <c r="AD164" s="634"/>
      <c r="AE164" s="587"/>
      <c r="AF164" s="587"/>
      <c r="AG164" s="582"/>
      <c r="AH164" s="623">
        <v>6086.0</v>
      </c>
      <c r="AI164" s="582"/>
      <c r="AJ164" s="582"/>
      <c r="AK164" s="588"/>
      <c r="AL164" s="582"/>
      <c r="AM164" s="582"/>
      <c r="AN164" s="589"/>
      <c r="AO164" s="616"/>
      <c r="AP164" s="592"/>
      <c r="AQ164" s="358"/>
      <c r="AR164" s="592"/>
      <c r="AS164" s="592"/>
      <c r="AT164" s="592"/>
      <c r="AU164" s="592"/>
      <c r="AV164" s="592"/>
      <c r="AW164" s="592"/>
      <c r="AX164" s="592"/>
      <c r="AY164" s="592"/>
      <c r="AZ164" s="592"/>
      <c r="BA164" s="617"/>
      <c r="BB164" s="592"/>
      <c r="BC164" s="592">
        <f>-46179.15</f>
        <v>-46179.15</v>
      </c>
      <c r="BD164" s="592"/>
      <c r="BE164" s="592"/>
      <c r="BF164" s="592"/>
      <c r="BG164" s="358"/>
      <c r="BH164" s="358"/>
      <c r="BI164" s="358"/>
      <c r="BJ164" s="592"/>
      <c r="BK164" s="592"/>
      <c r="BL164" s="592"/>
      <c r="BM164" s="592"/>
      <c r="BN164" s="592"/>
      <c r="BO164" s="592"/>
      <c r="BP164" s="592"/>
      <c r="BQ164" s="594"/>
      <c r="BR164" s="594"/>
      <c r="BS164" s="394"/>
      <c r="BT164" s="594"/>
      <c r="BU164" s="594"/>
      <c r="BV164" s="594"/>
      <c r="BW164" s="618"/>
      <c r="BX164" s="644"/>
      <c r="BY164" s="644"/>
    </row>
    <row r="165" ht="25.5" customHeight="1">
      <c r="A165" s="635"/>
      <c r="B165" s="572">
        <v>45366.52569444444</v>
      </c>
      <c r="C165" s="642"/>
      <c r="D165" s="642"/>
      <c r="E165" s="574" t="s">
        <v>226</v>
      </c>
      <c r="F165" s="620"/>
      <c r="G165" s="600">
        <v>0.01194546</v>
      </c>
      <c r="H165" s="577"/>
      <c r="I165" s="577"/>
      <c r="J165" s="613"/>
      <c r="K165" s="581"/>
      <c r="L165" s="581"/>
      <c r="M165" s="613"/>
      <c r="N165" s="613"/>
      <c r="O165" s="613"/>
      <c r="P165" s="580"/>
      <c r="Q165" s="580"/>
      <c r="R165" s="581"/>
      <c r="S165" s="581"/>
      <c r="T165" s="581"/>
      <c r="U165" s="582"/>
      <c r="V165" s="614"/>
      <c r="W165" s="581"/>
      <c r="X165" s="615"/>
      <c r="Y165" s="613"/>
      <c r="Z165" s="580"/>
      <c r="AA165" s="634"/>
      <c r="AB165" s="577"/>
      <c r="AC165" s="673"/>
      <c r="AD165" s="634"/>
      <c r="AE165" s="587"/>
      <c r="AF165" s="587"/>
      <c r="AG165" s="582"/>
      <c r="AH165" s="582"/>
      <c r="AI165" s="582"/>
      <c r="AJ165" s="582"/>
      <c r="AK165" s="588"/>
      <c r="AL165" s="582"/>
      <c r="AM165" s="582"/>
      <c r="AN165" s="589"/>
      <c r="AO165" s="616"/>
      <c r="AP165" s="592"/>
      <c r="AQ165" s="358"/>
      <c r="AR165" s="592"/>
      <c r="AS165" s="592"/>
      <c r="AT165" s="592"/>
      <c r="AU165" s="592"/>
      <c r="AV165" s="592"/>
      <c r="AW165" s="592"/>
      <c r="AX165" s="592"/>
      <c r="AY165" s="592"/>
      <c r="AZ165" s="592"/>
      <c r="BA165" s="617"/>
      <c r="BB165" s="592"/>
      <c r="BC165" s="592"/>
      <c r="BD165" s="592"/>
      <c r="BE165" s="592"/>
      <c r="BF165" s="592"/>
      <c r="BG165" s="358"/>
      <c r="BH165" s="358"/>
      <c r="BI165" s="358"/>
      <c r="BJ165" s="592"/>
      <c r="BK165" s="592"/>
      <c r="BL165" s="592"/>
      <c r="BM165" s="592"/>
      <c r="BN165" s="592"/>
      <c r="BO165" s="592"/>
      <c r="BP165" s="592"/>
      <c r="BQ165" s="594"/>
      <c r="BR165" s="594"/>
      <c r="BS165" s="394"/>
      <c r="BT165" s="594"/>
      <c r="BU165" s="594"/>
      <c r="BV165" s="594"/>
      <c r="BW165" s="618"/>
      <c r="BX165" s="608"/>
      <c r="BY165" s="608" t="s">
        <v>347</v>
      </c>
      <c r="BZ165" s="609" t="s">
        <v>348</v>
      </c>
    </row>
    <row r="166" ht="25.5" customHeight="1">
      <c r="A166" s="635"/>
      <c r="B166" s="572">
        <v>45366.53125</v>
      </c>
      <c r="C166" s="642"/>
      <c r="D166" s="642"/>
      <c r="E166" s="574" t="s">
        <v>226</v>
      </c>
      <c r="F166" s="620"/>
      <c r="G166" s="600">
        <v>0.00358746</v>
      </c>
      <c r="H166" s="622"/>
      <c r="I166" s="622"/>
      <c r="J166" s="613"/>
      <c r="K166" s="581"/>
      <c r="L166" s="581"/>
      <c r="M166" s="613"/>
      <c r="N166" s="613"/>
      <c r="O166" s="613"/>
      <c r="P166" s="580"/>
      <c r="Q166" s="580"/>
      <c r="R166" s="581"/>
      <c r="S166" s="581"/>
      <c r="T166" s="581"/>
      <c r="U166" s="623"/>
      <c r="V166" s="614"/>
      <c r="W166" s="581"/>
      <c r="X166" s="615"/>
      <c r="Y166" s="613"/>
      <c r="Z166" s="580"/>
      <c r="AA166" s="634"/>
      <c r="AB166" s="622"/>
      <c r="AC166" s="673"/>
      <c r="AD166" s="634"/>
      <c r="AE166" s="587"/>
      <c r="AF166" s="587"/>
      <c r="AG166" s="623"/>
      <c r="AH166" s="623"/>
      <c r="AI166" s="623"/>
      <c r="AJ166" s="623"/>
      <c r="AK166" s="588"/>
      <c r="AL166" s="623"/>
      <c r="AM166" s="623"/>
      <c r="AN166" s="589"/>
      <c r="AO166" s="616"/>
      <c r="AP166" s="591"/>
      <c r="AQ166" s="358"/>
      <c r="AR166" s="591"/>
      <c r="AS166" s="591"/>
      <c r="AT166" s="591"/>
      <c r="AU166" s="591"/>
      <c r="AV166" s="591"/>
      <c r="AW166" s="591"/>
      <c r="AX166" s="591"/>
      <c r="AY166" s="591"/>
      <c r="AZ166" s="591"/>
      <c r="BA166" s="617"/>
      <c r="BB166" s="591"/>
      <c r="BC166" s="591"/>
      <c r="BD166" s="591"/>
      <c r="BE166" s="591"/>
      <c r="BF166" s="591"/>
      <c r="BG166" s="358"/>
      <c r="BH166" s="358"/>
      <c r="BI166" s="358"/>
      <c r="BJ166" s="591"/>
      <c r="BK166" s="591"/>
      <c r="BL166" s="591"/>
      <c r="BM166" s="591"/>
      <c r="BN166" s="591"/>
      <c r="BO166" s="591"/>
      <c r="BP166" s="591"/>
      <c r="BQ166" s="624"/>
      <c r="BR166" s="624"/>
      <c r="BS166" s="394"/>
      <c r="BT166" s="624"/>
      <c r="BU166" s="624"/>
      <c r="BV166" s="624"/>
      <c r="BW166" s="618"/>
      <c r="BX166" s="608"/>
      <c r="BY166" s="608" t="s">
        <v>347</v>
      </c>
      <c r="BZ166" s="609" t="s">
        <v>349</v>
      </c>
    </row>
    <row r="167" ht="25.5" customHeight="1">
      <c r="A167" s="613">
        <f>A153+M167</f>
        <v>1.020240409</v>
      </c>
      <c r="B167" s="572">
        <v>45366.74513888889</v>
      </c>
      <c r="C167" s="642"/>
      <c r="D167" s="642"/>
      <c r="E167" s="574" t="s">
        <v>226</v>
      </c>
      <c r="F167" s="620"/>
      <c r="G167" s="621"/>
      <c r="H167" s="577"/>
      <c r="I167" s="577"/>
      <c r="K167" s="581"/>
      <c r="L167" s="581"/>
      <c r="M167" s="646">
        <v>0.3862</v>
      </c>
      <c r="N167" s="604"/>
      <c r="O167" s="604"/>
      <c r="P167" s="580"/>
      <c r="Q167" s="580"/>
      <c r="R167" s="581"/>
      <c r="S167" s="581"/>
      <c r="T167" s="581"/>
      <c r="U167" s="623"/>
      <c r="V167" s="630"/>
      <c r="W167" s="581"/>
      <c r="X167" s="631"/>
      <c r="Y167" s="604"/>
      <c r="Z167" s="683"/>
      <c r="AA167" s="634"/>
      <c r="AB167" s="577"/>
      <c r="AC167" s="673"/>
      <c r="AD167" s="634"/>
      <c r="AE167" s="587"/>
      <c r="AF167" s="587"/>
      <c r="AG167" s="582"/>
      <c r="AH167" s="582"/>
      <c r="AI167" s="623"/>
      <c r="AJ167" s="582"/>
      <c r="AK167" s="588"/>
      <c r="AL167" s="582"/>
      <c r="AM167" s="582"/>
      <c r="AN167" s="589"/>
      <c r="AO167" s="616"/>
      <c r="AP167" s="592"/>
      <c r="AQ167" s="358"/>
      <c r="AR167" s="592"/>
      <c r="AS167" s="592"/>
      <c r="AT167" s="592"/>
      <c r="AU167" s="592"/>
      <c r="AV167" s="592"/>
      <c r="AW167" s="592"/>
      <c r="AX167" s="592"/>
      <c r="AY167" s="592"/>
      <c r="AZ167" s="592"/>
      <c r="BA167" s="617"/>
      <c r="BB167" s="592"/>
      <c r="BC167" s="592"/>
      <c r="BD167" s="592"/>
      <c r="BE167" s="592"/>
      <c r="BF167" s="592"/>
      <c r="BG167" s="358"/>
      <c r="BH167" s="684"/>
      <c r="BI167" s="358"/>
      <c r="BJ167" s="592"/>
      <c r="BK167" s="592"/>
      <c r="BL167" s="592"/>
      <c r="BM167" s="592"/>
      <c r="BN167" s="592"/>
      <c r="BO167" s="592"/>
      <c r="BP167" s="592"/>
      <c r="BQ167" s="594"/>
      <c r="BR167" s="594"/>
      <c r="BS167" s="394"/>
      <c r="BT167" s="594"/>
      <c r="BU167" s="594"/>
      <c r="BV167" s="594"/>
      <c r="BW167" s="618"/>
      <c r="BX167" s="608"/>
      <c r="BY167" s="608" t="s">
        <v>350</v>
      </c>
      <c r="BZ167" s="609" t="s">
        <v>351</v>
      </c>
    </row>
    <row r="168" ht="25.5" customHeight="1">
      <c r="A168" s="635"/>
      <c r="B168" s="572">
        <v>45366.75347222222</v>
      </c>
      <c r="C168" s="642"/>
      <c r="D168" s="642"/>
      <c r="E168" s="574" t="s">
        <v>231</v>
      </c>
      <c r="F168" s="620"/>
      <c r="G168" s="621"/>
      <c r="H168" s="577"/>
      <c r="I168" s="577"/>
      <c r="J168" s="613"/>
      <c r="K168" s="581"/>
      <c r="L168" s="581"/>
      <c r="M168" s="613"/>
      <c r="N168" s="613"/>
      <c r="O168" s="613"/>
      <c r="P168" s="580"/>
      <c r="Q168" s="580"/>
      <c r="R168" s="581"/>
      <c r="S168" s="581"/>
      <c r="T168" s="581"/>
      <c r="U168" s="623"/>
      <c r="V168" s="614"/>
      <c r="W168" s="581"/>
      <c r="X168" s="615"/>
      <c r="Y168" s="613"/>
      <c r="Z168" s="580"/>
      <c r="AA168" s="634"/>
      <c r="AB168" s="577"/>
      <c r="AC168" s="673"/>
      <c r="AD168" s="634"/>
      <c r="AE168" s="587"/>
      <c r="AF168" s="587"/>
      <c r="AG168" s="582"/>
      <c r="AH168" s="582"/>
      <c r="AI168" s="623">
        <v>-2504.995</v>
      </c>
      <c r="AJ168" s="582"/>
      <c r="AK168" s="588"/>
      <c r="AL168" s="582"/>
      <c r="AM168" s="582"/>
      <c r="AN168" s="589"/>
      <c r="AO168" s="616"/>
      <c r="AP168" s="592"/>
      <c r="AQ168" s="358"/>
      <c r="AR168" s="592"/>
      <c r="AS168" s="592"/>
      <c r="AT168" s="592"/>
      <c r="AU168" s="592"/>
      <c r="AV168" s="592"/>
      <c r="AW168" s="592"/>
      <c r="AX168" s="592"/>
      <c r="AY168" s="592"/>
      <c r="AZ168" s="592"/>
      <c r="BA168" s="617"/>
      <c r="BB168" s="592"/>
      <c r="BC168" s="592"/>
      <c r="BD168" s="592"/>
      <c r="BE168" s="592"/>
      <c r="BF168" s="592"/>
      <c r="BG168" s="358"/>
      <c r="BH168" s="684">
        <v>909.09</v>
      </c>
      <c r="BI168" s="358"/>
      <c r="BJ168" s="592"/>
      <c r="BK168" s="592"/>
      <c r="BL168" s="592"/>
      <c r="BM168" s="592"/>
      <c r="BN168" s="592"/>
      <c r="BO168" s="592"/>
      <c r="BP168" s="592"/>
      <c r="BQ168" s="594"/>
      <c r="BR168" s="594"/>
      <c r="BS168" s="394"/>
      <c r="BT168" s="594"/>
      <c r="BU168" s="594"/>
      <c r="BV168" s="594"/>
      <c r="BW168" s="618"/>
      <c r="BX168" s="608">
        <v>2500.0</v>
      </c>
      <c r="BY168" s="644"/>
    </row>
    <row r="169" ht="25.5" customHeight="1">
      <c r="A169" s="635"/>
      <c r="B169" s="572">
        <v>45366.75763905093</v>
      </c>
      <c r="C169" s="642"/>
      <c r="D169" s="642"/>
      <c r="E169" s="574" t="s">
        <v>231</v>
      </c>
      <c r="F169" s="612"/>
      <c r="G169" s="600"/>
      <c r="H169" s="577"/>
      <c r="I169" s="577"/>
      <c r="J169" s="613"/>
      <c r="K169" s="581"/>
      <c r="L169" s="581"/>
      <c r="M169" s="613"/>
      <c r="N169" s="613"/>
      <c r="O169" s="613"/>
      <c r="P169" s="580"/>
      <c r="Q169" s="580"/>
      <c r="R169" s="581"/>
      <c r="S169" s="581"/>
      <c r="T169" s="581"/>
      <c r="U169" s="582"/>
      <c r="V169" s="614"/>
      <c r="W169" s="581"/>
      <c r="X169" s="615"/>
      <c r="Y169" s="613"/>
      <c r="Z169" s="580"/>
      <c r="AA169" s="634"/>
      <c r="AB169" s="577"/>
      <c r="AC169" s="673"/>
      <c r="AD169" s="634"/>
      <c r="AE169" s="587"/>
      <c r="AF169" s="587"/>
      <c r="AG169" s="582"/>
      <c r="AH169" s="582"/>
      <c r="AI169" s="582"/>
      <c r="AJ169" s="582"/>
      <c r="AK169" s="588"/>
      <c r="AL169" s="582">
        <v>-2499.6399999999994</v>
      </c>
      <c r="AM169" s="582"/>
      <c r="AN169" s="589"/>
      <c r="AO169" s="616"/>
      <c r="AP169" s="592"/>
      <c r="AQ169" s="358"/>
      <c r="AR169" s="592"/>
      <c r="AS169" s="592"/>
      <c r="AT169" s="592"/>
      <c r="AU169" s="592"/>
      <c r="AV169" s="592"/>
      <c r="AW169" s="592"/>
      <c r="AX169" s="592"/>
      <c r="AY169" s="592"/>
      <c r="AZ169" s="592"/>
      <c r="BA169" s="617"/>
      <c r="BB169" s="592"/>
      <c r="BC169" s="592"/>
      <c r="BD169" s="592"/>
      <c r="BE169" s="592"/>
      <c r="BF169" s="592"/>
      <c r="BG169" s="358"/>
      <c r="BH169" s="592"/>
      <c r="BI169" s="592"/>
      <c r="BJ169" s="592">
        <v>307.49</v>
      </c>
      <c r="BK169" s="592"/>
      <c r="BL169" s="592"/>
      <c r="BM169" s="592"/>
      <c r="BN169" s="592"/>
      <c r="BO169" s="592"/>
      <c r="BP169" s="592"/>
      <c r="BQ169" s="594"/>
      <c r="BR169" s="594"/>
      <c r="BS169" s="394"/>
      <c r="BT169" s="594"/>
      <c r="BU169" s="594"/>
      <c r="BV169" s="594"/>
      <c r="BW169" s="618"/>
      <c r="BX169" s="608">
        <v>2500.0</v>
      </c>
      <c r="BY169" s="644"/>
    </row>
    <row r="170" ht="25.5" customHeight="1">
      <c r="A170" s="635"/>
      <c r="B170" s="572">
        <v>45366.76066984954</v>
      </c>
      <c r="C170" s="642"/>
      <c r="D170" s="642"/>
      <c r="E170" s="574" t="s">
        <v>218</v>
      </c>
      <c r="F170" s="620"/>
      <c r="G170" s="621"/>
      <c r="H170" s="622"/>
      <c r="I170" s="622"/>
      <c r="J170" s="613"/>
      <c r="K170" s="581"/>
      <c r="L170" s="581"/>
      <c r="M170" s="613"/>
      <c r="N170" s="613"/>
      <c r="O170" s="613"/>
      <c r="P170" s="580"/>
      <c r="Q170" s="580"/>
      <c r="R170" s="581"/>
      <c r="S170" s="581"/>
      <c r="T170" s="581"/>
      <c r="U170" s="623"/>
      <c r="V170" s="614"/>
      <c r="W170" s="581"/>
      <c r="X170" s="615"/>
      <c r="Y170" s="613"/>
      <c r="Z170" s="580"/>
      <c r="AA170" s="634"/>
      <c r="AB170" s="622"/>
      <c r="AC170" s="673"/>
      <c r="AD170" s="634"/>
      <c r="AE170" s="587"/>
      <c r="AF170" s="587"/>
      <c r="AG170" s="623"/>
      <c r="AH170" s="623">
        <v>-6086.0</v>
      </c>
      <c r="AI170" s="623"/>
      <c r="AJ170" s="685">
        <v>6085.0</v>
      </c>
      <c r="AK170" s="588"/>
      <c r="AL170" s="623"/>
      <c r="AM170" s="623"/>
      <c r="AN170" s="589"/>
      <c r="AO170" s="616"/>
      <c r="AP170" s="591"/>
      <c r="AQ170" s="358"/>
      <c r="AR170" s="591"/>
      <c r="AS170" s="591"/>
      <c r="AT170" s="591"/>
      <c r="AU170" s="591"/>
      <c r="AV170" s="591"/>
      <c r="AW170" s="591"/>
      <c r="AX170" s="591"/>
      <c r="AY170" s="591"/>
      <c r="AZ170" s="591"/>
      <c r="BA170" s="617"/>
      <c r="BB170" s="591"/>
      <c r="BC170" s="591"/>
      <c r="BD170" s="591"/>
      <c r="BE170" s="591"/>
      <c r="BF170" s="591"/>
      <c r="BG170" s="358"/>
      <c r="BH170" s="591"/>
      <c r="BI170" s="591"/>
      <c r="BJ170" s="591"/>
      <c r="BK170" s="591"/>
      <c r="BL170" s="591"/>
      <c r="BM170" s="591"/>
      <c r="BN170" s="591"/>
      <c r="BO170" s="591"/>
      <c r="BP170" s="591"/>
      <c r="BQ170" s="624"/>
      <c r="BR170" s="624"/>
      <c r="BS170" s="394"/>
      <c r="BT170" s="624"/>
      <c r="BU170" s="624"/>
      <c r="BV170" s="624"/>
      <c r="BW170" s="618"/>
      <c r="BX170" s="644"/>
      <c r="BY170" s="644"/>
      <c r="BZ170" s="609" t="s">
        <v>352</v>
      </c>
    </row>
    <row r="171" ht="25.5" customHeight="1">
      <c r="A171" s="635"/>
      <c r="B171" s="572">
        <v>45366.78439606482</v>
      </c>
      <c r="C171" s="642"/>
      <c r="D171" s="642"/>
      <c r="E171" s="574" t="s">
        <v>231</v>
      </c>
      <c r="F171" s="612"/>
      <c r="G171" s="600"/>
      <c r="H171" s="622"/>
      <c r="I171" s="622"/>
      <c r="J171" s="613"/>
      <c r="K171" s="581"/>
      <c r="L171" s="581"/>
      <c r="M171" s="613"/>
      <c r="N171" s="613"/>
      <c r="O171" s="613"/>
      <c r="P171" s="580"/>
      <c r="Q171" s="580"/>
      <c r="R171" s="581"/>
      <c r="S171" s="581"/>
      <c r="T171" s="581"/>
      <c r="U171" s="623"/>
      <c r="V171" s="614"/>
      <c r="W171" s="581"/>
      <c r="X171" s="615"/>
      <c r="Y171" s="613"/>
      <c r="Z171" s="580"/>
      <c r="AA171" s="634"/>
      <c r="AB171" s="622"/>
      <c r="AC171" s="673"/>
      <c r="AD171" s="634"/>
      <c r="AE171" s="587"/>
      <c r="AF171" s="587"/>
      <c r="AG171" s="623"/>
      <c r="AH171" s="623"/>
      <c r="AI171" s="623"/>
      <c r="AJ171" s="623">
        <v>-3000.0</v>
      </c>
      <c r="AK171" s="588"/>
      <c r="AL171" s="623"/>
      <c r="AM171" s="623"/>
      <c r="AN171" s="589"/>
      <c r="AO171" s="616"/>
      <c r="AP171" s="591"/>
      <c r="AQ171" s="358"/>
      <c r="AR171" s="591"/>
      <c r="AS171" s="591"/>
      <c r="AT171" s="591"/>
      <c r="AU171" s="591"/>
      <c r="AV171" s="591"/>
      <c r="AW171" s="591"/>
      <c r="AX171" s="591"/>
      <c r="AY171" s="591"/>
      <c r="AZ171" s="591"/>
      <c r="BA171" s="617"/>
      <c r="BB171" s="591"/>
      <c r="BC171" s="591"/>
      <c r="BD171" s="591"/>
      <c r="BE171" s="591"/>
      <c r="BF171" s="591"/>
      <c r="BG171" s="358"/>
      <c r="BH171" s="591"/>
      <c r="BI171" s="591">
        <v>3176.0910000000003</v>
      </c>
      <c r="BJ171" s="591"/>
      <c r="BK171" s="591"/>
      <c r="BL171" s="591"/>
      <c r="BM171" s="591"/>
      <c r="BN171" s="591"/>
      <c r="BO171" s="591"/>
      <c r="BP171" s="591"/>
      <c r="BQ171" s="624"/>
      <c r="BR171" s="624"/>
      <c r="BS171" s="394"/>
      <c r="BT171" s="624"/>
      <c r="BU171" s="624"/>
      <c r="BV171" s="624"/>
      <c r="BW171" s="618"/>
      <c r="BX171" s="608">
        <v>3000.0</v>
      </c>
      <c r="BY171" s="644"/>
      <c r="BZ171" s="609" t="s">
        <v>353</v>
      </c>
      <c r="CA171" s="609" t="s">
        <v>354</v>
      </c>
      <c r="CB171" s="609" t="s">
        <v>355</v>
      </c>
    </row>
    <row r="172" ht="25.5" customHeight="1">
      <c r="A172" s="635"/>
      <c r="B172" s="572">
        <v>45366.819444444445</v>
      </c>
      <c r="C172" s="642"/>
      <c r="D172" s="642"/>
      <c r="E172" s="574" t="s">
        <v>231</v>
      </c>
      <c r="F172" s="620"/>
      <c r="G172" s="621"/>
      <c r="H172" s="622"/>
      <c r="I172" s="622"/>
      <c r="J172" s="613"/>
      <c r="K172" s="581"/>
      <c r="L172" s="581"/>
      <c r="M172" s="613"/>
      <c r="N172" s="613"/>
      <c r="O172" s="613"/>
      <c r="P172" s="580"/>
      <c r="Q172" s="686">
        <v>8.6834079</v>
      </c>
      <c r="R172" s="581"/>
      <c r="S172" s="581"/>
      <c r="T172" s="581"/>
      <c r="U172" s="623"/>
      <c r="V172" s="614"/>
      <c r="W172" s="581"/>
      <c r="X172" s="615"/>
      <c r="Y172" s="613"/>
      <c r="Z172" s="580"/>
      <c r="AA172" s="634"/>
      <c r="AB172" s="622"/>
      <c r="AC172" s="673"/>
      <c r="AD172" s="634"/>
      <c r="AE172" s="587"/>
      <c r="AF172" s="587"/>
      <c r="AG172" s="623"/>
      <c r="AH172" s="623"/>
      <c r="AI172" s="623"/>
      <c r="AJ172" s="623"/>
      <c r="AK172" s="588"/>
      <c r="AL172" s="623">
        <v>-32251.08</v>
      </c>
      <c r="AM172" s="623"/>
      <c r="AN172" s="589"/>
      <c r="AO172" s="616"/>
      <c r="AP172" s="591"/>
      <c r="AQ172" s="358"/>
      <c r="AR172" s="591"/>
      <c r="AS172" s="591"/>
      <c r="AT172" s="591"/>
      <c r="AU172" s="591"/>
      <c r="AV172" s="591"/>
      <c r="AW172" s="591"/>
      <c r="AX172" s="591"/>
      <c r="AY172" s="591"/>
      <c r="AZ172" s="591"/>
      <c r="BA172" s="617"/>
      <c r="BB172" s="591"/>
      <c r="BC172" s="591"/>
      <c r="BD172" s="591"/>
      <c r="BE172" s="591"/>
      <c r="BF172" s="591"/>
      <c r="BG172" s="358"/>
      <c r="BH172" s="591"/>
      <c r="BI172" s="591"/>
      <c r="BJ172" s="591"/>
      <c r="BK172" s="591"/>
      <c r="BL172" s="591"/>
      <c r="BM172" s="591"/>
      <c r="BN172" s="591"/>
      <c r="BO172" s="591"/>
      <c r="BP172" s="591"/>
      <c r="BQ172" s="624"/>
      <c r="BR172" s="624"/>
      <c r="BS172" s="394"/>
      <c r="BT172" s="624"/>
      <c r="BU172" s="624"/>
      <c r="BV172" s="624"/>
      <c r="BW172" s="618"/>
      <c r="BX172" s="644"/>
    </row>
    <row r="173" ht="25.5" customHeight="1">
      <c r="A173" s="635"/>
      <c r="B173" s="572">
        <v>45367.296481481484</v>
      </c>
      <c r="C173" s="642"/>
      <c r="D173" s="642"/>
      <c r="E173" s="574" t="s">
        <v>226</v>
      </c>
      <c r="F173" s="612"/>
      <c r="G173" s="600">
        <v>0.00498046</v>
      </c>
      <c r="H173" s="577"/>
      <c r="I173" s="577"/>
      <c r="J173" s="613"/>
      <c r="K173" s="581"/>
      <c r="L173" s="581"/>
      <c r="M173" s="613"/>
      <c r="N173" s="613"/>
      <c r="O173" s="613"/>
      <c r="P173" s="580"/>
      <c r="Q173" s="580"/>
      <c r="R173" s="581"/>
      <c r="S173" s="581"/>
      <c r="T173" s="581"/>
      <c r="U173" s="623"/>
      <c r="V173" s="614"/>
      <c r="W173" s="581"/>
      <c r="X173" s="615"/>
      <c r="Y173" s="613"/>
      <c r="Z173" s="580"/>
      <c r="AA173" s="634"/>
      <c r="AB173" s="577"/>
      <c r="AC173" s="673"/>
      <c r="AD173" s="634"/>
      <c r="AE173" s="587"/>
      <c r="AF173" s="587"/>
      <c r="AG173" s="582"/>
      <c r="AH173" s="582"/>
      <c r="AI173" s="623"/>
      <c r="AJ173" s="582"/>
      <c r="AK173" s="588"/>
      <c r="AL173" s="582"/>
      <c r="AM173" s="582"/>
      <c r="AN173" s="589"/>
      <c r="AO173" s="616"/>
      <c r="AP173" s="592"/>
      <c r="AQ173" s="358"/>
      <c r="AR173" s="592"/>
      <c r="AS173" s="592"/>
      <c r="AT173" s="592"/>
      <c r="AU173" s="592"/>
      <c r="AV173" s="592"/>
      <c r="AW173" s="592"/>
      <c r="AX173" s="592"/>
      <c r="AY173" s="592"/>
      <c r="AZ173" s="592"/>
      <c r="BA173" s="617"/>
      <c r="BB173" s="592"/>
      <c r="BC173" s="592"/>
      <c r="BD173" s="592"/>
      <c r="BE173" s="592"/>
      <c r="BF173" s="592"/>
      <c r="BG173" s="358"/>
      <c r="BH173" s="592"/>
      <c r="BI173" s="592"/>
      <c r="BJ173" s="592"/>
      <c r="BK173" s="592"/>
      <c r="BL173" s="592"/>
      <c r="BM173" s="592"/>
      <c r="BN173" s="592"/>
      <c r="BO173" s="592"/>
      <c r="BP173" s="592"/>
      <c r="BQ173" s="594"/>
      <c r="BR173" s="594"/>
      <c r="BS173" s="394"/>
      <c r="BT173" s="594"/>
      <c r="BU173" s="594"/>
      <c r="BV173" s="594"/>
      <c r="BW173" s="618"/>
      <c r="BX173" s="608"/>
      <c r="BY173" s="608" t="s">
        <v>347</v>
      </c>
      <c r="BZ173" s="609" t="s">
        <v>356</v>
      </c>
    </row>
    <row r="174" ht="25.5" customHeight="1">
      <c r="A174" s="635"/>
      <c r="B174" s="572">
        <v>45368.43935056713</v>
      </c>
      <c r="C174" s="642"/>
      <c r="D174" s="642"/>
      <c r="E174" s="574" t="s">
        <v>231</v>
      </c>
      <c r="F174" s="612"/>
      <c r="G174" s="600"/>
      <c r="H174" s="577"/>
      <c r="I174" s="577"/>
      <c r="J174" s="613"/>
      <c r="K174" s="581"/>
      <c r="L174" s="581"/>
      <c r="M174" s="613"/>
      <c r="N174" s="613"/>
      <c r="O174" s="613"/>
      <c r="P174" s="580"/>
      <c r="Q174" s="580"/>
      <c r="R174" s="581"/>
      <c r="S174" s="581"/>
      <c r="T174" s="581"/>
      <c r="U174" s="623"/>
      <c r="V174" s="614"/>
      <c r="W174" s="581"/>
      <c r="X174" s="615"/>
      <c r="Y174" s="613"/>
      <c r="Z174" s="580"/>
      <c r="AA174" s="634"/>
      <c r="AB174" s="577"/>
      <c r="AC174" s="673"/>
      <c r="AD174" s="634"/>
      <c r="AE174" s="587"/>
      <c r="AF174" s="587"/>
      <c r="AG174" s="582"/>
      <c r="AH174" s="582"/>
      <c r="AI174" s="623">
        <v>-2459.23</v>
      </c>
      <c r="AJ174" s="582"/>
      <c r="AK174" s="588"/>
      <c r="AL174" s="582"/>
      <c r="AM174" s="582"/>
      <c r="AN174" s="589"/>
      <c r="AO174" s="616"/>
      <c r="AP174" s="592"/>
      <c r="AQ174" s="358"/>
      <c r="AR174" s="592"/>
      <c r="AS174" s="592"/>
      <c r="AT174" s="592"/>
      <c r="AU174" s="592"/>
      <c r="AV174" s="592"/>
      <c r="AW174" s="592"/>
      <c r="AX174" s="592"/>
      <c r="AY174" s="592"/>
      <c r="AZ174" s="592"/>
      <c r="BA174" s="617"/>
      <c r="BB174" s="592"/>
      <c r="BC174" s="592"/>
      <c r="BD174" s="592"/>
      <c r="BE174" s="592"/>
      <c r="BF174" s="592"/>
      <c r="BG174" s="358"/>
      <c r="BH174" s="592">
        <v>923.0199999999999</v>
      </c>
      <c r="BI174" s="592"/>
      <c r="BJ174" s="592"/>
      <c r="BK174" s="592"/>
      <c r="BL174" s="592"/>
      <c r="BM174" s="592"/>
      <c r="BN174" s="592"/>
      <c r="BO174" s="592"/>
      <c r="BP174" s="592"/>
      <c r="BQ174" s="594"/>
      <c r="BR174" s="594"/>
      <c r="BS174" s="394"/>
      <c r="BT174" s="594"/>
      <c r="BU174" s="594"/>
      <c r="BV174" s="594"/>
      <c r="BW174" s="618"/>
      <c r="BX174" s="608">
        <v>2500.0</v>
      </c>
      <c r="BY174" s="608"/>
    </row>
    <row r="175" ht="25.5" customHeight="1">
      <c r="A175" s="635"/>
      <c r="B175" s="572">
        <v>45368.49513888889</v>
      </c>
      <c r="C175" s="642"/>
      <c r="D175" s="642"/>
      <c r="E175" s="574" t="s">
        <v>226</v>
      </c>
      <c r="F175" s="620"/>
      <c r="G175" s="600">
        <v>0.06567555</v>
      </c>
      <c r="H175" s="577"/>
      <c r="I175" s="577"/>
      <c r="J175" s="613"/>
      <c r="K175" s="581"/>
      <c r="L175" s="581"/>
      <c r="M175" s="613"/>
      <c r="N175" s="613"/>
      <c r="O175" s="613"/>
      <c r="P175" s="580"/>
      <c r="Q175" s="580"/>
      <c r="R175" s="581"/>
      <c r="S175" s="581"/>
      <c r="T175" s="581"/>
      <c r="U175" s="582"/>
      <c r="V175" s="614"/>
      <c r="W175" s="581"/>
      <c r="X175" s="615"/>
      <c r="Y175" s="613"/>
      <c r="Z175" s="580"/>
      <c r="AA175" s="634"/>
      <c r="AB175" s="577"/>
      <c r="AC175" s="673"/>
      <c r="AD175" s="634"/>
      <c r="AE175" s="587"/>
      <c r="AF175" s="587"/>
      <c r="AG175" s="582"/>
      <c r="AH175" s="582"/>
      <c r="AI175" s="582"/>
      <c r="AJ175" s="582"/>
      <c r="AK175" s="588"/>
      <c r="AL175" s="582"/>
      <c r="AM175" s="582"/>
      <c r="AN175" s="589"/>
      <c r="AO175" s="616"/>
      <c r="AP175" s="592"/>
      <c r="AQ175" s="358"/>
      <c r="AR175" s="592"/>
      <c r="AS175" s="592"/>
      <c r="AT175" s="592"/>
      <c r="AU175" s="592"/>
      <c r="AV175" s="592"/>
      <c r="AW175" s="592"/>
      <c r="AX175" s="592"/>
      <c r="AY175" s="592"/>
      <c r="AZ175" s="592"/>
      <c r="BA175" s="617"/>
      <c r="BB175" s="592"/>
      <c r="BC175" s="592"/>
      <c r="BD175" s="592"/>
      <c r="BE175" s="592"/>
      <c r="BF175" s="592"/>
      <c r="BG175" s="358"/>
      <c r="BH175" s="592"/>
      <c r="BI175" s="592"/>
      <c r="BJ175" s="592"/>
      <c r="BK175" s="592"/>
      <c r="BL175" s="592"/>
      <c r="BM175" s="592"/>
      <c r="BN175" s="592"/>
      <c r="BO175" s="592"/>
      <c r="BP175" s="592"/>
      <c r="BQ175" s="594"/>
      <c r="BR175" s="594"/>
      <c r="BS175" s="394"/>
      <c r="BT175" s="594"/>
      <c r="BU175" s="594"/>
      <c r="BV175" s="594"/>
      <c r="BW175" s="618"/>
      <c r="BX175" s="644"/>
      <c r="BY175" s="608" t="s">
        <v>357</v>
      </c>
      <c r="BZ175" s="609" t="s">
        <v>358</v>
      </c>
    </row>
    <row r="176" ht="25.5" customHeight="1">
      <c r="A176" s="635"/>
      <c r="B176" s="572">
        <v>45368.72088010417</v>
      </c>
      <c r="C176" s="642"/>
      <c r="D176" s="642"/>
      <c r="E176" s="574" t="s">
        <v>226</v>
      </c>
      <c r="F176" s="620"/>
      <c r="G176" s="600">
        <v>0.06764565</v>
      </c>
      <c r="H176" s="577"/>
      <c r="I176" s="577"/>
      <c r="J176" s="613"/>
      <c r="K176" s="581"/>
      <c r="L176" s="581"/>
      <c r="M176" s="613"/>
      <c r="N176" s="613"/>
      <c r="O176" s="613"/>
      <c r="P176" s="580"/>
      <c r="Q176" s="580"/>
      <c r="R176" s="581"/>
      <c r="S176" s="581"/>
      <c r="T176" s="581"/>
      <c r="U176" s="582"/>
      <c r="V176" s="614"/>
      <c r="W176" s="581"/>
      <c r="X176" s="615"/>
      <c r="Y176" s="613"/>
      <c r="Z176" s="580"/>
      <c r="AA176" s="634"/>
      <c r="AB176" s="577"/>
      <c r="AC176" s="673"/>
      <c r="AD176" s="634"/>
      <c r="AE176" s="587"/>
      <c r="AF176" s="587"/>
      <c r="AG176" s="582"/>
      <c r="AH176" s="582"/>
      <c r="AI176" s="582"/>
      <c r="AJ176" s="582"/>
      <c r="AK176" s="588"/>
      <c r="AL176" s="582"/>
      <c r="AM176" s="582"/>
      <c r="AN176" s="589"/>
      <c r="AO176" s="616"/>
      <c r="AP176" s="592"/>
      <c r="AQ176" s="358"/>
      <c r="AR176" s="592"/>
      <c r="AS176" s="592"/>
      <c r="AT176" s="592"/>
      <c r="AU176" s="592"/>
      <c r="AV176" s="592"/>
      <c r="AW176" s="592"/>
      <c r="AX176" s="592"/>
      <c r="AY176" s="592"/>
      <c r="AZ176" s="592"/>
      <c r="BA176" s="617"/>
      <c r="BB176" s="592"/>
      <c r="BC176" s="592"/>
      <c r="BD176" s="592"/>
      <c r="BE176" s="592"/>
      <c r="BF176" s="592"/>
      <c r="BG176" s="358"/>
      <c r="BH176" s="592"/>
      <c r="BI176" s="592"/>
      <c r="BJ176" s="592"/>
      <c r="BK176" s="592"/>
      <c r="BL176" s="592"/>
      <c r="BM176" s="592"/>
      <c r="BN176" s="592"/>
      <c r="BO176" s="592"/>
      <c r="BP176" s="592"/>
      <c r="BQ176" s="594"/>
      <c r="BR176" s="594"/>
      <c r="BS176" s="394"/>
      <c r="BT176" s="594"/>
      <c r="BU176" s="594"/>
      <c r="BV176" s="594"/>
      <c r="BW176" s="618"/>
      <c r="BX176" s="644"/>
      <c r="BY176" s="608" t="s">
        <v>359</v>
      </c>
      <c r="BZ176" s="609" t="s">
        <v>360</v>
      </c>
    </row>
    <row r="177" ht="25.5" customHeight="1">
      <c r="A177" s="635"/>
      <c r="B177" s="572">
        <v>45369.9848602662</v>
      </c>
      <c r="C177" s="642"/>
      <c r="D177" s="642"/>
      <c r="E177" s="574" t="s">
        <v>223</v>
      </c>
      <c r="F177" s="620"/>
      <c r="G177" s="600">
        <v>-1.816E-4</v>
      </c>
      <c r="H177" s="622"/>
      <c r="I177" s="622"/>
      <c r="J177" s="613"/>
      <c r="K177" s="581"/>
      <c r="L177" s="581"/>
      <c r="M177" s="613"/>
      <c r="N177" s="613"/>
      <c r="O177" s="613"/>
      <c r="P177" s="580"/>
      <c r="Q177" s="580"/>
      <c r="R177" s="581"/>
      <c r="S177" s="581"/>
      <c r="T177" s="581"/>
      <c r="U177" s="623"/>
      <c r="V177" s="614"/>
      <c r="W177" s="581"/>
      <c r="X177" s="615"/>
      <c r="Y177" s="613"/>
      <c r="Z177" s="580"/>
      <c r="AA177" s="634"/>
      <c r="AB177" s="622"/>
      <c r="AC177" s="673"/>
      <c r="AD177" s="634"/>
      <c r="AE177" s="587"/>
      <c r="AF177" s="587"/>
      <c r="AG177" s="623"/>
      <c r="AH177" s="623"/>
      <c r="AI177" s="623"/>
      <c r="AJ177" s="623"/>
      <c r="AK177" s="588"/>
      <c r="AL177" s="623"/>
      <c r="AM177" s="623"/>
      <c r="AN177" s="589"/>
      <c r="AO177" s="616"/>
      <c r="AP177" s="591"/>
      <c r="AQ177" s="358"/>
      <c r="AR177" s="591"/>
      <c r="AS177" s="591"/>
      <c r="AT177" s="591"/>
      <c r="AU177" s="591"/>
      <c r="AV177" s="591"/>
      <c r="AW177" s="591"/>
      <c r="AX177" s="591"/>
      <c r="AY177" s="591"/>
      <c r="AZ177" s="591"/>
      <c r="BA177" s="617"/>
      <c r="BB177" s="591"/>
      <c r="BC177" s="591"/>
      <c r="BD177" s="591"/>
      <c r="BE177" s="591"/>
      <c r="BF177" s="591"/>
      <c r="BG177" s="358"/>
      <c r="BH177" s="591"/>
      <c r="BI177" s="591"/>
      <c r="BJ177" s="591"/>
      <c r="BK177" s="591"/>
      <c r="BL177" s="591"/>
      <c r="BM177" s="591"/>
      <c r="BN177" s="591"/>
      <c r="BO177" s="591"/>
      <c r="BP177" s="591"/>
      <c r="BQ177" s="624"/>
      <c r="BR177" s="624"/>
      <c r="BS177" s="394"/>
      <c r="BT177" s="624"/>
      <c r="BU177" s="624"/>
      <c r="BV177" s="624"/>
      <c r="BW177" s="618"/>
      <c r="BX177" s="644"/>
      <c r="BY177" s="608" t="s">
        <v>361</v>
      </c>
      <c r="BZ177" s="609" t="s">
        <v>362</v>
      </c>
    </row>
    <row r="178" ht="25.5" customHeight="1">
      <c r="A178" s="635"/>
      <c r="B178" s="572">
        <v>45369.9848602662</v>
      </c>
      <c r="C178" s="642"/>
      <c r="D178" s="642"/>
      <c r="E178" s="574" t="s">
        <v>226</v>
      </c>
      <c r="F178" s="620"/>
      <c r="G178" s="600">
        <v>-0.01045934</v>
      </c>
      <c r="H178" s="577"/>
      <c r="I178" s="577"/>
      <c r="J178" s="613"/>
      <c r="K178" s="581"/>
      <c r="L178" s="581"/>
      <c r="M178" s="613"/>
      <c r="N178" s="613"/>
      <c r="O178" s="613"/>
      <c r="P178" s="580"/>
      <c r="Q178" s="580"/>
      <c r="R178" s="581"/>
      <c r="S178" s="581"/>
      <c r="T178" s="581"/>
      <c r="U178" s="582"/>
      <c r="V178" s="614"/>
      <c r="W178" s="581"/>
      <c r="X178" s="615"/>
      <c r="Y178" s="613"/>
      <c r="Z178" s="580"/>
      <c r="AA178" s="634"/>
      <c r="AB178" s="577"/>
      <c r="AC178" s="673"/>
      <c r="AD178" s="634"/>
      <c r="AE178" s="587"/>
      <c r="AF178" s="587"/>
      <c r="AG178" s="582"/>
      <c r="AH178" s="582"/>
      <c r="AI178" s="582"/>
      <c r="AJ178" s="582"/>
      <c r="AK178" s="588"/>
      <c r="AL178" s="582"/>
      <c r="AM178" s="582"/>
      <c r="AN178" s="589"/>
      <c r="AO178" s="616"/>
      <c r="AP178" s="592"/>
      <c r="AQ178" s="358"/>
      <c r="AR178" s="592"/>
      <c r="AS178" s="592"/>
      <c r="AT178" s="592"/>
      <c r="AU178" s="592"/>
      <c r="AV178" s="592"/>
      <c r="AW178" s="592"/>
      <c r="AX178" s="592"/>
      <c r="AY178" s="592"/>
      <c r="AZ178" s="592"/>
      <c r="BA178" s="617"/>
      <c r="BB178" s="592"/>
      <c r="BC178" s="592"/>
      <c r="BD178" s="592"/>
      <c r="BE178" s="592"/>
      <c r="BF178" s="592"/>
      <c r="BG178" s="358"/>
      <c r="BH178" s="592"/>
      <c r="BI178" s="592"/>
      <c r="BJ178" s="592"/>
      <c r="BK178" s="592"/>
      <c r="BL178" s="592"/>
      <c r="BM178" s="592"/>
      <c r="BN178" s="592"/>
      <c r="BO178" s="592"/>
      <c r="BP178" s="592"/>
      <c r="BQ178" s="594"/>
      <c r="BR178" s="594"/>
      <c r="BS178" s="394"/>
      <c r="BT178" s="594"/>
      <c r="BU178" s="594"/>
      <c r="BV178" s="594"/>
      <c r="BW178" s="618"/>
      <c r="BX178" s="608"/>
      <c r="BY178" s="608" t="s">
        <v>363</v>
      </c>
      <c r="BZ178" s="609" t="s">
        <v>364</v>
      </c>
    </row>
    <row r="179" ht="25.5" customHeight="1">
      <c r="A179" s="635"/>
      <c r="B179" s="572">
        <v>45370.98486111111</v>
      </c>
      <c r="C179" s="642"/>
      <c r="D179" s="642"/>
      <c r="E179" s="574" t="s">
        <v>226</v>
      </c>
      <c r="F179" s="620"/>
      <c r="G179" s="600">
        <v>-0.02967964</v>
      </c>
      <c r="H179" s="577"/>
      <c r="I179" s="577"/>
      <c r="J179" s="613"/>
      <c r="K179" s="581"/>
      <c r="L179" s="581"/>
      <c r="M179" s="613"/>
      <c r="N179" s="613"/>
      <c r="O179" s="613"/>
      <c r="P179" s="580"/>
      <c r="Q179" s="580"/>
      <c r="R179" s="581"/>
      <c r="S179" s="581"/>
      <c r="T179" s="581"/>
      <c r="U179" s="582"/>
      <c r="V179" s="614"/>
      <c r="W179" s="581"/>
      <c r="X179" s="615"/>
      <c r="Y179" s="613"/>
      <c r="Z179" s="580"/>
      <c r="AA179" s="634"/>
      <c r="AB179" s="577"/>
      <c r="AC179" s="673"/>
      <c r="AD179" s="634"/>
      <c r="AE179" s="587"/>
      <c r="AF179" s="587"/>
      <c r="AG179" s="582"/>
      <c r="AH179" s="582"/>
      <c r="AI179" s="582"/>
      <c r="AJ179" s="582"/>
      <c r="AK179" s="588"/>
      <c r="AL179" s="582"/>
      <c r="AM179" s="582"/>
      <c r="AN179" s="589"/>
      <c r="AO179" s="616"/>
      <c r="AP179" s="592"/>
      <c r="AQ179" s="358"/>
      <c r="AR179" s="592"/>
      <c r="AS179" s="592"/>
      <c r="AT179" s="592"/>
      <c r="AU179" s="592"/>
      <c r="AV179" s="592"/>
      <c r="AW179" s="592"/>
      <c r="AX179" s="592"/>
      <c r="AY179" s="592"/>
      <c r="AZ179" s="592"/>
      <c r="BA179" s="617"/>
      <c r="BB179" s="592"/>
      <c r="BC179" s="592"/>
      <c r="BD179" s="592"/>
      <c r="BE179" s="592"/>
      <c r="BF179" s="592"/>
      <c r="BG179" s="358"/>
      <c r="BH179" s="592"/>
      <c r="BI179" s="592"/>
      <c r="BJ179" s="592"/>
      <c r="BK179" s="592"/>
      <c r="BL179" s="592"/>
      <c r="BM179" s="592"/>
      <c r="BN179" s="592"/>
      <c r="BO179" s="592"/>
      <c r="BP179" s="592"/>
      <c r="BQ179" s="594"/>
      <c r="BR179" s="594"/>
      <c r="BS179" s="394"/>
      <c r="BT179" s="594"/>
      <c r="BU179" s="594"/>
      <c r="BV179" s="594"/>
      <c r="BW179" s="618"/>
      <c r="BX179" s="644"/>
      <c r="BY179" s="608" t="s">
        <v>365</v>
      </c>
      <c r="BZ179" s="609" t="s">
        <v>366</v>
      </c>
    </row>
    <row r="180" ht="25.5" customHeight="1">
      <c r="A180" s="635">
        <f>AL180/Q180</f>
        <v>-3313.310677</v>
      </c>
      <c r="B180" s="572">
        <v>45370.36396996528</v>
      </c>
      <c r="C180" s="642"/>
      <c r="D180" s="642"/>
      <c r="E180" s="574" t="s">
        <v>231</v>
      </c>
      <c r="F180" s="620"/>
      <c r="G180" s="621"/>
      <c r="H180" s="577"/>
      <c r="I180" s="577"/>
      <c r="J180" s="613"/>
      <c r="K180" s="581"/>
      <c r="L180" s="581"/>
      <c r="M180" s="613"/>
      <c r="N180" s="613"/>
      <c r="O180" s="613"/>
      <c r="P180" s="580"/>
      <c r="Q180" s="580">
        <v>9.728869299999998</v>
      </c>
      <c r="R180" s="581"/>
      <c r="S180" s="581"/>
      <c r="T180" s="581"/>
      <c r="U180" s="582"/>
      <c r="V180" s="614"/>
      <c r="W180" s="581"/>
      <c r="X180" s="615"/>
      <c r="Y180" s="613"/>
      <c r="Z180" s="580"/>
      <c r="AA180" s="634"/>
      <c r="AB180" s="577"/>
      <c r="AC180" s="673"/>
      <c r="AD180" s="634"/>
      <c r="AE180" s="587"/>
      <c r="AF180" s="587"/>
      <c r="AG180" s="582"/>
      <c r="AH180" s="582"/>
      <c r="AI180" s="582"/>
      <c r="AJ180" s="582"/>
      <c r="AK180" s="588"/>
      <c r="AL180" s="623">
        <v>-32234.76653128</v>
      </c>
      <c r="AM180" s="623"/>
      <c r="AN180" s="589"/>
      <c r="AO180" s="616"/>
      <c r="AP180" s="592"/>
      <c r="AQ180" s="358"/>
      <c r="AR180" s="592"/>
      <c r="AS180" s="592"/>
      <c r="AT180" s="592"/>
      <c r="AU180" s="592"/>
      <c r="AV180" s="592"/>
      <c r="AW180" s="592"/>
      <c r="AX180" s="592"/>
      <c r="AY180" s="592"/>
      <c r="AZ180" s="592"/>
      <c r="BA180" s="617"/>
      <c r="BB180" s="592"/>
      <c r="BC180" s="592"/>
      <c r="BD180" s="592"/>
      <c r="BE180" s="592"/>
      <c r="BF180" s="592"/>
      <c r="BG180" s="358"/>
      <c r="BH180" s="592"/>
      <c r="BI180" s="592"/>
      <c r="BJ180" s="592"/>
      <c r="BK180" s="592"/>
      <c r="BL180" s="592"/>
      <c r="BM180" s="592"/>
      <c r="BN180" s="592"/>
      <c r="BO180" s="592"/>
      <c r="BP180" s="592"/>
      <c r="BQ180" s="594"/>
      <c r="BR180" s="594"/>
      <c r="BS180" s="394"/>
      <c r="BT180" s="594"/>
      <c r="BU180" s="594"/>
      <c r="BV180" s="594"/>
      <c r="BW180" s="618"/>
      <c r="BX180" s="608"/>
      <c r="BY180" s="608"/>
    </row>
    <row r="181" ht="25.5" customHeight="1">
      <c r="A181" s="635"/>
      <c r="B181" s="572">
        <v>45370.41299938658</v>
      </c>
      <c r="C181" s="642"/>
      <c r="D181" s="642"/>
      <c r="E181" s="574" t="s">
        <v>231</v>
      </c>
      <c r="F181" s="620"/>
      <c r="G181" s="621"/>
      <c r="H181" s="622"/>
      <c r="I181" s="622"/>
      <c r="J181" s="613"/>
      <c r="K181" s="581"/>
      <c r="L181" s="581"/>
      <c r="M181" s="613"/>
      <c r="N181" s="613"/>
      <c r="O181" s="613"/>
      <c r="P181" s="580"/>
      <c r="Q181" s="580"/>
      <c r="R181" s="581"/>
      <c r="S181" s="581"/>
      <c r="T181" s="581"/>
      <c r="U181" s="623"/>
      <c r="V181" s="614"/>
      <c r="W181" s="581"/>
      <c r="X181" s="615"/>
      <c r="Y181" s="613"/>
      <c r="Z181" s="580"/>
      <c r="AA181" s="634"/>
      <c r="AB181" s="622"/>
      <c r="AC181" s="673"/>
      <c r="AD181" s="634"/>
      <c r="AE181" s="587"/>
      <c r="AF181" s="587"/>
      <c r="AG181" s="623"/>
      <c r="AH181" s="623"/>
      <c r="AI181" s="623">
        <v>-2505.0</v>
      </c>
      <c r="AJ181" s="623"/>
      <c r="AK181" s="588"/>
      <c r="AL181" s="623"/>
      <c r="AM181" s="623"/>
      <c r="AN181" s="589"/>
      <c r="AO181" s="616"/>
      <c r="AP181" s="591"/>
      <c r="AQ181" s="358"/>
      <c r="AR181" s="591"/>
      <c r="AS181" s="591"/>
      <c r="AT181" s="591"/>
      <c r="AU181" s="591"/>
      <c r="AV181" s="591"/>
      <c r="AW181" s="591"/>
      <c r="AX181" s="591"/>
      <c r="AY181" s="591"/>
      <c r="AZ181" s="591"/>
      <c r="BA181" s="617"/>
      <c r="BB181" s="591"/>
      <c r="BC181" s="591"/>
      <c r="BD181" s="591"/>
      <c r="BE181" s="591">
        <v>28.92</v>
      </c>
      <c r="BF181" s="591"/>
      <c r="BG181" s="358"/>
      <c r="BH181" s="591"/>
      <c r="BI181" s="591"/>
      <c r="BJ181" s="591"/>
      <c r="BK181" s="591"/>
      <c r="BL181" s="591"/>
      <c r="BM181" s="591"/>
      <c r="BN181" s="591"/>
      <c r="BO181" s="591"/>
      <c r="BP181" s="591"/>
      <c r="BQ181" s="624"/>
      <c r="BR181" s="624"/>
      <c r="BS181" s="394"/>
      <c r="BT181" s="624"/>
      <c r="BU181" s="624"/>
      <c r="BV181" s="624"/>
      <c r="BW181" s="618"/>
      <c r="BX181" s="644"/>
      <c r="BY181" s="644"/>
    </row>
    <row r="182" ht="25.5" customHeight="1">
      <c r="A182" s="635"/>
      <c r="B182" s="572">
        <v>45372.8125</v>
      </c>
      <c r="C182" s="642"/>
      <c r="D182" s="642"/>
      <c r="E182" s="574" t="s">
        <v>231</v>
      </c>
      <c r="F182" s="620"/>
      <c r="G182" s="621"/>
      <c r="H182" s="577"/>
      <c r="I182" s="577"/>
      <c r="J182" s="613"/>
      <c r="K182" s="581"/>
      <c r="L182" s="581"/>
      <c r="M182" s="613"/>
      <c r="N182" s="613"/>
      <c r="O182" s="613"/>
      <c r="P182" s="580"/>
      <c r="Q182" s="580"/>
      <c r="R182" s="581"/>
      <c r="S182" s="581"/>
      <c r="T182" s="581"/>
      <c r="U182" s="582"/>
      <c r="V182" s="614"/>
      <c r="W182" s="581"/>
      <c r="X182" s="615"/>
      <c r="Y182" s="613"/>
      <c r="Z182" s="580"/>
      <c r="AA182" s="634"/>
      <c r="AB182" s="577">
        <v>-0.07677999999999985</v>
      </c>
      <c r="AC182" s="673"/>
      <c r="AD182" s="634"/>
      <c r="AE182" s="606"/>
      <c r="AF182" s="606"/>
      <c r="AG182" s="582"/>
      <c r="AH182" s="582"/>
      <c r="AI182" s="582"/>
      <c r="AJ182" s="582"/>
      <c r="AK182" s="588"/>
      <c r="AL182" s="582"/>
      <c r="AM182" s="582"/>
      <c r="AN182" s="607"/>
      <c r="AO182" s="616"/>
      <c r="AP182" s="592"/>
      <c r="AQ182" s="358"/>
      <c r="AR182" s="592"/>
      <c r="AS182" s="592"/>
      <c r="AT182" s="592"/>
      <c r="AU182" s="591">
        <v>431.0</v>
      </c>
      <c r="AV182" s="592"/>
      <c r="AW182" s="592"/>
      <c r="AX182" s="592"/>
      <c r="AY182" s="592"/>
      <c r="AZ182" s="592"/>
      <c r="BA182" s="617"/>
      <c r="BB182" s="592"/>
      <c r="BC182" s="592"/>
      <c r="BD182" s="592"/>
      <c r="BE182" s="592"/>
      <c r="BF182" s="592"/>
      <c r="BG182" s="358"/>
      <c r="BH182" s="592"/>
      <c r="BI182" s="592"/>
      <c r="BJ182" s="592"/>
      <c r="BK182" s="592"/>
      <c r="BL182" s="592"/>
      <c r="BM182" s="592"/>
      <c r="BN182" s="592"/>
      <c r="BO182" s="592"/>
      <c r="BP182" s="592"/>
      <c r="BQ182" s="594"/>
      <c r="BR182" s="594"/>
      <c r="BS182" s="394"/>
      <c r="BT182" s="594"/>
      <c r="BU182" s="594"/>
      <c r="BV182" s="594"/>
      <c r="BW182" s="618"/>
      <c r="BX182" s="608"/>
      <c r="BY182" s="608"/>
    </row>
    <row r="183" ht="25.5" customHeight="1">
      <c r="A183" s="635"/>
      <c r="B183" s="572">
        <v>45372.81796702546</v>
      </c>
      <c r="C183" s="642"/>
      <c r="D183" s="642"/>
      <c r="E183" s="574" t="s">
        <v>218</v>
      </c>
      <c r="F183" s="620"/>
      <c r="G183" s="621"/>
      <c r="H183" s="622"/>
      <c r="I183" s="622"/>
      <c r="J183" s="613"/>
      <c r="K183" s="581"/>
      <c r="L183" s="581"/>
      <c r="M183" s="613"/>
      <c r="N183" s="613"/>
      <c r="O183" s="613"/>
      <c r="P183" s="580"/>
      <c r="Q183" s="580"/>
      <c r="R183" s="581"/>
      <c r="S183" s="581"/>
      <c r="T183" s="581"/>
      <c r="U183" s="623"/>
      <c r="V183" s="614"/>
      <c r="W183" s="581"/>
      <c r="X183" s="615"/>
      <c r="Y183" s="613"/>
      <c r="Z183" s="580"/>
      <c r="AA183" s="634"/>
      <c r="AB183" s="622"/>
      <c r="AC183" s="680"/>
      <c r="AD183" s="634"/>
      <c r="AE183" s="587"/>
      <c r="AF183" s="587"/>
      <c r="AG183" s="623"/>
      <c r="AH183" s="623"/>
      <c r="AI183" s="623"/>
      <c r="AJ183" s="623"/>
      <c r="AK183" s="588"/>
      <c r="AL183" s="623"/>
      <c r="AM183" s="623"/>
      <c r="AN183" s="589"/>
      <c r="AO183" s="616"/>
      <c r="AP183" s="591"/>
      <c r="AQ183" s="358"/>
      <c r="AR183" s="591"/>
      <c r="AS183" s="591"/>
      <c r="AT183" s="591"/>
      <c r="AU183" s="591">
        <v>-431.0</v>
      </c>
      <c r="AV183" s="591">
        <v>430.9</v>
      </c>
      <c r="AW183" s="591"/>
      <c r="AX183" s="591"/>
      <c r="AY183" s="591"/>
      <c r="AZ183" s="591"/>
      <c r="BA183" s="617"/>
      <c r="BB183" s="591"/>
      <c r="BC183" s="591"/>
      <c r="BD183" s="591"/>
      <c r="BE183" s="591"/>
      <c r="BF183" s="591"/>
      <c r="BG183" s="358"/>
      <c r="BH183" s="591"/>
      <c r="BI183" s="591"/>
      <c r="BJ183" s="591"/>
      <c r="BK183" s="591"/>
      <c r="BL183" s="591"/>
      <c r="BM183" s="591"/>
      <c r="BN183" s="591"/>
      <c r="BO183" s="591"/>
      <c r="BP183" s="591"/>
      <c r="BQ183" s="624"/>
      <c r="BR183" s="624"/>
      <c r="BS183" s="394"/>
      <c r="BT183" s="624"/>
      <c r="BU183" s="624"/>
      <c r="BV183" s="624"/>
      <c r="BW183" s="618"/>
      <c r="BX183" s="644"/>
      <c r="BY183" s="644"/>
    </row>
    <row r="184" ht="25.5" customHeight="1">
      <c r="A184" s="635"/>
      <c r="B184" s="572">
        <v>45372.82353369213</v>
      </c>
      <c r="C184" s="642"/>
      <c r="D184" s="642"/>
      <c r="E184" s="574" t="s">
        <v>231</v>
      </c>
      <c r="F184" s="620"/>
      <c r="G184" s="621"/>
      <c r="H184" s="577"/>
      <c r="I184" s="577"/>
      <c r="J184" s="604"/>
      <c r="K184" s="581"/>
      <c r="L184" s="581"/>
      <c r="M184" s="604"/>
      <c r="N184" s="604"/>
      <c r="O184" s="604"/>
      <c r="P184" s="580"/>
      <c r="Q184" s="580"/>
      <c r="R184" s="581"/>
      <c r="S184" s="581"/>
      <c r="T184" s="581"/>
      <c r="U184" s="582"/>
      <c r="V184" s="630"/>
      <c r="W184" s="581"/>
      <c r="X184" s="631"/>
      <c r="Y184" s="604"/>
      <c r="Z184" s="580"/>
      <c r="AA184" s="634"/>
      <c r="AB184" s="577"/>
      <c r="AC184" s="680"/>
      <c r="AD184" s="634"/>
      <c r="AE184" s="587"/>
      <c r="AF184" s="587"/>
      <c r="AG184" s="582"/>
      <c r="AH184" s="582"/>
      <c r="AI184" s="582"/>
      <c r="AJ184" s="582"/>
      <c r="AK184" s="588"/>
      <c r="AL184" s="582"/>
      <c r="AM184" s="582"/>
      <c r="AN184" s="589"/>
      <c r="AO184" s="616"/>
      <c r="AP184" s="591"/>
      <c r="AQ184" s="358"/>
      <c r="AR184" s="591"/>
      <c r="AS184" s="591"/>
      <c r="AT184" s="591"/>
      <c r="AU184" s="592"/>
      <c r="AV184" s="591">
        <v>-430.9</v>
      </c>
      <c r="AW184" s="591">
        <v>840.4731</v>
      </c>
      <c r="AX184" s="591"/>
      <c r="AY184" s="592"/>
      <c r="AZ184" s="592"/>
      <c r="BA184" s="617"/>
      <c r="BB184" s="592"/>
      <c r="BC184" s="592"/>
      <c r="BD184" s="592"/>
      <c r="BE184" s="592"/>
      <c r="BF184" s="592"/>
      <c r="BG184" s="358"/>
      <c r="BH184" s="592"/>
      <c r="BI184" s="592"/>
      <c r="BJ184" s="592"/>
      <c r="BK184" s="592"/>
      <c r="BL184" s="592"/>
      <c r="BM184" s="592"/>
      <c r="BN184" s="592"/>
      <c r="BO184" s="592"/>
      <c r="BP184" s="592"/>
      <c r="BQ184" s="594"/>
      <c r="BR184" s="594"/>
      <c r="BS184" s="394"/>
      <c r="BT184" s="594"/>
      <c r="BU184" s="594"/>
      <c r="BV184" s="594"/>
      <c r="BW184" s="618"/>
      <c r="BX184" s="608">
        <v>5000.0</v>
      </c>
      <c r="BY184" s="644"/>
      <c r="BZ184" s="609" t="s">
        <v>367</v>
      </c>
    </row>
    <row r="185" ht="25.5" customHeight="1">
      <c r="A185" s="635"/>
      <c r="B185" s="572">
        <v>45372.87321346065</v>
      </c>
      <c r="C185" s="642"/>
      <c r="D185" s="642"/>
      <c r="E185" s="574" t="s">
        <v>231</v>
      </c>
      <c r="F185" s="612"/>
      <c r="G185" s="600"/>
      <c r="H185" s="622"/>
      <c r="I185" s="622"/>
      <c r="J185" s="613"/>
      <c r="K185" s="581"/>
      <c r="L185" s="581"/>
      <c r="M185" s="613"/>
      <c r="N185" s="613"/>
      <c r="O185" s="613"/>
      <c r="P185" s="580"/>
      <c r="Q185" s="580"/>
      <c r="R185" s="581"/>
      <c r="S185" s="581"/>
      <c r="T185" s="581"/>
      <c r="U185" s="623"/>
      <c r="V185" s="614"/>
      <c r="W185" s="581"/>
      <c r="X185" s="615"/>
      <c r="Y185" s="613"/>
      <c r="Z185" s="580"/>
      <c r="AA185" s="634"/>
      <c r="AB185" s="622"/>
      <c r="AC185" s="673"/>
      <c r="AD185" s="634"/>
      <c r="AE185" s="587"/>
      <c r="AF185" s="587"/>
      <c r="AG185" s="623"/>
      <c r="AH185" s="623"/>
      <c r="AI185" s="623"/>
      <c r="AJ185" s="623">
        <v>-3085.0</v>
      </c>
      <c r="AK185" s="588"/>
      <c r="AL185" s="623"/>
      <c r="AM185" s="623"/>
      <c r="AN185" s="589"/>
      <c r="AO185" s="616"/>
      <c r="AP185" s="591"/>
      <c r="AQ185" s="358"/>
      <c r="AR185" s="591"/>
      <c r="AS185" s="591"/>
      <c r="AT185" s="591"/>
      <c r="AU185" s="591"/>
      <c r="AV185" s="591"/>
      <c r="AW185" s="591"/>
      <c r="AX185" s="591"/>
      <c r="AY185" s="591"/>
      <c r="AZ185" s="591"/>
      <c r="BA185" s="617"/>
      <c r="BB185" s="591"/>
      <c r="BC185" s="591"/>
      <c r="BD185" s="591"/>
      <c r="BE185" s="591"/>
      <c r="BF185" s="591"/>
      <c r="BG185" s="358"/>
      <c r="BH185" s="591"/>
      <c r="BI185" s="591">
        <v>2176.0</v>
      </c>
      <c r="BJ185" s="591"/>
      <c r="BK185" s="591"/>
      <c r="BL185" s="591"/>
      <c r="BM185" s="591"/>
      <c r="BN185" s="591"/>
      <c r="BO185" s="591"/>
      <c r="BP185" s="591"/>
      <c r="BQ185" s="624"/>
      <c r="BR185" s="624"/>
      <c r="BS185" s="394"/>
      <c r="BT185" s="624"/>
      <c r="BU185" s="624"/>
      <c r="BV185" s="624"/>
      <c r="BW185" s="618"/>
      <c r="BX185" s="608">
        <v>3085.0</v>
      </c>
      <c r="BY185" s="644"/>
      <c r="BZ185" s="687" t="s">
        <v>368</v>
      </c>
    </row>
    <row r="186" ht="25.5" customHeight="1">
      <c r="A186" s="635"/>
      <c r="B186" s="666">
        <v>45372.90327622685</v>
      </c>
      <c r="C186" s="642"/>
      <c r="D186" s="642"/>
      <c r="E186" s="574" t="s">
        <v>218</v>
      </c>
      <c r="F186" s="620"/>
      <c r="G186" s="621"/>
      <c r="H186" s="577"/>
      <c r="I186" s="577"/>
      <c r="J186" s="613"/>
      <c r="K186" s="581"/>
      <c r="L186" s="581"/>
      <c r="M186" s="613"/>
      <c r="N186" s="688">
        <v>-73.5000638354788</v>
      </c>
      <c r="O186" s="688"/>
      <c r="P186" s="689"/>
      <c r="Q186" s="686">
        <v>73.5</v>
      </c>
      <c r="R186" s="581"/>
      <c r="S186" s="581"/>
      <c r="T186" s="581"/>
      <c r="U186" s="582"/>
      <c r="V186" s="630"/>
      <c r="W186" s="581"/>
      <c r="X186" s="631"/>
      <c r="Y186" s="688"/>
      <c r="Z186" s="580"/>
      <c r="AA186" s="634"/>
      <c r="AB186" s="577"/>
      <c r="AC186" s="673"/>
      <c r="AD186" s="634"/>
      <c r="AE186" s="587"/>
      <c r="AF186" s="587"/>
      <c r="AG186" s="582"/>
      <c r="AH186" s="582"/>
      <c r="AI186" s="582"/>
      <c r="AJ186" s="582"/>
      <c r="AK186" s="588"/>
      <c r="AL186" s="582"/>
      <c r="AM186" s="582"/>
      <c r="AN186" s="589"/>
      <c r="AO186" s="616"/>
      <c r="AP186" s="592"/>
      <c r="AQ186" s="358"/>
      <c r="AR186" s="592"/>
      <c r="AS186" s="592"/>
      <c r="AT186" s="592"/>
      <c r="AU186" s="592"/>
      <c r="AV186" s="592"/>
      <c r="AW186" s="592"/>
      <c r="AX186" s="592"/>
      <c r="AY186" s="592"/>
      <c r="AZ186" s="592"/>
      <c r="BA186" s="617"/>
      <c r="BB186" s="592"/>
      <c r="BC186" s="592"/>
      <c r="BD186" s="592"/>
      <c r="BE186" s="592"/>
      <c r="BF186" s="592"/>
      <c r="BG186" s="358"/>
      <c r="BH186" s="592"/>
      <c r="BI186" s="592"/>
      <c r="BJ186" s="592"/>
      <c r="BK186" s="592"/>
      <c r="BL186" s="592"/>
      <c r="BM186" s="592"/>
      <c r="BN186" s="592"/>
      <c r="BO186" s="592"/>
      <c r="BP186" s="592"/>
      <c r="BQ186" s="594"/>
      <c r="BR186" s="594"/>
      <c r="BS186" s="394"/>
      <c r="BT186" s="594"/>
      <c r="BU186" s="594"/>
      <c r="BV186" s="594"/>
      <c r="BW186" s="618"/>
      <c r="BX186" s="644"/>
      <c r="BY186" s="644"/>
      <c r="BZ186" s="609" t="s">
        <v>369</v>
      </c>
    </row>
    <row r="187" ht="25.5" customHeight="1">
      <c r="A187" s="635"/>
      <c r="B187" s="666">
        <v>45372.91364986111</v>
      </c>
      <c r="C187" s="642"/>
      <c r="D187" s="642"/>
      <c r="E187" s="574" t="s">
        <v>218</v>
      </c>
      <c r="F187" s="620"/>
      <c r="G187" s="621"/>
      <c r="H187" s="577"/>
      <c r="I187" s="577"/>
      <c r="J187" s="613"/>
      <c r="K187" s="581"/>
      <c r="L187" s="581"/>
      <c r="M187" s="613"/>
      <c r="N187" s="613"/>
      <c r="O187" s="604">
        <v>91.9111693</v>
      </c>
      <c r="P187" s="633"/>
      <c r="Q187" s="686">
        <v>-91.9122772</v>
      </c>
      <c r="R187" s="581"/>
      <c r="S187" s="581"/>
      <c r="T187" s="581"/>
      <c r="U187" s="582"/>
      <c r="V187" s="630"/>
      <c r="W187" s="581"/>
      <c r="X187" s="631"/>
      <c r="Y187" s="604"/>
      <c r="Z187" s="580"/>
      <c r="AA187" s="634"/>
      <c r="AB187" s="577"/>
      <c r="AC187" s="673"/>
      <c r="AD187" s="634"/>
      <c r="AE187" s="587"/>
      <c r="AF187" s="587"/>
      <c r="AG187" s="582"/>
      <c r="AH187" s="582"/>
      <c r="AI187" s="582"/>
      <c r="AJ187" s="582"/>
      <c r="AK187" s="588"/>
      <c r="AL187" s="582"/>
      <c r="AM187" s="582"/>
      <c r="AN187" s="589"/>
      <c r="AO187" s="616"/>
      <c r="AP187" s="592"/>
      <c r="AQ187" s="358"/>
      <c r="AR187" s="592"/>
      <c r="AS187" s="592"/>
      <c r="AT187" s="592"/>
      <c r="AU187" s="592"/>
      <c r="AV187" s="592"/>
      <c r="AW187" s="592"/>
      <c r="AX187" s="592"/>
      <c r="AY187" s="592"/>
      <c r="AZ187" s="592"/>
      <c r="BA187" s="617"/>
      <c r="BB187" s="592"/>
      <c r="BC187" s="592"/>
      <c r="BD187" s="592"/>
      <c r="BE187" s="592"/>
      <c r="BF187" s="592"/>
      <c r="BG187" s="358"/>
      <c r="BH187" s="592"/>
      <c r="BI187" s="592"/>
      <c r="BJ187" s="592"/>
      <c r="BK187" s="592"/>
      <c r="BL187" s="592"/>
      <c r="BM187" s="592"/>
      <c r="BN187" s="592"/>
      <c r="BO187" s="592"/>
      <c r="BP187" s="592"/>
      <c r="BQ187" s="594"/>
      <c r="BR187" s="594"/>
      <c r="BS187" s="394"/>
      <c r="BT187" s="594"/>
      <c r="BU187" s="594"/>
      <c r="BV187" s="594"/>
      <c r="BW187" s="618"/>
      <c r="BX187" s="644"/>
      <c r="BY187" s="644"/>
      <c r="BZ187" s="609" t="s">
        <v>370</v>
      </c>
    </row>
    <row r="188" ht="25.5" customHeight="1">
      <c r="A188" s="635"/>
      <c r="B188" s="666">
        <v>45372.92009929398</v>
      </c>
      <c r="C188" s="642"/>
      <c r="D188" s="642"/>
      <c r="E188" s="574" t="s">
        <v>255</v>
      </c>
      <c r="F188" s="620"/>
      <c r="G188" s="621"/>
      <c r="H188" s="577"/>
      <c r="I188" s="577"/>
      <c r="J188" s="613"/>
      <c r="K188" s="581"/>
      <c r="L188" s="581"/>
      <c r="M188" s="613"/>
      <c r="N188" s="613"/>
      <c r="O188" s="604">
        <v>-50.0</v>
      </c>
      <c r="P188" s="633"/>
      <c r="Q188" s="580"/>
      <c r="R188" s="581"/>
      <c r="S188" s="581"/>
      <c r="T188" s="581"/>
      <c r="U188" s="582"/>
      <c r="V188" s="630"/>
      <c r="W188" s="581"/>
      <c r="X188" s="631"/>
      <c r="Y188" s="604"/>
      <c r="Z188" s="580"/>
      <c r="AA188" s="634"/>
      <c r="AB188" s="577"/>
      <c r="AC188" s="673"/>
      <c r="AD188" s="634"/>
      <c r="AE188" s="587"/>
      <c r="AF188" s="587"/>
      <c r="AG188" s="582"/>
      <c r="AH188" s="582"/>
      <c r="AI188" s="582"/>
      <c r="AJ188" s="582"/>
      <c r="AK188" s="588"/>
      <c r="AL188" s="582"/>
      <c r="AM188" s="582"/>
      <c r="AN188" s="589"/>
      <c r="AO188" s="616"/>
      <c r="AP188" s="592"/>
      <c r="AQ188" s="358"/>
      <c r="AR188" s="592"/>
      <c r="AS188" s="592"/>
      <c r="AT188" s="592"/>
      <c r="AU188" s="592"/>
      <c r="AV188" s="592"/>
      <c r="AW188" s="592"/>
      <c r="AX188" s="592"/>
      <c r="AY188" s="592"/>
      <c r="AZ188" s="592"/>
      <c r="BA188" s="617"/>
      <c r="BB188" s="592"/>
      <c r="BC188" s="592"/>
      <c r="BD188" s="592"/>
      <c r="BE188" s="592"/>
      <c r="BF188" s="592"/>
      <c r="BG188" s="358"/>
      <c r="BH188" s="592"/>
      <c r="BI188" s="592"/>
      <c r="BJ188" s="592"/>
      <c r="BK188" s="592"/>
      <c r="BL188" s="592"/>
      <c r="BM188" s="592"/>
      <c r="BN188" s="592"/>
      <c r="BO188" s="592"/>
      <c r="BP188" s="592"/>
      <c r="BQ188" s="594"/>
      <c r="BR188" s="594"/>
      <c r="BS188" s="394"/>
      <c r="BT188" s="594"/>
      <c r="BU188" s="594"/>
      <c r="BV188" s="594"/>
      <c r="BW188" s="618"/>
      <c r="BX188" s="644"/>
      <c r="BY188" s="608" t="s">
        <v>371</v>
      </c>
      <c r="BZ188" s="609" t="s">
        <v>372</v>
      </c>
    </row>
    <row r="189" ht="25.5" customHeight="1">
      <c r="A189" s="635"/>
      <c r="B189" s="666">
        <v>45373.63980689815</v>
      </c>
      <c r="C189" s="642"/>
      <c r="D189" s="642"/>
      <c r="E189" s="574" t="s">
        <v>231</v>
      </c>
      <c r="F189" s="620"/>
      <c r="G189" s="621"/>
      <c r="H189" s="577"/>
      <c r="I189" s="577"/>
      <c r="J189" s="613"/>
      <c r="K189" s="581"/>
      <c r="L189" s="581"/>
      <c r="M189" s="613"/>
      <c r="N189" s="613"/>
      <c r="O189" s="613"/>
      <c r="P189" s="580"/>
      <c r="Q189" s="580"/>
      <c r="R189" s="581"/>
      <c r="S189" s="581"/>
      <c r="T189" s="581"/>
      <c r="U189" s="623"/>
      <c r="V189" s="614"/>
      <c r="W189" s="581"/>
      <c r="X189" s="615"/>
      <c r="Y189" s="613"/>
      <c r="Z189" s="580"/>
      <c r="AA189" s="634"/>
      <c r="AB189" s="577"/>
      <c r="AC189" s="673"/>
      <c r="AD189" s="634"/>
      <c r="AE189" s="587"/>
      <c r="AF189" s="587"/>
      <c r="AG189" s="582"/>
      <c r="AH189" s="582"/>
      <c r="AI189" s="623">
        <v>1692.64</v>
      </c>
      <c r="AJ189" s="582"/>
      <c r="AK189" s="588"/>
      <c r="AL189" s="582"/>
      <c r="AM189" s="582"/>
      <c r="AN189" s="589"/>
      <c r="AO189" s="616"/>
      <c r="AP189" s="592"/>
      <c r="AQ189" s="358"/>
      <c r="AR189" s="592"/>
      <c r="AS189" s="592"/>
      <c r="AT189" s="592"/>
      <c r="AU189" s="592"/>
      <c r="AV189" s="592"/>
      <c r="AW189" s="592"/>
      <c r="AX189" s="592"/>
      <c r="AY189" s="592"/>
      <c r="AZ189" s="591"/>
      <c r="BA189" s="617"/>
      <c r="BB189" s="592"/>
      <c r="BC189" s="592"/>
      <c r="BD189" s="592"/>
      <c r="BE189" s="592"/>
      <c r="BF189" s="592"/>
      <c r="BG189" s="684">
        <v>-676143.85</v>
      </c>
      <c r="BH189" s="592"/>
      <c r="BI189" s="592"/>
      <c r="BJ189" s="592"/>
      <c r="BK189" s="592"/>
      <c r="BL189" s="592"/>
      <c r="BM189" s="592"/>
      <c r="BN189" s="592"/>
      <c r="BO189" s="592"/>
      <c r="BP189" s="592"/>
      <c r="BQ189" s="594"/>
      <c r="BR189" s="594"/>
      <c r="BS189" s="394"/>
      <c r="BT189" s="594"/>
      <c r="BU189" s="594"/>
      <c r="BV189" s="594"/>
      <c r="BW189" s="618"/>
      <c r="BX189" s="644"/>
      <c r="BY189" s="644"/>
    </row>
    <row r="190" ht="25.5" customHeight="1">
      <c r="A190" s="635"/>
      <c r="B190" s="666">
        <v>45373.64692569444</v>
      </c>
      <c r="C190" s="642"/>
      <c r="D190" s="642"/>
      <c r="E190" s="574" t="s">
        <v>231</v>
      </c>
      <c r="F190" s="620"/>
      <c r="G190" s="621"/>
      <c r="H190" s="577"/>
      <c r="I190" s="577"/>
      <c r="J190" s="613"/>
      <c r="K190" s="581"/>
      <c r="L190" s="581"/>
      <c r="M190" s="613"/>
      <c r="N190" s="613"/>
      <c r="O190" s="613"/>
      <c r="P190" s="580"/>
      <c r="Q190" s="580"/>
      <c r="R190" s="581"/>
      <c r="S190" s="581"/>
      <c r="T190" s="581"/>
      <c r="U190" s="582"/>
      <c r="V190" s="614"/>
      <c r="W190" s="581"/>
      <c r="X190" s="615"/>
      <c r="Y190" s="613"/>
      <c r="Z190" s="580"/>
      <c r="AA190" s="634"/>
      <c r="AB190" s="577"/>
      <c r="AC190" s="673"/>
      <c r="AD190" s="634"/>
      <c r="AE190" s="587"/>
      <c r="AF190" s="587"/>
      <c r="AG190" s="582"/>
      <c r="AH190" s="582"/>
      <c r="AI190" s="582">
        <f>5176.14378382-1692.64</f>
        <v>3483.503784</v>
      </c>
      <c r="AJ190" s="582"/>
      <c r="AK190" s="588"/>
      <c r="AL190" s="582"/>
      <c r="AM190" s="582"/>
      <c r="AN190" s="589"/>
      <c r="AO190" s="616"/>
      <c r="AP190" s="592"/>
      <c r="AQ190" s="358"/>
      <c r="AR190" s="592"/>
      <c r="AS190" s="592"/>
      <c r="AT190" s="592"/>
      <c r="AU190" s="592"/>
      <c r="AV190" s="592"/>
      <c r="AW190" s="592"/>
      <c r="AX190" s="592"/>
      <c r="AY190" s="592"/>
      <c r="AZ190" s="592"/>
      <c r="BA190" s="617"/>
      <c r="BB190" s="592"/>
      <c r="BC190" s="592"/>
      <c r="BD190" s="592"/>
      <c r="BE190" s="592"/>
      <c r="BF190" s="591">
        <v>-1604.66</v>
      </c>
      <c r="BG190" s="358"/>
      <c r="BH190" s="592"/>
      <c r="BI190" s="592"/>
      <c r="BJ190" s="592"/>
      <c r="BK190" s="592"/>
      <c r="BL190" s="592"/>
      <c r="BM190" s="592"/>
      <c r="BN190" s="592"/>
      <c r="BO190" s="592"/>
      <c r="BP190" s="592"/>
      <c r="BQ190" s="594"/>
      <c r="BR190" s="594"/>
      <c r="BS190" s="394"/>
      <c r="BT190" s="594"/>
      <c r="BU190" s="594"/>
      <c r="BV190" s="594"/>
      <c r="BW190" s="618"/>
      <c r="BX190" s="644"/>
      <c r="BY190" s="644"/>
    </row>
    <row r="191" ht="25.5" customHeight="1">
      <c r="A191" s="635"/>
      <c r="B191" s="666">
        <v>45373.64816865741</v>
      </c>
      <c r="C191" s="642"/>
      <c r="D191" s="642"/>
      <c r="E191" s="574" t="s">
        <v>231</v>
      </c>
      <c r="F191" s="620"/>
      <c r="G191" s="621"/>
      <c r="H191" s="577"/>
      <c r="I191" s="577"/>
      <c r="J191" s="613"/>
      <c r="K191" s="581"/>
      <c r="L191" s="581"/>
      <c r="M191" s="613"/>
      <c r="N191" s="613"/>
      <c r="O191" s="613"/>
      <c r="P191" s="580"/>
      <c r="Q191" s="580"/>
      <c r="R191" s="581"/>
      <c r="S191" s="581"/>
      <c r="T191" s="581"/>
      <c r="U191" s="623"/>
      <c r="V191" s="614"/>
      <c r="W191" s="581"/>
      <c r="X191" s="615"/>
      <c r="Y191" s="613"/>
      <c r="Z191" s="580"/>
      <c r="AA191" s="634"/>
      <c r="AB191" s="577"/>
      <c r="AC191" s="673"/>
      <c r="AD191" s="634"/>
      <c r="AE191" s="587"/>
      <c r="AF191" s="587"/>
      <c r="AG191" s="582"/>
      <c r="AH191" s="582"/>
      <c r="AI191" s="623">
        <v>-5176.15</v>
      </c>
      <c r="AJ191" s="582"/>
      <c r="AK191" s="588"/>
      <c r="AL191" s="582"/>
      <c r="AM191" s="582"/>
      <c r="AN191" s="589"/>
      <c r="AO191" s="616"/>
      <c r="AP191" s="592"/>
      <c r="AQ191" s="358"/>
      <c r="AR191" s="592"/>
      <c r="AS191" s="592"/>
      <c r="AT191" s="592"/>
      <c r="AU191" s="592"/>
      <c r="AV191" s="592"/>
      <c r="AW191" s="592"/>
      <c r="AX191" s="592"/>
      <c r="AY191" s="592"/>
      <c r="AZ191" s="592"/>
      <c r="BA191" s="617"/>
      <c r="BB191" s="592"/>
      <c r="BC191" s="592"/>
      <c r="BD191" s="592"/>
      <c r="BE191" s="592"/>
      <c r="BF191" s="592"/>
      <c r="BG191" s="358"/>
      <c r="BH191" s="591">
        <v>1851.5400000000002</v>
      </c>
      <c r="BI191" s="592"/>
      <c r="BJ191" s="592"/>
      <c r="BK191" s="592"/>
      <c r="BL191" s="592"/>
      <c r="BM191" s="592"/>
      <c r="BN191" s="592"/>
      <c r="BO191" s="592"/>
      <c r="BP191" s="592"/>
      <c r="BQ191" s="594"/>
      <c r="BR191" s="594"/>
      <c r="BS191" s="394"/>
      <c r="BT191" s="594"/>
      <c r="BU191" s="594"/>
      <c r="BV191" s="594"/>
      <c r="BW191" s="618"/>
      <c r="BX191" s="608">
        <v>5176.0</v>
      </c>
      <c r="BY191" s="644"/>
    </row>
    <row r="192" ht="25.5" customHeight="1">
      <c r="A192" s="635"/>
      <c r="B192" s="666">
        <v>45373.662221273145</v>
      </c>
      <c r="C192" s="642"/>
      <c r="D192" s="642"/>
      <c r="E192" s="574" t="s">
        <v>231</v>
      </c>
      <c r="F192" s="620"/>
      <c r="G192" s="621"/>
      <c r="H192" s="577"/>
      <c r="I192" s="577"/>
      <c r="J192" s="613"/>
      <c r="K192" s="581"/>
      <c r="L192" s="581"/>
      <c r="M192" s="613"/>
      <c r="N192" s="613"/>
      <c r="O192" s="613"/>
      <c r="P192" s="580"/>
      <c r="Q192" s="580"/>
      <c r="R192" s="581"/>
      <c r="S192" s="581"/>
      <c r="T192" s="581"/>
      <c r="U192" s="582"/>
      <c r="V192" s="614"/>
      <c r="W192" s="581"/>
      <c r="X192" s="615"/>
      <c r="Y192" s="613"/>
      <c r="Z192" s="580"/>
      <c r="AA192" s="634"/>
      <c r="AB192" s="577"/>
      <c r="AC192" s="673"/>
      <c r="AD192" s="634"/>
      <c r="AE192" s="587"/>
      <c r="AF192" s="587"/>
      <c r="AG192" s="582"/>
      <c r="AH192" s="582"/>
      <c r="AI192" s="582"/>
      <c r="AJ192" s="582"/>
      <c r="AK192" s="588"/>
      <c r="AL192" s="623">
        <v>1881.88</v>
      </c>
      <c r="AM192" s="623"/>
      <c r="AN192" s="589"/>
      <c r="AO192" s="616"/>
      <c r="AP192" s="592"/>
      <c r="AQ192" s="358"/>
      <c r="AR192" s="592"/>
      <c r="AS192" s="592"/>
      <c r="AT192" s="592"/>
      <c r="AU192" s="592"/>
      <c r="AV192" s="592"/>
      <c r="AW192" s="592"/>
      <c r="AX192" s="592"/>
      <c r="AY192" s="592"/>
      <c r="AZ192" s="592"/>
      <c r="BA192" s="617"/>
      <c r="BB192" s="592"/>
      <c r="BC192" s="592"/>
      <c r="BD192" s="592"/>
      <c r="BE192" s="592"/>
      <c r="BF192" s="592"/>
      <c r="BG192" s="358"/>
      <c r="BH192" s="592"/>
      <c r="BI192" s="592"/>
      <c r="BJ192" s="592"/>
      <c r="BK192" s="592"/>
      <c r="BL192" s="592"/>
      <c r="BM192" s="592"/>
      <c r="BN192" s="592"/>
      <c r="BO192" s="592"/>
      <c r="BP192" s="592"/>
      <c r="BQ192" s="624">
        <v>-8.8778409E7</v>
      </c>
      <c r="BR192" s="594"/>
      <c r="BS192" s="394"/>
      <c r="BT192" s="594"/>
      <c r="BU192" s="594"/>
      <c r="BV192" s="594"/>
      <c r="BW192" s="618"/>
      <c r="BX192" s="644"/>
      <c r="BY192" s="644"/>
    </row>
    <row r="193" ht="25.5" customHeight="1">
      <c r="A193" s="635"/>
      <c r="B193" s="666">
        <v>45373.665805474535</v>
      </c>
      <c r="C193" s="642"/>
      <c r="D193" s="642"/>
      <c r="E193" s="574" t="s">
        <v>231</v>
      </c>
      <c r="F193" s="620"/>
      <c r="G193" s="621"/>
      <c r="H193" s="577"/>
      <c r="I193" s="577"/>
      <c r="J193" s="613"/>
      <c r="K193" s="581"/>
      <c r="L193" s="581"/>
      <c r="M193" s="613"/>
      <c r="N193" s="613"/>
      <c r="O193" s="613"/>
      <c r="P193" s="580"/>
      <c r="Q193" s="580"/>
      <c r="R193" s="581"/>
      <c r="S193" s="581"/>
      <c r="T193" s="581"/>
      <c r="U193" s="582"/>
      <c r="V193" s="614"/>
      <c r="W193" s="581"/>
      <c r="X193" s="615"/>
      <c r="Y193" s="613"/>
      <c r="Z193" s="580"/>
      <c r="AA193" s="634"/>
      <c r="AB193" s="577"/>
      <c r="AC193" s="673"/>
      <c r="AD193" s="634"/>
      <c r="AE193" s="587"/>
      <c r="AF193" s="587"/>
      <c r="AG193" s="582"/>
      <c r="AH193" s="582"/>
      <c r="AI193" s="582"/>
      <c r="AJ193" s="582"/>
      <c r="AK193" s="588"/>
      <c r="AL193" s="582">
        <v>2117.4100000000003</v>
      </c>
      <c r="AM193" s="582"/>
      <c r="AN193" s="589"/>
      <c r="AO193" s="616"/>
      <c r="AP193" s="592"/>
      <c r="AQ193" s="358"/>
      <c r="AR193" s="592"/>
      <c r="AS193" s="592"/>
      <c r="AT193" s="592"/>
      <c r="AU193" s="592"/>
      <c r="AV193" s="592"/>
      <c r="AW193" s="592"/>
      <c r="AX193" s="592"/>
      <c r="AY193" s="592"/>
      <c r="AZ193" s="592"/>
      <c r="BA193" s="617"/>
      <c r="BB193" s="592"/>
      <c r="BC193" s="592"/>
      <c r="BD193" s="592"/>
      <c r="BE193" s="592"/>
      <c r="BF193" s="592"/>
      <c r="BG193" s="358"/>
      <c r="BH193" s="592"/>
      <c r="BI193" s="592"/>
      <c r="BJ193" s="592"/>
      <c r="BK193" s="592"/>
      <c r="BL193" s="592"/>
      <c r="BM193" s="592"/>
      <c r="BN193" s="592"/>
      <c r="BO193" s="592"/>
      <c r="BP193" s="592"/>
      <c r="BQ193" s="594"/>
      <c r="BR193" s="624">
        <v>-61952.0</v>
      </c>
      <c r="BS193" s="394"/>
      <c r="BT193" s="594"/>
      <c r="BU193" s="594"/>
      <c r="BV193" s="594"/>
      <c r="BW193" s="618"/>
      <c r="BX193" s="644"/>
      <c r="BY193" s="644"/>
    </row>
    <row r="194" ht="25.5" customHeight="1">
      <c r="A194" s="635"/>
      <c r="B194" s="666">
        <v>45373.67073349537</v>
      </c>
      <c r="C194" s="690">
        <f>AL194/BT194</f>
        <v>-0.000007237235509</v>
      </c>
      <c r="D194" s="642"/>
      <c r="E194" s="574" t="s">
        <v>231</v>
      </c>
      <c r="F194" s="620"/>
      <c r="G194" s="621"/>
      <c r="H194" s="577"/>
      <c r="I194" s="577"/>
      <c r="J194" s="613"/>
      <c r="K194" s="581"/>
      <c r="L194" s="581"/>
      <c r="M194" s="613"/>
      <c r="N194" s="613"/>
      <c r="O194" s="613"/>
      <c r="P194" s="580"/>
      <c r="Q194" s="580"/>
      <c r="R194" s="581"/>
      <c r="S194" s="581"/>
      <c r="T194" s="581"/>
      <c r="U194" s="582"/>
      <c r="V194" s="614"/>
      <c r="W194" s="581"/>
      <c r="X194" s="615"/>
      <c r="Y194" s="613"/>
      <c r="Z194" s="580"/>
      <c r="AA194" s="634"/>
      <c r="AB194" s="577"/>
      <c r="AC194" s="673"/>
      <c r="AD194" s="634"/>
      <c r="AE194" s="587"/>
      <c r="AF194" s="587"/>
      <c r="AG194" s="582"/>
      <c r="AH194" s="582"/>
      <c r="AI194" s="582"/>
      <c r="AJ194" s="582"/>
      <c r="AK194" s="588"/>
      <c r="AL194" s="623">
        <v>-3999.53</v>
      </c>
      <c r="AM194" s="623"/>
      <c r="AN194" s="589"/>
      <c r="AO194" s="616"/>
      <c r="AP194" s="592"/>
      <c r="AQ194" s="358"/>
      <c r="AR194" s="592"/>
      <c r="AS194" s="592"/>
      <c r="AT194" s="592"/>
      <c r="AU194" s="592"/>
      <c r="AV194" s="592"/>
      <c r="AW194" s="592"/>
      <c r="AX194" s="592"/>
      <c r="AY194" s="592"/>
      <c r="AZ194" s="592"/>
      <c r="BA194" s="617"/>
      <c r="BB194" s="592"/>
      <c r="BC194" s="592"/>
      <c r="BD194" s="592"/>
      <c r="BE194" s="592"/>
      <c r="BF194" s="592"/>
      <c r="BG194" s="358"/>
      <c r="BH194" s="592"/>
      <c r="BI194" s="592"/>
      <c r="BJ194" s="592"/>
      <c r="BK194" s="592"/>
      <c r="BL194" s="592"/>
      <c r="BM194" s="592"/>
      <c r="BN194" s="592"/>
      <c r="BO194" s="592"/>
      <c r="BP194" s="592"/>
      <c r="BQ194" s="594"/>
      <c r="BR194" s="594"/>
      <c r="BS194" s="664"/>
      <c r="BT194" s="624">
        <v>5.5263228553E8</v>
      </c>
      <c r="BU194" s="594"/>
      <c r="BV194" s="594"/>
      <c r="BW194" s="618"/>
      <c r="BX194" s="644"/>
      <c r="BY194" s="644"/>
    </row>
    <row r="195" ht="25.5" customHeight="1">
      <c r="A195" s="613">
        <f>A167+M195</f>
        <v>0.1692117289</v>
      </c>
      <c r="B195" s="572">
        <v>45376.59166666667</v>
      </c>
      <c r="C195" s="642"/>
      <c r="D195" s="642"/>
      <c r="E195" s="574" t="s">
        <v>218</v>
      </c>
      <c r="F195" s="620"/>
      <c r="G195" s="621"/>
      <c r="H195" s="577"/>
      <c r="I195" s="577"/>
      <c r="J195" s="604"/>
      <c r="K195" s="581"/>
      <c r="L195" s="581"/>
      <c r="M195" s="604">
        <v>-0.85102868</v>
      </c>
      <c r="N195" s="613"/>
      <c r="O195" s="613"/>
      <c r="P195" s="686">
        <v>0.85</v>
      </c>
      <c r="Q195" s="580"/>
      <c r="R195" s="581"/>
      <c r="S195" s="581"/>
      <c r="T195" s="581"/>
      <c r="U195" s="582"/>
      <c r="V195" s="614"/>
      <c r="W195" s="581"/>
      <c r="X195" s="615"/>
      <c r="Y195" s="613"/>
      <c r="Z195" s="633"/>
      <c r="AA195" s="634"/>
      <c r="AB195" s="577"/>
      <c r="AC195" s="673"/>
      <c r="AD195" s="634"/>
      <c r="AE195" s="587"/>
      <c r="AF195" s="587"/>
      <c r="AG195" s="582"/>
      <c r="AH195" s="582"/>
      <c r="AI195" s="582"/>
      <c r="AJ195" s="582"/>
      <c r="AK195" s="588"/>
      <c r="AL195" s="582"/>
      <c r="AM195" s="582"/>
      <c r="AN195" s="589"/>
      <c r="AO195" s="616"/>
      <c r="AP195" s="592"/>
      <c r="AQ195" s="358"/>
      <c r="AR195" s="592"/>
      <c r="AS195" s="592"/>
      <c r="AT195" s="592"/>
      <c r="AU195" s="592"/>
      <c r="AV195" s="592"/>
      <c r="AW195" s="592"/>
      <c r="AX195" s="592"/>
      <c r="AY195" s="592"/>
      <c r="AZ195" s="592"/>
      <c r="BA195" s="617"/>
      <c r="BB195" s="592"/>
      <c r="BC195" s="592"/>
      <c r="BD195" s="592"/>
      <c r="BE195" s="592"/>
      <c r="BF195" s="592"/>
      <c r="BG195" s="358"/>
      <c r="BH195" s="592"/>
      <c r="BI195" s="592"/>
      <c r="BJ195" s="592"/>
      <c r="BK195" s="592"/>
      <c r="BL195" s="592"/>
      <c r="BM195" s="592"/>
      <c r="BN195" s="592"/>
      <c r="BO195" s="592"/>
      <c r="BP195" s="592"/>
      <c r="BQ195" s="594"/>
      <c r="BR195" s="594"/>
      <c r="BS195" s="394"/>
      <c r="BT195" s="594"/>
      <c r="BU195" s="594"/>
      <c r="BV195" s="594"/>
      <c r="BW195" s="618"/>
      <c r="BX195" s="644"/>
      <c r="BY195" s="644"/>
      <c r="BZ195" s="609" t="s">
        <v>373</v>
      </c>
    </row>
    <row r="196" ht="25.5" customHeight="1">
      <c r="A196" s="635"/>
      <c r="B196" s="572">
        <v>45376.62013888889</v>
      </c>
      <c r="C196" s="642"/>
      <c r="D196" s="642"/>
      <c r="E196" s="574" t="s">
        <v>231</v>
      </c>
      <c r="F196" s="620"/>
      <c r="G196" s="621"/>
      <c r="H196" s="577"/>
      <c r="I196" s="577"/>
      <c r="J196" s="613"/>
      <c r="K196" s="581"/>
      <c r="L196" s="581"/>
      <c r="M196" s="613"/>
      <c r="N196" s="613"/>
      <c r="O196" s="613"/>
      <c r="P196" s="580">
        <f>0.1227-0.85</f>
        <v>-0.7273</v>
      </c>
      <c r="Q196" s="580"/>
      <c r="R196" s="581"/>
      <c r="S196" s="581"/>
      <c r="T196" s="581"/>
      <c r="U196" s="582"/>
      <c r="V196" s="614"/>
      <c r="W196" s="581"/>
      <c r="X196" s="615"/>
      <c r="Y196" s="613"/>
      <c r="Z196" s="580"/>
      <c r="AA196" s="634"/>
      <c r="AB196" s="577"/>
      <c r="AC196" s="673"/>
      <c r="AD196" s="634"/>
      <c r="AE196" s="587"/>
      <c r="AF196" s="587"/>
      <c r="AG196" s="582"/>
      <c r="AH196" s="582"/>
      <c r="AI196" s="582"/>
      <c r="AJ196" s="582"/>
      <c r="AK196" s="588"/>
      <c r="AL196" s="582"/>
      <c r="AM196" s="582"/>
      <c r="AN196" s="589"/>
      <c r="AO196" s="616"/>
      <c r="AP196" s="592"/>
      <c r="AQ196" s="358"/>
      <c r="AR196" s="592"/>
      <c r="AS196" s="592"/>
      <c r="AT196" s="592"/>
      <c r="AU196" s="592"/>
      <c r="AV196" s="592"/>
      <c r="AW196" s="592"/>
      <c r="AX196" s="592"/>
      <c r="AY196" s="592"/>
      <c r="AZ196" s="592"/>
      <c r="BA196" s="617"/>
      <c r="BB196" s="592"/>
      <c r="BC196" s="592"/>
      <c r="BD196" s="592"/>
      <c r="BE196" s="592"/>
      <c r="BF196" s="592"/>
      <c r="BG196" s="358"/>
      <c r="BH196" s="592"/>
      <c r="BI196" s="592"/>
      <c r="BJ196" s="592"/>
      <c r="BK196" s="592"/>
      <c r="BL196" s="592"/>
      <c r="BM196" s="592"/>
      <c r="BN196" s="592"/>
      <c r="BO196" s="592"/>
      <c r="BP196" s="592"/>
      <c r="BQ196" s="594"/>
      <c r="BR196" s="594"/>
      <c r="BS196" s="664">
        <v>3.599622164319E7</v>
      </c>
      <c r="BT196" s="594"/>
      <c r="BU196" s="594"/>
      <c r="BV196" s="594"/>
      <c r="BW196" s="618"/>
      <c r="BX196" s="608">
        <v>2488.0</v>
      </c>
      <c r="BY196" s="644"/>
      <c r="BZ196" s="609" t="s">
        <v>374</v>
      </c>
      <c r="CA196" s="609" t="s">
        <v>375</v>
      </c>
    </row>
    <row r="197" ht="25.5" customHeight="1">
      <c r="A197" s="635"/>
      <c r="B197" s="666">
        <v>45377.46438111112</v>
      </c>
      <c r="C197" s="642"/>
      <c r="D197" s="642"/>
      <c r="E197" s="574" t="s">
        <v>255</v>
      </c>
      <c r="F197" s="620"/>
      <c r="G197" s="621"/>
      <c r="H197" s="577"/>
      <c r="I197" s="577"/>
      <c r="J197" s="613"/>
      <c r="K197" s="581"/>
      <c r="L197" s="581"/>
      <c r="M197" s="613"/>
      <c r="N197" s="613"/>
      <c r="O197" s="604">
        <v>-25.0</v>
      </c>
      <c r="P197" s="580"/>
      <c r="Q197" s="580"/>
      <c r="R197" s="581"/>
      <c r="S197" s="581"/>
      <c r="T197" s="581"/>
      <c r="U197" s="582"/>
      <c r="V197" s="630"/>
      <c r="W197" s="581"/>
      <c r="X197" s="631"/>
      <c r="Y197" s="604"/>
      <c r="Z197" s="580"/>
      <c r="AA197" s="634"/>
      <c r="AB197" s="577"/>
      <c r="AC197" s="673"/>
      <c r="AD197" s="634"/>
      <c r="AE197" s="587"/>
      <c r="AF197" s="587"/>
      <c r="AG197" s="582"/>
      <c r="AH197" s="582"/>
      <c r="AI197" s="582"/>
      <c r="AJ197" s="582"/>
      <c r="AK197" s="588"/>
      <c r="AL197" s="582"/>
      <c r="AM197" s="582"/>
      <c r="AN197" s="589"/>
      <c r="AO197" s="616"/>
      <c r="AP197" s="592"/>
      <c r="AQ197" s="358"/>
      <c r="AR197" s="592"/>
      <c r="AS197" s="592"/>
      <c r="AT197" s="592"/>
      <c r="AU197" s="592"/>
      <c r="AV197" s="592"/>
      <c r="AW197" s="592"/>
      <c r="AX197" s="592"/>
      <c r="AY197" s="592"/>
      <c r="AZ197" s="592"/>
      <c r="BA197" s="617"/>
      <c r="BB197" s="592"/>
      <c r="BC197" s="592"/>
      <c r="BD197" s="592"/>
      <c r="BE197" s="592"/>
      <c r="BF197" s="592"/>
      <c r="BG197" s="358"/>
      <c r="BH197" s="592"/>
      <c r="BI197" s="592"/>
      <c r="BJ197" s="592"/>
      <c r="BK197" s="592"/>
      <c r="BL197" s="592"/>
      <c r="BM197" s="592"/>
      <c r="BN197" s="592"/>
      <c r="BO197" s="592"/>
      <c r="BP197" s="592"/>
      <c r="BQ197" s="594"/>
      <c r="BR197" s="594"/>
      <c r="BS197" s="394"/>
      <c r="BT197" s="594"/>
      <c r="BU197" s="594"/>
      <c r="BV197" s="594"/>
      <c r="BW197" s="618"/>
      <c r="BX197" s="644"/>
      <c r="BY197" s="608" t="s">
        <v>376</v>
      </c>
      <c r="BZ197" s="609" t="s">
        <v>377</v>
      </c>
    </row>
    <row r="198" ht="25.5" customHeight="1">
      <c r="A198" s="635"/>
      <c r="B198" s="666">
        <v>45377.67820206018</v>
      </c>
      <c r="C198" s="642"/>
      <c r="D198" s="642"/>
      <c r="E198" s="574" t="s">
        <v>223</v>
      </c>
      <c r="F198" s="620"/>
      <c r="G198" s="621"/>
      <c r="H198" s="577"/>
      <c r="I198" s="577"/>
      <c r="J198" s="613"/>
      <c r="K198" s="581"/>
      <c r="L198" s="581"/>
      <c r="M198" s="613"/>
      <c r="N198" s="613"/>
      <c r="O198" s="613"/>
      <c r="P198" s="580"/>
      <c r="Q198" s="580"/>
      <c r="R198" s="581"/>
      <c r="S198" s="581"/>
      <c r="T198" s="581"/>
      <c r="U198" s="582"/>
      <c r="V198" s="614"/>
      <c r="W198" s="581"/>
      <c r="X198" s="615"/>
      <c r="Y198" s="613"/>
      <c r="Z198" s="580"/>
      <c r="AA198" s="634"/>
      <c r="AB198" s="577"/>
      <c r="AC198" s="673"/>
      <c r="AD198" s="634"/>
      <c r="AE198" s="587"/>
      <c r="AF198" s="587"/>
      <c r="AG198" s="582"/>
      <c r="AH198" s="582"/>
      <c r="AI198" s="582"/>
      <c r="AJ198" s="582"/>
      <c r="AK198" s="588"/>
      <c r="AL198" s="582"/>
      <c r="AM198" s="582"/>
      <c r="AN198" s="589"/>
      <c r="AO198" s="616"/>
      <c r="AP198" s="592"/>
      <c r="AQ198" s="358"/>
      <c r="AR198" s="592"/>
      <c r="AS198" s="592"/>
      <c r="AT198" s="592"/>
      <c r="AU198" s="592"/>
      <c r="AV198" s="592"/>
      <c r="AW198" s="592"/>
      <c r="AX198" s="592"/>
      <c r="AY198" s="592"/>
      <c r="AZ198" s="592"/>
      <c r="BA198" s="617"/>
      <c r="BB198" s="592"/>
      <c r="BC198" s="592"/>
      <c r="BD198" s="592"/>
      <c r="BE198" s="591">
        <v>-0.05269999999998731</v>
      </c>
      <c r="BF198" s="592"/>
      <c r="BG198" s="358"/>
      <c r="BH198" s="592"/>
      <c r="BI198" s="592"/>
      <c r="BJ198" s="592"/>
      <c r="BK198" s="592"/>
      <c r="BL198" s="592"/>
      <c r="BM198" s="592"/>
      <c r="BN198" s="592"/>
      <c r="BO198" s="592"/>
      <c r="BP198" s="592"/>
      <c r="BQ198" s="594"/>
      <c r="BR198" s="594"/>
      <c r="BS198" s="394"/>
      <c r="BT198" s="594"/>
      <c r="BU198" s="594"/>
      <c r="BV198" s="594"/>
      <c r="BW198" s="618"/>
      <c r="BX198" s="644"/>
      <c r="BY198" s="608" t="s">
        <v>378</v>
      </c>
      <c r="BZ198" s="609" t="s">
        <v>379</v>
      </c>
      <c r="CA198" s="609" t="s">
        <v>380</v>
      </c>
    </row>
    <row r="199" ht="25.5" customHeight="1">
      <c r="A199" s="635"/>
      <c r="B199" s="666">
        <v>45377.68601846065</v>
      </c>
      <c r="C199" s="642"/>
      <c r="D199" s="642"/>
      <c r="E199" s="574" t="s">
        <v>223</v>
      </c>
      <c r="F199" s="620"/>
      <c r="G199" s="621"/>
      <c r="H199" s="577"/>
      <c r="I199" s="577"/>
      <c r="J199" s="613"/>
      <c r="K199" s="581"/>
      <c r="L199" s="581"/>
      <c r="M199" s="613"/>
      <c r="N199" s="613"/>
      <c r="O199" s="613"/>
      <c r="P199" s="580"/>
      <c r="Q199" s="580"/>
      <c r="R199" s="581"/>
      <c r="S199" s="581"/>
      <c r="T199" s="581"/>
      <c r="U199" s="582"/>
      <c r="V199" s="614"/>
      <c r="W199" s="581"/>
      <c r="X199" s="615"/>
      <c r="Y199" s="613"/>
      <c r="Z199" s="580"/>
      <c r="AA199" s="634"/>
      <c r="AB199" s="577"/>
      <c r="AC199" s="673"/>
      <c r="AD199" s="634"/>
      <c r="AE199" s="587"/>
      <c r="AF199" s="587"/>
      <c r="AG199" s="582"/>
      <c r="AH199" s="582"/>
      <c r="AI199" s="582"/>
      <c r="AJ199" s="582"/>
      <c r="AK199" s="588"/>
      <c r="AL199" s="582"/>
      <c r="AM199" s="582"/>
      <c r="AN199" s="589"/>
      <c r="AO199" s="616"/>
      <c r="AP199" s="592"/>
      <c r="AQ199" s="358"/>
      <c r="AR199" s="592"/>
      <c r="AS199" s="592"/>
      <c r="AT199" s="592"/>
      <c r="AU199" s="592"/>
      <c r="AV199" s="592"/>
      <c r="AW199" s="592"/>
      <c r="AX199" s="592"/>
      <c r="AY199" s="592"/>
      <c r="AZ199" s="592"/>
      <c r="BA199" s="617"/>
      <c r="BB199" s="592"/>
      <c r="BC199" s="592"/>
      <c r="BD199" s="592"/>
      <c r="BE199" s="591"/>
      <c r="BF199" s="592"/>
      <c r="BG199" s="358"/>
      <c r="BH199" s="591">
        <v>-1.2</v>
      </c>
      <c r="BI199" s="592"/>
      <c r="BJ199" s="592"/>
      <c r="BK199" s="592"/>
      <c r="BL199" s="592"/>
      <c r="BM199" s="592"/>
      <c r="BN199" s="592"/>
      <c r="BO199" s="592"/>
      <c r="BP199" s="592"/>
      <c r="BQ199" s="594"/>
      <c r="BR199" s="594"/>
      <c r="BS199" s="394"/>
      <c r="BT199" s="594"/>
      <c r="BU199" s="594"/>
      <c r="BV199" s="594"/>
      <c r="BW199" s="618"/>
      <c r="BX199" s="644"/>
      <c r="BY199" s="608" t="s">
        <v>378</v>
      </c>
      <c r="BZ199" s="609" t="s">
        <v>381</v>
      </c>
    </row>
    <row r="200" ht="25.5" customHeight="1">
      <c r="A200" s="635"/>
      <c r="B200" s="572">
        <v>45378.73055555556</v>
      </c>
      <c r="C200" s="642"/>
      <c r="D200" s="642"/>
      <c r="E200" s="574" t="s">
        <v>226</v>
      </c>
      <c r="F200" s="620"/>
      <c r="G200" s="600">
        <f>0.0825961</f>
        <v>0.0825961</v>
      </c>
      <c r="H200" s="577"/>
      <c r="I200" s="577"/>
      <c r="J200" s="613"/>
      <c r="K200" s="581"/>
      <c r="L200" s="581"/>
      <c r="M200" s="613"/>
      <c r="N200" s="613"/>
      <c r="O200" s="613"/>
      <c r="P200" s="580"/>
      <c r="Q200" s="580"/>
      <c r="R200" s="581"/>
      <c r="S200" s="581"/>
      <c r="T200" s="581"/>
      <c r="U200" s="582"/>
      <c r="V200" s="614"/>
      <c r="W200" s="581"/>
      <c r="X200" s="615"/>
      <c r="Y200" s="613"/>
      <c r="Z200" s="580"/>
      <c r="AA200" s="634"/>
      <c r="AB200" s="577"/>
      <c r="AC200" s="673"/>
      <c r="AD200" s="634"/>
      <c r="AE200" s="587"/>
      <c r="AF200" s="587"/>
      <c r="AG200" s="582"/>
      <c r="AH200" s="582"/>
      <c r="AI200" s="582"/>
      <c r="AJ200" s="582"/>
      <c r="AK200" s="588"/>
      <c r="AL200" s="582"/>
      <c r="AM200" s="582"/>
      <c r="AN200" s="589"/>
      <c r="AO200" s="616"/>
      <c r="AP200" s="592"/>
      <c r="AQ200" s="358"/>
      <c r="AR200" s="592"/>
      <c r="AS200" s="592"/>
      <c r="AT200" s="592"/>
      <c r="AU200" s="592"/>
      <c r="AV200" s="592"/>
      <c r="AW200" s="592"/>
      <c r="AX200" s="592"/>
      <c r="AY200" s="592"/>
      <c r="AZ200" s="592"/>
      <c r="BA200" s="617"/>
      <c r="BB200" s="592"/>
      <c r="BC200" s="592"/>
      <c r="BD200" s="592"/>
      <c r="BE200" s="592"/>
      <c r="BF200" s="592"/>
      <c r="BG200" s="358"/>
      <c r="BH200" s="592"/>
      <c r="BI200" s="592"/>
      <c r="BJ200" s="592"/>
      <c r="BK200" s="592"/>
      <c r="BL200" s="592"/>
      <c r="BM200" s="592"/>
      <c r="BN200" s="592"/>
      <c r="BO200" s="592"/>
      <c r="BP200" s="592"/>
      <c r="BQ200" s="594"/>
      <c r="BR200" s="594"/>
      <c r="BS200" s="394"/>
      <c r="BT200" s="594"/>
      <c r="BU200" s="594"/>
      <c r="BV200" s="594"/>
      <c r="BW200" s="618"/>
      <c r="BX200" s="644"/>
      <c r="BY200" s="608" t="s">
        <v>382</v>
      </c>
      <c r="BZ200" s="609" t="s">
        <v>383</v>
      </c>
    </row>
    <row r="201" ht="25.5" customHeight="1">
      <c r="A201" s="635"/>
      <c r="B201" s="572">
        <v>45379.779861111114</v>
      </c>
      <c r="C201" s="642"/>
      <c r="D201" s="642"/>
      <c r="E201" s="574" t="s">
        <v>226</v>
      </c>
      <c r="F201" s="620"/>
      <c r="G201" s="600">
        <v>0.00179447</v>
      </c>
      <c r="H201" s="577"/>
      <c r="I201" s="577"/>
      <c r="J201" s="613"/>
      <c r="K201" s="581"/>
      <c r="L201" s="581"/>
      <c r="M201" s="613"/>
      <c r="N201" s="613"/>
      <c r="O201" s="613"/>
      <c r="P201" s="686"/>
      <c r="Q201" s="580"/>
      <c r="R201" s="581"/>
      <c r="S201" s="581"/>
      <c r="T201" s="581"/>
      <c r="U201" s="582"/>
      <c r="V201" s="614"/>
      <c r="W201" s="581"/>
      <c r="X201" s="615"/>
      <c r="Y201" s="613"/>
      <c r="Z201" s="580"/>
      <c r="AA201" s="634"/>
      <c r="AB201" s="577"/>
      <c r="AC201" s="673"/>
      <c r="AD201" s="634"/>
      <c r="AE201" s="587"/>
      <c r="AF201" s="587"/>
      <c r="AG201" s="582"/>
      <c r="AH201" s="582"/>
      <c r="AI201" s="582"/>
      <c r="AJ201" s="582"/>
      <c r="AK201" s="588"/>
      <c r="AL201" s="582"/>
      <c r="AM201" s="582"/>
      <c r="AN201" s="589"/>
      <c r="AO201" s="616"/>
      <c r="AP201" s="592"/>
      <c r="AQ201" s="358"/>
      <c r="AR201" s="592"/>
      <c r="AS201" s="592"/>
      <c r="AT201" s="592"/>
      <c r="AU201" s="592"/>
      <c r="AV201" s="592"/>
      <c r="AW201" s="592"/>
      <c r="AX201" s="592"/>
      <c r="AY201" s="592"/>
      <c r="AZ201" s="592"/>
      <c r="BA201" s="617"/>
      <c r="BB201" s="592"/>
      <c r="BC201" s="592"/>
      <c r="BD201" s="592"/>
      <c r="BE201" s="592"/>
      <c r="BF201" s="592"/>
      <c r="BG201" s="358"/>
      <c r="BH201" s="592"/>
      <c r="BI201" s="592"/>
      <c r="BJ201" s="592"/>
      <c r="BK201" s="592"/>
      <c r="BL201" s="592"/>
      <c r="BM201" s="592"/>
      <c r="BN201" s="591"/>
      <c r="BO201" s="592"/>
      <c r="BP201" s="592"/>
      <c r="BQ201" s="594"/>
      <c r="BR201" s="594"/>
      <c r="BS201" s="394"/>
      <c r="BT201" s="594"/>
      <c r="BU201" s="594"/>
      <c r="BV201" s="594"/>
      <c r="BW201" s="618"/>
      <c r="BX201" s="644"/>
      <c r="BY201" s="608" t="s">
        <v>384</v>
      </c>
      <c r="BZ201" s="609" t="s">
        <v>385</v>
      </c>
    </row>
    <row r="202" ht="25.5" customHeight="1">
      <c r="A202" s="635"/>
      <c r="B202" s="666">
        <v>45382.44917814815</v>
      </c>
      <c r="C202" s="642"/>
      <c r="D202" s="642"/>
      <c r="E202" s="574" t="s">
        <v>223</v>
      </c>
      <c r="F202" s="620"/>
      <c r="G202" s="621"/>
      <c r="H202" s="577"/>
      <c r="I202" s="577"/>
      <c r="J202" s="613"/>
      <c r="K202" s="581"/>
      <c r="L202" s="581"/>
      <c r="M202" s="613"/>
      <c r="N202" s="613"/>
      <c r="O202" s="613"/>
      <c r="P202" s="686">
        <v>0.45719</v>
      </c>
      <c r="Q202" s="580"/>
      <c r="R202" s="581"/>
      <c r="S202" s="581"/>
      <c r="T202" s="581"/>
      <c r="U202" s="582"/>
      <c r="V202" s="614"/>
      <c r="W202" s="581"/>
      <c r="X202" s="615"/>
      <c r="Y202" s="613"/>
      <c r="Z202" s="580"/>
      <c r="AA202" s="634"/>
      <c r="AB202" s="577"/>
      <c r="AC202" s="673"/>
      <c r="AD202" s="634"/>
      <c r="AE202" s="587"/>
      <c r="AF202" s="587"/>
      <c r="AG202" s="582"/>
      <c r="AH202" s="582"/>
      <c r="AI202" s="582"/>
      <c r="AJ202" s="582"/>
      <c r="AK202" s="588"/>
      <c r="AL202" s="582"/>
      <c r="AM202" s="582"/>
      <c r="AN202" s="589"/>
      <c r="AO202" s="616"/>
      <c r="AP202" s="592"/>
      <c r="AQ202" s="358"/>
      <c r="AR202" s="592"/>
      <c r="AS202" s="592"/>
      <c r="AT202" s="592"/>
      <c r="AU202" s="592"/>
      <c r="AV202" s="592"/>
      <c r="AW202" s="592"/>
      <c r="AX202" s="592"/>
      <c r="AY202" s="592"/>
      <c r="AZ202" s="592"/>
      <c r="BA202" s="617"/>
      <c r="BB202" s="592"/>
      <c r="BC202" s="592"/>
      <c r="BD202" s="592"/>
      <c r="BE202" s="592"/>
      <c r="BF202" s="592"/>
      <c r="BG202" s="358"/>
      <c r="BH202" s="592"/>
      <c r="BI202" s="592"/>
      <c r="BJ202" s="592"/>
      <c r="BK202" s="592"/>
      <c r="BL202" s="592"/>
      <c r="BM202" s="592"/>
      <c r="BN202" s="591">
        <v>-4.65</v>
      </c>
      <c r="BO202" s="592"/>
      <c r="BP202" s="592"/>
      <c r="BQ202" s="594"/>
      <c r="BR202" s="594"/>
      <c r="BS202" s="394"/>
      <c r="BT202" s="594"/>
      <c r="BU202" s="594"/>
      <c r="BV202" s="594"/>
      <c r="BW202" s="618"/>
      <c r="BX202" s="644"/>
      <c r="BY202" s="608" t="s">
        <v>386</v>
      </c>
    </row>
    <row r="203" ht="25.5" customHeight="1">
      <c r="A203" s="635"/>
      <c r="B203" s="666">
        <v>45382.501751759264</v>
      </c>
      <c r="C203" s="642"/>
      <c r="D203" s="642"/>
      <c r="E203" s="574" t="s">
        <v>231</v>
      </c>
      <c r="F203" s="620"/>
      <c r="G203" s="621"/>
      <c r="H203" s="577"/>
      <c r="I203" s="577"/>
      <c r="J203" s="613"/>
      <c r="K203" s="581"/>
      <c r="L203" s="581"/>
      <c r="M203" s="613"/>
      <c r="N203" s="613"/>
      <c r="O203" s="613"/>
      <c r="P203" s="580"/>
      <c r="Q203" s="580"/>
      <c r="R203" s="581"/>
      <c r="S203" s="581"/>
      <c r="T203" s="581"/>
      <c r="U203" s="582"/>
      <c r="V203" s="614"/>
      <c r="W203" s="581"/>
      <c r="X203" s="615"/>
      <c r="Y203" s="613"/>
      <c r="Z203" s="580"/>
      <c r="AA203" s="634"/>
      <c r="AB203" s="577"/>
      <c r="AC203" s="673"/>
      <c r="AD203" s="634"/>
      <c r="AE203" s="587"/>
      <c r="AF203" s="587"/>
      <c r="AG203" s="582"/>
      <c r="AH203" s="582"/>
      <c r="AI203" s="582"/>
      <c r="AJ203" s="582"/>
      <c r="AK203" s="588"/>
      <c r="AL203" s="582"/>
      <c r="AM203" s="582"/>
      <c r="AN203" s="589"/>
      <c r="AO203" s="616"/>
      <c r="AP203" s="592"/>
      <c r="AQ203" s="358"/>
      <c r="AR203" s="592"/>
      <c r="AS203" s="592"/>
      <c r="AT203" s="592"/>
      <c r="AU203" s="592"/>
      <c r="AV203" s="592"/>
      <c r="AW203" s="592"/>
      <c r="AX203" s="592"/>
      <c r="AY203" s="592"/>
      <c r="AZ203" s="592"/>
      <c r="BA203" s="617"/>
      <c r="BB203" s="592"/>
      <c r="BC203" s="592"/>
      <c r="BD203" s="592"/>
      <c r="BE203" s="592"/>
      <c r="BF203" s="592"/>
      <c r="BG203" s="358"/>
      <c r="BH203" s="592"/>
      <c r="BI203" s="592"/>
      <c r="BJ203" s="592"/>
      <c r="BK203" s="592"/>
      <c r="BL203" s="592"/>
      <c r="BM203" s="592"/>
      <c r="BN203" s="592"/>
      <c r="BO203" s="592"/>
      <c r="BP203" s="592"/>
      <c r="BQ203" s="594"/>
      <c r="BR203" s="594"/>
      <c r="BS203" s="394">
        <f>-BS196</f>
        <v>-35996221.64</v>
      </c>
      <c r="BT203" s="594"/>
      <c r="BU203" s="594"/>
      <c r="BV203" s="594"/>
      <c r="BW203" s="618"/>
      <c r="BX203" s="644"/>
      <c r="BY203" s="644"/>
      <c r="BZ203" s="609" t="s">
        <v>387</v>
      </c>
    </row>
    <row r="204" ht="25.5" customHeight="1">
      <c r="A204" s="635"/>
      <c r="B204" s="666">
        <v>45384.781172939816</v>
      </c>
      <c r="C204" s="642"/>
      <c r="D204" s="642"/>
      <c r="E204" s="574" t="s">
        <v>218</v>
      </c>
      <c r="F204" s="620"/>
      <c r="G204" s="621"/>
      <c r="H204" s="577"/>
      <c r="I204" s="577"/>
      <c r="J204" s="613"/>
      <c r="K204" s="581"/>
      <c r="L204" s="581"/>
      <c r="M204" s="613"/>
      <c r="N204" s="613"/>
      <c r="O204" s="604">
        <v>-16.90000874933</v>
      </c>
      <c r="P204" s="580"/>
      <c r="Q204" s="686">
        <v>16.9</v>
      </c>
      <c r="R204" s="581"/>
      <c r="S204" s="581"/>
      <c r="T204" s="581"/>
      <c r="U204" s="582"/>
      <c r="V204" s="630"/>
      <c r="W204" s="581"/>
      <c r="X204" s="631"/>
      <c r="Y204" s="604"/>
      <c r="Z204" s="580"/>
      <c r="AA204" s="634"/>
      <c r="AB204" s="577"/>
      <c r="AC204" s="673"/>
      <c r="AD204" s="634"/>
      <c r="AE204" s="587"/>
      <c r="AF204" s="587"/>
      <c r="AG204" s="582"/>
      <c r="AH204" s="582"/>
      <c r="AI204" s="582"/>
      <c r="AJ204" s="582"/>
      <c r="AK204" s="588"/>
      <c r="AL204" s="582"/>
      <c r="AM204" s="582"/>
      <c r="AN204" s="589"/>
      <c r="AO204" s="616"/>
      <c r="AP204" s="592"/>
      <c r="AQ204" s="358"/>
      <c r="AR204" s="592"/>
      <c r="AS204" s="592"/>
      <c r="AT204" s="592"/>
      <c r="AU204" s="592"/>
      <c r="AV204" s="592"/>
      <c r="AW204" s="592"/>
      <c r="AX204" s="592"/>
      <c r="AY204" s="592"/>
      <c r="AZ204" s="592"/>
      <c r="BA204" s="617"/>
      <c r="BB204" s="592"/>
      <c r="BC204" s="592"/>
      <c r="BD204" s="592"/>
      <c r="BE204" s="592"/>
      <c r="BF204" s="592"/>
      <c r="BG204" s="358"/>
      <c r="BH204" s="592"/>
      <c r="BI204" s="592"/>
      <c r="BJ204" s="592"/>
      <c r="BK204" s="592"/>
      <c r="BL204" s="592"/>
      <c r="BM204" s="592"/>
      <c r="BN204" s="592"/>
      <c r="BO204" s="592"/>
      <c r="BP204" s="592"/>
      <c r="BQ204" s="594"/>
      <c r="BR204" s="594"/>
      <c r="BS204" s="394"/>
      <c r="BT204" s="594"/>
      <c r="BU204" s="594"/>
      <c r="BV204" s="594"/>
      <c r="BW204" s="618"/>
      <c r="BX204" s="644"/>
      <c r="BY204" s="644"/>
      <c r="BZ204" s="609" t="s">
        <v>388</v>
      </c>
    </row>
    <row r="205" ht="25.5" customHeight="1">
      <c r="B205" s="572">
        <v>45384.92152777778</v>
      </c>
      <c r="C205" s="635">
        <f>AL205/Q205</f>
        <v>-3286.71</v>
      </c>
      <c r="D205" s="642"/>
      <c r="E205" s="574" t="s">
        <v>231</v>
      </c>
      <c r="F205" s="620"/>
      <c r="G205" s="621"/>
      <c r="H205" s="577"/>
      <c r="I205" s="577"/>
      <c r="J205" s="613"/>
      <c r="K205" s="581"/>
      <c r="L205" s="581"/>
      <c r="M205" s="613"/>
      <c r="N205" s="613"/>
      <c r="O205" s="613"/>
      <c r="P205" s="635"/>
      <c r="Q205" s="686">
        <v>-16.9</v>
      </c>
      <c r="R205" s="581"/>
      <c r="S205" s="581"/>
      <c r="T205" s="581"/>
      <c r="U205" s="582"/>
      <c r="V205" s="614"/>
      <c r="W205" s="581"/>
      <c r="X205" s="615"/>
      <c r="Y205" s="613"/>
      <c r="Z205" s="580"/>
      <c r="AA205" s="634"/>
      <c r="AB205" s="577"/>
      <c r="AC205" s="673"/>
      <c r="AD205" s="634"/>
      <c r="AE205" s="587"/>
      <c r="AF205" s="587"/>
      <c r="AG205" s="582"/>
      <c r="AH205" s="582"/>
      <c r="AI205" s="582"/>
      <c r="AJ205" s="582"/>
      <c r="AK205" s="588"/>
      <c r="AL205" s="623">
        <v>55545.399</v>
      </c>
      <c r="AM205" s="623"/>
      <c r="AN205" s="589"/>
      <c r="AO205" s="616"/>
      <c r="AP205" s="592"/>
      <c r="AQ205" s="358"/>
      <c r="AR205" s="592"/>
      <c r="AS205" s="592"/>
      <c r="AT205" s="592"/>
      <c r="AU205" s="592"/>
      <c r="AV205" s="592"/>
      <c r="AW205" s="592"/>
      <c r="AX205" s="592"/>
      <c r="AY205" s="592"/>
      <c r="AZ205" s="592"/>
      <c r="BA205" s="617"/>
      <c r="BB205" s="592"/>
      <c r="BC205" s="592"/>
      <c r="BD205" s="592"/>
      <c r="BE205" s="592"/>
      <c r="BF205" s="592"/>
      <c r="BG205" s="358"/>
      <c r="BH205" s="592"/>
      <c r="BI205" s="592"/>
      <c r="BJ205" s="592"/>
      <c r="BK205" s="592"/>
      <c r="BL205" s="592"/>
      <c r="BM205" s="592"/>
      <c r="BN205" s="592"/>
      <c r="BO205" s="592"/>
      <c r="BP205" s="592"/>
      <c r="BQ205" s="594"/>
      <c r="BR205" s="594"/>
      <c r="BS205" s="394"/>
      <c r="BT205" s="594"/>
      <c r="BU205" s="594"/>
      <c r="BV205" s="594"/>
      <c r="BW205" s="618"/>
      <c r="BX205" s="644"/>
      <c r="BY205" s="644"/>
    </row>
    <row r="206" ht="25.5" customHeight="1">
      <c r="A206" s="635"/>
      <c r="B206" s="572">
        <v>45385.5625</v>
      </c>
      <c r="C206" s="642"/>
      <c r="D206" s="642"/>
      <c r="E206" s="574" t="s">
        <v>327</v>
      </c>
      <c r="F206" s="620"/>
      <c r="G206" s="691">
        <v>5.9251E-4</v>
      </c>
      <c r="H206" s="577"/>
      <c r="I206" s="577"/>
      <c r="J206" s="613"/>
      <c r="K206" s="581"/>
      <c r="L206" s="581"/>
      <c r="M206" s="613"/>
      <c r="N206" s="613"/>
      <c r="O206" s="613"/>
      <c r="P206" s="580"/>
      <c r="Q206" s="580"/>
      <c r="R206" s="581"/>
      <c r="S206" s="581"/>
      <c r="T206" s="581"/>
      <c r="U206" s="582"/>
      <c r="V206" s="614"/>
      <c r="W206" s="581"/>
      <c r="X206" s="615"/>
      <c r="Y206" s="613"/>
      <c r="Z206" s="580"/>
      <c r="AA206" s="634"/>
      <c r="AB206" s="577"/>
      <c r="AC206" s="673"/>
      <c r="AD206" s="634"/>
      <c r="AE206" s="587"/>
      <c r="AF206" s="587"/>
      <c r="AG206" s="582"/>
      <c r="AH206" s="582"/>
      <c r="AI206" s="582"/>
      <c r="AJ206" s="582"/>
      <c r="AK206" s="588"/>
      <c r="AL206" s="582"/>
      <c r="AM206" s="582"/>
      <c r="AN206" s="589"/>
      <c r="AO206" s="616"/>
      <c r="AP206" s="592"/>
      <c r="AQ206" s="358"/>
      <c r="AR206" s="592"/>
      <c r="AS206" s="592"/>
      <c r="AT206" s="592"/>
      <c r="AU206" s="592"/>
      <c r="AV206" s="592"/>
      <c r="AW206" s="592"/>
      <c r="AX206" s="592"/>
      <c r="AY206" s="592"/>
      <c r="AZ206" s="592"/>
      <c r="BA206" s="617"/>
      <c r="BB206" s="592"/>
      <c r="BC206" s="592"/>
      <c r="BD206" s="592"/>
      <c r="BE206" s="592"/>
      <c r="BF206" s="592"/>
      <c r="BG206" s="358"/>
      <c r="BH206" s="592"/>
      <c r="BI206" s="592"/>
      <c r="BJ206" s="592"/>
      <c r="BK206" s="592"/>
      <c r="BL206" s="592"/>
      <c r="BM206" s="592"/>
      <c r="BN206" s="592"/>
      <c r="BO206" s="592"/>
      <c r="BP206" s="592"/>
      <c r="BQ206" s="594"/>
      <c r="BR206" s="594"/>
      <c r="BS206" s="394"/>
      <c r="BT206" s="594"/>
      <c r="BU206" s="594"/>
      <c r="BV206" s="594"/>
      <c r="BW206" s="618"/>
      <c r="BX206" s="644"/>
      <c r="BY206" s="608" t="s">
        <v>389</v>
      </c>
      <c r="BZ206" s="609" t="s">
        <v>390</v>
      </c>
    </row>
    <row r="207" ht="25.5" customHeight="1">
      <c r="A207" s="635"/>
      <c r="B207" s="572">
        <v>45387.80902777778</v>
      </c>
      <c r="C207" s="642"/>
      <c r="D207" s="642"/>
      <c r="E207" s="574" t="s">
        <v>327</v>
      </c>
      <c r="F207" s="620"/>
      <c r="G207" s="691">
        <v>0.00259246</v>
      </c>
      <c r="H207" s="577"/>
      <c r="I207" s="577"/>
      <c r="J207" s="613"/>
      <c r="K207" s="581"/>
      <c r="L207" s="581"/>
      <c r="M207" s="613"/>
      <c r="N207" s="613"/>
      <c r="O207" s="613"/>
      <c r="P207" s="580"/>
      <c r="Q207" s="580"/>
      <c r="R207" s="581"/>
      <c r="S207" s="581"/>
      <c r="T207" s="581"/>
      <c r="U207" s="582"/>
      <c r="V207" s="614"/>
      <c r="W207" s="581"/>
      <c r="X207" s="615"/>
      <c r="Y207" s="613"/>
      <c r="Z207" s="580"/>
      <c r="AA207" s="634"/>
      <c r="AB207" s="577"/>
      <c r="AC207" s="673"/>
      <c r="AD207" s="634"/>
      <c r="AE207" s="587"/>
      <c r="AF207" s="587"/>
      <c r="AG207" s="582"/>
      <c r="AH207" s="582"/>
      <c r="AI207" s="582"/>
      <c r="AJ207" s="582"/>
      <c r="AK207" s="588"/>
      <c r="AL207" s="582"/>
      <c r="AM207" s="582"/>
      <c r="AN207" s="589"/>
      <c r="AO207" s="616"/>
      <c r="AP207" s="592"/>
      <c r="AQ207" s="358"/>
      <c r="AR207" s="592"/>
      <c r="AS207" s="592"/>
      <c r="AT207" s="592"/>
      <c r="AU207" s="592"/>
      <c r="AV207" s="592"/>
      <c r="AW207" s="592"/>
      <c r="AX207" s="592"/>
      <c r="AY207" s="592"/>
      <c r="AZ207" s="592"/>
      <c r="BA207" s="617"/>
      <c r="BB207" s="592"/>
      <c r="BC207" s="592"/>
      <c r="BD207" s="592"/>
      <c r="BE207" s="592"/>
      <c r="BF207" s="592"/>
      <c r="BG207" s="358"/>
      <c r="BH207" s="592"/>
      <c r="BI207" s="592"/>
      <c r="BJ207" s="592"/>
      <c r="BK207" s="592"/>
      <c r="BL207" s="592"/>
      <c r="BM207" s="592"/>
      <c r="BN207" s="592"/>
      <c r="BO207" s="592"/>
      <c r="BP207" s="592"/>
      <c r="BQ207" s="594"/>
      <c r="BR207" s="594"/>
      <c r="BS207" s="394"/>
      <c r="BT207" s="594"/>
      <c r="BU207" s="594"/>
      <c r="BV207" s="594"/>
      <c r="BW207" s="618"/>
      <c r="BX207" s="644"/>
      <c r="BY207" s="608" t="s">
        <v>391</v>
      </c>
      <c r="BZ207" s="609" t="s">
        <v>392</v>
      </c>
    </row>
    <row r="208" ht="25.5" customHeight="1">
      <c r="A208" s="635"/>
      <c r="B208" s="666">
        <v>45387.45940740741</v>
      </c>
      <c r="C208" s="642"/>
      <c r="D208" s="642"/>
      <c r="E208" s="574" t="s">
        <v>231</v>
      </c>
      <c r="F208" s="620"/>
      <c r="G208" s="692"/>
      <c r="H208" s="577"/>
      <c r="I208" s="577"/>
      <c r="J208" s="613"/>
      <c r="K208" s="579"/>
      <c r="L208" s="579"/>
      <c r="M208" s="613"/>
      <c r="N208" s="613"/>
      <c r="O208" s="613"/>
      <c r="P208" s="580"/>
      <c r="Q208" s="580"/>
      <c r="R208" s="579">
        <v>6849.8</v>
      </c>
      <c r="S208" s="579"/>
      <c r="T208" s="581"/>
      <c r="U208" s="582"/>
      <c r="V208" s="614"/>
      <c r="W208" s="581"/>
      <c r="X208" s="615"/>
      <c r="Y208" s="613"/>
      <c r="Z208" s="580"/>
      <c r="AA208" s="634"/>
      <c r="AB208" s="577"/>
      <c r="AC208" s="673"/>
      <c r="AD208" s="634"/>
      <c r="AE208" s="587"/>
      <c r="AF208" s="587"/>
      <c r="AG208" s="582"/>
      <c r="AH208" s="582"/>
      <c r="AI208" s="582"/>
      <c r="AJ208" s="582"/>
      <c r="AK208" s="588"/>
      <c r="AL208" s="582"/>
      <c r="AM208" s="582"/>
      <c r="AN208" s="589"/>
      <c r="AO208" s="616"/>
      <c r="AP208" s="592"/>
      <c r="AQ208" s="358"/>
      <c r="AR208" s="592"/>
      <c r="AS208" s="592"/>
      <c r="AT208" s="592"/>
      <c r="AU208" s="592"/>
      <c r="AV208" s="592"/>
      <c r="AW208" s="592"/>
      <c r="AX208" s="592"/>
      <c r="AY208" s="592"/>
      <c r="AZ208" s="592"/>
      <c r="BA208" s="617"/>
      <c r="BB208" s="592"/>
      <c r="BC208" s="592"/>
      <c r="BD208" s="592"/>
      <c r="BE208" s="592"/>
      <c r="BF208" s="592"/>
      <c r="BG208" s="358"/>
      <c r="BH208" s="592">
        <f>-3682.45</f>
        <v>-3682.45</v>
      </c>
      <c r="BI208" s="592"/>
      <c r="BJ208" s="592"/>
      <c r="BK208" s="592"/>
      <c r="BL208" s="592"/>
      <c r="BM208" s="592"/>
      <c r="BN208" s="592"/>
      <c r="BO208" s="592"/>
      <c r="BP208" s="592"/>
      <c r="BQ208" s="594"/>
      <c r="BR208" s="594"/>
      <c r="BS208" s="394"/>
      <c r="BT208" s="594"/>
      <c r="BU208" s="594"/>
      <c r="BV208" s="594"/>
      <c r="BW208" s="618"/>
      <c r="BX208" s="644"/>
      <c r="BY208" s="644"/>
      <c r="BZ208" s="609" t="s">
        <v>393</v>
      </c>
    </row>
    <row r="209" ht="25.5" customHeight="1">
      <c r="A209" s="635"/>
      <c r="B209" s="666">
        <v>45387.47106026621</v>
      </c>
      <c r="C209" s="642"/>
      <c r="D209" s="642"/>
      <c r="E209" s="693" t="s">
        <v>231</v>
      </c>
      <c r="F209" s="620"/>
      <c r="G209" s="692"/>
      <c r="H209" s="577"/>
      <c r="I209" s="577"/>
      <c r="J209" s="613"/>
      <c r="K209" s="581"/>
      <c r="L209" s="581"/>
      <c r="M209" s="613"/>
      <c r="N209" s="613"/>
      <c r="O209" s="613"/>
      <c r="P209" s="580"/>
      <c r="Q209" s="580"/>
      <c r="R209" s="581"/>
      <c r="S209" s="581"/>
      <c r="T209" s="581"/>
      <c r="U209" s="582"/>
      <c r="V209" s="614"/>
      <c r="W209" s="581"/>
      <c r="X209" s="615"/>
      <c r="Y209" s="613"/>
      <c r="Z209" s="580"/>
      <c r="AA209" s="634"/>
      <c r="AB209" s="577"/>
      <c r="AC209" s="673"/>
      <c r="AD209" s="634"/>
      <c r="AE209" s="587"/>
      <c r="AF209" s="587"/>
      <c r="AG209" s="582"/>
      <c r="AH209" s="582"/>
      <c r="AI209" s="582"/>
      <c r="AJ209" s="582"/>
      <c r="AK209" s="588"/>
      <c r="AL209" s="582"/>
      <c r="AM209" s="582"/>
      <c r="AN209" s="589"/>
      <c r="AO209" s="616"/>
      <c r="AP209" s="591"/>
      <c r="AQ209" s="358"/>
      <c r="AR209" s="591"/>
      <c r="AS209" s="591"/>
      <c r="AT209" s="591"/>
      <c r="AU209" s="592"/>
      <c r="AV209" s="591">
        <v>393.578</v>
      </c>
      <c r="AW209" s="592"/>
      <c r="AX209" s="592"/>
      <c r="AY209" s="591"/>
      <c r="AZ209" s="591">
        <v>-2263.35</v>
      </c>
      <c r="BA209" s="617"/>
      <c r="BB209" s="592"/>
      <c r="BC209" s="592"/>
      <c r="BD209" s="592"/>
      <c r="BE209" s="592"/>
      <c r="BF209" s="592"/>
      <c r="BG209" s="358"/>
      <c r="BH209" s="592"/>
      <c r="BI209" s="592"/>
      <c r="BJ209" s="592"/>
      <c r="BK209" s="592"/>
      <c r="BL209" s="592"/>
      <c r="BM209" s="592"/>
      <c r="BN209" s="592"/>
      <c r="BO209" s="592"/>
      <c r="BP209" s="592"/>
      <c r="BQ209" s="594"/>
      <c r="BR209" s="594"/>
      <c r="BS209" s="394"/>
      <c r="BT209" s="594"/>
      <c r="BU209" s="594"/>
      <c r="BV209" s="594"/>
      <c r="BW209" s="618"/>
      <c r="BX209" s="644"/>
      <c r="BY209" s="644"/>
      <c r="BZ209" s="609" t="s">
        <v>394</v>
      </c>
      <c r="CA209" s="694" t="s">
        <v>395</v>
      </c>
    </row>
    <row r="210" ht="25.5" customHeight="1">
      <c r="A210" s="635"/>
      <c r="B210" s="666">
        <v>45387.49057123842</v>
      </c>
      <c r="C210" s="642"/>
      <c r="D210" s="642"/>
      <c r="E210" s="693" t="s">
        <v>231</v>
      </c>
      <c r="F210" s="620"/>
      <c r="G210" s="692"/>
      <c r="H210" s="577"/>
      <c r="I210" s="577"/>
      <c r="J210" s="613"/>
      <c r="K210" s="581"/>
      <c r="L210" s="581"/>
      <c r="M210" s="613"/>
      <c r="N210" s="613"/>
      <c r="O210" s="613"/>
      <c r="P210" s="580"/>
      <c r="Q210" s="580"/>
      <c r="R210" s="581"/>
      <c r="S210" s="581"/>
      <c r="T210" s="581"/>
      <c r="U210" s="582"/>
      <c r="V210" s="614"/>
      <c r="W210" s="581"/>
      <c r="X210" s="615"/>
      <c r="Y210" s="613"/>
      <c r="Z210" s="580"/>
      <c r="AA210" s="634"/>
      <c r="AB210" s="577"/>
      <c r="AC210" s="673"/>
      <c r="AD210" s="634"/>
      <c r="AE210" s="587"/>
      <c r="AF210" s="587"/>
      <c r="AG210" s="582"/>
      <c r="AH210" s="582"/>
      <c r="AI210" s="582"/>
      <c r="AJ210" s="582"/>
      <c r="AK210" s="588"/>
      <c r="AL210" s="623">
        <v>-5000.0</v>
      </c>
      <c r="AM210" s="623"/>
      <c r="AN210" s="589"/>
      <c r="AO210" s="616"/>
      <c r="AP210" s="592"/>
      <c r="AQ210" s="358"/>
      <c r="AR210" s="592"/>
      <c r="AS210" s="592"/>
      <c r="AT210" s="592"/>
      <c r="AU210" s="592"/>
      <c r="AV210" s="592"/>
      <c r="AW210" s="592"/>
      <c r="AX210" s="591">
        <v>1274.8239</v>
      </c>
      <c r="AY210" s="592"/>
      <c r="AZ210" s="592"/>
      <c r="BA210" s="617"/>
      <c r="BB210" s="592"/>
      <c r="BC210" s="592"/>
      <c r="BD210" s="592"/>
      <c r="BE210" s="592"/>
      <c r="BF210" s="592"/>
      <c r="BG210" s="358"/>
      <c r="BH210" s="592"/>
      <c r="BI210" s="592"/>
      <c r="BJ210" s="592"/>
      <c r="BK210" s="592"/>
      <c r="BL210" s="592"/>
      <c r="BM210" s="592"/>
      <c r="BN210" s="592"/>
      <c r="BO210" s="592"/>
      <c r="BP210" s="592"/>
      <c r="BQ210" s="594"/>
      <c r="BR210" s="594"/>
      <c r="BS210" s="394"/>
      <c r="BT210" s="594"/>
      <c r="BU210" s="594"/>
      <c r="BV210" s="594"/>
      <c r="BW210" s="618"/>
      <c r="BX210" s="608">
        <v>5000.0</v>
      </c>
      <c r="BY210" s="644"/>
    </row>
    <row r="211" ht="25.5" customHeight="1">
      <c r="A211" s="635"/>
      <c r="B211" s="572">
        <v>45387.80902777778</v>
      </c>
      <c r="C211" s="642"/>
      <c r="D211" s="642"/>
      <c r="E211" s="693" t="s">
        <v>327</v>
      </c>
      <c r="F211" s="620"/>
      <c r="G211" s="691">
        <v>5.5271E-4</v>
      </c>
      <c r="H211" s="577"/>
      <c r="I211" s="577"/>
      <c r="J211" s="613"/>
      <c r="K211" s="581"/>
      <c r="L211" s="581"/>
      <c r="M211" s="613"/>
      <c r="N211" s="613"/>
      <c r="O211" s="613"/>
      <c r="P211" s="580"/>
      <c r="Q211" s="580"/>
      <c r="R211" s="581"/>
      <c r="S211" s="581"/>
      <c r="T211" s="581"/>
      <c r="U211" s="582"/>
      <c r="V211" s="614"/>
      <c r="W211" s="581"/>
      <c r="X211" s="615"/>
      <c r="Y211" s="613"/>
      <c r="Z211" s="580"/>
      <c r="AA211" s="634"/>
      <c r="AB211" s="577"/>
      <c r="AC211" s="673"/>
      <c r="AD211" s="634"/>
      <c r="AE211" s="587"/>
      <c r="AF211" s="587"/>
      <c r="AG211" s="582"/>
      <c r="AH211" s="582"/>
      <c r="AI211" s="582"/>
      <c r="AJ211" s="582"/>
      <c r="AK211" s="588"/>
      <c r="AL211" s="582"/>
      <c r="AM211" s="582"/>
      <c r="AN211" s="589"/>
      <c r="AO211" s="616"/>
      <c r="AP211" s="592"/>
      <c r="AQ211" s="358"/>
      <c r="AR211" s="592"/>
      <c r="AS211" s="592"/>
      <c r="AT211" s="592"/>
      <c r="AU211" s="592"/>
      <c r="AV211" s="592"/>
      <c r="AW211" s="592"/>
      <c r="AX211" s="592"/>
      <c r="AY211" s="592"/>
      <c r="AZ211" s="592"/>
      <c r="BA211" s="617"/>
      <c r="BB211" s="592"/>
      <c r="BC211" s="592"/>
      <c r="BD211" s="592"/>
      <c r="BE211" s="592"/>
      <c r="BF211" s="592"/>
      <c r="BG211" s="358"/>
      <c r="BH211" s="592"/>
      <c r="BI211" s="592"/>
      <c r="BJ211" s="592"/>
      <c r="BK211" s="592"/>
      <c r="BL211" s="592"/>
      <c r="BM211" s="592"/>
      <c r="BN211" s="592"/>
      <c r="BO211" s="592"/>
      <c r="BP211" s="592"/>
      <c r="BQ211" s="594"/>
      <c r="BR211" s="594"/>
      <c r="BS211" s="394"/>
      <c r="BT211" s="594"/>
      <c r="BU211" s="594"/>
      <c r="BV211" s="594"/>
      <c r="BW211" s="618"/>
      <c r="BX211" s="644"/>
      <c r="BY211" s="608" t="s">
        <v>396</v>
      </c>
      <c r="BZ211" s="609" t="s">
        <v>397</v>
      </c>
    </row>
    <row r="212" ht="25.5" customHeight="1">
      <c r="A212" s="635"/>
      <c r="B212" s="572">
        <v>45389.57876157408</v>
      </c>
      <c r="C212" s="642"/>
      <c r="D212" s="642"/>
      <c r="E212" s="693" t="s">
        <v>327</v>
      </c>
      <c r="F212" s="620"/>
      <c r="G212" s="692"/>
      <c r="H212" s="577"/>
      <c r="I212" s="577"/>
      <c r="J212" s="604"/>
      <c r="K212" s="581"/>
      <c r="L212" s="581"/>
      <c r="M212" s="604">
        <v>0.47175</v>
      </c>
      <c r="N212" s="613"/>
      <c r="O212" s="613"/>
      <c r="P212" s="580"/>
      <c r="Q212" s="580"/>
      <c r="R212" s="581"/>
      <c r="S212" s="581"/>
      <c r="T212" s="581"/>
      <c r="U212" s="582"/>
      <c r="V212" s="614"/>
      <c r="W212" s="581"/>
      <c r="X212" s="615"/>
      <c r="Y212" s="613"/>
      <c r="Z212" s="633"/>
      <c r="AA212" s="634"/>
      <c r="AB212" s="577"/>
      <c r="AC212" s="673"/>
      <c r="AD212" s="634"/>
      <c r="AE212" s="587"/>
      <c r="AF212" s="587"/>
      <c r="AG212" s="582"/>
      <c r="AH212" s="582"/>
      <c r="AI212" s="582"/>
      <c r="AJ212" s="582"/>
      <c r="AK212" s="588"/>
      <c r="AL212" s="623"/>
      <c r="AM212" s="623"/>
      <c r="AN212" s="589"/>
      <c r="AO212" s="616"/>
      <c r="AP212" s="592"/>
      <c r="AQ212" s="358"/>
      <c r="AR212" s="592"/>
      <c r="AS212" s="592"/>
      <c r="AT212" s="592"/>
      <c r="AU212" s="592"/>
      <c r="AV212" s="592"/>
      <c r="AW212" s="592"/>
      <c r="AX212" s="592"/>
      <c r="AY212" s="592"/>
      <c r="AZ212" s="592"/>
      <c r="BA212" s="617"/>
      <c r="BB212" s="592"/>
      <c r="BC212" s="592"/>
      <c r="BD212" s="592"/>
      <c r="BE212" s="592"/>
      <c r="BF212" s="592"/>
      <c r="BG212" s="358"/>
      <c r="BH212" s="592"/>
      <c r="BI212" s="592"/>
      <c r="BJ212" s="592"/>
      <c r="BK212" s="592"/>
      <c r="BL212" s="592"/>
      <c r="BM212" s="592"/>
      <c r="BN212" s="592"/>
      <c r="BO212" s="592"/>
      <c r="BP212" s="592"/>
      <c r="BQ212" s="594"/>
      <c r="BR212" s="594"/>
      <c r="BS212" s="394"/>
      <c r="BT212" s="594"/>
      <c r="BU212" s="594"/>
      <c r="BV212" s="594"/>
      <c r="BW212" s="618"/>
      <c r="BX212" s="608"/>
      <c r="BY212" s="608" t="s">
        <v>398</v>
      </c>
      <c r="BZ212" s="609" t="s">
        <v>399</v>
      </c>
    </row>
    <row r="213" ht="25.5" customHeight="1">
      <c r="A213" s="635"/>
      <c r="B213" s="572">
        <v>45391.39236111111</v>
      </c>
      <c r="C213" s="642"/>
      <c r="D213" s="642"/>
      <c r="E213" s="693" t="s">
        <v>231</v>
      </c>
      <c r="F213" s="620"/>
      <c r="G213" s="692"/>
      <c r="H213" s="577"/>
      <c r="I213" s="577"/>
      <c r="K213" s="581"/>
      <c r="L213" s="581"/>
      <c r="N213" s="613"/>
      <c r="O213" s="613"/>
      <c r="P213" s="580"/>
      <c r="Q213" s="580"/>
      <c r="R213" s="581"/>
      <c r="S213" s="581"/>
      <c r="T213" s="581"/>
      <c r="U213" s="582"/>
      <c r="V213" s="614"/>
      <c r="W213" s="581"/>
      <c r="X213" s="615"/>
      <c r="Y213" s="613"/>
      <c r="Z213" s="581"/>
      <c r="AA213" s="634"/>
      <c r="AB213" s="577"/>
      <c r="AC213" s="673"/>
      <c r="AD213" s="634"/>
      <c r="AE213" s="587"/>
      <c r="AF213" s="587"/>
      <c r="AG213" s="582"/>
      <c r="AH213" s="582"/>
      <c r="AI213" s="582"/>
      <c r="AJ213" s="582"/>
      <c r="AK213" s="588"/>
      <c r="AL213" s="623">
        <v>-5000.0</v>
      </c>
      <c r="AM213" s="623"/>
      <c r="AN213" s="589"/>
      <c r="AO213" s="616"/>
      <c r="AP213" s="592"/>
      <c r="AQ213" s="358"/>
      <c r="AR213" s="592"/>
      <c r="AS213" s="592"/>
      <c r="AT213" s="592"/>
      <c r="AU213" s="592"/>
      <c r="AV213" s="592"/>
      <c r="AW213" s="592"/>
      <c r="AX213" s="592">
        <v>1202.7</v>
      </c>
      <c r="AY213" s="592"/>
      <c r="AZ213" s="592"/>
      <c r="BA213" s="617"/>
      <c r="BB213" s="592"/>
      <c r="BC213" s="592"/>
      <c r="BD213" s="592"/>
      <c r="BE213" s="592"/>
      <c r="BF213" s="592"/>
      <c r="BG213" s="358"/>
      <c r="BH213" s="592"/>
      <c r="BI213" s="592"/>
      <c r="BJ213" s="592"/>
      <c r="BK213" s="592"/>
      <c r="BL213" s="592"/>
      <c r="BM213" s="592"/>
      <c r="BN213" s="592"/>
      <c r="BO213" s="592"/>
      <c r="BP213" s="592"/>
      <c r="BQ213" s="594"/>
      <c r="BR213" s="594"/>
      <c r="BS213" s="394"/>
      <c r="BT213" s="594"/>
      <c r="BU213" s="594"/>
      <c r="BV213" s="594"/>
      <c r="BW213" s="618"/>
      <c r="BX213" s="608">
        <v>5000.0</v>
      </c>
      <c r="BY213" s="644"/>
    </row>
    <row r="214" ht="25.5" customHeight="1">
      <c r="A214" s="635"/>
      <c r="B214" s="572">
        <v>45391.72638888889</v>
      </c>
      <c r="C214" s="642"/>
      <c r="D214" s="642"/>
      <c r="E214" s="693" t="s">
        <v>231</v>
      </c>
      <c r="F214" s="620"/>
      <c r="G214" s="692"/>
      <c r="H214" s="577"/>
      <c r="I214" s="577"/>
      <c r="J214" s="613"/>
      <c r="K214" s="581"/>
      <c r="L214" s="581"/>
      <c r="M214" s="613"/>
      <c r="N214" s="613"/>
      <c r="O214" s="613"/>
      <c r="P214" s="580"/>
      <c r="Q214" s="580"/>
      <c r="R214" s="581"/>
      <c r="S214" s="581"/>
      <c r="T214" s="581"/>
      <c r="U214" s="582"/>
      <c r="V214" s="614"/>
      <c r="W214" s="581"/>
      <c r="X214" s="615"/>
      <c r="Y214" s="613"/>
      <c r="Z214" s="580"/>
      <c r="AA214" s="634"/>
      <c r="AB214" s="577"/>
      <c r="AC214" s="673"/>
      <c r="AD214" s="634"/>
      <c r="AE214" s="587"/>
      <c r="AF214" s="587"/>
      <c r="AG214" s="582"/>
      <c r="AH214" s="582"/>
      <c r="AI214" s="582"/>
      <c r="AJ214" s="582"/>
      <c r="AK214" s="588"/>
      <c r="AL214" s="623">
        <v>-5000.0</v>
      </c>
      <c r="AM214" s="623"/>
      <c r="AN214" s="589"/>
      <c r="AO214" s="616"/>
      <c r="AP214" s="592"/>
      <c r="AQ214" s="358"/>
      <c r="AR214" s="592"/>
      <c r="AS214" s="592"/>
      <c r="AT214" s="592"/>
      <c r="AU214" s="592"/>
      <c r="AV214" s="592"/>
      <c r="AW214" s="592"/>
      <c r="AX214" s="591">
        <v>1305.4</v>
      </c>
      <c r="AY214" s="592"/>
      <c r="AZ214" s="592"/>
      <c r="BA214" s="617"/>
      <c r="BB214" s="592"/>
      <c r="BC214" s="592"/>
      <c r="BD214" s="592"/>
      <c r="BE214" s="592"/>
      <c r="BF214" s="592"/>
      <c r="BG214" s="358"/>
      <c r="BH214" s="592"/>
      <c r="BI214" s="592"/>
      <c r="BJ214" s="592"/>
      <c r="BK214" s="592"/>
      <c r="BL214" s="592"/>
      <c r="BM214" s="592"/>
      <c r="BN214" s="592"/>
      <c r="BO214" s="592"/>
      <c r="BP214" s="592"/>
      <c r="BQ214" s="594"/>
      <c r="BR214" s="594"/>
      <c r="BS214" s="394"/>
      <c r="BT214" s="594"/>
      <c r="BU214" s="594"/>
      <c r="BV214" s="594"/>
      <c r="BW214" s="618"/>
      <c r="BX214" s="608">
        <v>5000.0</v>
      </c>
      <c r="BY214" s="644"/>
    </row>
    <row r="215" ht="25.5" customHeight="1">
      <c r="A215" s="635"/>
      <c r="B215" s="572">
        <v>45392.63958333333</v>
      </c>
      <c r="C215" s="642"/>
      <c r="D215" s="642"/>
      <c r="E215" s="693" t="s">
        <v>231</v>
      </c>
      <c r="F215" s="620"/>
      <c r="G215" s="692"/>
      <c r="H215" s="577"/>
      <c r="I215" s="577"/>
      <c r="J215" s="613"/>
      <c r="K215" s="581"/>
      <c r="L215" s="581"/>
      <c r="M215" s="613"/>
      <c r="N215" s="613"/>
      <c r="O215" s="613"/>
      <c r="P215" s="580"/>
      <c r="Q215" s="580"/>
      <c r="R215" s="581"/>
      <c r="S215" s="581"/>
      <c r="T215" s="581"/>
      <c r="U215" s="582"/>
      <c r="V215" s="614"/>
      <c r="W215" s="581"/>
      <c r="X215" s="615"/>
      <c r="Y215" s="613"/>
      <c r="Z215" s="580"/>
      <c r="AA215" s="634"/>
      <c r="AB215" s="577"/>
      <c r="AC215" s="673"/>
      <c r="AD215" s="634"/>
      <c r="AE215" s="587"/>
      <c r="AF215" s="587"/>
      <c r="AG215" s="582"/>
      <c r="AH215" s="582"/>
      <c r="AI215" s="582"/>
      <c r="AJ215" s="582"/>
      <c r="AK215" s="588"/>
      <c r="AL215" s="623">
        <v>-5000.0</v>
      </c>
      <c r="AM215" s="623"/>
      <c r="AN215" s="589"/>
      <c r="AO215" s="616"/>
      <c r="AP215" s="592"/>
      <c r="AQ215" s="358"/>
      <c r="AR215" s="592"/>
      <c r="AS215" s="592"/>
      <c r="AT215" s="592"/>
      <c r="AU215" s="592"/>
      <c r="AV215" s="592"/>
      <c r="AW215" s="592"/>
      <c r="AX215" s="592">
        <f>5112.882-3782.92</f>
        <v>1329.962</v>
      </c>
      <c r="AY215" s="592"/>
      <c r="AZ215" s="592"/>
      <c r="BA215" s="617"/>
      <c r="BB215" s="592"/>
      <c r="BC215" s="592"/>
      <c r="BD215" s="592"/>
      <c r="BE215" s="592"/>
      <c r="BF215" s="592"/>
      <c r="BG215" s="358"/>
      <c r="BH215" s="592"/>
      <c r="BI215" s="592"/>
      <c r="BJ215" s="592"/>
      <c r="BK215" s="592"/>
      <c r="BL215" s="592"/>
      <c r="BM215" s="592"/>
      <c r="BN215" s="592"/>
      <c r="BO215" s="592"/>
      <c r="BP215" s="592"/>
      <c r="BQ215" s="594"/>
      <c r="BR215" s="594"/>
      <c r="BS215" s="394"/>
      <c r="BT215" s="594"/>
      <c r="BU215" s="594"/>
      <c r="BV215" s="594"/>
      <c r="BW215" s="618"/>
      <c r="BX215" s="608">
        <v>5000.0</v>
      </c>
      <c r="BY215" s="644"/>
    </row>
    <row r="216" ht="25.5" customHeight="1">
      <c r="A216" s="635"/>
      <c r="B216" s="666">
        <v>45393.96106822917</v>
      </c>
      <c r="C216" s="642"/>
      <c r="D216" s="642"/>
      <c r="E216" s="693" t="s">
        <v>226</v>
      </c>
      <c r="F216" s="620"/>
      <c r="G216" s="691">
        <v>-0.00460295</v>
      </c>
      <c r="H216" s="577"/>
      <c r="I216" s="577"/>
      <c r="J216" s="613"/>
      <c r="K216" s="581"/>
      <c r="L216" s="581"/>
      <c r="M216" s="613"/>
      <c r="N216" s="613"/>
      <c r="O216" s="613"/>
      <c r="P216" s="580"/>
      <c r="Q216" s="580"/>
      <c r="R216" s="581"/>
      <c r="S216" s="581"/>
      <c r="T216" s="581"/>
      <c r="U216" s="582"/>
      <c r="V216" s="614"/>
      <c r="W216" s="581"/>
      <c r="X216" s="615"/>
      <c r="Y216" s="613"/>
      <c r="Z216" s="580"/>
      <c r="AA216" s="634"/>
      <c r="AB216" s="577"/>
      <c r="AC216" s="673"/>
      <c r="AD216" s="634"/>
      <c r="AE216" s="587"/>
      <c r="AF216" s="587"/>
      <c r="AG216" s="582"/>
      <c r="AH216" s="582"/>
      <c r="AI216" s="582"/>
      <c r="AJ216" s="582"/>
      <c r="AK216" s="588"/>
      <c r="AL216" s="582"/>
      <c r="AM216" s="582"/>
      <c r="AN216" s="589"/>
      <c r="AO216" s="616"/>
      <c r="AP216" s="592"/>
      <c r="AQ216" s="358"/>
      <c r="AR216" s="592"/>
      <c r="AS216" s="592"/>
      <c r="AT216" s="592"/>
      <c r="AU216" s="592"/>
      <c r="AV216" s="592"/>
      <c r="AW216" s="592"/>
      <c r="AX216" s="592"/>
      <c r="AY216" s="592"/>
      <c r="AZ216" s="592"/>
      <c r="BA216" s="617"/>
      <c r="BB216" s="592"/>
      <c r="BC216" s="592"/>
      <c r="BD216" s="592"/>
      <c r="BE216" s="592"/>
      <c r="BF216" s="592"/>
      <c r="BG216" s="358"/>
      <c r="BH216" s="592"/>
      <c r="BI216" s="592"/>
      <c r="BJ216" s="592"/>
      <c r="BK216" s="592"/>
      <c r="BL216" s="592"/>
      <c r="BM216" s="592"/>
      <c r="BN216" s="592"/>
      <c r="BO216" s="592"/>
      <c r="BP216" s="592"/>
      <c r="BQ216" s="594"/>
      <c r="BR216" s="594"/>
      <c r="BS216" s="394"/>
      <c r="BT216" s="594"/>
      <c r="BU216" s="594"/>
      <c r="BV216" s="594"/>
      <c r="BW216" s="618"/>
      <c r="BX216" s="644"/>
      <c r="BY216" s="608" t="s">
        <v>400</v>
      </c>
      <c r="BZ216" s="609" t="s">
        <v>401</v>
      </c>
    </row>
    <row r="217" ht="25.5" customHeight="1">
      <c r="A217" s="635"/>
      <c r="B217" s="572">
        <v>45394.160416666666</v>
      </c>
      <c r="C217" s="642"/>
      <c r="D217" s="642"/>
      <c r="E217" s="693" t="s">
        <v>327</v>
      </c>
      <c r="F217" s="620"/>
      <c r="G217" s="691">
        <v>0.03483046</v>
      </c>
      <c r="H217" s="577"/>
      <c r="I217" s="577"/>
      <c r="J217" s="613"/>
      <c r="K217" s="581"/>
      <c r="L217" s="581"/>
      <c r="M217" s="613"/>
      <c r="N217" s="613"/>
      <c r="O217" s="613"/>
      <c r="P217" s="580"/>
      <c r="Q217" s="580"/>
      <c r="R217" s="581"/>
      <c r="S217" s="581"/>
      <c r="T217" s="581"/>
      <c r="U217" s="582"/>
      <c r="V217" s="614"/>
      <c r="W217" s="581"/>
      <c r="X217" s="615"/>
      <c r="Y217" s="613"/>
      <c r="Z217" s="580"/>
      <c r="AA217" s="634"/>
      <c r="AB217" s="577"/>
      <c r="AC217" s="673"/>
      <c r="AD217" s="634"/>
      <c r="AE217" s="587"/>
      <c r="AF217" s="587"/>
      <c r="AG217" s="582"/>
      <c r="AH217" s="582"/>
      <c r="AI217" s="582"/>
      <c r="AJ217" s="582"/>
      <c r="AK217" s="588"/>
      <c r="AL217" s="582"/>
      <c r="AM217" s="582"/>
      <c r="AN217" s="589"/>
      <c r="AO217" s="616"/>
      <c r="AP217" s="592"/>
      <c r="AQ217" s="358"/>
      <c r="AR217" s="592"/>
      <c r="AS217" s="592"/>
      <c r="AT217" s="592"/>
      <c r="AU217" s="592"/>
      <c r="AV217" s="592"/>
      <c r="AW217" s="592"/>
      <c r="AX217" s="592"/>
      <c r="AY217" s="592"/>
      <c r="AZ217" s="592"/>
      <c r="BA217" s="617"/>
      <c r="BB217" s="592"/>
      <c r="BC217" s="592"/>
      <c r="BD217" s="592"/>
      <c r="BE217" s="592"/>
      <c r="BF217" s="592"/>
      <c r="BG217" s="358"/>
      <c r="BH217" s="592"/>
      <c r="BI217" s="592"/>
      <c r="BJ217" s="592"/>
      <c r="BK217" s="592"/>
      <c r="BL217" s="592"/>
      <c r="BM217" s="592"/>
      <c r="BN217" s="592"/>
      <c r="BO217" s="592"/>
      <c r="BP217" s="592"/>
      <c r="BQ217" s="594"/>
      <c r="BR217" s="594"/>
      <c r="BS217" s="394"/>
      <c r="BT217" s="594"/>
      <c r="BU217" s="594"/>
      <c r="BV217" s="594"/>
      <c r="BW217" s="618"/>
      <c r="BX217" s="644"/>
      <c r="BY217" s="608" t="s">
        <v>402</v>
      </c>
      <c r="BZ217" s="609" t="s">
        <v>403</v>
      </c>
    </row>
    <row r="218" ht="25.5" customHeight="1">
      <c r="A218" s="635"/>
      <c r="B218" s="695">
        <v>45394.66736136574</v>
      </c>
      <c r="C218" s="642"/>
      <c r="D218" s="642"/>
      <c r="E218" s="693" t="s">
        <v>231</v>
      </c>
      <c r="F218" s="696"/>
      <c r="G218" s="692"/>
      <c r="H218" s="577"/>
      <c r="I218" s="577"/>
      <c r="J218" s="613"/>
      <c r="K218" s="581"/>
      <c r="L218" s="581"/>
      <c r="M218" s="613"/>
      <c r="N218" s="613"/>
      <c r="O218" s="613"/>
      <c r="P218" s="580"/>
      <c r="Q218" s="580"/>
      <c r="R218" s="581"/>
      <c r="S218" s="581"/>
      <c r="T218" s="581"/>
      <c r="U218" s="582"/>
      <c r="V218" s="614"/>
      <c r="W218" s="581"/>
      <c r="X218" s="615"/>
      <c r="Y218" s="613"/>
      <c r="Z218" s="580"/>
      <c r="AA218" s="634"/>
      <c r="AB218" s="577"/>
      <c r="AC218" s="673"/>
      <c r="AD218" s="634"/>
      <c r="AE218" s="587"/>
      <c r="AF218" s="587"/>
      <c r="AG218" s="582"/>
      <c r="AH218" s="582"/>
      <c r="AI218" s="582"/>
      <c r="AJ218" s="582"/>
      <c r="AK218" s="588"/>
      <c r="AL218" s="623">
        <v>-5000.0</v>
      </c>
      <c r="AM218" s="623"/>
      <c r="AN218" s="589"/>
      <c r="AO218" s="616"/>
      <c r="AP218" s="592"/>
      <c r="AQ218" s="358"/>
      <c r="AR218" s="592"/>
      <c r="AS218" s="592"/>
      <c r="AT218" s="592"/>
      <c r="AU218" s="592"/>
      <c r="AV218" s="592"/>
      <c r="AW218" s="592"/>
      <c r="AX218" s="592">
        <v>1344.8458</v>
      </c>
      <c r="AY218" s="592"/>
      <c r="AZ218" s="592"/>
      <c r="BA218" s="617"/>
      <c r="BB218" s="592"/>
      <c r="BC218" s="592"/>
      <c r="BD218" s="592"/>
      <c r="BE218" s="592"/>
      <c r="BF218" s="592"/>
      <c r="BG218" s="358"/>
      <c r="BH218" s="592"/>
      <c r="BI218" s="592"/>
      <c r="BJ218" s="592"/>
      <c r="BK218" s="592"/>
      <c r="BL218" s="592"/>
      <c r="BM218" s="592"/>
      <c r="BN218" s="592"/>
      <c r="BO218" s="592"/>
      <c r="BP218" s="592"/>
      <c r="BQ218" s="594"/>
      <c r="BR218" s="594"/>
      <c r="BS218" s="394"/>
      <c r="BT218" s="594"/>
      <c r="BU218" s="594"/>
      <c r="BV218" s="594"/>
      <c r="BW218" s="618"/>
      <c r="BX218" s="608">
        <v>5000.0</v>
      </c>
      <c r="BY218" s="644"/>
    </row>
    <row r="219" ht="25.5" customHeight="1">
      <c r="A219" s="635"/>
      <c r="B219" s="666">
        <v>45394.69182015046</v>
      </c>
      <c r="C219" s="642"/>
      <c r="D219" s="642"/>
      <c r="E219" s="693" t="s">
        <v>226</v>
      </c>
      <c r="F219" s="620"/>
      <c r="G219" s="600">
        <v>-0.03075733</v>
      </c>
      <c r="H219" s="577"/>
      <c r="I219" s="577"/>
      <c r="J219" s="613"/>
      <c r="K219" s="581"/>
      <c r="L219" s="581"/>
      <c r="M219" s="613"/>
      <c r="N219" s="613"/>
      <c r="O219" s="613"/>
      <c r="P219" s="580"/>
      <c r="Q219" s="580"/>
      <c r="R219" s="581"/>
      <c r="S219" s="581"/>
      <c r="T219" s="581"/>
      <c r="U219" s="582"/>
      <c r="V219" s="614"/>
      <c r="W219" s="581"/>
      <c r="X219" s="615"/>
      <c r="Y219" s="613"/>
      <c r="Z219" s="580"/>
      <c r="AA219" s="634"/>
      <c r="AB219" s="577"/>
      <c r="AC219" s="673"/>
      <c r="AD219" s="634"/>
      <c r="AE219" s="587"/>
      <c r="AF219" s="587"/>
      <c r="AG219" s="582"/>
      <c r="AH219" s="582"/>
      <c r="AI219" s="582"/>
      <c r="AJ219" s="582"/>
      <c r="AK219" s="588"/>
      <c r="AL219" s="582"/>
      <c r="AM219" s="582"/>
      <c r="AN219" s="589"/>
      <c r="AO219" s="616"/>
      <c r="AP219" s="592"/>
      <c r="AQ219" s="358"/>
      <c r="AR219" s="592"/>
      <c r="AS219" s="592"/>
      <c r="AT219" s="592"/>
      <c r="AU219" s="592"/>
      <c r="AV219" s="592"/>
      <c r="AW219" s="592"/>
      <c r="AX219" s="592"/>
      <c r="AY219" s="592"/>
      <c r="AZ219" s="592"/>
      <c r="BA219" s="617"/>
      <c r="BB219" s="592"/>
      <c r="BC219" s="592"/>
      <c r="BD219" s="592"/>
      <c r="BE219" s="592"/>
      <c r="BF219" s="592"/>
      <c r="BG219" s="358"/>
      <c r="BH219" s="592"/>
      <c r="BI219" s="592"/>
      <c r="BJ219" s="592"/>
      <c r="BK219" s="592"/>
      <c r="BL219" s="592"/>
      <c r="BM219" s="592"/>
      <c r="BN219" s="592"/>
      <c r="BO219" s="592"/>
      <c r="BP219" s="592"/>
      <c r="BQ219" s="594"/>
      <c r="BR219" s="594"/>
      <c r="BS219" s="394"/>
      <c r="BT219" s="594"/>
      <c r="BU219" s="594"/>
      <c r="BV219" s="594"/>
      <c r="BW219" s="618"/>
      <c r="BX219" s="644"/>
      <c r="BY219" s="608" t="s">
        <v>404</v>
      </c>
      <c r="BZ219" s="609" t="s">
        <v>405</v>
      </c>
    </row>
    <row r="220" ht="25.5" customHeight="1">
      <c r="A220" s="635"/>
      <c r="B220" s="666">
        <v>45394.86599394676</v>
      </c>
      <c r="C220" s="642"/>
      <c r="D220" s="642"/>
      <c r="E220" s="693" t="s">
        <v>231</v>
      </c>
      <c r="F220" s="620"/>
      <c r="G220" s="621"/>
      <c r="H220" s="577"/>
      <c r="I220" s="577"/>
      <c r="J220" s="613"/>
      <c r="K220" s="581"/>
      <c r="L220" s="581"/>
      <c r="M220" s="613"/>
      <c r="N220" s="613"/>
      <c r="O220" s="613"/>
      <c r="P220" s="580"/>
      <c r="Q220" s="580"/>
      <c r="R220" s="581"/>
      <c r="S220" s="581"/>
      <c r="T220" s="581"/>
      <c r="U220" s="582"/>
      <c r="V220" s="614"/>
      <c r="W220" s="581"/>
      <c r="X220" s="615"/>
      <c r="Y220" s="613"/>
      <c r="Z220" s="580"/>
      <c r="AA220" s="634"/>
      <c r="AB220" s="577"/>
      <c r="AC220" s="673"/>
      <c r="AD220" s="634"/>
      <c r="AE220" s="587"/>
      <c r="AF220" s="587"/>
      <c r="AG220" s="582"/>
      <c r="AH220" s="582"/>
      <c r="AI220" s="582"/>
      <c r="AJ220" s="582"/>
      <c r="AK220" s="588"/>
      <c r="AL220" s="623">
        <v>-5000.0</v>
      </c>
      <c r="AM220" s="623"/>
      <c r="AN220" s="589"/>
      <c r="AO220" s="616"/>
      <c r="AP220" s="592"/>
      <c r="AQ220" s="358"/>
      <c r="AR220" s="592"/>
      <c r="AS220" s="592"/>
      <c r="AT220" s="592"/>
      <c r="AU220" s="592"/>
      <c r="AV220" s="592"/>
      <c r="AW220" s="592"/>
      <c r="AX220" s="592">
        <v>1560.9433000000008</v>
      </c>
      <c r="AY220" s="592"/>
      <c r="AZ220" s="592"/>
      <c r="BA220" s="617"/>
      <c r="BB220" s="592"/>
      <c r="BC220" s="592"/>
      <c r="BD220" s="592"/>
      <c r="BE220" s="592"/>
      <c r="BF220" s="592"/>
      <c r="BG220" s="358"/>
      <c r="BH220" s="592"/>
      <c r="BI220" s="592"/>
      <c r="BJ220" s="592"/>
      <c r="BK220" s="592"/>
      <c r="BL220" s="592"/>
      <c r="BM220" s="592"/>
      <c r="BN220" s="592"/>
      <c r="BO220" s="592"/>
      <c r="BP220" s="592"/>
      <c r="BQ220" s="594"/>
      <c r="BR220" s="594"/>
      <c r="BS220" s="394"/>
      <c r="BT220" s="594"/>
      <c r="BU220" s="594"/>
      <c r="BV220" s="594"/>
      <c r="BW220" s="618"/>
      <c r="BX220" s="608">
        <v>5000.0</v>
      </c>
      <c r="BY220" s="644"/>
    </row>
    <row r="221" ht="25.5" customHeight="1">
      <c r="A221" s="635"/>
      <c r="B221" s="666">
        <v>45394.87270811343</v>
      </c>
      <c r="C221" s="642"/>
      <c r="D221" s="642"/>
      <c r="E221" s="693" t="s">
        <v>231</v>
      </c>
      <c r="F221" s="620"/>
      <c r="G221" s="621"/>
      <c r="H221" s="577"/>
      <c r="I221" s="577"/>
      <c r="J221" s="613"/>
      <c r="K221" s="581"/>
      <c r="L221" s="581"/>
      <c r="M221" s="613"/>
      <c r="N221" s="613"/>
      <c r="O221" s="613"/>
      <c r="P221" s="580"/>
      <c r="Q221" s="580"/>
      <c r="R221" s="581"/>
      <c r="S221" s="581"/>
      <c r="T221" s="581"/>
      <c r="U221" s="582"/>
      <c r="V221" s="614"/>
      <c r="W221" s="581"/>
      <c r="X221" s="615"/>
      <c r="Y221" s="613"/>
      <c r="Z221" s="580"/>
      <c r="AA221" s="634"/>
      <c r="AB221" s="577"/>
      <c r="AC221" s="673"/>
      <c r="AD221" s="634"/>
      <c r="AE221" s="587"/>
      <c r="AF221" s="587"/>
      <c r="AG221" s="582"/>
      <c r="AH221" s="582"/>
      <c r="AI221" s="582"/>
      <c r="AJ221" s="582"/>
      <c r="AK221" s="588"/>
      <c r="AL221" s="623">
        <v>-5000.0</v>
      </c>
      <c r="AM221" s="623"/>
      <c r="AN221" s="589"/>
      <c r="AO221" s="616"/>
      <c r="AP221" s="592"/>
      <c r="AQ221" s="358"/>
      <c r="AR221" s="592"/>
      <c r="AS221" s="592"/>
      <c r="AT221" s="592"/>
      <c r="AU221" s="592"/>
      <c r="AV221" s="592"/>
      <c r="AW221" s="592"/>
      <c r="AX221" s="591">
        <v>1590.700999999999</v>
      </c>
      <c r="AY221" s="592"/>
      <c r="AZ221" s="592"/>
      <c r="BA221" s="617"/>
      <c r="BB221" s="592"/>
      <c r="BC221" s="592"/>
      <c r="BD221" s="592"/>
      <c r="BE221" s="592"/>
      <c r="BF221" s="592"/>
      <c r="BG221" s="358"/>
      <c r="BH221" s="592"/>
      <c r="BI221" s="592"/>
      <c r="BJ221" s="592"/>
      <c r="BK221" s="592"/>
      <c r="BL221" s="592"/>
      <c r="BM221" s="592"/>
      <c r="BN221" s="592"/>
      <c r="BO221" s="592"/>
      <c r="BP221" s="592"/>
      <c r="BQ221" s="594"/>
      <c r="BR221" s="594"/>
      <c r="BS221" s="394"/>
      <c r="BT221" s="594"/>
      <c r="BU221" s="594"/>
      <c r="BV221" s="594"/>
      <c r="BW221" s="618"/>
      <c r="BX221" s="608">
        <v>5000.0</v>
      </c>
      <c r="BY221" s="644"/>
    </row>
    <row r="222" ht="25.5" customHeight="1">
      <c r="A222" s="635"/>
      <c r="B222" s="666">
        <v>45396.55619861111</v>
      </c>
      <c r="C222" s="642"/>
      <c r="D222" s="642"/>
      <c r="E222" s="693" t="s">
        <v>231</v>
      </c>
      <c r="F222" s="620"/>
      <c r="G222" s="621"/>
      <c r="H222" s="577"/>
      <c r="I222" s="577"/>
      <c r="J222" s="613"/>
      <c r="K222" s="581"/>
      <c r="L222" s="581"/>
      <c r="M222" s="613"/>
      <c r="N222" s="613"/>
      <c r="O222" s="613"/>
      <c r="P222" s="580"/>
      <c r="Q222" s="580"/>
      <c r="R222" s="581"/>
      <c r="S222" s="581"/>
      <c r="T222" s="581"/>
      <c r="U222" s="582"/>
      <c r="V222" s="614"/>
      <c r="W222" s="581"/>
      <c r="X222" s="615"/>
      <c r="Y222" s="613"/>
      <c r="Z222" s="580"/>
      <c r="AA222" s="634"/>
      <c r="AB222" s="577"/>
      <c r="AC222" s="673"/>
      <c r="AD222" s="634"/>
      <c r="AE222" s="587"/>
      <c r="AF222" s="587"/>
      <c r="AG222" s="582"/>
      <c r="AH222" s="582"/>
      <c r="AI222" s="582"/>
      <c r="AJ222" s="582"/>
      <c r="AK222" s="588"/>
      <c r="AL222" s="623">
        <v>-5000.0</v>
      </c>
      <c r="AM222" s="623"/>
      <c r="AN222" s="589"/>
      <c r="AO222" s="616"/>
      <c r="AP222" s="592"/>
      <c r="AQ222" s="358"/>
      <c r="AR222" s="592"/>
      <c r="AS222" s="592"/>
      <c r="AT222" s="592"/>
      <c r="AU222" s="592"/>
      <c r="AV222" s="592"/>
      <c r="AW222" s="592"/>
      <c r="AX222" s="592">
        <f>11352.8358-9609.38</f>
        <v>1743.4558</v>
      </c>
      <c r="AY222" s="592"/>
      <c r="AZ222" s="592"/>
      <c r="BA222" s="617"/>
      <c r="BB222" s="592"/>
      <c r="BC222" s="592"/>
      <c r="BD222" s="592"/>
      <c r="BE222" s="592"/>
      <c r="BF222" s="592"/>
      <c r="BG222" s="358"/>
      <c r="BH222" s="592"/>
      <c r="BI222" s="592"/>
      <c r="BJ222" s="592"/>
      <c r="BK222" s="592"/>
      <c r="BL222" s="592"/>
      <c r="BM222" s="592"/>
      <c r="BN222" s="592"/>
      <c r="BO222" s="592"/>
      <c r="BP222" s="592"/>
      <c r="BQ222" s="594"/>
      <c r="BR222" s="594"/>
      <c r="BS222" s="394"/>
      <c r="BT222" s="594"/>
      <c r="BU222" s="594"/>
      <c r="BV222" s="594"/>
      <c r="BW222" s="618"/>
      <c r="BX222" s="608">
        <v>5000.0</v>
      </c>
      <c r="BY222" s="644"/>
    </row>
    <row r="223" ht="25.5" customHeight="1">
      <c r="A223" s="635"/>
      <c r="B223" s="666">
        <v>45396.87495439815</v>
      </c>
      <c r="C223" s="642"/>
      <c r="D223" s="642"/>
      <c r="E223" s="693" t="s">
        <v>327</v>
      </c>
      <c r="F223" s="620"/>
      <c r="G223" s="621">
        <v>0.008516010000000018</v>
      </c>
      <c r="H223" s="577"/>
      <c r="I223" s="577"/>
      <c r="J223" s="613"/>
      <c r="K223" s="581"/>
      <c r="L223" s="581"/>
      <c r="M223" s="613"/>
      <c r="N223" s="613"/>
      <c r="O223" s="613"/>
      <c r="P223" s="580"/>
      <c r="Q223" s="580"/>
      <c r="R223" s="581"/>
      <c r="S223" s="581"/>
      <c r="T223" s="581"/>
      <c r="U223" s="582"/>
      <c r="V223" s="614"/>
      <c r="W223" s="581"/>
      <c r="X223" s="615"/>
      <c r="Y223" s="613"/>
      <c r="Z223" s="580"/>
      <c r="AA223" s="634"/>
      <c r="AB223" s="577"/>
      <c r="AC223" s="673"/>
      <c r="AD223" s="634"/>
      <c r="AE223" s="587"/>
      <c r="AF223" s="587"/>
      <c r="AG223" s="582"/>
      <c r="AH223" s="582"/>
      <c r="AI223" s="582"/>
      <c r="AJ223" s="582"/>
      <c r="AK223" s="588"/>
      <c r="AL223" s="582"/>
      <c r="AM223" s="582"/>
      <c r="AN223" s="589"/>
      <c r="AO223" s="616"/>
      <c r="AP223" s="592"/>
      <c r="AQ223" s="358"/>
      <c r="AR223" s="592"/>
      <c r="AS223" s="592"/>
      <c r="AT223" s="592"/>
      <c r="AU223" s="592"/>
      <c r="AV223" s="592"/>
      <c r="AW223" s="592"/>
      <c r="AX223" s="592"/>
      <c r="AY223" s="592"/>
      <c r="AZ223" s="592"/>
      <c r="BA223" s="617"/>
      <c r="BB223" s="592"/>
      <c r="BC223" s="592"/>
      <c r="BD223" s="592"/>
      <c r="BE223" s="592"/>
      <c r="BF223" s="592"/>
      <c r="BG223" s="358"/>
      <c r="BH223" s="592"/>
      <c r="BI223" s="592"/>
      <c r="BJ223" s="592"/>
      <c r="BK223" s="592"/>
      <c r="BL223" s="592"/>
      <c r="BM223" s="592"/>
      <c r="BN223" s="592"/>
      <c r="BO223" s="592"/>
      <c r="BP223" s="592"/>
      <c r="BQ223" s="594"/>
      <c r="BR223" s="594"/>
      <c r="BS223" s="394"/>
      <c r="BT223" s="594"/>
      <c r="BU223" s="594"/>
      <c r="BV223" s="594"/>
      <c r="BW223" s="618"/>
      <c r="BX223" s="644"/>
      <c r="BY223" s="608" t="s">
        <v>406</v>
      </c>
      <c r="BZ223" s="609" t="s">
        <v>407</v>
      </c>
      <c r="CA223" s="609" t="s">
        <v>408</v>
      </c>
      <c r="CB223" s="609" t="s">
        <v>409</v>
      </c>
    </row>
    <row r="224" ht="25.5" customHeight="1">
      <c r="A224" s="635"/>
      <c r="B224" s="666">
        <v>45397.824095937496</v>
      </c>
      <c r="C224" s="690">
        <f>AL224/BT224</f>
        <v>-0.000005007217403</v>
      </c>
      <c r="D224" s="642"/>
      <c r="E224" s="574" t="s">
        <v>231</v>
      </c>
      <c r="F224" s="620"/>
      <c r="G224" s="621"/>
      <c r="H224" s="577"/>
      <c r="I224" s="577"/>
      <c r="J224" s="613"/>
      <c r="K224" s="581"/>
      <c r="L224" s="581"/>
      <c r="M224" s="613"/>
      <c r="N224" s="613"/>
      <c r="O224" s="613"/>
      <c r="P224" s="580"/>
      <c r="Q224" s="580"/>
      <c r="R224" s="581"/>
      <c r="S224" s="581"/>
      <c r="T224" s="581"/>
      <c r="U224" s="582"/>
      <c r="V224" s="614"/>
      <c r="W224" s="581"/>
      <c r="X224" s="615"/>
      <c r="Y224" s="613"/>
      <c r="Z224" s="580"/>
      <c r="AA224" s="634"/>
      <c r="AB224" s="577"/>
      <c r="AC224" s="673"/>
      <c r="AD224" s="634"/>
      <c r="AE224" s="587"/>
      <c r="AF224" s="587"/>
      <c r="AG224" s="582"/>
      <c r="AH224" s="582"/>
      <c r="AI224" s="582"/>
      <c r="AJ224" s="582"/>
      <c r="AK224" s="588"/>
      <c r="AL224" s="582">
        <v>2767.1499999999996</v>
      </c>
      <c r="AM224" s="582"/>
      <c r="AN224" s="589"/>
      <c r="AO224" s="616"/>
      <c r="AP224" s="592"/>
      <c r="AQ224" s="358"/>
      <c r="AR224" s="592"/>
      <c r="AS224" s="592"/>
      <c r="AT224" s="592"/>
      <c r="AU224" s="592"/>
      <c r="AV224" s="592"/>
      <c r="AW224" s="592"/>
      <c r="AX224" s="592"/>
      <c r="AY224" s="592"/>
      <c r="AZ224" s="592"/>
      <c r="BA224" s="617"/>
      <c r="BB224" s="592"/>
      <c r="BC224" s="592"/>
      <c r="BD224" s="592"/>
      <c r="BE224" s="592"/>
      <c r="BF224" s="592"/>
      <c r="BG224" s="358"/>
      <c r="BH224" s="592"/>
      <c r="BI224" s="592"/>
      <c r="BJ224" s="592"/>
      <c r="BK224" s="592"/>
      <c r="BL224" s="592"/>
      <c r="BM224" s="592"/>
      <c r="BN224" s="592"/>
      <c r="BO224" s="592"/>
      <c r="BP224" s="592"/>
      <c r="BQ224" s="594"/>
      <c r="BR224" s="594"/>
      <c r="BS224" s="394"/>
      <c r="BT224" s="624">
        <v>-5.52632286E8</v>
      </c>
      <c r="BU224" s="594"/>
      <c r="BV224" s="594"/>
      <c r="BW224" s="618"/>
      <c r="BX224" s="644"/>
      <c r="BY224" s="644"/>
    </row>
    <row r="225" ht="25.5" customHeight="1">
      <c r="A225" s="635"/>
      <c r="B225" s="666">
        <v>45397.82685017362</v>
      </c>
      <c r="C225" s="675">
        <f>AL225/BU225</f>
        <v>-2.583926007</v>
      </c>
      <c r="D225" s="642"/>
      <c r="E225" s="574" t="s">
        <v>231</v>
      </c>
      <c r="F225" s="620"/>
      <c r="G225" s="621"/>
      <c r="H225" s="577"/>
      <c r="I225" s="577"/>
      <c r="J225" s="613"/>
      <c r="K225" s="581"/>
      <c r="L225" s="581"/>
      <c r="M225" s="613"/>
      <c r="N225" s="613"/>
      <c r="O225" s="613"/>
      <c r="P225" s="580"/>
      <c r="Q225" s="580"/>
      <c r="R225" s="581"/>
      <c r="S225" s="581"/>
      <c r="T225" s="581"/>
      <c r="U225" s="582"/>
      <c r="V225" s="614"/>
      <c r="W225" s="581"/>
      <c r="X225" s="615"/>
      <c r="Y225" s="613"/>
      <c r="Z225" s="580"/>
      <c r="AA225" s="634"/>
      <c r="AB225" s="577"/>
      <c r="AC225" s="673"/>
      <c r="AD225" s="634"/>
      <c r="AE225" s="587"/>
      <c r="AF225" s="587"/>
      <c r="AG225" s="582"/>
      <c r="AH225" s="582"/>
      <c r="AI225" s="582"/>
      <c r="AJ225" s="582"/>
      <c r="AK225" s="588"/>
      <c r="AL225" s="582">
        <v>3482.9255440000015</v>
      </c>
      <c r="AM225" s="582"/>
      <c r="AN225" s="589"/>
      <c r="AO225" s="616"/>
      <c r="AP225" s="592"/>
      <c r="AQ225" s="358"/>
      <c r="AR225" s="592"/>
      <c r="AS225" s="592"/>
      <c r="AT225" s="592"/>
      <c r="AU225" s="592"/>
      <c r="AV225" s="592"/>
      <c r="AW225" s="592"/>
      <c r="AX225" s="592"/>
      <c r="AY225" s="592"/>
      <c r="AZ225" s="592"/>
      <c r="BA225" s="617"/>
      <c r="BB225" s="592"/>
      <c r="BC225" s="592"/>
      <c r="BD225" s="592"/>
      <c r="BE225" s="592"/>
      <c r="BF225" s="592"/>
      <c r="BG225" s="358"/>
      <c r="BH225" s="592"/>
      <c r="BI225" s="592"/>
      <c r="BJ225" s="592"/>
      <c r="BK225" s="592"/>
      <c r="BL225" s="592"/>
      <c r="BM225" s="592"/>
      <c r="BN225" s="592"/>
      <c r="BO225" s="592"/>
      <c r="BP225" s="592"/>
      <c r="BQ225" s="594"/>
      <c r="BR225" s="594"/>
      <c r="BS225" s="394"/>
      <c r="BT225" s="594"/>
      <c r="BU225" s="624">
        <v>-1347.92</v>
      </c>
      <c r="BV225" s="594"/>
      <c r="BW225" s="618"/>
      <c r="BX225" s="644"/>
      <c r="BY225" s="644"/>
    </row>
    <row r="226" ht="25.5" customHeight="1">
      <c r="A226" s="635"/>
      <c r="B226" s="666">
        <v>45397.82792329861</v>
      </c>
      <c r="C226" s="642"/>
      <c r="D226" s="642"/>
      <c r="E226" s="574" t="s">
        <v>231</v>
      </c>
      <c r="F226" s="620"/>
      <c r="G226" s="621"/>
      <c r="H226" s="577"/>
      <c r="I226" s="577"/>
      <c r="J226" s="613"/>
      <c r="K226" s="581"/>
      <c r="L226" s="581"/>
      <c r="M226" s="613"/>
      <c r="N226" s="613"/>
      <c r="O226" s="613"/>
      <c r="P226" s="580"/>
      <c r="Q226" s="580"/>
      <c r="R226" s="581"/>
      <c r="S226" s="581"/>
      <c r="T226" s="581"/>
      <c r="U226" s="582"/>
      <c r="V226" s="614"/>
      <c r="W226" s="581"/>
      <c r="X226" s="615"/>
      <c r="Y226" s="613"/>
      <c r="Z226" s="580"/>
      <c r="AA226" s="634"/>
      <c r="AB226" s="577"/>
      <c r="AC226" s="673"/>
      <c r="AD226" s="634"/>
      <c r="AE226" s="587"/>
      <c r="AF226" s="587"/>
      <c r="AG226" s="582"/>
      <c r="AH226" s="582"/>
      <c r="AI226" s="582"/>
      <c r="AJ226" s="582"/>
      <c r="AK226" s="588"/>
      <c r="AL226" s="582">
        <f>24462.40527939-21795.47</f>
        <v>2666.935279</v>
      </c>
      <c r="AM226" s="582"/>
      <c r="AN226" s="589"/>
      <c r="AO226" s="616"/>
      <c r="AP226" s="592"/>
      <c r="AQ226" s="358"/>
      <c r="AR226" s="592"/>
      <c r="AS226" s="592"/>
      <c r="AT226" s="592"/>
      <c r="AU226" s="592"/>
      <c r="AV226" s="592"/>
      <c r="AW226" s="592"/>
      <c r="AX226" s="592"/>
      <c r="AY226" s="592"/>
      <c r="AZ226" s="592"/>
      <c r="BA226" s="617"/>
      <c r="BB226" s="592"/>
      <c r="BC226" s="592"/>
      <c r="BD226" s="592"/>
      <c r="BE226" s="592"/>
      <c r="BF226" s="592"/>
      <c r="BG226" s="358"/>
      <c r="BH226" s="592"/>
      <c r="BI226" s="592"/>
      <c r="BJ226" s="592"/>
      <c r="BK226" s="592"/>
      <c r="BL226" s="592"/>
      <c r="BM226" s="592"/>
      <c r="BN226" s="592"/>
      <c r="BO226" s="592"/>
      <c r="BP226" s="592"/>
      <c r="BQ226" s="594"/>
      <c r="BR226" s="594"/>
      <c r="BS226" s="394"/>
      <c r="BT226" s="594"/>
      <c r="BU226" s="594"/>
      <c r="BV226" s="624">
        <v>-1.8725189E7</v>
      </c>
      <c r="BW226" s="618"/>
      <c r="BX226" s="644"/>
      <c r="BY226" s="644"/>
    </row>
    <row r="227" ht="25.5" customHeight="1">
      <c r="A227" s="635"/>
      <c r="B227" s="666">
        <v>45397.832875266206</v>
      </c>
      <c r="C227" s="642"/>
      <c r="D227" s="642"/>
      <c r="E227" s="574" t="s">
        <v>231</v>
      </c>
      <c r="F227" s="620"/>
      <c r="G227" s="621"/>
      <c r="H227" s="577"/>
      <c r="I227" s="577"/>
      <c r="J227" s="613"/>
      <c r="K227" s="581"/>
      <c r="L227" s="581"/>
      <c r="M227" s="613"/>
      <c r="N227" s="613"/>
      <c r="O227" s="613"/>
      <c r="P227" s="580"/>
      <c r="Q227" s="580"/>
      <c r="R227" s="581"/>
      <c r="S227" s="581"/>
      <c r="T227" s="581"/>
      <c r="U227" s="582"/>
      <c r="V227" s="614"/>
      <c r="W227" s="581"/>
      <c r="X227" s="615"/>
      <c r="Y227" s="613"/>
      <c r="Z227" s="580"/>
      <c r="AA227" s="634"/>
      <c r="AB227" s="577"/>
      <c r="AC227" s="673"/>
      <c r="AD227" s="634"/>
      <c r="AE227" s="587"/>
      <c r="AF227" s="587"/>
      <c r="AG227" s="582"/>
      <c r="AH227" s="582"/>
      <c r="AI227" s="582"/>
      <c r="AJ227" s="582"/>
      <c r="AK227" s="588"/>
      <c r="AL227" s="582">
        <v>5220.047971420001</v>
      </c>
      <c r="AM227" s="582"/>
      <c r="AN227" s="589"/>
      <c r="AO227" s="616"/>
      <c r="AP227" s="592"/>
      <c r="AQ227" s="358"/>
      <c r="AR227" s="592"/>
      <c r="AS227" s="592"/>
      <c r="AT227" s="592"/>
      <c r="AU227" s="592"/>
      <c r="AV227" s="592"/>
      <c r="AW227" s="592"/>
      <c r="AX227" s="592"/>
      <c r="AY227" s="592"/>
      <c r="AZ227" s="592"/>
      <c r="BA227" s="617"/>
      <c r="BB227" s="592"/>
      <c r="BC227" s="592"/>
      <c r="BD227" s="592"/>
      <c r="BE227" s="592"/>
      <c r="BF227" s="592"/>
      <c r="BG227" s="358"/>
      <c r="BH227" s="592"/>
      <c r="BI227" s="592"/>
      <c r="BJ227" s="592"/>
      <c r="BK227" s="592"/>
      <c r="BL227" s="592"/>
      <c r="BM227" s="591">
        <v>-2523.68</v>
      </c>
      <c r="BN227" s="592"/>
      <c r="BO227" s="592"/>
      <c r="BP227" s="592"/>
      <c r="BQ227" s="594"/>
      <c r="BR227" s="594"/>
      <c r="BS227" s="394"/>
      <c r="BT227" s="594"/>
      <c r="BU227" s="594"/>
      <c r="BV227" s="594"/>
      <c r="BW227" s="618"/>
      <c r="BX227" s="644"/>
      <c r="BY227" s="644"/>
    </row>
    <row r="228" ht="25.5" customHeight="1">
      <c r="A228" s="635"/>
      <c r="B228" s="666">
        <v>45397.83479876157</v>
      </c>
      <c r="C228" s="642"/>
      <c r="D228" s="642"/>
      <c r="E228" s="574" t="s">
        <v>231</v>
      </c>
      <c r="F228" s="620"/>
      <c r="G228" s="621"/>
      <c r="H228" s="577"/>
      <c r="I228" s="577"/>
      <c r="J228" s="613"/>
      <c r="K228" s="581"/>
      <c r="L228" s="581"/>
      <c r="M228" s="613"/>
      <c r="N228" s="613"/>
      <c r="O228" s="613"/>
      <c r="P228" s="580"/>
      <c r="Q228" s="580"/>
      <c r="R228" s="581"/>
      <c r="S228" s="581"/>
      <c r="T228" s="581"/>
      <c r="U228" s="582"/>
      <c r="V228" s="614"/>
      <c r="W228" s="581"/>
      <c r="X228" s="615"/>
      <c r="Y228" s="613"/>
      <c r="Z228" s="580"/>
      <c r="AA228" s="634"/>
      <c r="AB228" s="577"/>
      <c r="AC228" s="673"/>
      <c r="AD228" s="634"/>
      <c r="AE228" s="587"/>
      <c r="AF228" s="587"/>
      <c r="AG228" s="582"/>
      <c r="AH228" s="582"/>
      <c r="AI228" s="582"/>
      <c r="AJ228" s="582"/>
      <c r="AK228" s="588"/>
      <c r="AL228" s="582">
        <f>36004.00237914-29682.46</f>
        <v>6321.542379</v>
      </c>
      <c r="AM228" s="582"/>
      <c r="AN228" s="589"/>
      <c r="AO228" s="616"/>
      <c r="AP228" s="592"/>
      <c r="AQ228" s="358"/>
      <c r="AR228" s="592"/>
      <c r="AS228" s="592"/>
      <c r="AT228" s="592"/>
      <c r="AU228" s="592"/>
      <c r="AV228" s="592"/>
      <c r="AW228" s="592"/>
      <c r="AX228" s="592"/>
      <c r="AY228" s="592"/>
      <c r="AZ228" s="592"/>
      <c r="BA228" s="617"/>
      <c r="BB228" s="592"/>
      <c r="BC228" s="592"/>
      <c r="BD228" s="592"/>
      <c r="BE228" s="592"/>
      <c r="BF228" s="592"/>
      <c r="BG228" s="358"/>
      <c r="BH228" s="592"/>
      <c r="BI228" s="592"/>
      <c r="BJ228" s="592"/>
      <c r="BK228" s="592"/>
      <c r="BL228" s="591">
        <v>-12488.4</v>
      </c>
      <c r="BM228" s="592"/>
      <c r="BN228" s="592"/>
      <c r="BO228" s="592"/>
      <c r="BP228" s="592"/>
      <c r="BQ228" s="594"/>
      <c r="BR228" s="594"/>
      <c r="BS228" s="394"/>
      <c r="BT228" s="594"/>
      <c r="BU228" s="594"/>
      <c r="BV228" s="594"/>
      <c r="BW228" s="618"/>
      <c r="BX228" s="644"/>
      <c r="BY228" s="644"/>
    </row>
    <row r="229" ht="25.5" customHeight="1">
      <c r="A229" s="635"/>
      <c r="B229" s="666">
        <v>45397.836910439815</v>
      </c>
      <c r="C229" s="642"/>
      <c r="D229" s="642"/>
      <c r="E229" s="574" t="s">
        <v>231</v>
      </c>
      <c r="F229" s="620"/>
      <c r="G229" s="621"/>
      <c r="H229" s="577"/>
      <c r="I229" s="577"/>
      <c r="J229" s="613"/>
      <c r="K229" s="581"/>
      <c r="L229" s="581"/>
      <c r="M229" s="613"/>
      <c r="N229" s="613"/>
      <c r="O229" s="613"/>
      <c r="P229" s="580"/>
      <c r="Q229" s="580"/>
      <c r="R229" s="581"/>
      <c r="S229" s="581"/>
      <c r="T229" s="581"/>
      <c r="U229" s="582"/>
      <c r="V229" s="614"/>
      <c r="W229" s="581"/>
      <c r="X229" s="615"/>
      <c r="Y229" s="613"/>
      <c r="Z229" s="580"/>
      <c r="AA229" s="634"/>
      <c r="AB229" s="577"/>
      <c r="AC229" s="673"/>
      <c r="AD229" s="634"/>
      <c r="AE229" s="587"/>
      <c r="AF229" s="587"/>
      <c r="AG229" s="582"/>
      <c r="AH229" s="582"/>
      <c r="AI229" s="582"/>
      <c r="AJ229" s="582"/>
      <c r="AK229" s="588"/>
      <c r="AL229" s="582">
        <f>42951.88114554-36004</f>
        <v>6947.881146</v>
      </c>
      <c r="AM229" s="582"/>
      <c r="AN229" s="589"/>
      <c r="AO229" s="616"/>
      <c r="AP229" s="592"/>
      <c r="AQ229" s="358"/>
      <c r="AR229" s="592"/>
      <c r="AS229" s="592"/>
      <c r="AT229" s="592"/>
      <c r="AU229" s="592"/>
      <c r="AV229" s="592"/>
      <c r="AW229" s="592"/>
      <c r="AX229" s="592"/>
      <c r="AY229" s="592"/>
      <c r="AZ229" s="592"/>
      <c r="BA229" s="617"/>
      <c r="BB229" s="592"/>
      <c r="BC229" s="592"/>
      <c r="BD229" s="592"/>
      <c r="BE229" s="592"/>
      <c r="BF229" s="592"/>
      <c r="BG229" s="358"/>
      <c r="BH229" s="592"/>
      <c r="BI229" s="592"/>
      <c r="BJ229" s="591">
        <v>-1398.9</v>
      </c>
      <c r="BK229" s="592"/>
      <c r="BL229" s="592"/>
      <c r="BM229" s="592"/>
      <c r="BN229" s="592"/>
      <c r="BO229" s="592"/>
      <c r="BP229" s="592"/>
      <c r="BQ229" s="594"/>
      <c r="BR229" s="594"/>
      <c r="BS229" s="394"/>
      <c r="BT229" s="594"/>
      <c r="BU229" s="594"/>
      <c r="BV229" s="594"/>
      <c r="BW229" s="618"/>
      <c r="BX229" s="644"/>
      <c r="BY229" s="644"/>
    </row>
    <row r="230" ht="25.5" customHeight="1">
      <c r="A230" s="635"/>
      <c r="B230" s="666">
        <v>45397.918478125</v>
      </c>
      <c r="C230" s="642"/>
      <c r="D230" s="642"/>
      <c r="E230" s="574" t="s">
        <v>231</v>
      </c>
      <c r="F230" s="620"/>
      <c r="G230" s="621"/>
      <c r="H230" s="577"/>
      <c r="I230" s="577"/>
      <c r="J230" s="613"/>
      <c r="K230" s="581"/>
      <c r="L230" s="581"/>
      <c r="M230" s="613"/>
      <c r="N230" s="613"/>
      <c r="O230" s="613"/>
      <c r="P230" s="580"/>
      <c r="Q230" s="580"/>
      <c r="R230" s="581"/>
      <c r="S230" s="581"/>
      <c r="T230" s="581"/>
      <c r="U230" s="582"/>
      <c r="V230" s="614"/>
      <c r="W230" s="581"/>
      <c r="X230" s="615"/>
      <c r="Y230" s="613"/>
      <c r="Z230" s="580"/>
      <c r="AA230" s="634"/>
      <c r="AB230" s="577"/>
      <c r="AC230" s="673"/>
      <c r="AD230" s="634"/>
      <c r="AE230" s="587"/>
      <c r="AF230" s="587"/>
      <c r="AG230" s="582"/>
      <c r="AH230" s="582"/>
      <c r="AI230" s="582"/>
      <c r="AJ230" s="582"/>
      <c r="AK230" s="588"/>
      <c r="AL230" s="582">
        <f>51759.99982992-42951.88</f>
        <v>8808.11983</v>
      </c>
      <c r="AM230" s="582"/>
      <c r="AN230" s="589"/>
      <c r="AO230" s="616"/>
      <c r="AP230" s="592"/>
      <c r="AQ230" s="358"/>
      <c r="AR230" s="592"/>
      <c r="AS230" s="592"/>
      <c r="AT230" s="592"/>
      <c r="AU230" s="592"/>
      <c r="AV230" s="592"/>
      <c r="AW230" s="592"/>
      <c r="AX230" s="592"/>
      <c r="AY230" s="592"/>
      <c r="AZ230" s="592"/>
      <c r="BA230" s="617"/>
      <c r="BB230" s="592"/>
      <c r="BC230" s="592"/>
      <c r="BD230" s="592"/>
      <c r="BE230" s="591">
        <v>-152.89</v>
      </c>
      <c r="BF230" s="592"/>
      <c r="BG230" s="358"/>
      <c r="BH230" s="592"/>
      <c r="BI230" s="592"/>
      <c r="BJ230" s="592"/>
      <c r="BK230" s="592"/>
      <c r="BL230" s="592"/>
      <c r="BM230" s="592"/>
      <c r="BN230" s="592"/>
      <c r="BO230" s="592"/>
      <c r="BP230" s="592"/>
      <c r="BQ230" s="594"/>
      <c r="BR230" s="594"/>
      <c r="BS230" s="394"/>
      <c r="BT230" s="594"/>
      <c r="BU230" s="594"/>
      <c r="BV230" s="594"/>
      <c r="BW230" s="618"/>
      <c r="BX230" s="644"/>
      <c r="BY230" s="644"/>
    </row>
    <row r="231" ht="25.5" customHeight="1">
      <c r="A231" s="635"/>
      <c r="B231" s="666">
        <v>45397.9234052199</v>
      </c>
      <c r="C231" s="642"/>
      <c r="D231" s="642"/>
      <c r="E231" s="574" t="s">
        <v>231</v>
      </c>
      <c r="F231" s="620"/>
      <c r="G231" s="621"/>
      <c r="H231" s="577"/>
      <c r="I231" s="577"/>
      <c r="J231" s="613"/>
      <c r="K231" s="581"/>
      <c r="L231" s="581"/>
      <c r="M231" s="613"/>
      <c r="N231" s="613"/>
      <c r="O231" s="613"/>
      <c r="P231" s="580"/>
      <c r="Q231" s="580"/>
      <c r="R231" s="581"/>
      <c r="S231" s="581"/>
      <c r="T231" s="581"/>
      <c r="U231" s="582"/>
      <c r="V231" s="614"/>
      <c r="W231" s="581"/>
      <c r="X231" s="615"/>
      <c r="Y231" s="613"/>
      <c r="Z231" s="580"/>
      <c r="AA231" s="634"/>
      <c r="AB231" s="577"/>
      <c r="AC231" s="673"/>
      <c r="AD231" s="634"/>
      <c r="AE231" s="587"/>
      <c r="AF231" s="587"/>
      <c r="AG231" s="582"/>
      <c r="AH231" s="582"/>
      <c r="AI231" s="582"/>
      <c r="AJ231" s="582"/>
      <c r="AK231" s="588"/>
      <c r="AL231" s="582">
        <v>3222.1128016099974</v>
      </c>
      <c r="AM231" s="582"/>
      <c r="AN231" s="589"/>
      <c r="AO231" s="616"/>
      <c r="AP231" s="591"/>
      <c r="AQ231" s="358"/>
      <c r="AR231" s="591"/>
      <c r="AS231" s="591"/>
      <c r="AT231" s="591"/>
      <c r="AU231" s="592"/>
      <c r="AV231" s="591">
        <v>-393.78</v>
      </c>
      <c r="AW231" s="592"/>
      <c r="AX231" s="592"/>
      <c r="AY231" s="592"/>
      <c r="AZ231" s="592"/>
      <c r="BA231" s="617"/>
      <c r="BB231" s="592"/>
      <c r="BC231" s="592"/>
      <c r="BD231" s="592"/>
      <c r="BE231" s="592"/>
      <c r="BF231" s="592"/>
      <c r="BG231" s="358"/>
      <c r="BH231" s="592"/>
      <c r="BI231" s="592"/>
      <c r="BJ231" s="592"/>
      <c r="BK231" s="592"/>
      <c r="BL231" s="592"/>
      <c r="BM231" s="592"/>
      <c r="BN231" s="592"/>
      <c r="BO231" s="592"/>
      <c r="BP231" s="592"/>
      <c r="BQ231" s="594"/>
      <c r="BR231" s="594"/>
      <c r="BS231" s="394"/>
      <c r="BT231" s="594"/>
      <c r="BU231" s="594"/>
      <c r="BV231" s="594"/>
      <c r="BW231" s="618"/>
      <c r="BX231" s="644"/>
      <c r="BY231" s="644"/>
    </row>
    <row r="232" ht="25.5" customHeight="1">
      <c r="A232" s="635"/>
      <c r="B232" s="666">
        <v>45398.386529166666</v>
      </c>
      <c r="C232" s="642"/>
      <c r="D232" s="573">
        <v>32.0</v>
      </c>
      <c r="E232" s="574" t="s">
        <v>410</v>
      </c>
      <c r="F232" s="620"/>
      <c r="G232" s="621"/>
      <c r="H232" s="577"/>
      <c r="I232" s="577"/>
      <c r="J232" s="613"/>
      <c r="K232" s="581"/>
      <c r="L232" s="581"/>
      <c r="M232" s="613"/>
      <c r="N232" s="613">
        <f>26.369-0.0335</f>
        <v>26.3355</v>
      </c>
      <c r="O232" s="613"/>
      <c r="P232" s="580"/>
      <c r="Q232" s="580"/>
      <c r="R232" s="581"/>
      <c r="S232" s="581"/>
      <c r="T232" s="581"/>
      <c r="U232" s="582"/>
      <c r="V232" s="614"/>
      <c r="W232" s="581"/>
      <c r="X232" s="615"/>
      <c r="Y232" s="613"/>
      <c r="Z232" s="580"/>
      <c r="AA232" s="634"/>
      <c r="AB232" s="577"/>
      <c r="AC232" s="673"/>
      <c r="AD232" s="634"/>
      <c r="AE232" s="587"/>
      <c r="AF232" s="587"/>
      <c r="AG232" s="582"/>
      <c r="AH232" s="582"/>
      <c r="AI232" s="582"/>
      <c r="AJ232" s="582"/>
      <c r="AK232" s="588"/>
      <c r="AL232" s="582"/>
      <c r="AM232" s="582"/>
      <c r="AN232" s="589"/>
      <c r="AO232" s="616"/>
      <c r="AP232" s="592"/>
      <c r="AQ232" s="358"/>
      <c r="AR232" s="592"/>
      <c r="AS232" s="592"/>
      <c r="AT232" s="592"/>
      <c r="AU232" s="592"/>
      <c r="AV232" s="592"/>
      <c r="AW232" s="592"/>
      <c r="AX232" s="592"/>
      <c r="AY232" s="592"/>
      <c r="AZ232" s="592"/>
      <c r="BA232" s="617"/>
      <c r="BB232" s="592"/>
      <c r="BC232" s="592"/>
      <c r="BD232" s="592"/>
      <c r="BE232" s="592"/>
      <c r="BF232" s="592"/>
      <c r="BG232" s="358"/>
      <c r="BH232" s="592"/>
      <c r="BI232" s="592"/>
      <c r="BJ232" s="592"/>
      <c r="BK232" s="592"/>
      <c r="BL232" s="592"/>
      <c r="BM232" s="592"/>
      <c r="BN232" s="592"/>
      <c r="BO232" s="592"/>
      <c r="BP232" s="592"/>
      <c r="BQ232" s="594"/>
      <c r="BR232" s="594"/>
      <c r="BS232" s="394"/>
      <c r="BT232" s="594"/>
      <c r="BU232" s="594"/>
      <c r="BV232" s="594"/>
      <c r="BW232" s="618"/>
      <c r="BX232" s="644"/>
      <c r="BY232" s="608" t="s">
        <v>411</v>
      </c>
      <c r="BZ232" s="609" t="s">
        <v>412</v>
      </c>
    </row>
    <row r="233" ht="25.5" customHeight="1">
      <c r="A233" s="635"/>
      <c r="B233" s="666">
        <v>45398.392266192124</v>
      </c>
      <c r="C233" s="642"/>
      <c r="D233" s="642"/>
      <c r="E233" s="574" t="s">
        <v>218</v>
      </c>
      <c r="F233" s="620"/>
      <c r="G233" s="621"/>
      <c r="H233" s="577"/>
      <c r="I233" s="577"/>
      <c r="J233" s="613"/>
      <c r="K233" s="581"/>
      <c r="L233" s="581"/>
      <c r="M233" s="613"/>
      <c r="N233" s="604">
        <v>-26.3601807196322</v>
      </c>
      <c r="O233" s="613"/>
      <c r="P233" s="580"/>
      <c r="Q233" s="686">
        <v>26.36</v>
      </c>
      <c r="R233" s="581"/>
      <c r="S233" s="581"/>
      <c r="T233" s="581"/>
      <c r="U233" s="582"/>
      <c r="V233" s="614"/>
      <c r="W233" s="581"/>
      <c r="X233" s="615"/>
      <c r="Y233" s="613"/>
      <c r="Z233" s="580"/>
      <c r="AA233" s="634"/>
      <c r="AB233" s="577"/>
      <c r="AC233" s="673"/>
      <c r="AD233" s="634"/>
      <c r="AE233" s="587"/>
      <c r="AF233" s="587"/>
      <c r="AG233" s="582"/>
      <c r="AH233" s="582"/>
      <c r="AI233" s="582"/>
      <c r="AJ233" s="582"/>
      <c r="AK233" s="588"/>
      <c r="AL233" s="582"/>
      <c r="AM233" s="582"/>
      <c r="AN233" s="589"/>
      <c r="AO233" s="616"/>
      <c r="AP233" s="592"/>
      <c r="AQ233" s="358"/>
      <c r="AR233" s="592"/>
      <c r="AS233" s="592"/>
      <c r="AT233" s="592"/>
      <c r="AU233" s="592"/>
      <c r="AV233" s="592"/>
      <c r="AW233" s="592"/>
      <c r="AX233" s="592"/>
      <c r="AY233" s="592"/>
      <c r="AZ233" s="592"/>
      <c r="BA233" s="617"/>
      <c r="BB233" s="592"/>
      <c r="BC233" s="592"/>
      <c r="BD233" s="592"/>
      <c r="BE233" s="592"/>
      <c r="BF233" s="592"/>
      <c r="BG233" s="358"/>
      <c r="BH233" s="592"/>
      <c r="BI233" s="592"/>
      <c r="BJ233" s="592"/>
      <c r="BK233" s="592"/>
      <c r="BL233" s="592"/>
      <c r="BM233" s="592"/>
      <c r="BN233" s="592"/>
      <c r="BO233" s="592"/>
      <c r="BP233" s="592"/>
      <c r="BQ233" s="594"/>
      <c r="BR233" s="594"/>
      <c r="BS233" s="394"/>
      <c r="BT233" s="594"/>
      <c r="BU233" s="594"/>
      <c r="BV233" s="594"/>
      <c r="BW233" s="618"/>
      <c r="BX233" s="644"/>
      <c r="BY233" s="644"/>
      <c r="BZ233" s="609" t="s">
        <v>413</v>
      </c>
    </row>
    <row r="234" ht="25.5" customHeight="1">
      <c r="A234" s="635">
        <f>AL234/Q234</f>
        <v>-3096.045775</v>
      </c>
      <c r="B234" s="666">
        <f>now()</f>
        <v>45664.89611</v>
      </c>
      <c r="C234" s="642"/>
      <c r="D234" s="642"/>
      <c r="E234" s="574" t="s">
        <v>231</v>
      </c>
      <c r="F234" s="620"/>
      <c r="G234" s="621"/>
      <c r="H234" s="577"/>
      <c r="I234" s="577"/>
      <c r="J234" s="613"/>
      <c r="K234" s="581"/>
      <c r="L234" s="581"/>
      <c r="M234" s="613"/>
      <c r="N234" s="613"/>
      <c r="O234" s="613"/>
      <c r="P234" s="580"/>
      <c r="Q234" s="686">
        <v>-13.18</v>
      </c>
      <c r="R234" s="581"/>
      <c r="S234" s="581"/>
      <c r="T234" s="581"/>
      <c r="U234" s="582"/>
      <c r="V234" s="614"/>
      <c r="W234" s="581"/>
      <c r="X234" s="615"/>
      <c r="Y234" s="613"/>
      <c r="Z234" s="580"/>
      <c r="AA234" s="634"/>
      <c r="AB234" s="577"/>
      <c r="AC234" s="673"/>
      <c r="AD234" s="634"/>
      <c r="AE234" s="587"/>
      <c r="AF234" s="587"/>
      <c r="AG234" s="582"/>
      <c r="AH234" s="582"/>
      <c r="AI234" s="582"/>
      <c r="AJ234" s="582"/>
      <c r="AK234" s="588"/>
      <c r="AL234" s="582">
        <v>40805.88331921</v>
      </c>
      <c r="AM234" s="582"/>
      <c r="AN234" s="589"/>
      <c r="AO234" s="616"/>
      <c r="AP234" s="592"/>
      <c r="AQ234" s="358"/>
      <c r="AR234" s="592"/>
      <c r="AS234" s="592"/>
      <c r="AT234" s="592"/>
      <c r="AU234" s="592"/>
      <c r="AV234" s="592"/>
      <c r="AW234" s="592"/>
      <c r="AX234" s="592"/>
      <c r="AY234" s="592"/>
      <c r="AZ234" s="592"/>
      <c r="BA234" s="617"/>
      <c r="BB234" s="592"/>
      <c r="BC234" s="592"/>
      <c r="BD234" s="592"/>
      <c r="BE234" s="592"/>
      <c r="BF234" s="592"/>
      <c r="BG234" s="358"/>
      <c r="BH234" s="592"/>
      <c r="BI234" s="592"/>
      <c r="BJ234" s="592"/>
      <c r="BK234" s="592"/>
      <c r="BL234" s="592"/>
      <c r="BM234" s="592"/>
      <c r="BN234" s="592"/>
      <c r="BO234" s="592"/>
      <c r="BP234" s="592"/>
      <c r="BQ234" s="594"/>
      <c r="BR234" s="594"/>
      <c r="BS234" s="394"/>
      <c r="BT234" s="594"/>
      <c r="BU234" s="594"/>
      <c r="BV234" s="594"/>
      <c r="BW234" s="618"/>
      <c r="BX234" s="644"/>
      <c r="BY234" s="644"/>
    </row>
    <row r="235" ht="25.5" customHeight="1">
      <c r="A235" s="635"/>
      <c r="B235" s="666">
        <v>45398.40211840278</v>
      </c>
      <c r="C235" s="642"/>
      <c r="D235" s="642"/>
      <c r="E235" s="574" t="s">
        <v>231</v>
      </c>
      <c r="F235" s="620"/>
      <c r="G235" s="621"/>
      <c r="H235" s="577"/>
      <c r="I235" s="577"/>
      <c r="J235" s="613"/>
      <c r="K235" s="581"/>
      <c r="L235" s="581"/>
      <c r="M235" s="613"/>
      <c r="N235" s="613"/>
      <c r="O235" s="613"/>
      <c r="P235" s="580"/>
      <c r="Q235" s="580"/>
      <c r="R235" s="581"/>
      <c r="S235" s="581"/>
      <c r="T235" s="581"/>
      <c r="U235" s="582"/>
      <c r="V235" s="614"/>
      <c r="W235" s="581"/>
      <c r="X235" s="615"/>
      <c r="Y235" s="613"/>
      <c r="Z235" s="580"/>
      <c r="AA235" s="634"/>
      <c r="AB235" s="577"/>
      <c r="AC235" s="673"/>
      <c r="AD235" s="634"/>
      <c r="AE235" s="587"/>
      <c r="AF235" s="587"/>
      <c r="AG235" s="582"/>
      <c r="AH235" s="582"/>
      <c r="AI235" s="582"/>
      <c r="AJ235" s="582"/>
      <c r="AK235" s="588"/>
      <c r="AL235" s="582">
        <f>100118.434081-95788</f>
        <v>4330.434081</v>
      </c>
      <c r="AM235" s="582"/>
      <c r="AN235" s="589"/>
      <c r="AO235" s="616"/>
      <c r="AP235" s="592"/>
      <c r="AQ235" s="358"/>
      <c r="AR235" s="592"/>
      <c r="AS235" s="592"/>
      <c r="AT235" s="592"/>
      <c r="AU235" s="592"/>
      <c r="AV235" s="592"/>
      <c r="AW235" s="592"/>
      <c r="AX235" s="592"/>
      <c r="AY235" s="592"/>
      <c r="AZ235" s="592"/>
      <c r="BA235" s="617"/>
      <c r="BB235" s="592"/>
      <c r="BC235" s="592"/>
      <c r="BD235" s="592"/>
      <c r="BE235" s="592"/>
      <c r="BF235" s="592"/>
      <c r="BG235" s="358"/>
      <c r="BH235" s="592"/>
      <c r="BI235" s="592"/>
      <c r="BJ235" s="592"/>
      <c r="BK235" s="592"/>
      <c r="BL235" s="592"/>
      <c r="BM235" s="592"/>
      <c r="BN235" s="592"/>
      <c r="BO235" s="592"/>
      <c r="BP235" s="591">
        <v>-10461.5</v>
      </c>
      <c r="BQ235" s="594"/>
      <c r="BR235" s="594"/>
      <c r="BS235" s="394"/>
      <c r="BT235" s="594"/>
      <c r="BU235" s="594"/>
      <c r="BV235" s="594"/>
      <c r="BW235" s="618"/>
      <c r="BX235" s="644"/>
      <c r="BY235" s="644"/>
    </row>
    <row r="236" ht="25.5" customHeight="1">
      <c r="A236" s="635"/>
      <c r="B236" s="572">
        <v>45398.427395833336</v>
      </c>
      <c r="C236" s="642"/>
      <c r="D236" s="642"/>
      <c r="E236" s="574" t="s">
        <v>231</v>
      </c>
      <c r="F236" s="620"/>
      <c r="G236" s="621"/>
      <c r="H236" s="577"/>
      <c r="I236" s="577"/>
      <c r="J236" s="613"/>
      <c r="K236" s="697"/>
      <c r="L236" s="697"/>
      <c r="M236" s="613"/>
      <c r="N236" s="613"/>
      <c r="O236" s="613"/>
      <c r="P236" s="580"/>
      <c r="Q236" s="580"/>
      <c r="R236" s="697">
        <v>6407.7271200000005</v>
      </c>
      <c r="S236" s="697"/>
      <c r="T236" s="380"/>
      <c r="U236" s="582"/>
      <c r="V236" s="614"/>
      <c r="W236" s="581"/>
      <c r="X236" s="615"/>
      <c r="Y236" s="613"/>
      <c r="Z236" s="580"/>
      <c r="AA236" s="634"/>
      <c r="AB236" s="577"/>
      <c r="AC236" s="673"/>
      <c r="AD236" s="634"/>
      <c r="AE236" s="587"/>
      <c r="AF236" s="587"/>
      <c r="AG236" s="582"/>
      <c r="AH236" s="582"/>
      <c r="AI236" s="582"/>
      <c r="AK236" s="588"/>
      <c r="AL236" s="582"/>
      <c r="AM236" s="582"/>
      <c r="AN236" s="589"/>
      <c r="AO236" s="616"/>
      <c r="AP236" s="592"/>
      <c r="AQ236" s="358"/>
      <c r="AR236" s="592"/>
      <c r="AS236" s="592"/>
      <c r="AT236" s="592"/>
      <c r="AU236" s="592"/>
      <c r="AV236" s="592"/>
      <c r="AW236" s="592"/>
      <c r="AX236" s="592"/>
      <c r="AY236" s="592"/>
      <c r="AZ236" s="592"/>
      <c r="BA236" s="617"/>
      <c r="BB236" s="592"/>
      <c r="BC236" s="592"/>
      <c r="BD236" s="591">
        <v>-160582.97</v>
      </c>
      <c r="BE236" s="592"/>
      <c r="BF236" s="592"/>
      <c r="BG236" s="358"/>
      <c r="BH236" s="592"/>
      <c r="BI236" s="592"/>
      <c r="BJ236" s="592"/>
      <c r="BK236" s="592"/>
      <c r="BL236" s="592"/>
      <c r="BM236" s="592"/>
      <c r="BN236" s="592"/>
      <c r="BO236" s="592"/>
      <c r="BP236" s="592"/>
      <c r="BQ236" s="594"/>
      <c r="BR236" s="594"/>
      <c r="BS236" s="394"/>
      <c r="BT236" s="594"/>
      <c r="BU236" s="594"/>
      <c r="BV236" s="594"/>
      <c r="BW236" s="618"/>
      <c r="BX236" s="644"/>
      <c r="BY236" s="644"/>
      <c r="BZ236" s="609" t="s">
        <v>414</v>
      </c>
      <c r="CA236" s="609" t="s">
        <v>415</v>
      </c>
      <c r="CB236" s="609" t="s">
        <v>416</v>
      </c>
    </row>
    <row r="237" ht="25.5" customHeight="1">
      <c r="A237" s="635"/>
      <c r="B237" s="666">
        <v>45398.507174618055</v>
      </c>
      <c r="C237" s="642"/>
      <c r="D237" s="642"/>
      <c r="E237" s="574" t="s">
        <v>231</v>
      </c>
      <c r="F237" s="620"/>
      <c r="G237" s="621"/>
      <c r="H237" s="577"/>
      <c r="I237" s="577"/>
      <c r="J237" s="613"/>
      <c r="K237" s="581"/>
      <c r="L237" s="581"/>
      <c r="M237" s="613"/>
      <c r="N237" s="613"/>
      <c r="O237" s="613"/>
      <c r="P237" s="580"/>
      <c r="Q237" s="580"/>
      <c r="R237" s="581"/>
      <c r="S237" s="581"/>
      <c r="T237" s="581"/>
      <c r="U237" s="582"/>
      <c r="V237" s="614"/>
      <c r="W237" s="581"/>
      <c r="X237" s="615"/>
      <c r="Y237" s="613"/>
      <c r="Z237" s="580"/>
      <c r="AA237" s="634"/>
      <c r="AB237" s="577"/>
      <c r="AC237" s="673"/>
      <c r="AD237" s="634"/>
      <c r="AE237" s="587"/>
      <c r="AF237" s="587"/>
      <c r="AG237" s="582"/>
      <c r="AH237" s="582"/>
      <c r="AI237" s="582"/>
      <c r="AJ237" s="623">
        <v>5000.0</v>
      </c>
      <c r="AK237" s="588"/>
      <c r="AL237" s="582"/>
      <c r="AM237" s="582"/>
      <c r="AN237" s="589"/>
      <c r="AO237" s="616"/>
      <c r="AP237" s="592"/>
      <c r="AQ237" s="358"/>
      <c r="AR237" s="592"/>
      <c r="AS237" s="592"/>
      <c r="AT237" s="592"/>
      <c r="AU237" s="592"/>
      <c r="AV237" s="592"/>
      <c r="AW237" s="592"/>
      <c r="AX237" s="592"/>
      <c r="AY237" s="592"/>
      <c r="AZ237" s="592"/>
      <c r="BA237" s="617"/>
      <c r="BB237" s="592"/>
      <c r="BC237" s="592"/>
      <c r="BD237" s="592"/>
      <c r="BE237" s="592"/>
      <c r="BF237" s="592"/>
      <c r="BG237" s="358"/>
      <c r="BH237" s="592"/>
      <c r="BI237" s="591">
        <v>-2919.18</v>
      </c>
      <c r="BJ237" s="592"/>
      <c r="BK237" s="592"/>
      <c r="BL237" s="592"/>
      <c r="BM237" s="592"/>
      <c r="BN237" s="592"/>
      <c r="BO237" s="592"/>
      <c r="BP237" s="592"/>
      <c r="BQ237" s="594"/>
      <c r="BR237" s="594"/>
      <c r="BS237" s="394"/>
      <c r="BT237" s="594"/>
      <c r="BU237" s="594"/>
      <c r="BV237" s="594"/>
      <c r="BW237" s="618"/>
      <c r="BX237" s="644"/>
      <c r="BY237" s="608" t="s">
        <v>417</v>
      </c>
      <c r="BZ237" s="609" t="s">
        <v>418</v>
      </c>
    </row>
    <row r="238" ht="25.5" customHeight="1">
      <c r="A238" s="635"/>
      <c r="B238" s="666">
        <v>45398.523105949076</v>
      </c>
      <c r="C238" s="642"/>
      <c r="D238" s="642"/>
      <c r="E238" s="574" t="s">
        <v>231</v>
      </c>
      <c r="F238" s="620"/>
      <c r="G238" s="621"/>
      <c r="H238" s="577"/>
      <c r="I238" s="577"/>
      <c r="J238" s="613"/>
      <c r="K238" s="581"/>
      <c r="L238" s="581"/>
      <c r="M238" s="613"/>
      <c r="N238" s="613"/>
      <c r="O238" s="613"/>
      <c r="P238" s="580"/>
      <c r="Q238" s="580"/>
      <c r="R238" s="581"/>
      <c r="S238" s="581"/>
      <c r="T238" s="581"/>
      <c r="U238" s="582"/>
      <c r="V238" s="614"/>
      <c r="W238" s="581"/>
      <c r="X238" s="615"/>
      <c r="Y238" s="613"/>
      <c r="Z238" s="580"/>
      <c r="AA238" s="634"/>
      <c r="AB238" s="577"/>
      <c r="AC238" s="673"/>
      <c r="AD238" s="634"/>
      <c r="AE238" s="587"/>
      <c r="AF238" s="587"/>
      <c r="AG238" s="582"/>
      <c r="AH238" s="582"/>
      <c r="AI238" s="582"/>
      <c r="AJ238" s="623">
        <v>5000.0</v>
      </c>
      <c r="AK238" s="588"/>
      <c r="AL238" s="582"/>
      <c r="AM238" s="582"/>
      <c r="AN238" s="589"/>
      <c r="AO238" s="616"/>
      <c r="AP238" s="592"/>
      <c r="AQ238" s="358"/>
      <c r="AR238" s="592"/>
      <c r="AS238" s="592"/>
      <c r="AT238" s="592"/>
      <c r="AU238" s="592"/>
      <c r="AV238" s="592"/>
      <c r="AW238" s="592"/>
      <c r="AX238" s="592"/>
      <c r="AY238" s="592"/>
      <c r="AZ238" s="592"/>
      <c r="BA238" s="617"/>
      <c r="BB238" s="592"/>
      <c r="BC238" s="592"/>
      <c r="BD238" s="592"/>
      <c r="BE238" s="592"/>
      <c r="BF238" s="592"/>
      <c r="BG238" s="358"/>
      <c r="BH238" s="592"/>
      <c r="BI238" s="591">
        <v>-3113.0</v>
      </c>
      <c r="BJ238" s="592"/>
      <c r="BK238" s="592"/>
      <c r="BL238" s="592"/>
      <c r="BM238" s="592"/>
      <c r="BN238" s="592"/>
      <c r="BO238" s="592"/>
      <c r="BP238" s="592"/>
      <c r="BQ238" s="594"/>
      <c r="BR238" s="594"/>
      <c r="BS238" s="394"/>
      <c r="BT238" s="594"/>
      <c r="BU238" s="594"/>
      <c r="BV238" s="594"/>
      <c r="BW238" s="618"/>
      <c r="BX238" s="644"/>
      <c r="BY238" s="608" t="s">
        <v>419</v>
      </c>
      <c r="BZ238" s="609" t="s">
        <v>420</v>
      </c>
    </row>
    <row r="239" ht="25.5" customHeight="1">
      <c r="A239" s="635">
        <f>AL239/Q239</f>
        <v>-3039.95731</v>
      </c>
      <c r="B239" s="666">
        <v>45398.531958680556</v>
      </c>
      <c r="C239" s="642"/>
      <c r="D239" s="642"/>
      <c r="E239" s="574" t="s">
        <v>231</v>
      </c>
      <c r="F239" s="620"/>
      <c r="G239" s="621"/>
      <c r="H239" s="577"/>
      <c r="I239" s="577"/>
      <c r="J239" s="613"/>
      <c r="K239" s="581"/>
      <c r="L239" s="581"/>
      <c r="M239" s="613"/>
      <c r="N239" s="613"/>
      <c r="O239" s="613"/>
      <c r="P239" s="580"/>
      <c r="Q239" s="686">
        <v>-13.18</v>
      </c>
      <c r="R239" s="581"/>
      <c r="S239" s="581"/>
      <c r="T239" s="581"/>
      <c r="U239" s="582"/>
      <c r="V239" s="614"/>
      <c r="W239" s="581"/>
      <c r="X239" s="615"/>
      <c r="Y239" s="613"/>
      <c r="Z239" s="580"/>
      <c r="AA239" s="634"/>
      <c r="AB239" s="577"/>
      <c r="AC239" s="673"/>
      <c r="AD239" s="634"/>
      <c r="AE239" s="587"/>
      <c r="AF239" s="587"/>
      <c r="AG239" s="582"/>
      <c r="AH239" s="582"/>
      <c r="AI239" s="582"/>
      <c r="AJ239" s="582"/>
      <c r="AK239" s="588"/>
      <c r="AL239" s="582">
        <v>40066.637340999994</v>
      </c>
      <c r="AM239" s="582"/>
      <c r="AN239" s="589"/>
      <c r="AO239" s="616"/>
      <c r="AP239" s="592"/>
      <c r="AQ239" s="358"/>
      <c r="AR239" s="592"/>
      <c r="AS239" s="592"/>
      <c r="AT239" s="592"/>
      <c r="AU239" s="592"/>
      <c r="AV239" s="592"/>
      <c r="AW239" s="592"/>
      <c r="AX239" s="592"/>
      <c r="AY239" s="592"/>
      <c r="AZ239" s="592"/>
      <c r="BA239" s="617"/>
      <c r="BB239" s="592"/>
      <c r="BC239" s="592"/>
      <c r="BD239" s="592"/>
      <c r="BE239" s="592"/>
      <c r="BF239" s="592"/>
      <c r="BG239" s="358"/>
      <c r="BH239" s="592"/>
      <c r="BI239" s="592"/>
      <c r="BJ239" s="592"/>
      <c r="BK239" s="592"/>
      <c r="BL239" s="592"/>
      <c r="BM239" s="592"/>
      <c r="BN239" s="592"/>
      <c r="BO239" s="592"/>
      <c r="BP239" s="592"/>
      <c r="BQ239" s="594"/>
      <c r="BR239" s="594"/>
      <c r="BS239" s="394"/>
      <c r="BT239" s="594"/>
      <c r="BU239" s="594"/>
      <c r="BV239" s="594"/>
      <c r="BW239" s="618"/>
      <c r="BX239" s="644"/>
      <c r="BY239" s="644"/>
    </row>
    <row r="240" ht="25.5" customHeight="1">
      <c r="A240" s="635"/>
      <c r="B240" s="666">
        <v>45399.25510510417</v>
      </c>
      <c r="C240" s="642"/>
      <c r="D240" s="642"/>
      <c r="E240" s="574" t="s">
        <v>231</v>
      </c>
      <c r="F240" s="620"/>
      <c r="G240" s="621"/>
      <c r="H240" s="577"/>
      <c r="I240" s="577"/>
      <c r="J240" s="613"/>
      <c r="K240" s="581"/>
      <c r="L240" s="581"/>
      <c r="M240" s="613"/>
      <c r="N240" s="613"/>
      <c r="O240" s="613"/>
      <c r="P240" s="580"/>
      <c r="Q240" s="580"/>
      <c r="R240" s="581"/>
      <c r="S240" s="581"/>
      <c r="T240" s="581"/>
      <c r="U240" s="582"/>
      <c r="V240" s="614"/>
      <c r="W240" s="581"/>
      <c r="X240" s="615"/>
      <c r="Y240" s="613"/>
      <c r="Z240" s="580"/>
      <c r="AA240" s="634"/>
      <c r="AB240" s="577"/>
      <c r="AC240" s="673"/>
      <c r="AD240" s="634"/>
      <c r="AE240" s="587"/>
      <c r="AF240" s="587"/>
      <c r="AG240" s="582"/>
      <c r="AH240" s="582"/>
      <c r="AI240" s="582"/>
      <c r="AJ240" s="582"/>
      <c r="AK240" s="588"/>
      <c r="AL240" s="582">
        <v>9603.598999999987</v>
      </c>
      <c r="AM240" s="582"/>
      <c r="AN240" s="589"/>
      <c r="AO240" s="616"/>
      <c r="AP240" s="592"/>
      <c r="AQ240" s="358"/>
      <c r="AR240" s="592"/>
      <c r="AS240" s="592"/>
      <c r="AT240" s="592"/>
      <c r="AU240" s="592"/>
      <c r="AV240" s="592"/>
      <c r="AW240" s="592"/>
      <c r="AX240" s="592"/>
      <c r="AY240" s="592"/>
      <c r="AZ240" s="592"/>
      <c r="BA240" s="617"/>
      <c r="BB240" s="592"/>
      <c r="BC240" s="592"/>
      <c r="BD240" s="592"/>
      <c r="BE240" s="592"/>
      <c r="BF240" s="592"/>
      <c r="BG240" s="358"/>
      <c r="BH240" s="592"/>
      <c r="BI240" s="592"/>
      <c r="BJ240" s="592"/>
      <c r="BK240" s="592"/>
      <c r="BL240" s="592"/>
      <c r="BM240" s="592"/>
      <c r="BN240" s="592"/>
      <c r="BO240" s="591">
        <v>-1585.1019</v>
      </c>
      <c r="BP240" s="592"/>
      <c r="BQ240" s="594"/>
      <c r="BR240" s="594"/>
      <c r="BS240" s="394"/>
      <c r="BT240" s="594"/>
      <c r="BU240" s="594"/>
      <c r="BV240" s="594"/>
      <c r="BW240" s="618"/>
      <c r="BX240" s="644"/>
      <c r="BY240" s="644"/>
    </row>
    <row r="241" ht="25.5" customHeight="1">
      <c r="A241" s="635"/>
      <c r="B241" s="666">
        <v>45399.26527791667</v>
      </c>
      <c r="C241" s="642"/>
      <c r="D241" s="642"/>
      <c r="E241" s="574" t="s">
        <v>231</v>
      </c>
      <c r="F241" s="620"/>
      <c r="G241" s="621"/>
      <c r="H241" s="577"/>
      <c r="I241" s="577"/>
      <c r="J241" s="613"/>
      <c r="K241" s="581"/>
      <c r="L241" s="581"/>
      <c r="M241" s="613"/>
      <c r="N241" s="613"/>
      <c r="O241" s="613"/>
      <c r="P241" s="580"/>
      <c r="Q241" s="580"/>
      <c r="R241" s="581"/>
      <c r="S241" s="581"/>
      <c r="T241" s="581"/>
      <c r="U241" s="582"/>
      <c r="V241" s="614"/>
      <c r="W241" s="581"/>
      <c r="X241" s="615"/>
      <c r="Y241" s="613"/>
      <c r="Z241" s="580"/>
      <c r="AA241" s="634"/>
      <c r="AB241" s="577"/>
      <c r="AC241" s="673"/>
      <c r="AD241" s="634"/>
      <c r="AE241" s="587"/>
      <c r="AF241" s="587"/>
      <c r="AG241" s="582"/>
      <c r="AH241" s="582"/>
      <c r="AI241" s="582"/>
      <c r="AJ241" s="582"/>
      <c r="AK241" s="588"/>
      <c r="AL241" s="582">
        <f>165944.561-149788.67</f>
        <v>16155.891</v>
      </c>
      <c r="AM241" s="582"/>
      <c r="AN241" s="589"/>
      <c r="AO241" s="616"/>
      <c r="AP241" s="592"/>
      <c r="AQ241" s="358"/>
      <c r="AR241" s="592"/>
      <c r="AS241" s="592"/>
      <c r="AT241" s="592"/>
      <c r="AU241" s="592"/>
      <c r="AV241" s="592"/>
      <c r="AW241" s="592"/>
      <c r="AX241" s="591">
        <v>-5676.3942</v>
      </c>
      <c r="AY241" s="592"/>
      <c r="AZ241" s="592"/>
      <c r="BA241" s="617"/>
      <c r="BB241" s="592"/>
      <c r="BC241" s="592"/>
      <c r="BD241" s="592"/>
      <c r="BE241" s="592"/>
      <c r="BF241" s="592"/>
      <c r="BG241" s="358"/>
      <c r="BH241" s="592"/>
      <c r="BI241" s="592"/>
      <c r="BJ241" s="592"/>
      <c r="BK241" s="592"/>
      <c r="BL241" s="592"/>
      <c r="BM241" s="592"/>
      <c r="BN241" s="592"/>
      <c r="BO241" s="592"/>
      <c r="BP241" s="592"/>
      <c r="BQ241" s="594"/>
      <c r="BR241" s="594"/>
      <c r="BS241" s="394"/>
      <c r="BT241" s="594"/>
      <c r="BU241" s="594"/>
      <c r="BV241" s="594"/>
      <c r="BW241" s="618"/>
      <c r="BX241" s="644"/>
      <c r="BY241" s="644"/>
    </row>
    <row r="242" ht="25.5" customHeight="1">
      <c r="A242" s="635"/>
      <c r="B242" s="666">
        <v>45399.26987471065</v>
      </c>
      <c r="C242" s="642"/>
      <c r="D242" s="642"/>
      <c r="E242" s="574" t="s">
        <v>231</v>
      </c>
      <c r="F242" s="620"/>
      <c r="G242" s="621"/>
      <c r="H242" s="577"/>
      <c r="I242" s="577"/>
      <c r="J242" s="613"/>
      <c r="K242" s="581"/>
      <c r="L242" s="581"/>
      <c r="M242" s="613"/>
      <c r="N242" s="613"/>
      <c r="O242" s="613"/>
      <c r="P242" s="580"/>
      <c r="Q242" s="580"/>
      <c r="R242" s="581"/>
      <c r="S242" s="581"/>
      <c r="T242" s="581"/>
      <c r="U242" s="582"/>
      <c r="V242" s="614"/>
      <c r="W242" s="581"/>
      <c r="X242" s="615"/>
      <c r="Y242" s="613"/>
      <c r="Z242" s="580"/>
      <c r="AA242" s="634"/>
      <c r="AB242" s="577"/>
      <c r="AC242" s="673"/>
      <c r="AD242" s="634"/>
      <c r="AE242" s="587"/>
      <c r="AF242" s="587"/>
      <c r="AG242" s="582"/>
      <c r="AH242" s="582"/>
      <c r="AI242" s="582"/>
      <c r="AJ242" s="623">
        <v>9536.2142</v>
      </c>
      <c r="AK242" s="588"/>
      <c r="AL242" s="582"/>
      <c r="AM242" s="582"/>
      <c r="AN242" s="589"/>
      <c r="AO242" s="616"/>
      <c r="AP242" s="592"/>
      <c r="AQ242" s="358"/>
      <c r="AR242" s="592"/>
      <c r="AS242" s="592"/>
      <c r="AT242" s="592"/>
      <c r="AU242" s="592"/>
      <c r="AV242" s="592"/>
      <c r="AW242" s="592"/>
      <c r="AX242" s="592"/>
      <c r="AY242" s="592"/>
      <c r="AZ242" s="592"/>
      <c r="BA242" s="617"/>
      <c r="BB242" s="592"/>
      <c r="BC242" s="592"/>
      <c r="BD242" s="592"/>
      <c r="BE242" s="592"/>
      <c r="BF242" s="592"/>
      <c r="BG242" s="358"/>
      <c r="BH242" s="592"/>
      <c r="BI242" s="591">
        <v>-5811.64</v>
      </c>
      <c r="BJ242" s="592"/>
      <c r="BK242" s="592"/>
      <c r="BL242" s="592"/>
      <c r="BM242" s="592"/>
      <c r="BN242" s="592"/>
      <c r="BO242" s="592"/>
      <c r="BP242" s="592"/>
      <c r="BQ242" s="594"/>
      <c r="BR242" s="594"/>
      <c r="BS242" s="394"/>
      <c r="BT242" s="594"/>
      <c r="BU242" s="594"/>
      <c r="BV242" s="594"/>
      <c r="BW242" s="618"/>
      <c r="BX242" s="644"/>
      <c r="BY242" s="608" t="s">
        <v>421</v>
      </c>
      <c r="BZ242" s="609" t="s">
        <v>422</v>
      </c>
      <c r="CA242" s="609" t="s">
        <v>423</v>
      </c>
    </row>
    <row r="243" ht="25.5" customHeight="1">
      <c r="A243" s="635"/>
      <c r="B243" s="666">
        <v>45399.285818344906</v>
      </c>
      <c r="C243" s="642"/>
      <c r="D243" s="573">
        <v>195.0</v>
      </c>
      <c r="E243" s="574" t="s">
        <v>410</v>
      </c>
      <c r="F243" s="620"/>
      <c r="G243" s="621"/>
      <c r="H243" s="577"/>
      <c r="I243" s="577"/>
      <c r="J243" s="613"/>
      <c r="K243" s="581"/>
      <c r="L243" s="581"/>
      <c r="M243" s="613"/>
      <c r="N243" s="613"/>
      <c r="O243" s="613">
        <f>25.6748-0.0112</f>
        <v>25.6636</v>
      </c>
      <c r="P243" s="580"/>
      <c r="Q243" s="580"/>
      <c r="R243" s="581"/>
      <c r="S243" s="581"/>
      <c r="T243" s="581"/>
      <c r="U243" s="582"/>
      <c r="V243" s="614"/>
      <c r="W243" s="581"/>
      <c r="X243" s="615"/>
      <c r="Y243" s="613"/>
      <c r="Z243" s="580"/>
      <c r="AA243" s="634"/>
      <c r="AB243" s="577"/>
      <c r="AC243" s="673"/>
      <c r="AD243" s="634"/>
      <c r="AE243" s="587"/>
      <c r="AF243" s="587"/>
      <c r="AG243" s="582"/>
      <c r="AH243" s="582"/>
      <c r="AI243" s="582"/>
      <c r="AJ243" s="582"/>
      <c r="AK243" s="588"/>
      <c r="AL243" s="582"/>
      <c r="AM243" s="582"/>
      <c r="AN243" s="589"/>
      <c r="AO243" s="616"/>
      <c r="AP243" s="592"/>
      <c r="AQ243" s="358"/>
      <c r="AR243" s="592"/>
      <c r="AS243" s="592"/>
      <c r="AT243" s="592"/>
      <c r="AU243" s="592"/>
      <c r="AV243" s="592"/>
      <c r="AW243" s="592"/>
      <c r="AX243" s="592"/>
      <c r="AY243" s="592"/>
      <c r="AZ243" s="592"/>
      <c r="BA243" s="617"/>
      <c r="BB243" s="592"/>
      <c r="BC243" s="592"/>
      <c r="BD243" s="592"/>
      <c r="BE243" s="592"/>
      <c r="BF243" s="592"/>
      <c r="BG243" s="358"/>
      <c r="BH243" s="592"/>
      <c r="BI243" s="592"/>
      <c r="BJ243" s="592"/>
      <c r="BK243" s="592"/>
      <c r="BL243" s="592"/>
      <c r="BM243" s="592"/>
      <c r="BN243" s="592"/>
      <c r="BO243" s="592"/>
      <c r="BP243" s="592"/>
      <c r="BQ243" s="594"/>
      <c r="BR243" s="594"/>
      <c r="BS243" s="394"/>
      <c r="BT243" s="594"/>
      <c r="BU243" s="594"/>
      <c r="BV243" s="594"/>
      <c r="BW243" s="618"/>
      <c r="BX243" s="644"/>
      <c r="BY243" s="644"/>
      <c r="BZ243" s="609" t="s">
        <v>424</v>
      </c>
    </row>
    <row r="244" ht="25.5" customHeight="1">
      <c r="A244" s="635"/>
      <c r="B244" s="666">
        <f>now()</f>
        <v>45664.89611</v>
      </c>
      <c r="C244" s="642"/>
      <c r="D244" s="642"/>
      <c r="E244" s="574" t="s">
        <v>218</v>
      </c>
      <c r="F244" s="620"/>
      <c r="G244" s="621"/>
      <c r="H244" s="577"/>
      <c r="I244" s="577"/>
      <c r="J244" s="613"/>
      <c r="K244" s="581"/>
      <c r="L244" s="581"/>
      <c r="M244" s="613"/>
      <c r="N244" s="613"/>
      <c r="O244" s="613">
        <f>0.0101-25.6748</f>
        <v>-25.6647</v>
      </c>
      <c r="P244" s="580"/>
      <c r="Q244" s="686">
        <v>25.6647</v>
      </c>
      <c r="R244" s="581"/>
      <c r="S244" s="581"/>
      <c r="T244" s="581"/>
      <c r="U244" s="582"/>
      <c r="V244" s="614"/>
      <c r="W244" s="581"/>
      <c r="X244" s="615"/>
      <c r="Y244" s="613"/>
      <c r="Z244" s="580"/>
      <c r="AA244" s="634"/>
      <c r="AB244" s="577"/>
      <c r="AC244" s="673"/>
      <c r="AD244" s="634"/>
      <c r="AE244" s="587"/>
      <c r="AF244" s="587"/>
      <c r="AG244" s="582"/>
      <c r="AH244" s="582"/>
      <c r="AI244" s="582"/>
      <c r="AJ244" s="582"/>
      <c r="AK244" s="588"/>
      <c r="AL244" s="582"/>
      <c r="AM244" s="582"/>
      <c r="AN244" s="589"/>
      <c r="AO244" s="616"/>
      <c r="AP244" s="592"/>
      <c r="AQ244" s="358"/>
      <c r="AR244" s="592"/>
      <c r="AS244" s="592"/>
      <c r="AT244" s="592"/>
      <c r="AU244" s="592"/>
      <c r="AV244" s="592"/>
      <c r="AW244" s="592"/>
      <c r="AX244" s="592"/>
      <c r="AY244" s="592"/>
      <c r="AZ244" s="592"/>
      <c r="BA244" s="617"/>
      <c r="BB244" s="592"/>
      <c r="BC244" s="592"/>
      <c r="BD244" s="592"/>
      <c r="BE244" s="592"/>
      <c r="BF244" s="592"/>
      <c r="BG244" s="358"/>
      <c r="BH244" s="592"/>
      <c r="BI244" s="592"/>
      <c r="BJ244" s="592"/>
      <c r="BK244" s="592"/>
      <c r="BL244" s="592"/>
      <c r="BM244" s="592"/>
      <c r="BN244" s="592"/>
      <c r="BO244" s="592"/>
      <c r="BP244" s="592"/>
      <c r="BQ244" s="594"/>
      <c r="BR244" s="594"/>
      <c r="BS244" s="394"/>
      <c r="BT244" s="594"/>
      <c r="BU244" s="594"/>
      <c r="BV244" s="594"/>
      <c r="BW244" s="618"/>
      <c r="BX244" s="644"/>
      <c r="BY244" s="644"/>
      <c r="BZ244" s="609" t="s">
        <v>425</v>
      </c>
      <c r="CA244" s="609" t="s">
        <v>426</v>
      </c>
    </row>
    <row r="245" ht="25.5" customHeight="1">
      <c r="A245" s="635"/>
      <c r="B245" s="666">
        <v>45399.406039803245</v>
      </c>
      <c r="C245" s="642"/>
      <c r="D245" s="642"/>
      <c r="E245" s="574" t="s">
        <v>218</v>
      </c>
      <c r="F245" s="620"/>
      <c r="G245" s="621"/>
      <c r="H245" s="622">
        <v>1.0156192</v>
      </c>
      <c r="I245" s="622"/>
      <c r="J245" s="613"/>
      <c r="K245" s="581"/>
      <c r="L245" s="581"/>
      <c r="M245" s="613"/>
      <c r="N245" s="613"/>
      <c r="O245" s="613"/>
      <c r="P245" s="580"/>
      <c r="Q245" s="580"/>
      <c r="R245" s="581"/>
      <c r="S245" s="581"/>
      <c r="T245" s="581"/>
      <c r="U245" s="582"/>
      <c r="V245" s="614"/>
      <c r="W245" s="581"/>
      <c r="X245" s="615"/>
      <c r="Y245" s="613"/>
      <c r="Z245" s="580"/>
      <c r="AA245" s="634"/>
      <c r="AB245" s="622">
        <v>-1.01581</v>
      </c>
      <c r="AC245" s="673"/>
      <c r="AD245" s="634"/>
      <c r="AE245" s="587"/>
      <c r="AF245" s="587"/>
      <c r="AG245" s="582"/>
      <c r="AH245" s="582"/>
      <c r="AI245" s="582"/>
      <c r="AJ245" s="582"/>
      <c r="AK245" s="588"/>
      <c r="AL245" s="582"/>
      <c r="AM245" s="582"/>
      <c r="AN245" s="589"/>
      <c r="AO245" s="616"/>
      <c r="AP245" s="592"/>
      <c r="AQ245" s="358"/>
      <c r="AR245" s="592"/>
      <c r="AS245" s="592"/>
      <c r="AT245" s="592"/>
      <c r="AU245" s="592"/>
      <c r="AV245" s="592"/>
      <c r="AW245" s="592"/>
      <c r="AX245" s="592"/>
      <c r="AY245" s="592"/>
      <c r="AZ245" s="592"/>
      <c r="BA245" s="617"/>
      <c r="BB245" s="592"/>
      <c r="BC245" s="592"/>
      <c r="BD245" s="592"/>
      <c r="BE245" s="592"/>
      <c r="BF245" s="592"/>
      <c r="BG245" s="358"/>
      <c r="BH245" s="592"/>
      <c r="BI245" s="592"/>
      <c r="BJ245" s="592"/>
      <c r="BK245" s="592"/>
      <c r="BL245" s="592"/>
      <c r="BM245" s="592"/>
      <c r="BN245" s="592"/>
      <c r="BO245" s="592"/>
      <c r="BP245" s="592"/>
      <c r="BQ245" s="594"/>
      <c r="BR245" s="594"/>
      <c r="BS245" s="394"/>
      <c r="BT245" s="594"/>
      <c r="BU245" s="594"/>
      <c r="BV245" s="594"/>
      <c r="BW245" s="618"/>
      <c r="BX245" s="644"/>
      <c r="BY245" s="644"/>
    </row>
    <row r="246" ht="25.5" customHeight="1">
      <c r="A246" s="635">
        <f>AL246/Q246</f>
        <v>-3064.932107</v>
      </c>
      <c r="B246" s="666">
        <v>45399.517149085645</v>
      </c>
      <c r="C246" s="675">
        <f>AL246/Q246</f>
        <v>-3064.932107</v>
      </c>
      <c r="D246" s="642"/>
      <c r="E246" s="574" t="s">
        <v>231</v>
      </c>
      <c r="F246" s="620"/>
      <c r="G246" s="621"/>
      <c r="H246" s="577"/>
      <c r="I246" s="577"/>
      <c r="J246" s="613"/>
      <c r="K246" s="581"/>
      <c r="L246" s="581"/>
      <c r="M246" s="613"/>
      <c r="N246" s="613"/>
      <c r="O246" s="613"/>
      <c r="P246" s="580"/>
      <c r="Q246" s="580">
        <f>12.83230025-25.6647</f>
        <v>-12.83239975</v>
      </c>
      <c r="R246" s="581"/>
      <c r="S246" s="581"/>
      <c r="T246" s="581"/>
      <c r="U246" s="582"/>
      <c r="V246" s="614"/>
      <c r="W246" s="581"/>
      <c r="X246" s="615"/>
      <c r="Y246" s="613"/>
      <c r="Z246" s="580"/>
      <c r="AA246" s="634"/>
      <c r="AB246" s="577"/>
      <c r="AC246" s="673"/>
      <c r="AD246" s="634"/>
      <c r="AE246" s="587"/>
      <c r="AF246" s="587"/>
      <c r="AG246" s="582"/>
      <c r="AH246" s="582"/>
      <c r="AI246" s="582"/>
      <c r="AJ246" s="582"/>
      <c r="AK246" s="588"/>
      <c r="AL246" s="582">
        <f>205274.994-165944.56</f>
        <v>39330.434</v>
      </c>
      <c r="AM246" s="582"/>
      <c r="AN246" s="589"/>
      <c r="AO246" s="616"/>
      <c r="AP246" s="592"/>
      <c r="AQ246" s="358"/>
      <c r="AR246" s="592"/>
      <c r="AS246" s="592"/>
      <c r="AT246" s="592"/>
      <c r="AU246" s="592"/>
      <c r="AV246" s="592"/>
      <c r="AW246" s="592"/>
      <c r="AX246" s="592"/>
      <c r="AY246" s="592"/>
      <c r="AZ246" s="592"/>
      <c r="BA246" s="617"/>
      <c r="BB246" s="592"/>
      <c r="BC246" s="592"/>
      <c r="BD246" s="592"/>
      <c r="BE246" s="592"/>
      <c r="BF246" s="592"/>
      <c r="BG246" s="358"/>
      <c r="BH246" s="592"/>
      <c r="BI246" s="592"/>
      <c r="BJ246" s="592"/>
      <c r="BK246" s="592"/>
      <c r="BL246" s="592"/>
      <c r="BM246" s="592"/>
      <c r="BN246" s="592"/>
      <c r="BO246" s="592"/>
      <c r="BP246" s="592"/>
      <c r="BQ246" s="594"/>
      <c r="BR246" s="594"/>
      <c r="BS246" s="394"/>
      <c r="BT246" s="594"/>
      <c r="BU246" s="594"/>
      <c r="BV246" s="594"/>
      <c r="BW246" s="618"/>
      <c r="BX246" s="644"/>
      <c r="BY246" s="644"/>
    </row>
    <row r="247" ht="25.5" customHeight="1">
      <c r="A247" s="635"/>
      <c r="B247" s="666">
        <v>45399.52572954861</v>
      </c>
      <c r="C247" s="642">
        <f t="shared" ref="C247:C248" si="23">AL247/H247</f>
        <v>-62927.03425</v>
      </c>
      <c r="D247" s="642"/>
      <c r="E247" s="574" t="s">
        <v>231</v>
      </c>
      <c r="F247" s="620"/>
      <c r="G247" s="621"/>
      <c r="H247" s="622">
        <v>-0.5078098000000001</v>
      </c>
      <c r="I247" s="622"/>
      <c r="J247" s="613"/>
      <c r="K247" s="581"/>
      <c r="L247" s="581"/>
      <c r="M247" s="613"/>
      <c r="N247" s="613"/>
      <c r="O247" s="613"/>
      <c r="P247" s="580"/>
      <c r="Q247" s="580"/>
      <c r="R247" s="581"/>
      <c r="S247" s="581"/>
      <c r="T247" s="581"/>
      <c r="U247" s="582"/>
      <c r="V247" s="614"/>
      <c r="W247" s="581"/>
      <c r="X247" s="615"/>
      <c r="Y247" s="613"/>
      <c r="Z247" s="580"/>
      <c r="AA247" s="634"/>
      <c r="AB247" s="577"/>
      <c r="AC247" s="673"/>
      <c r="AD247" s="634"/>
      <c r="AE247" s="587"/>
      <c r="AF247" s="587"/>
      <c r="AG247" s="582"/>
      <c r="AH247" s="582"/>
      <c r="AI247" s="582"/>
      <c r="AJ247" s="582"/>
      <c r="AK247" s="588"/>
      <c r="AL247" s="623">
        <v>31954.964676000003</v>
      </c>
      <c r="AM247" s="623"/>
      <c r="AN247" s="589"/>
      <c r="AO247" s="616"/>
      <c r="AP247" s="592"/>
      <c r="AQ247" s="358"/>
      <c r="AR247" s="592"/>
      <c r="AS247" s="592"/>
      <c r="AT247" s="592"/>
      <c r="AU247" s="592"/>
      <c r="AV247" s="592"/>
      <c r="AW247" s="592"/>
      <c r="AX247" s="592"/>
      <c r="AY247" s="592"/>
      <c r="AZ247" s="592"/>
      <c r="BA247" s="617"/>
      <c r="BB247" s="592"/>
      <c r="BC247" s="592"/>
      <c r="BD247" s="592"/>
      <c r="BE247" s="592"/>
      <c r="BF247" s="592"/>
      <c r="BG247" s="358"/>
      <c r="BH247" s="592"/>
      <c r="BI247" s="592"/>
      <c r="BJ247" s="592"/>
      <c r="BK247" s="592"/>
      <c r="BL247" s="592"/>
      <c r="BM247" s="592"/>
      <c r="BN247" s="592"/>
      <c r="BO247" s="592"/>
      <c r="BP247" s="592"/>
      <c r="BQ247" s="594"/>
      <c r="BR247" s="594"/>
      <c r="BS247" s="394"/>
      <c r="BT247" s="594"/>
      <c r="BU247" s="594"/>
      <c r="BV247" s="594"/>
      <c r="BW247" s="618"/>
      <c r="BX247" s="644"/>
      <c r="BY247" s="644"/>
    </row>
    <row r="248" ht="25.5" customHeight="1">
      <c r="A248" s="635"/>
      <c r="B248" s="666">
        <v>45400.36173333334</v>
      </c>
      <c r="C248" s="642">
        <f t="shared" si="23"/>
        <v>-60888.30961</v>
      </c>
      <c r="D248" s="642"/>
      <c r="E248" s="574" t="s">
        <v>231</v>
      </c>
      <c r="F248" s="620"/>
      <c r="G248" s="621"/>
      <c r="H248" s="622">
        <v>-0.507809</v>
      </c>
      <c r="I248" s="622"/>
      <c r="J248" s="613"/>
      <c r="K248" s="581"/>
      <c r="L248" s="581"/>
      <c r="M248" s="613"/>
      <c r="N248" s="613"/>
      <c r="O248" s="613"/>
      <c r="P248" s="580"/>
      <c r="Q248" s="580"/>
      <c r="R248" s="581"/>
      <c r="S248" s="581"/>
      <c r="T248" s="581"/>
      <c r="U248" s="582"/>
      <c r="V248" s="614"/>
      <c r="W248" s="581"/>
      <c r="X248" s="615"/>
      <c r="Y248" s="613"/>
      <c r="Z248" s="580"/>
      <c r="AA248" s="634"/>
      <c r="AB248" s="577"/>
      <c r="AC248" s="673"/>
      <c r="AD248" s="634"/>
      <c r="AE248" s="587"/>
      <c r="AF248" s="587"/>
      <c r="AG248" s="582"/>
      <c r="AH248" s="582"/>
      <c r="AI248" s="582"/>
      <c r="AJ248" s="582"/>
      <c r="AK248" s="588"/>
      <c r="AL248" s="623">
        <f>268149.59161611-237229.96</f>
        <v>30919.63162</v>
      </c>
      <c r="AM248" s="623"/>
      <c r="AN248" s="589"/>
      <c r="AO248" s="616"/>
      <c r="AP248" s="592"/>
      <c r="AQ248" s="358"/>
      <c r="AR248" s="592"/>
      <c r="AS248" s="592"/>
      <c r="AT248" s="592"/>
      <c r="AU248" s="592"/>
      <c r="AV248" s="592"/>
      <c r="AW248" s="592"/>
      <c r="AX248" s="592"/>
      <c r="AY248" s="592"/>
      <c r="AZ248" s="592"/>
      <c r="BA248" s="617"/>
      <c r="BB248" s="592"/>
      <c r="BC248" s="592"/>
      <c r="BD248" s="592"/>
      <c r="BE248" s="592"/>
      <c r="BF248" s="592"/>
      <c r="BG248" s="358"/>
      <c r="BH248" s="592"/>
      <c r="BI248" s="592"/>
      <c r="BJ248" s="592"/>
      <c r="BK248" s="592"/>
      <c r="BL248" s="592"/>
      <c r="BM248" s="592"/>
      <c r="BN248" s="592"/>
      <c r="BO248" s="592"/>
      <c r="BP248" s="592"/>
      <c r="BQ248" s="594"/>
      <c r="BR248" s="594"/>
      <c r="BS248" s="394"/>
      <c r="BT248" s="594"/>
      <c r="BU248" s="594"/>
      <c r="BV248" s="594"/>
      <c r="BW248" s="618"/>
      <c r="BX248" s="644"/>
      <c r="BY248" s="644"/>
    </row>
    <row r="249" ht="25.5" customHeight="1">
      <c r="A249" s="635">
        <f>AL249/Q249</f>
        <v>-2957.040125</v>
      </c>
      <c r="B249" s="666">
        <v>45400.36173333334</v>
      </c>
      <c r="C249" s="675">
        <f>AL249/Q249</f>
        <v>-2957.040125</v>
      </c>
      <c r="D249" s="642"/>
      <c r="E249" s="574" t="s">
        <v>231</v>
      </c>
      <c r="F249" s="620"/>
      <c r="G249" s="621"/>
      <c r="H249" s="577"/>
      <c r="I249" s="577"/>
      <c r="J249" s="613"/>
      <c r="K249" s="581"/>
      <c r="L249" s="581"/>
      <c r="M249" s="613"/>
      <c r="N249" s="613"/>
      <c r="O249" s="613"/>
      <c r="P249" s="580"/>
      <c r="Q249" s="686">
        <v>-12.8323</v>
      </c>
      <c r="R249" s="581"/>
      <c r="S249" s="581"/>
      <c r="T249" s="581"/>
      <c r="U249" s="582"/>
      <c r="V249" s="614"/>
      <c r="W249" s="581"/>
      <c r="X249" s="615"/>
      <c r="Y249" s="613"/>
      <c r="Z249" s="580"/>
      <c r="AA249" s="634"/>
      <c r="AB249" s="577"/>
      <c r="AC249" s="673"/>
      <c r="AD249" s="634"/>
      <c r="AE249" s="587"/>
      <c r="AF249" s="587"/>
      <c r="AG249" s="582"/>
      <c r="AH249" s="582"/>
      <c r="AI249" s="582"/>
      <c r="AJ249" s="582"/>
      <c r="AK249" s="588"/>
      <c r="AL249" s="582">
        <f>306095.216-268149.59</f>
        <v>37945.626</v>
      </c>
      <c r="AM249" s="582"/>
      <c r="AN249" s="589"/>
      <c r="AO249" s="616"/>
      <c r="AP249" s="592"/>
      <c r="AQ249" s="358"/>
      <c r="AR249" s="592"/>
      <c r="AS249" s="592"/>
      <c r="AT249" s="592"/>
      <c r="AU249" s="592"/>
      <c r="AV249" s="592"/>
      <c r="AW249" s="592"/>
      <c r="AX249" s="592"/>
      <c r="AY249" s="592"/>
      <c r="AZ249" s="592"/>
      <c r="BA249" s="617"/>
      <c r="BB249" s="592"/>
      <c r="BC249" s="592"/>
      <c r="BD249" s="592"/>
      <c r="BE249" s="592"/>
      <c r="BF249" s="592"/>
      <c r="BG249" s="358"/>
      <c r="BH249" s="592"/>
      <c r="BI249" s="592"/>
      <c r="BJ249" s="592"/>
      <c r="BK249" s="592"/>
      <c r="BL249" s="592"/>
      <c r="BM249" s="592"/>
      <c r="BN249" s="592"/>
      <c r="BO249" s="592"/>
      <c r="BP249" s="592"/>
      <c r="BQ249" s="594"/>
      <c r="BR249" s="594"/>
      <c r="BS249" s="394"/>
      <c r="BT249" s="594"/>
      <c r="BU249" s="594"/>
      <c r="BV249" s="594"/>
      <c r="BW249" s="618"/>
      <c r="BX249" s="644"/>
      <c r="BY249" s="644"/>
    </row>
    <row r="250" ht="25.5" customHeight="1">
      <c r="A250" s="635"/>
      <c r="B250" s="666">
        <v>45400.38725738426</v>
      </c>
      <c r="C250" s="642"/>
      <c r="D250" s="573">
        <v>186.0</v>
      </c>
      <c r="E250" s="574" t="s">
        <v>410</v>
      </c>
      <c r="F250" s="620"/>
      <c r="G250" s="621"/>
      <c r="H250" s="577"/>
      <c r="I250" s="577"/>
      <c r="J250" s="613"/>
      <c r="K250" s="581"/>
      <c r="L250" s="581"/>
      <c r="M250" s="613"/>
      <c r="N250" s="613"/>
      <c r="O250" s="613">
        <f>50.9845-0.0101</f>
        <v>50.9744</v>
      </c>
      <c r="P250" s="580"/>
      <c r="Q250" s="580"/>
      <c r="R250" s="581"/>
      <c r="S250" s="581"/>
      <c r="T250" s="581"/>
      <c r="U250" s="582"/>
      <c r="V250" s="614"/>
      <c r="W250" s="581"/>
      <c r="X250" s="615"/>
      <c r="Y250" s="613"/>
      <c r="Z250" s="580"/>
      <c r="AA250" s="634"/>
      <c r="AB250" s="577"/>
      <c r="AC250" s="673"/>
      <c r="AD250" s="634"/>
      <c r="AE250" s="587"/>
      <c r="AF250" s="587"/>
      <c r="AG250" s="582"/>
      <c r="AH250" s="582"/>
      <c r="AI250" s="582"/>
      <c r="AJ250" s="582"/>
      <c r="AK250" s="588"/>
      <c r="AL250" s="582"/>
      <c r="AM250" s="582"/>
      <c r="AN250" s="589"/>
      <c r="AO250" s="616"/>
      <c r="AP250" s="592"/>
      <c r="AQ250" s="358"/>
      <c r="AR250" s="592"/>
      <c r="AS250" s="592"/>
      <c r="AT250" s="592"/>
      <c r="AU250" s="592"/>
      <c r="AV250" s="592"/>
      <c r="AW250" s="592"/>
      <c r="AX250" s="592"/>
      <c r="AY250" s="592"/>
      <c r="AZ250" s="592"/>
      <c r="BA250" s="617"/>
      <c r="BB250" s="592"/>
      <c r="BC250" s="592"/>
      <c r="BD250" s="592"/>
      <c r="BE250" s="592"/>
      <c r="BF250" s="592"/>
      <c r="BG250" s="358"/>
      <c r="BH250" s="592"/>
      <c r="BI250" s="592"/>
      <c r="BJ250" s="592"/>
      <c r="BK250" s="592"/>
      <c r="BL250" s="592"/>
      <c r="BM250" s="592"/>
      <c r="BN250" s="592"/>
      <c r="BO250" s="592"/>
      <c r="BP250" s="592"/>
      <c r="BQ250" s="594"/>
      <c r="BR250" s="594"/>
      <c r="BS250" s="394"/>
      <c r="BT250" s="594"/>
      <c r="BU250" s="594"/>
      <c r="BV250" s="594"/>
      <c r="BW250" s="618"/>
      <c r="BX250" s="644"/>
      <c r="BY250" s="698"/>
      <c r="BZ250" s="699" t="s">
        <v>427</v>
      </c>
    </row>
    <row r="251" ht="25.5" customHeight="1">
      <c r="A251" s="635"/>
      <c r="B251" s="666">
        <v>45400.39932363426</v>
      </c>
      <c r="C251" s="642"/>
      <c r="D251" s="642"/>
      <c r="E251" s="574" t="s">
        <v>218</v>
      </c>
      <c r="F251" s="620"/>
      <c r="G251" s="621"/>
      <c r="H251" s="577"/>
      <c r="I251" s="577"/>
      <c r="J251" s="613"/>
      <c r="K251" s="581"/>
      <c r="L251" s="581"/>
      <c r="M251" s="613"/>
      <c r="N251" s="613"/>
      <c r="O251" s="604">
        <v>-50.983</v>
      </c>
      <c r="P251" s="580"/>
      <c r="Q251" s="686">
        <v>50.983</v>
      </c>
      <c r="R251" s="581"/>
      <c r="S251" s="581"/>
      <c r="T251" s="581"/>
      <c r="U251" s="582"/>
      <c r="V251" s="630"/>
      <c r="W251" s="581"/>
      <c r="X251" s="631"/>
      <c r="Y251" s="604"/>
      <c r="Z251" s="580"/>
      <c r="AA251" s="634"/>
      <c r="AB251" s="577"/>
      <c r="AC251" s="673"/>
      <c r="AD251" s="634"/>
      <c r="AE251" s="587"/>
      <c r="AF251" s="587"/>
      <c r="AG251" s="582"/>
      <c r="AH251" s="582"/>
      <c r="AI251" s="582"/>
      <c r="AJ251" s="582"/>
      <c r="AK251" s="588"/>
      <c r="AL251" s="582"/>
      <c r="AM251" s="582"/>
      <c r="AN251" s="589"/>
      <c r="AO251" s="616"/>
      <c r="AP251" s="592"/>
      <c r="AQ251" s="358"/>
      <c r="AR251" s="592"/>
      <c r="AS251" s="592"/>
      <c r="AT251" s="592"/>
      <c r="AU251" s="592"/>
      <c r="AV251" s="592"/>
      <c r="AW251" s="592"/>
      <c r="AX251" s="592"/>
      <c r="AY251" s="592"/>
      <c r="AZ251" s="592"/>
      <c r="BA251" s="617"/>
      <c r="BB251" s="592"/>
      <c r="BC251" s="592"/>
      <c r="BD251" s="592"/>
      <c r="BE251" s="592"/>
      <c r="BF251" s="592"/>
      <c r="BG251" s="358"/>
      <c r="BH251" s="592"/>
      <c r="BI251" s="592"/>
      <c r="BJ251" s="592"/>
      <c r="BK251" s="592"/>
      <c r="BL251" s="592"/>
      <c r="BM251" s="592"/>
      <c r="BN251" s="592"/>
      <c r="BO251" s="592"/>
      <c r="BP251" s="592"/>
      <c r="BQ251" s="594"/>
      <c r="BR251" s="594"/>
      <c r="BS251" s="394"/>
      <c r="BT251" s="594"/>
      <c r="BU251" s="594"/>
      <c r="BV251" s="594"/>
      <c r="BW251" s="618"/>
      <c r="BX251" s="644"/>
      <c r="BY251" s="644"/>
      <c r="BZ251" s="609" t="s">
        <v>428</v>
      </c>
    </row>
    <row r="252" ht="25.5" customHeight="1">
      <c r="A252" s="635"/>
      <c r="B252" s="572">
        <v>45400.745150462964</v>
      </c>
      <c r="C252" s="642"/>
      <c r="D252" s="642"/>
      <c r="E252" s="574" t="s">
        <v>226</v>
      </c>
      <c r="F252" s="620"/>
      <c r="G252" s="600">
        <v>0.00701741</v>
      </c>
      <c r="H252" s="577"/>
      <c r="I252" s="577"/>
      <c r="J252" s="613"/>
      <c r="K252" s="581"/>
      <c r="L252" s="581"/>
      <c r="M252" s="613"/>
      <c r="N252" s="613"/>
      <c r="O252" s="613"/>
      <c r="P252" s="580"/>
      <c r="Q252" s="580"/>
      <c r="R252" s="581"/>
      <c r="S252" s="581"/>
      <c r="T252" s="581"/>
      <c r="U252" s="582"/>
      <c r="V252" s="614"/>
      <c r="W252" s="581"/>
      <c r="X252" s="615"/>
      <c r="Y252" s="613"/>
      <c r="Z252" s="580"/>
      <c r="AA252" s="634"/>
      <c r="AB252" s="577"/>
      <c r="AC252" s="673"/>
      <c r="AD252" s="634"/>
      <c r="AE252" s="587"/>
      <c r="AF252" s="587"/>
      <c r="AG252" s="582"/>
      <c r="AH252" s="582"/>
      <c r="AI252" s="582"/>
      <c r="AJ252" s="582"/>
      <c r="AK252" s="588"/>
      <c r="AL252" s="582"/>
      <c r="AM252" s="582"/>
      <c r="AN252" s="589"/>
      <c r="AO252" s="616"/>
      <c r="AP252" s="592"/>
      <c r="AQ252" s="358"/>
      <c r="AR252" s="592"/>
      <c r="AS252" s="592"/>
      <c r="AT252" s="592"/>
      <c r="AU252" s="592"/>
      <c r="AV252" s="592"/>
      <c r="AW252" s="592"/>
      <c r="AX252" s="592"/>
      <c r="AY252" s="592"/>
      <c r="AZ252" s="592"/>
      <c r="BA252" s="617"/>
      <c r="BB252" s="592"/>
      <c r="BC252" s="592"/>
      <c r="BD252" s="592"/>
      <c r="BE252" s="592"/>
      <c r="BF252" s="592"/>
      <c r="BG252" s="358"/>
      <c r="BH252" s="592"/>
      <c r="BI252" s="592"/>
      <c r="BJ252" s="592"/>
      <c r="BK252" s="592"/>
      <c r="BL252" s="592"/>
      <c r="BM252" s="592"/>
      <c r="BN252" s="592"/>
      <c r="BO252" s="592"/>
      <c r="BP252" s="592"/>
      <c r="BQ252" s="594"/>
      <c r="BR252" s="594"/>
      <c r="BS252" s="394"/>
      <c r="BT252" s="594"/>
      <c r="BU252" s="594"/>
      <c r="BV252" s="594"/>
      <c r="BW252" s="618"/>
      <c r="BX252" s="644"/>
      <c r="BY252" s="608" t="s">
        <v>429</v>
      </c>
      <c r="BZ252" s="609" t="s">
        <v>430</v>
      </c>
    </row>
    <row r="253" ht="25.5" customHeight="1">
      <c r="A253" s="635"/>
      <c r="B253" s="572">
        <v>45401.48516203704</v>
      </c>
      <c r="C253" s="675">
        <f>AK253/Q253</f>
        <v>-3016.40215</v>
      </c>
      <c r="D253" s="642"/>
      <c r="E253" s="574" t="s">
        <v>231</v>
      </c>
      <c r="F253" s="620"/>
      <c r="G253" s="621"/>
      <c r="H253" s="577"/>
      <c r="I253" s="577"/>
      <c r="J253" s="613"/>
      <c r="K253" s="581"/>
      <c r="L253" s="581"/>
      <c r="M253" s="613"/>
      <c r="N253" s="613"/>
      <c r="O253" s="613"/>
      <c r="P253" s="580"/>
      <c r="Q253" s="686">
        <v>-50.983</v>
      </c>
      <c r="R253" s="581"/>
      <c r="S253" s="581"/>
      <c r="T253" s="581"/>
      <c r="U253" s="582"/>
      <c r="V253" s="614"/>
      <c r="W253" s="581"/>
      <c r="X253" s="615"/>
      <c r="Y253" s="613"/>
      <c r="Z253" s="580"/>
      <c r="AA253" s="634"/>
      <c r="AB253" s="577"/>
      <c r="AC253" s="673"/>
      <c r="AD253" s="634"/>
      <c r="AE253" s="587"/>
      <c r="AF253" s="587"/>
      <c r="AG253" s="582"/>
      <c r="AH253" s="582"/>
      <c r="AI253" s="582"/>
      <c r="AJ253" s="582"/>
      <c r="AK253" s="700">
        <v>153785.23083</v>
      </c>
      <c r="AL253" s="582"/>
      <c r="AM253" s="582"/>
      <c r="AN253" s="589"/>
      <c r="AO253" s="616"/>
      <c r="AP253" s="592"/>
      <c r="AQ253" s="358"/>
      <c r="AR253" s="592"/>
      <c r="AS253" s="592"/>
      <c r="AT253" s="592"/>
      <c r="AU253" s="592"/>
      <c r="AV253" s="592"/>
      <c r="AW253" s="592"/>
      <c r="AX253" s="592"/>
      <c r="AY253" s="592"/>
      <c r="AZ253" s="592"/>
      <c r="BA253" s="617"/>
      <c r="BB253" s="592"/>
      <c r="BC253" s="592"/>
      <c r="BD253" s="592"/>
      <c r="BE253" s="592"/>
      <c r="BF253" s="592"/>
      <c r="BG253" s="358"/>
      <c r="BH253" s="592"/>
      <c r="BI253" s="592"/>
      <c r="BJ253" s="592"/>
      <c r="BK253" s="592"/>
      <c r="BL253" s="592"/>
      <c r="BM253" s="592"/>
      <c r="BN253" s="592"/>
      <c r="BO253" s="592"/>
      <c r="BP253" s="592"/>
      <c r="BQ253" s="594"/>
      <c r="BR253" s="594"/>
      <c r="BS253" s="394"/>
      <c r="BT253" s="594"/>
      <c r="BU253" s="594"/>
      <c r="BV253" s="594"/>
      <c r="BW253" s="618"/>
      <c r="BX253" s="644"/>
      <c r="BY253" s="644"/>
    </row>
    <row r="254" ht="25.5" customHeight="1">
      <c r="A254" s="635"/>
      <c r="B254" s="666">
        <v>45403.48514009259</v>
      </c>
      <c r="C254" s="675">
        <f>AL254/Q254</f>
        <v>-3173.722328</v>
      </c>
      <c r="D254" s="642"/>
      <c r="E254" s="574" t="s">
        <v>231</v>
      </c>
      <c r="F254" s="620"/>
      <c r="G254" s="621"/>
      <c r="H254" s="577"/>
      <c r="I254" s="577"/>
      <c r="J254" s="613"/>
      <c r="K254" s="581"/>
      <c r="L254" s="581"/>
      <c r="M254" s="613"/>
      <c r="N254" s="613"/>
      <c r="O254" s="613"/>
      <c r="P254" s="580"/>
      <c r="Q254" s="686">
        <v>9.9900025</v>
      </c>
      <c r="R254" s="581"/>
      <c r="S254" s="581"/>
      <c r="T254" s="581"/>
      <c r="U254" s="582"/>
      <c r="V254" s="614"/>
      <c r="W254" s="581"/>
      <c r="X254" s="615"/>
      <c r="Y254" s="613"/>
      <c r="Z254" s="580"/>
      <c r="AA254" s="634"/>
      <c r="AB254" s="577"/>
      <c r="AC254" s="673"/>
      <c r="AD254" s="634"/>
      <c r="AE254" s="587"/>
      <c r="AF254" s="587"/>
      <c r="AG254" s="582"/>
      <c r="AH254" s="582"/>
      <c r="AI254" s="582"/>
      <c r="AJ254" s="582"/>
      <c r="AK254" s="588"/>
      <c r="AL254" s="582">
        <f>274389.71600811-306095.21</f>
        <v>-31705.49399</v>
      </c>
      <c r="AM254" s="582"/>
      <c r="AN254" s="589"/>
      <c r="AO254" s="616"/>
      <c r="AP254" s="592"/>
      <c r="AQ254" s="358"/>
      <c r="AR254" s="592"/>
      <c r="AS254" s="592"/>
      <c r="AT254" s="592"/>
      <c r="AU254" s="592"/>
      <c r="AV254" s="592"/>
      <c r="AW254" s="592"/>
      <c r="AX254" s="592"/>
      <c r="AY254" s="592"/>
      <c r="AZ254" s="592"/>
      <c r="BA254" s="617"/>
      <c r="BB254" s="592"/>
      <c r="BC254" s="592"/>
      <c r="BD254" s="592"/>
      <c r="BE254" s="592"/>
      <c r="BF254" s="592"/>
      <c r="BG254" s="358"/>
      <c r="BH254" s="592"/>
      <c r="BI254" s="592"/>
      <c r="BJ254" s="592"/>
      <c r="BK254" s="592"/>
      <c r="BL254" s="592"/>
      <c r="BM254" s="592"/>
      <c r="BN254" s="592"/>
      <c r="BO254" s="592"/>
      <c r="BP254" s="592"/>
      <c r="BQ254" s="594"/>
      <c r="BR254" s="594"/>
      <c r="BS254" s="394"/>
      <c r="BT254" s="594"/>
      <c r="BU254" s="594"/>
      <c r="BV254" s="594"/>
      <c r="BW254" s="618"/>
      <c r="BX254" s="644"/>
      <c r="BY254" s="644"/>
    </row>
    <row r="255" ht="25.5" customHeight="1">
      <c r="A255" s="635"/>
      <c r="B255" s="666">
        <v>45403.557384803236</v>
      </c>
      <c r="C255" s="642"/>
      <c r="D255" s="642"/>
      <c r="E255" s="574" t="s">
        <v>231</v>
      </c>
      <c r="F255" s="620"/>
      <c r="G255" s="621"/>
      <c r="H255" s="577"/>
      <c r="I255" s="577"/>
      <c r="J255" s="613"/>
      <c r="K255" s="581"/>
      <c r="L255" s="581"/>
      <c r="M255" s="613"/>
      <c r="N255" s="613"/>
      <c r="O255" s="613"/>
      <c r="P255" s="580"/>
      <c r="R255" s="581">
        <f>-13257.53</f>
        <v>-13257.53</v>
      </c>
      <c r="S255" s="579">
        <v>13256.948</v>
      </c>
      <c r="T255" s="581"/>
      <c r="U255" s="582"/>
      <c r="V255" s="614"/>
      <c r="W255" s="581"/>
      <c r="X255" s="615"/>
      <c r="Y255" s="613"/>
      <c r="Z255" s="580"/>
      <c r="AA255" s="634"/>
      <c r="AB255" s="577"/>
      <c r="AC255" s="673"/>
      <c r="AD255" s="634"/>
      <c r="AE255" s="587"/>
      <c r="AF255" s="587"/>
      <c r="AG255" s="582"/>
      <c r="AH255" s="582"/>
      <c r="AI255" s="582"/>
      <c r="AJ255" s="582"/>
      <c r="AK255" s="588"/>
      <c r="AL255" s="582"/>
      <c r="AM255" s="582"/>
      <c r="AN255" s="589"/>
      <c r="AO255" s="616"/>
      <c r="AP255" s="592"/>
      <c r="AQ255" s="358"/>
      <c r="AR255" s="592"/>
      <c r="AS255" s="592"/>
      <c r="AT255" s="592"/>
      <c r="AU255" s="592"/>
      <c r="AV255" s="592"/>
      <c r="AW255" s="592"/>
      <c r="AX255" s="592"/>
      <c r="AY255" s="592"/>
      <c r="AZ255" s="592"/>
      <c r="BA255" s="617"/>
      <c r="BB255" s="592"/>
      <c r="BC255" s="592"/>
      <c r="BD255" s="592"/>
      <c r="BE255" s="592"/>
      <c r="BF255" s="592"/>
      <c r="BG255" s="358"/>
      <c r="BH255" s="592"/>
      <c r="BI255" s="592"/>
      <c r="BJ255" s="592"/>
      <c r="BK255" s="592"/>
      <c r="BL255" s="592"/>
      <c r="BM255" s="592"/>
      <c r="BN255" s="592"/>
      <c r="BO255" s="592"/>
      <c r="BP255" s="592"/>
      <c r="BQ255" s="594"/>
      <c r="BR255" s="594"/>
      <c r="BS255" s="394"/>
      <c r="BT255" s="594"/>
      <c r="BU255" s="594"/>
      <c r="BV255" s="594"/>
      <c r="BW255" s="618"/>
      <c r="BX255" s="644"/>
      <c r="BY255" s="644"/>
      <c r="BZ255" s="609" t="s">
        <v>431</v>
      </c>
      <c r="CA255" s="609" t="s">
        <v>432</v>
      </c>
    </row>
    <row r="256" ht="25.5" customHeight="1">
      <c r="A256" s="635"/>
      <c r="B256" s="666">
        <v>45403.56080765046</v>
      </c>
      <c r="C256" s="642"/>
      <c r="D256" s="642"/>
      <c r="E256" s="574" t="s">
        <v>218</v>
      </c>
      <c r="F256" s="620"/>
      <c r="G256" s="621"/>
      <c r="H256" s="577"/>
      <c r="I256" s="577"/>
      <c r="J256" s="613"/>
      <c r="K256" s="581"/>
      <c r="L256" s="581"/>
      <c r="M256" s="613"/>
      <c r="N256" s="613"/>
      <c r="O256" s="613"/>
      <c r="P256" s="580"/>
      <c r="Q256" s="580"/>
      <c r="R256" s="581"/>
      <c r="S256" s="581">
        <v>153784.22939</v>
      </c>
      <c r="T256" s="581"/>
      <c r="U256" s="582"/>
      <c r="V256" s="614"/>
      <c r="W256" s="581"/>
      <c r="X256" s="615"/>
      <c r="Y256" s="613"/>
      <c r="Z256" s="580"/>
      <c r="AA256" s="634"/>
      <c r="AB256" s="577"/>
      <c r="AC256" s="673"/>
      <c r="AD256" s="634"/>
      <c r="AE256" s="587"/>
      <c r="AF256" s="587"/>
      <c r="AG256" s="582"/>
      <c r="AH256" s="582"/>
      <c r="AI256" s="582"/>
      <c r="AJ256" s="582"/>
      <c r="AK256" s="700">
        <v>-153785.23</v>
      </c>
      <c r="AL256" s="582"/>
      <c r="AM256" s="582"/>
      <c r="AN256" s="589"/>
      <c r="AO256" s="616"/>
      <c r="AP256" s="592"/>
      <c r="AQ256" s="358"/>
      <c r="AR256" s="592"/>
      <c r="AS256" s="592"/>
      <c r="AT256" s="592"/>
      <c r="AU256" s="592"/>
      <c r="AV256" s="592"/>
      <c r="AW256" s="592"/>
      <c r="AX256" s="592"/>
      <c r="AY256" s="592"/>
      <c r="AZ256" s="592"/>
      <c r="BA256" s="617"/>
      <c r="BB256" s="592"/>
      <c r="BC256" s="592"/>
      <c r="BD256" s="592"/>
      <c r="BE256" s="592"/>
      <c r="BF256" s="592"/>
      <c r="BG256" s="358"/>
      <c r="BH256" s="592"/>
      <c r="BI256" s="592"/>
      <c r="BJ256" s="592"/>
      <c r="BK256" s="592"/>
      <c r="BL256" s="592"/>
      <c r="BM256" s="592"/>
      <c r="BN256" s="592"/>
      <c r="BO256" s="592"/>
      <c r="BP256" s="592"/>
      <c r="BQ256" s="594"/>
      <c r="BR256" s="594"/>
      <c r="BS256" s="394"/>
      <c r="BT256" s="594"/>
      <c r="BU256" s="594"/>
      <c r="BV256" s="594"/>
      <c r="BW256" s="618"/>
      <c r="BX256" s="644"/>
      <c r="BY256" s="644"/>
      <c r="BZ256" s="609" t="s">
        <v>433</v>
      </c>
    </row>
    <row r="257" ht="25.5" customHeight="1">
      <c r="A257" s="635"/>
      <c r="B257" s="666">
        <v>45403.56080765046</v>
      </c>
      <c r="C257" s="642"/>
      <c r="D257" s="642"/>
      <c r="E257" s="574" t="s">
        <v>218</v>
      </c>
      <c r="F257" s="620"/>
      <c r="G257" s="621"/>
      <c r="H257" s="577"/>
      <c r="I257" s="577"/>
      <c r="J257" s="613"/>
      <c r="K257" s="581"/>
      <c r="L257" s="581"/>
      <c r="M257" s="613"/>
      <c r="N257" s="613"/>
      <c r="O257" s="613"/>
      <c r="P257" s="580"/>
      <c r="Q257" s="580"/>
      <c r="R257" s="581"/>
      <c r="S257" s="581">
        <f>-167041.18</f>
        <v>-167041.18</v>
      </c>
      <c r="T257" s="579">
        <v>167041.18</v>
      </c>
      <c r="U257" s="582"/>
      <c r="V257" s="614"/>
      <c r="W257" s="581"/>
      <c r="X257" s="615"/>
      <c r="Y257" s="613"/>
      <c r="Z257" s="580"/>
      <c r="AA257" s="634"/>
      <c r="AB257" s="577"/>
      <c r="AC257" s="673"/>
      <c r="AD257" s="634"/>
      <c r="AE257" s="587"/>
      <c r="AF257" s="587"/>
      <c r="AG257" s="582"/>
      <c r="AH257" s="582"/>
      <c r="AI257" s="582"/>
      <c r="AJ257" s="582"/>
      <c r="AK257" s="588"/>
      <c r="AL257" s="582"/>
      <c r="AM257" s="582"/>
      <c r="AN257" s="589"/>
      <c r="AO257" s="616"/>
      <c r="AP257" s="592"/>
      <c r="AQ257" s="358"/>
      <c r="AR257" s="592"/>
      <c r="AS257" s="592"/>
      <c r="AT257" s="592"/>
      <c r="AU257" s="592"/>
      <c r="AV257" s="592"/>
      <c r="AW257" s="592"/>
      <c r="AX257" s="592"/>
      <c r="AY257" s="592"/>
      <c r="AZ257" s="592"/>
      <c r="BA257" s="617"/>
      <c r="BB257" s="592"/>
      <c r="BC257" s="592"/>
      <c r="BD257" s="592"/>
      <c r="BE257" s="592"/>
      <c r="BF257" s="592"/>
      <c r="BG257" s="358"/>
      <c r="BH257" s="592"/>
      <c r="BI257" s="592"/>
      <c r="BJ257" s="592"/>
      <c r="BK257" s="592"/>
      <c r="BL257" s="592"/>
      <c r="BM257" s="592"/>
      <c r="BN257" s="592"/>
      <c r="BO257" s="592"/>
      <c r="BP257" s="592"/>
      <c r="BQ257" s="594"/>
      <c r="BR257" s="594"/>
      <c r="BS257" s="394"/>
      <c r="BT257" s="594"/>
      <c r="BU257" s="594"/>
      <c r="BV257" s="594"/>
      <c r="BW257" s="618"/>
      <c r="BX257" s="644"/>
      <c r="BY257" s="644"/>
      <c r="BZ257" s="609" t="s">
        <v>434</v>
      </c>
    </row>
    <row r="258" ht="25.5" customHeight="1">
      <c r="A258" s="613">
        <f>A195+M258</f>
        <v>-0.4653530939</v>
      </c>
      <c r="B258" s="666">
        <v>45404.40721984954</v>
      </c>
      <c r="C258" s="642"/>
      <c r="D258" s="642"/>
      <c r="E258" s="574" t="s">
        <v>218</v>
      </c>
      <c r="F258" s="620"/>
      <c r="G258" s="621"/>
      <c r="H258" s="577"/>
      <c r="I258" s="577"/>
      <c r="J258" s="613"/>
      <c r="K258" s="581"/>
      <c r="L258" s="581"/>
      <c r="M258" s="613">
        <f>-0.63440449-0.000160332783093</f>
        <v>-0.6345648228</v>
      </c>
      <c r="N258" s="613"/>
      <c r="O258" s="613"/>
      <c r="P258" s="580"/>
      <c r="Q258" s="686">
        <v>0.63440449</v>
      </c>
      <c r="R258" s="581"/>
      <c r="S258" s="581"/>
      <c r="T258" s="581"/>
      <c r="U258" s="582"/>
      <c r="V258" s="614"/>
      <c r="W258" s="581"/>
      <c r="X258" s="615"/>
      <c r="Y258" s="613"/>
      <c r="Z258" s="633"/>
      <c r="AA258" s="634"/>
      <c r="AB258" s="577"/>
      <c r="AC258" s="673"/>
      <c r="AD258" s="634"/>
      <c r="AE258" s="587"/>
      <c r="AF258" s="587"/>
      <c r="AG258" s="582"/>
      <c r="AH258" s="582"/>
      <c r="AI258" s="582"/>
      <c r="AJ258" s="582"/>
      <c r="AK258" s="588"/>
      <c r="AL258" s="582"/>
      <c r="AM258" s="582"/>
      <c r="AN258" s="589"/>
      <c r="AO258" s="616"/>
      <c r="AP258" s="592"/>
      <c r="AQ258" s="358"/>
      <c r="AR258" s="592"/>
      <c r="AS258" s="592"/>
      <c r="AT258" s="592"/>
      <c r="AU258" s="592"/>
      <c r="AV258" s="592"/>
      <c r="AW258" s="592"/>
      <c r="AX258" s="592"/>
      <c r="AY258" s="592"/>
      <c r="AZ258" s="592"/>
      <c r="BA258" s="617"/>
      <c r="BB258" s="592"/>
      <c r="BC258" s="592"/>
      <c r="BD258" s="592"/>
      <c r="BE258" s="592"/>
      <c r="BF258" s="592"/>
      <c r="BG258" s="358"/>
      <c r="BH258" s="592"/>
      <c r="BI258" s="592"/>
      <c r="BJ258" s="592"/>
      <c r="BK258" s="592"/>
      <c r="BL258" s="592"/>
      <c r="BM258" s="592"/>
      <c r="BN258" s="592"/>
      <c r="BO258" s="592"/>
      <c r="BP258" s="592"/>
      <c r="BQ258" s="594"/>
      <c r="BR258" s="594"/>
      <c r="BS258" s="394"/>
      <c r="BT258" s="594"/>
      <c r="BU258" s="594"/>
      <c r="BV258" s="594"/>
      <c r="BW258" s="618"/>
      <c r="BX258" s="644"/>
      <c r="BY258" s="644"/>
      <c r="BZ258" s="609" t="s">
        <v>435</v>
      </c>
    </row>
    <row r="259" ht="25.5" customHeight="1">
      <c r="A259" s="635"/>
      <c r="B259" s="666">
        <v>45404.41046569444</v>
      </c>
      <c r="C259" s="642"/>
      <c r="D259" s="642"/>
      <c r="E259" s="574" t="s">
        <v>218</v>
      </c>
      <c r="F259" s="620"/>
      <c r="G259" s="621"/>
      <c r="H259" s="577"/>
      <c r="I259" s="577"/>
      <c r="J259" s="613"/>
      <c r="K259" s="581"/>
      <c r="L259" s="581"/>
      <c r="M259" s="613"/>
      <c r="N259" s="613"/>
      <c r="O259" s="613"/>
      <c r="P259" s="686">
        <v>-0.57889071</v>
      </c>
      <c r="Q259" s="686">
        <v>0.57888756</v>
      </c>
      <c r="R259" s="581"/>
      <c r="S259" s="581"/>
      <c r="T259" s="581"/>
      <c r="U259" s="582"/>
      <c r="V259" s="614"/>
      <c r="W259" s="581"/>
      <c r="X259" s="615"/>
      <c r="Y259" s="613"/>
      <c r="Z259" s="580"/>
      <c r="AA259" s="634"/>
      <c r="AB259" s="577"/>
      <c r="AC259" s="673"/>
      <c r="AD259" s="634"/>
      <c r="AE259" s="587"/>
      <c r="AF259" s="587"/>
      <c r="AG259" s="582"/>
      <c r="AH259" s="582"/>
      <c r="AI259" s="582"/>
      <c r="AJ259" s="582"/>
      <c r="AK259" s="588"/>
      <c r="AL259" s="582"/>
      <c r="AM259" s="582"/>
      <c r="AN259" s="589"/>
      <c r="AO259" s="616"/>
      <c r="AP259" s="592"/>
      <c r="AQ259" s="358"/>
      <c r="AR259" s="592"/>
      <c r="AS259" s="592"/>
      <c r="AT259" s="592"/>
      <c r="AU259" s="592"/>
      <c r="AV259" s="592"/>
      <c r="AW259" s="592"/>
      <c r="AX259" s="592"/>
      <c r="AY259" s="592"/>
      <c r="AZ259" s="592"/>
      <c r="BA259" s="617"/>
      <c r="BB259" s="592"/>
      <c r="BC259" s="592"/>
      <c r="BD259" s="592"/>
      <c r="BE259" s="592"/>
      <c r="BF259" s="592"/>
      <c r="BG259" s="358"/>
      <c r="BH259" s="592"/>
      <c r="BI259" s="592"/>
      <c r="BJ259" s="592"/>
      <c r="BK259" s="592"/>
      <c r="BL259" s="592"/>
      <c r="BM259" s="592"/>
      <c r="BN259" s="592"/>
      <c r="BO259" s="592"/>
      <c r="BP259" s="592"/>
      <c r="BQ259" s="594"/>
      <c r="BR259" s="594"/>
      <c r="BS259" s="394"/>
      <c r="BT259" s="594"/>
      <c r="BU259" s="594"/>
      <c r="BV259" s="594"/>
      <c r="BW259" s="618"/>
      <c r="BX259" s="644"/>
      <c r="BY259" s="644"/>
      <c r="BZ259" s="609" t="s">
        <v>436</v>
      </c>
    </row>
    <row r="260" ht="25.5" customHeight="1">
      <c r="A260" s="635"/>
      <c r="B260" s="666">
        <v>45404.41884488426</v>
      </c>
      <c r="C260" s="642"/>
      <c r="D260" s="642"/>
      <c r="E260" s="574" t="s">
        <v>231</v>
      </c>
      <c r="F260" s="620"/>
      <c r="G260" s="621"/>
      <c r="H260" s="577"/>
      <c r="I260" s="577"/>
      <c r="J260" s="613"/>
      <c r="K260" s="581"/>
      <c r="L260" s="581"/>
      <c r="M260" s="613"/>
      <c r="N260" s="613"/>
      <c r="O260" s="613"/>
      <c r="P260" s="580"/>
      <c r="Q260" s="580">
        <f>-11.2033</f>
        <v>-11.2033</v>
      </c>
      <c r="R260" s="581"/>
      <c r="S260" s="581"/>
      <c r="T260" s="581"/>
      <c r="U260" s="582"/>
      <c r="V260" s="614"/>
      <c r="W260" s="581"/>
      <c r="X260" s="615"/>
      <c r="Y260" s="613"/>
      <c r="Z260" s="580"/>
      <c r="AA260" s="634"/>
      <c r="AB260" s="577"/>
      <c r="AC260" s="673"/>
      <c r="AD260" s="634"/>
      <c r="AE260" s="587"/>
      <c r="AF260" s="587"/>
      <c r="AG260" s="582"/>
      <c r="AH260" s="582"/>
      <c r="AI260" s="582"/>
      <c r="AJ260" s="582"/>
      <c r="AK260" s="588"/>
      <c r="AL260" s="582">
        <v>35915.11373931001</v>
      </c>
      <c r="AM260" s="582"/>
      <c r="AN260" s="589"/>
      <c r="AO260" s="616"/>
      <c r="AP260" s="592"/>
      <c r="AQ260" s="358"/>
      <c r="AR260" s="592"/>
      <c r="AS260" s="592"/>
      <c r="AT260" s="592"/>
      <c r="AU260" s="592"/>
      <c r="AV260" s="592"/>
      <c r="AW260" s="592"/>
      <c r="AX260" s="592"/>
      <c r="AY260" s="592"/>
      <c r="AZ260" s="592"/>
      <c r="BA260" s="617"/>
      <c r="BB260" s="592"/>
      <c r="BC260" s="592"/>
      <c r="BD260" s="592"/>
      <c r="BE260" s="592"/>
      <c r="BF260" s="592"/>
      <c r="BG260" s="358"/>
      <c r="BH260" s="592"/>
      <c r="BI260" s="592"/>
      <c r="BJ260" s="592"/>
      <c r="BK260" s="592"/>
      <c r="BL260" s="592"/>
      <c r="BM260" s="592"/>
      <c r="BN260" s="592"/>
      <c r="BO260" s="592"/>
      <c r="BP260" s="592"/>
      <c r="BQ260" s="594"/>
      <c r="BR260" s="594"/>
      <c r="BS260" s="394"/>
      <c r="BT260" s="594"/>
      <c r="BU260" s="594"/>
      <c r="BV260" s="594"/>
      <c r="BW260" s="618"/>
      <c r="BX260" s="644"/>
      <c r="BY260" s="644"/>
    </row>
    <row r="261" ht="25.5" customHeight="1">
      <c r="A261" s="635"/>
      <c r="B261" s="572">
        <v>45404.44027777778</v>
      </c>
      <c r="C261" s="642"/>
      <c r="D261" s="642"/>
      <c r="E261" s="574" t="s">
        <v>218</v>
      </c>
      <c r="F261" s="620"/>
      <c r="G261" s="621"/>
      <c r="H261" s="577"/>
      <c r="I261" s="577"/>
      <c r="J261" s="613"/>
      <c r="K261" s="579"/>
      <c r="L261" s="579"/>
      <c r="M261" s="613"/>
      <c r="N261" s="613"/>
      <c r="O261" s="613"/>
      <c r="P261" s="580"/>
      <c r="Q261" s="580"/>
      <c r="R261" s="579">
        <v>182965.0</v>
      </c>
      <c r="S261" s="581"/>
      <c r="T261" s="581"/>
      <c r="U261" s="582"/>
      <c r="V261" s="614"/>
      <c r="W261" s="581"/>
      <c r="X261" s="615"/>
      <c r="Y261" s="613"/>
      <c r="Z261" s="580"/>
      <c r="AA261" s="634"/>
      <c r="AB261" s="577"/>
      <c r="AC261" s="673"/>
      <c r="AD261" s="634"/>
      <c r="AE261" s="587"/>
      <c r="AF261" s="587"/>
      <c r="AG261" s="582"/>
      <c r="AH261" s="582"/>
      <c r="AI261" s="582"/>
      <c r="AJ261" s="582"/>
      <c r="AK261" s="588"/>
      <c r="AL261" s="623">
        <v>-182965.5</v>
      </c>
      <c r="AM261" s="623"/>
      <c r="AN261" s="589"/>
      <c r="AO261" s="616"/>
      <c r="AP261" s="592"/>
      <c r="AQ261" s="358"/>
      <c r="AR261" s="592"/>
      <c r="AS261" s="592"/>
      <c r="AT261" s="592"/>
      <c r="AU261" s="592"/>
      <c r="AV261" s="592"/>
      <c r="AW261" s="592"/>
      <c r="AX261" s="592"/>
      <c r="AY261" s="592"/>
      <c r="AZ261" s="592"/>
      <c r="BA261" s="617"/>
      <c r="BB261" s="592"/>
      <c r="BC261" s="592"/>
      <c r="BD261" s="592"/>
      <c r="BE261" s="592"/>
      <c r="BF261" s="592"/>
      <c r="BG261" s="358"/>
      <c r="BH261" s="592"/>
      <c r="BI261" s="592"/>
      <c r="BJ261" s="592"/>
      <c r="BK261" s="592"/>
      <c r="BL261" s="592"/>
      <c r="BM261" s="592"/>
      <c r="BN261" s="592"/>
      <c r="BO261" s="592"/>
      <c r="BP261" s="592"/>
      <c r="BQ261" s="594"/>
      <c r="BR261" s="594"/>
      <c r="BS261" s="394"/>
      <c r="BT261" s="594"/>
      <c r="BU261" s="594"/>
      <c r="BV261" s="594"/>
      <c r="BW261" s="618"/>
      <c r="BX261" s="644"/>
      <c r="BY261" s="644"/>
    </row>
    <row r="262" ht="25.5" customHeight="1">
      <c r="A262" s="635"/>
      <c r="B262" s="666">
        <v>45404.456737280096</v>
      </c>
      <c r="C262" s="642"/>
      <c r="D262" s="642"/>
      <c r="E262" s="574" t="s">
        <v>231</v>
      </c>
      <c r="F262" s="620"/>
      <c r="G262" s="621"/>
      <c r="H262" s="577"/>
      <c r="I262" s="577"/>
      <c r="J262" s="613"/>
      <c r="K262" s="581"/>
      <c r="L262" s="581"/>
      <c r="M262" s="613"/>
      <c r="N262" s="613"/>
      <c r="O262" s="613"/>
      <c r="P262" s="580"/>
      <c r="Q262" s="580"/>
      <c r="R262" s="581">
        <f>-182965</f>
        <v>-182965</v>
      </c>
      <c r="S262" s="581">
        <f>183016.40321</f>
        <v>183016.4032</v>
      </c>
      <c r="T262" s="581"/>
      <c r="U262" s="582"/>
      <c r="V262" s="614"/>
      <c r="W262" s="581"/>
      <c r="X262" s="615"/>
      <c r="Y262" s="613"/>
      <c r="Z262" s="580"/>
      <c r="AA262" s="634"/>
      <c r="AB262" s="577"/>
      <c r="AC262" s="673"/>
      <c r="AD262" s="634"/>
      <c r="AE262" s="587"/>
      <c r="AF262" s="587"/>
      <c r="AG262" s="582"/>
      <c r="AH262" s="582"/>
      <c r="AI262" s="582"/>
      <c r="AJ262" s="582"/>
      <c r="AK262" s="588"/>
      <c r="AL262" s="582"/>
      <c r="AM262" s="582"/>
      <c r="AN262" s="589"/>
      <c r="AO262" s="616"/>
      <c r="AP262" s="592"/>
      <c r="AQ262" s="358"/>
      <c r="AR262" s="592"/>
      <c r="AS262" s="592"/>
      <c r="AT262" s="592"/>
      <c r="AU262" s="592"/>
      <c r="AV262" s="592"/>
      <c r="AW262" s="592"/>
      <c r="AX262" s="592"/>
      <c r="AY262" s="592"/>
      <c r="AZ262" s="592"/>
      <c r="BA262" s="617"/>
      <c r="BB262" s="592"/>
      <c r="BC262" s="592"/>
      <c r="BD262" s="592"/>
      <c r="BE262" s="592"/>
      <c r="BF262" s="592"/>
      <c r="BG262" s="358"/>
      <c r="BH262" s="592"/>
      <c r="BI262" s="592"/>
      <c r="BJ262" s="592"/>
      <c r="BK262" s="592"/>
      <c r="BL262" s="592"/>
      <c r="BM262" s="592"/>
      <c r="BN262" s="592"/>
      <c r="BO262" s="592"/>
      <c r="BP262" s="592"/>
      <c r="BQ262" s="594"/>
      <c r="BR262" s="594"/>
      <c r="BS262" s="394"/>
      <c r="BT262" s="594"/>
      <c r="BU262" s="594"/>
      <c r="BV262" s="594"/>
      <c r="BW262" s="618"/>
      <c r="BX262" s="644"/>
      <c r="BY262" s="644"/>
      <c r="BZ262" s="609" t="s">
        <v>437</v>
      </c>
    </row>
    <row r="263" ht="25.5" customHeight="1">
      <c r="A263" s="635"/>
      <c r="B263" s="666">
        <v>45404.45936108797</v>
      </c>
      <c r="C263" s="642"/>
      <c r="D263" s="642"/>
      <c r="E263" s="574" t="s">
        <v>218</v>
      </c>
      <c r="F263" s="620"/>
      <c r="G263" s="621"/>
      <c r="H263" s="577"/>
      <c r="I263" s="577"/>
      <c r="J263" s="613"/>
      <c r="K263" s="581"/>
      <c r="L263" s="581"/>
      <c r="M263" s="613"/>
      <c r="N263" s="613"/>
      <c r="O263" s="613"/>
      <c r="P263" s="580"/>
      <c r="Q263" s="580"/>
      <c r="R263" s="581"/>
      <c r="S263" s="579">
        <v>-183016.4</v>
      </c>
      <c r="T263" s="579">
        <v>183016.4</v>
      </c>
      <c r="U263" s="582"/>
      <c r="V263" s="614"/>
      <c r="W263" s="581"/>
      <c r="X263" s="615"/>
      <c r="Y263" s="613"/>
      <c r="Z263" s="580"/>
      <c r="AA263" s="634"/>
      <c r="AB263" s="577"/>
      <c r="AC263" s="673"/>
      <c r="AD263" s="634"/>
      <c r="AE263" s="587"/>
      <c r="AF263" s="587"/>
      <c r="AG263" s="582"/>
      <c r="AH263" s="582"/>
      <c r="AI263" s="582"/>
      <c r="AJ263" s="582"/>
      <c r="AK263" s="588"/>
      <c r="AL263" s="582"/>
      <c r="AM263" s="582"/>
      <c r="AN263" s="589"/>
      <c r="AO263" s="616"/>
      <c r="AP263" s="592"/>
      <c r="AQ263" s="358"/>
      <c r="AR263" s="592"/>
      <c r="AS263" s="592"/>
      <c r="AT263" s="592"/>
      <c r="AU263" s="592"/>
      <c r="AV263" s="592"/>
      <c r="AW263" s="592"/>
      <c r="AX263" s="592"/>
      <c r="AY263" s="592"/>
      <c r="AZ263" s="592"/>
      <c r="BA263" s="617"/>
      <c r="BB263" s="592"/>
      <c r="BC263" s="592"/>
      <c r="BD263" s="592"/>
      <c r="BE263" s="592"/>
      <c r="BF263" s="592"/>
      <c r="BG263" s="358"/>
      <c r="BH263" s="592"/>
      <c r="BI263" s="592"/>
      <c r="BJ263" s="592"/>
      <c r="BK263" s="592"/>
      <c r="BL263" s="592"/>
      <c r="BM263" s="592"/>
      <c r="BN263" s="592"/>
      <c r="BO263" s="592"/>
      <c r="BP263" s="592"/>
      <c r="BQ263" s="594"/>
      <c r="BR263" s="594"/>
      <c r="BS263" s="394"/>
      <c r="BT263" s="594"/>
      <c r="BU263" s="594"/>
      <c r="BV263" s="594"/>
      <c r="BW263" s="618"/>
      <c r="BX263" s="644"/>
      <c r="BY263" s="644"/>
      <c r="BZ263" s="609" t="s">
        <v>438</v>
      </c>
    </row>
    <row r="264" ht="25.5" customHeight="1">
      <c r="A264" s="635"/>
      <c r="B264" s="666">
        <v>45404.472655624995</v>
      </c>
      <c r="C264" s="642"/>
      <c r="D264" s="642"/>
      <c r="E264" s="574" t="s">
        <v>231</v>
      </c>
      <c r="F264" s="620"/>
      <c r="G264" s="621"/>
      <c r="H264" s="577"/>
      <c r="I264" s="577"/>
      <c r="J264" s="613"/>
      <c r="K264" s="581"/>
      <c r="L264" s="581"/>
      <c r="M264" s="613"/>
      <c r="N264" s="613"/>
      <c r="O264" s="613"/>
      <c r="P264" s="580"/>
      <c r="Q264" s="580"/>
      <c r="R264" s="581"/>
      <c r="S264" s="581"/>
      <c r="T264" s="581"/>
      <c r="U264" s="582"/>
      <c r="V264" s="614"/>
      <c r="W264" s="581"/>
      <c r="X264" s="615"/>
      <c r="Y264" s="613"/>
      <c r="Z264" s="580"/>
      <c r="AA264" s="634"/>
      <c r="AB264" s="577"/>
      <c r="AC264" s="673"/>
      <c r="AD264" s="634"/>
      <c r="AE264" s="587"/>
      <c r="AF264" s="587"/>
      <c r="AG264" s="582"/>
      <c r="AH264" s="582"/>
      <c r="AI264" s="582"/>
      <c r="AJ264" s="582">
        <v>8518.560000000001</v>
      </c>
      <c r="AK264" s="588"/>
      <c r="AN264" s="589"/>
      <c r="AO264" s="616"/>
      <c r="AP264" s="592"/>
      <c r="AQ264" s="358"/>
      <c r="AR264" s="592"/>
      <c r="AS264" s="592"/>
      <c r="AT264" s="592"/>
      <c r="AU264" s="592"/>
      <c r="AV264" s="592"/>
      <c r="AW264" s="592"/>
      <c r="AX264" s="592"/>
      <c r="AY264" s="592"/>
      <c r="AZ264" s="592"/>
      <c r="BA264" s="617"/>
      <c r="BB264" s="592"/>
      <c r="BC264" s="592"/>
      <c r="BD264" s="592"/>
      <c r="BE264" s="592"/>
      <c r="BF264" s="592"/>
      <c r="BG264" s="358"/>
      <c r="BH264" s="592"/>
      <c r="BI264" s="591">
        <f>-5000</f>
        <v>-5000</v>
      </c>
      <c r="BJ264" s="592"/>
      <c r="BK264" s="592"/>
      <c r="BL264" s="592"/>
      <c r="BM264" s="592"/>
      <c r="BN264" s="592"/>
      <c r="BO264" s="592"/>
      <c r="BP264" s="592"/>
      <c r="BQ264" s="594"/>
      <c r="BR264" s="594"/>
      <c r="BS264" s="394"/>
      <c r="BT264" s="594"/>
      <c r="BU264" s="594"/>
      <c r="BV264" s="594"/>
      <c r="BW264" s="618"/>
      <c r="BX264" s="644"/>
      <c r="BY264" s="644"/>
      <c r="BZ264" s="609" t="s">
        <v>439</v>
      </c>
    </row>
    <row r="265" ht="25.5" customHeight="1">
      <c r="A265" s="635"/>
      <c r="B265" s="666">
        <v>45404.47622899305</v>
      </c>
      <c r="C265" s="642"/>
      <c r="D265" s="642"/>
      <c r="E265" s="574" t="s">
        <v>218</v>
      </c>
      <c r="F265" s="620"/>
      <c r="G265" s="621"/>
      <c r="H265" s="577"/>
      <c r="I265" s="577"/>
      <c r="J265" s="613"/>
      <c r="K265" s="581"/>
      <c r="L265" s="581"/>
      <c r="M265" s="613"/>
      <c r="N265" s="613"/>
      <c r="O265" s="613"/>
      <c r="P265" s="580"/>
      <c r="Q265" s="580"/>
      <c r="R265" s="581"/>
      <c r="S265" s="581"/>
      <c r="T265" s="581"/>
      <c r="U265" s="582"/>
      <c r="V265" s="614"/>
      <c r="W265" s="581"/>
      <c r="X265" s="615"/>
      <c r="Y265" s="613"/>
      <c r="Z265" s="580"/>
      <c r="AA265" s="634"/>
      <c r="AB265" s="577"/>
      <c r="AC265" s="673"/>
      <c r="AD265" s="634"/>
      <c r="AE265" s="587"/>
      <c r="AF265" s="587"/>
      <c r="AG265" s="582"/>
      <c r="AH265" s="582"/>
      <c r="AI265" s="582"/>
      <c r="AJ265" s="623">
        <v>-28054.77</v>
      </c>
      <c r="AK265" s="588"/>
      <c r="AL265" s="623">
        <v>28054.48219555</v>
      </c>
      <c r="AM265" s="623"/>
      <c r="AN265" s="589"/>
      <c r="AO265" s="616"/>
      <c r="AP265" s="592"/>
      <c r="AQ265" s="358"/>
      <c r="AR265" s="592"/>
      <c r="AS265" s="592"/>
      <c r="AT265" s="592"/>
      <c r="AU265" s="592"/>
      <c r="AV265" s="592"/>
      <c r="AW265" s="592"/>
      <c r="AX265" s="592"/>
      <c r="AY265" s="592"/>
      <c r="AZ265" s="592"/>
      <c r="BA265" s="617"/>
      <c r="BB265" s="592"/>
      <c r="BC265" s="592"/>
      <c r="BD265" s="592"/>
      <c r="BE265" s="592"/>
      <c r="BF265" s="592"/>
      <c r="BG265" s="358"/>
      <c r="BH265" s="592"/>
      <c r="BI265" s="592"/>
      <c r="BJ265" s="592"/>
      <c r="BK265" s="592"/>
      <c r="BL265" s="592"/>
      <c r="BM265" s="592"/>
      <c r="BN265" s="592"/>
      <c r="BO265" s="592"/>
      <c r="BP265" s="592"/>
      <c r="BQ265" s="594"/>
      <c r="BR265" s="594"/>
      <c r="BS265" s="394"/>
      <c r="BT265" s="594"/>
      <c r="BU265" s="594"/>
      <c r="BV265" s="594"/>
      <c r="BW265" s="618"/>
      <c r="BX265" s="644"/>
      <c r="BY265" s="644"/>
      <c r="BZ265" s="609" t="s">
        <v>440</v>
      </c>
    </row>
    <row r="266" ht="25.5" customHeight="1">
      <c r="A266" s="635"/>
      <c r="B266" s="666">
        <v>45405.403435520835</v>
      </c>
      <c r="C266" s="642"/>
      <c r="D266" s="642"/>
      <c r="E266" s="574" t="s">
        <v>231</v>
      </c>
      <c r="F266" s="620"/>
      <c r="G266" s="621"/>
      <c r="H266" s="577"/>
      <c r="I266" s="577"/>
      <c r="J266" s="613"/>
      <c r="K266" s="581"/>
      <c r="L266" s="581"/>
      <c r="M266" s="613"/>
      <c r="N266" s="613"/>
      <c r="O266" s="613"/>
      <c r="P266" s="580"/>
      <c r="Q266" s="580"/>
      <c r="R266" s="581"/>
      <c r="S266" s="581"/>
      <c r="T266" s="581"/>
      <c r="U266" s="582"/>
      <c r="V266" s="614"/>
      <c r="W266" s="581"/>
      <c r="X266" s="615"/>
      <c r="Y266" s="613"/>
      <c r="Z266" s="580"/>
      <c r="AA266" s="634"/>
      <c r="AB266" s="577"/>
      <c r="AC266" s="673"/>
      <c r="AD266" s="634"/>
      <c r="AE266" s="587"/>
      <c r="AF266" s="587"/>
      <c r="AG266" s="582"/>
      <c r="AH266" s="582"/>
      <c r="AI266" s="582"/>
      <c r="AJ266" s="582"/>
      <c r="AK266" s="588"/>
      <c r="AL266" s="582"/>
      <c r="AM266" s="582"/>
      <c r="AN266" s="589"/>
      <c r="AO266" s="616"/>
      <c r="AP266" s="591"/>
      <c r="AQ266" s="358"/>
      <c r="AR266" s="591"/>
      <c r="AS266" s="591"/>
      <c r="AT266" s="591"/>
      <c r="AU266" s="592"/>
      <c r="AV266" s="591">
        <v>1387.24</v>
      </c>
      <c r="AW266" s="592"/>
      <c r="AX266" s="592"/>
      <c r="AY266" s="591">
        <v>-2066.89</v>
      </c>
      <c r="AZ266" s="592"/>
      <c r="BA266" s="617"/>
      <c r="BB266" s="592"/>
      <c r="BC266" s="592"/>
      <c r="BD266" s="592"/>
      <c r="BE266" s="592"/>
      <c r="BF266" s="592"/>
      <c r="BG266" s="358"/>
      <c r="BH266" s="592"/>
      <c r="BI266" s="592"/>
      <c r="BJ266" s="592"/>
      <c r="BK266" s="592"/>
      <c r="BL266" s="592"/>
      <c r="BM266" s="592"/>
      <c r="BN266" s="592"/>
      <c r="BO266" s="592"/>
      <c r="BP266" s="592"/>
      <c r="BQ266" s="594"/>
      <c r="BR266" s="594"/>
      <c r="BS266" s="394"/>
      <c r="BT266" s="594"/>
      <c r="BU266" s="594"/>
      <c r="BV266" s="594"/>
      <c r="BW266" s="618"/>
      <c r="BX266" s="644"/>
      <c r="BY266" s="644"/>
      <c r="BZ266" s="609" t="s">
        <v>441</v>
      </c>
    </row>
    <row r="267" ht="25.5" customHeight="1">
      <c r="A267" s="635"/>
      <c r="B267" s="666">
        <v>45405.44846811343</v>
      </c>
      <c r="C267" s="642"/>
      <c r="D267" s="642"/>
      <c r="E267" s="574" t="s">
        <v>218</v>
      </c>
      <c r="F267" s="620"/>
      <c r="G267" s="621"/>
      <c r="H267" s="577"/>
      <c r="I267" s="577"/>
      <c r="J267" s="613"/>
      <c r="K267" s="581"/>
      <c r="L267" s="581"/>
      <c r="M267" s="613"/>
      <c r="N267" s="613"/>
      <c r="O267" s="613"/>
      <c r="P267" s="580"/>
      <c r="Q267" s="580"/>
      <c r="R267" s="581"/>
      <c r="S267" s="581"/>
      <c r="T267" s="581"/>
      <c r="U267" s="582"/>
      <c r="V267" s="614"/>
      <c r="W267" s="581"/>
      <c r="X267" s="615"/>
      <c r="Y267" s="613"/>
      <c r="Z267" s="580"/>
      <c r="AA267" s="634"/>
      <c r="AB267" s="577"/>
      <c r="AC267" s="673"/>
      <c r="AD267" s="634"/>
      <c r="AE267" s="587"/>
      <c r="AF267" s="587"/>
      <c r="AG267" s="582"/>
      <c r="AH267" s="582"/>
      <c r="AI267" s="582"/>
      <c r="AJ267" s="582"/>
      <c r="AK267" s="588"/>
      <c r="AL267" s="582">
        <f>167510.54921821-155393.81</f>
        <v>12116.73922</v>
      </c>
      <c r="AM267" s="582"/>
      <c r="AN267" s="589"/>
      <c r="AO267" s="616"/>
      <c r="AP267" s="591"/>
      <c r="AQ267" s="358"/>
      <c r="AR267" s="591"/>
      <c r="AS267" s="591"/>
      <c r="AT267" s="591"/>
      <c r="AU267" s="592"/>
      <c r="AV267" s="591">
        <v>-1387.24</v>
      </c>
      <c r="AW267" s="592"/>
      <c r="AX267" s="592"/>
      <c r="AY267" s="592"/>
      <c r="AZ267" s="592"/>
      <c r="BA267" s="617"/>
      <c r="BB267" s="592"/>
      <c r="BC267" s="592"/>
      <c r="BD267" s="592"/>
      <c r="BE267" s="592"/>
      <c r="BF267" s="592"/>
      <c r="BG267" s="358"/>
      <c r="BH267" s="592"/>
      <c r="BI267" s="592"/>
      <c r="BJ267" s="592"/>
      <c r="BK267" s="592"/>
      <c r="BL267" s="592"/>
      <c r="BM267" s="592"/>
      <c r="BN267" s="592"/>
      <c r="BO267" s="592"/>
      <c r="BP267" s="592"/>
      <c r="BQ267" s="594"/>
      <c r="BR267" s="594"/>
      <c r="BS267" s="394"/>
      <c r="BT267" s="594"/>
      <c r="BU267" s="594"/>
      <c r="BV267" s="594"/>
      <c r="BW267" s="618"/>
      <c r="BX267" s="644"/>
      <c r="BY267" s="644"/>
    </row>
    <row r="268" ht="25.5" customHeight="1">
      <c r="A268" s="635"/>
      <c r="B268" s="572">
        <v>45406.70347222222</v>
      </c>
      <c r="C268" s="642"/>
      <c r="D268" s="642"/>
      <c r="E268" s="574" t="s">
        <v>226</v>
      </c>
      <c r="F268" s="620"/>
      <c r="G268" s="600">
        <v>0.002997</v>
      </c>
      <c r="H268" s="577"/>
      <c r="I268" s="577"/>
      <c r="J268" s="613"/>
      <c r="K268" s="581"/>
      <c r="L268" s="581"/>
      <c r="M268" s="613"/>
      <c r="N268" s="613"/>
      <c r="O268" s="613"/>
      <c r="P268" s="580"/>
      <c r="Q268" s="580"/>
      <c r="R268" s="581"/>
      <c r="S268" s="581"/>
      <c r="T268" s="581"/>
      <c r="U268" s="582"/>
      <c r="V268" s="614"/>
      <c r="W268" s="581"/>
      <c r="X268" s="615"/>
      <c r="Y268" s="613"/>
      <c r="Z268" s="580"/>
      <c r="AA268" s="634"/>
      <c r="AB268" s="577"/>
      <c r="AC268" s="673"/>
      <c r="AD268" s="634"/>
      <c r="AE268" s="587"/>
      <c r="AF268" s="587"/>
      <c r="AG268" s="582"/>
      <c r="AH268" s="582"/>
      <c r="AI268" s="582"/>
      <c r="AJ268" s="582"/>
      <c r="AK268" s="588"/>
      <c r="AL268" s="582"/>
      <c r="AM268" s="582"/>
      <c r="AN268" s="589"/>
      <c r="AO268" s="616"/>
      <c r="AP268" s="592"/>
      <c r="AQ268" s="358"/>
      <c r="AR268" s="592"/>
      <c r="AS268" s="592"/>
      <c r="AT268" s="592"/>
      <c r="AU268" s="592"/>
      <c r="AV268" s="592"/>
      <c r="AW268" s="592"/>
      <c r="AX268" s="592"/>
      <c r="AY268" s="592"/>
      <c r="AZ268" s="592"/>
      <c r="BA268" s="617"/>
      <c r="BB268" s="592"/>
      <c r="BC268" s="592"/>
      <c r="BD268" s="592"/>
      <c r="BE268" s="592"/>
      <c r="BF268" s="592"/>
      <c r="BG268" s="358"/>
      <c r="BH268" s="592"/>
      <c r="BI268" s="592"/>
      <c r="BJ268" s="592"/>
      <c r="BK268" s="592"/>
      <c r="BL268" s="592"/>
      <c r="BM268" s="592"/>
      <c r="BN268" s="592"/>
      <c r="BO268" s="592"/>
      <c r="BP268" s="592"/>
      <c r="BQ268" s="594"/>
      <c r="BR268" s="594"/>
      <c r="BS268" s="394"/>
      <c r="BT268" s="594"/>
      <c r="BU268" s="594"/>
      <c r="BV268" s="594"/>
      <c r="BW268" s="618"/>
      <c r="BX268" s="644"/>
      <c r="BY268" s="608" t="s">
        <v>442</v>
      </c>
      <c r="BZ268" s="609" t="s">
        <v>443</v>
      </c>
    </row>
    <row r="269" ht="25.5" customHeight="1">
      <c r="A269" s="635"/>
      <c r="B269" s="572">
        <v>45415.950694444444</v>
      </c>
      <c r="C269" s="642"/>
      <c r="D269" s="642"/>
      <c r="E269" s="574" t="s">
        <v>218</v>
      </c>
      <c r="F269" s="603">
        <v>-1.70196659</v>
      </c>
      <c r="G269" s="626"/>
      <c r="H269" s="622">
        <v>1.70185835</v>
      </c>
      <c r="I269" s="622"/>
      <c r="J269" s="613"/>
      <c r="K269" s="581"/>
      <c r="L269" s="581"/>
      <c r="M269" s="613"/>
      <c r="N269" s="613"/>
      <c r="O269" s="613"/>
      <c r="P269" s="580"/>
      <c r="Q269" s="580"/>
      <c r="R269" s="581"/>
      <c r="S269" s="581"/>
      <c r="T269" s="581"/>
      <c r="U269" s="582"/>
      <c r="V269" s="614"/>
      <c r="W269" s="581"/>
      <c r="X269" s="615"/>
      <c r="Y269" s="613"/>
      <c r="Z269" s="580"/>
      <c r="AA269" s="634"/>
      <c r="AB269" s="577"/>
      <c r="AC269" s="673"/>
      <c r="AD269" s="634"/>
      <c r="AE269" s="587"/>
      <c r="AF269" s="587"/>
      <c r="AG269" s="582"/>
      <c r="AH269" s="582"/>
      <c r="AI269" s="582"/>
      <c r="AJ269" s="582"/>
      <c r="AK269" s="588"/>
      <c r="AL269" s="582"/>
      <c r="AM269" s="582"/>
      <c r="AN269" s="589"/>
      <c r="AO269" s="616"/>
      <c r="AP269" s="592"/>
      <c r="AQ269" s="358"/>
      <c r="AR269" s="592"/>
      <c r="AS269" s="592"/>
      <c r="AT269" s="592"/>
      <c r="AU269" s="592"/>
      <c r="AV269" s="592"/>
      <c r="AW269" s="592"/>
      <c r="AX269" s="592"/>
      <c r="AY269" s="592"/>
      <c r="AZ269" s="592"/>
      <c r="BA269" s="617"/>
      <c r="BB269" s="592"/>
      <c r="BC269" s="592"/>
      <c r="BD269" s="592"/>
      <c r="BE269" s="592"/>
      <c r="BF269" s="592"/>
      <c r="BG269" s="358"/>
      <c r="BH269" s="592"/>
      <c r="BI269" s="592"/>
      <c r="BJ269" s="592"/>
      <c r="BK269" s="592"/>
      <c r="BL269" s="592"/>
      <c r="BM269" s="592"/>
      <c r="BN269" s="592"/>
      <c r="BO269" s="592"/>
      <c r="BP269" s="592"/>
      <c r="BQ269" s="594"/>
      <c r="BR269" s="594"/>
      <c r="BS269" s="394"/>
      <c r="BT269" s="594"/>
      <c r="BU269" s="594"/>
      <c r="BV269" s="594"/>
      <c r="BW269" s="618"/>
      <c r="BX269" s="644"/>
      <c r="BY269" s="644"/>
    </row>
    <row r="270" ht="25.5" customHeight="1">
      <c r="A270" s="635"/>
      <c r="B270" s="666">
        <v>45415.952169861106</v>
      </c>
      <c r="C270" s="642"/>
      <c r="D270" s="642"/>
      <c r="E270" s="574" t="s">
        <v>218</v>
      </c>
      <c r="F270" s="620"/>
      <c r="G270" s="600">
        <v>-0.2241764</v>
      </c>
      <c r="H270" s="622">
        <v>0.2237</v>
      </c>
      <c r="I270" s="622"/>
      <c r="J270" s="613"/>
      <c r="K270" s="581"/>
      <c r="L270" s="581"/>
      <c r="M270" s="613"/>
      <c r="N270" s="613"/>
      <c r="O270" s="613"/>
      <c r="P270" s="580"/>
      <c r="Q270" s="580"/>
      <c r="R270" s="581"/>
      <c r="S270" s="581"/>
      <c r="T270" s="581"/>
      <c r="U270" s="582"/>
      <c r="V270" s="614"/>
      <c r="W270" s="581"/>
      <c r="X270" s="615"/>
      <c r="Y270" s="613"/>
      <c r="Z270" s="580"/>
      <c r="AA270" s="634"/>
      <c r="AB270" s="577"/>
      <c r="AC270" s="673"/>
      <c r="AD270" s="634"/>
      <c r="AE270" s="587"/>
      <c r="AF270" s="587"/>
      <c r="AG270" s="582"/>
      <c r="AH270" s="582"/>
      <c r="AI270" s="582"/>
      <c r="AJ270" s="582"/>
      <c r="AK270" s="588"/>
      <c r="AL270" s="582"/>
      <c r="AM270" s="582"/>
      <c r="AN270" s="589"/>
      <c r="AO270" s="616"/>
      <c r="AP270" s="592"/>
      <c r="AQ270" s="358"/>
      <c r="AR270" s="592"/>
      <c r="AS270" s="592"/>
      <c r="AT270" s="592"/>
      <c r="AU270" s="592"/>
      <c r="AV270" s="592"/>
      <c r="AW270" s="592"/>
      <c r="AX270" s="592"/>
      <c r="AY270" s="592"/>
      <c r="AZ270" s="592"/>
      <c r="BA270" s="617"/>
      <c r="BB270" s="592"/>
      <c r="BC270" s="592"/>
      <c r="BD270" s="592"/>
      <c r="BE270" s="592"/>
      <c r="BF270" s="592"/>
      <c r="BG270" s="358"/>
      <c r="BH270" s="592"/>
      <c r="BI270" s="592"/>
      <c r="BJ270" s="592"/>
      <c r="BK270" s="592"/>
      <c r="BL270" s="592"/>
      <c r="BM270" s="592"/>
      <c r="BN270" s="592"/>
      <c r="BO270" s="592"/>
      <c r="BP270" s="592"/>
      <c r="BQ270" s="594"/>
      <c r="BR270" s="594"/>
      <c r="BS270" s="394"/>
      <c r="BT270" s="594"/>
      <c r="BU270" s="594"/>
      <c r="BV270" s="594"/>
      <c r="BW270" s="618"/>
      <c r="BX270" s="644"/>
      <c r="BY270" s="644"/>
    </row>
    <row r="271" ht="25.5" customHeight="1">
      <c r="A271" s="635"/>
      <c r="B271" s="666">
        <v>45415.98005960648</v>
      </c>
      <c r="C271" s="642">
        <f>ABS(AL271)/H271</f>
        <v>-62487.49016</v>
      </c>
      <c r="D271" s="642"/>
      <c r="E271" s="574" t="s">
        <v>231</v>
      </c>
      <c r="F271" s="620"/>
      <c r="G271" s="621"/>
      <c r="H271" s="701">
        <v>-1.92555875</v>
      </c>
      <c r="I271" s="701"/>
      <c r="J271" s="613"/>
      <c r="K271" s="581"/>
      <c r="L271" s="581"/>
      <c r="M271" s="613"/>
      <c r="N271" s="613"/>
      <c r="O271" s="613"/>
      <c r="P271" s="580"/>
      <c r="Q271" s="580"/>
      <c r="R271" s="581"/>
      <c r="S271" s="581"/>
      <c r="T271" s="581"/>
      <c r="U271" s="582"/>
      <c r="V271" s="614"/>
      <c r="W271" s="581"/>
      <c r="X271" s="615"/>
      <c r="Y271" s="613"/>
      <c r="Z271" s="580"/>
      <c r="AA271" s="634"/>
      <c r="AB271" s="577"/>
      <c r="AC271" s="673"/>
      <c r="AD271" s="634"/>
      <c r="AE271" s="587"/>
      <c r="AF271" s="587"/>
      <c r="AG271" s="582"/>
      <c r="AH271" s="582"/>
      <c r="AI271" s="582"/>
      <c r="AJ271" s="582"/>
      <c r="AK271" s="588"/>
      <c r="AL271" s="582">
        <f>287833.88344021-167510.55</f>
        <v>120323.3334</v>
      </c>
      <c r="AM271" s="582"/>
      <c r="AN271" s="589"/>
      <c r="AO271" s="616"/>
      <c r="AP271" s="592"/>
      <c r="AQ271" s="358"/>
      <c r="AR271" s="592"/>
      <c r="AS271" s="592"/>
      <c r="AT271" s="592"/>
      <c r="AU271" s="592"/>
      <c r="AV271" s="592"/>
      <c r="AW271" s="592"/>
      <c r="AX271" s="592"/>
      <c r="AY271" s="592"/>
      <c r="AZ271" s="592"/>
      <c r="BA271" s="617"/>
      <c r="BB271" s="592"/>
      <c r="BC271" s="592"/>
      <c r="BD271" s="592"/>
      <c r="BE271" s="592"/>
      <c r="BF271" s="592"/>
      <c r="BG271" s="358"/>
      <c r="BH271" s="592"/>
      <c r="BI271" s="592"/>
      <c r="BJ271" s="592"/>
      <c r="BK271" s="592"/>
      <c r="BL271" s="592"/>
      <c r="BM271" s="592"/>
      <c r="BN271" s="592"/>
      <c r="BO271" s="592"/>
      <c r="BP271" s="592"/>
      <c r="BQ271" s="594"/>
      <c r="BR271" s="594"/>
      <c r="BS271" s="394"/>
      <c r="BT271" s="594"/>
      <c r="BU271" s="594"/>
      <c r="BV271" s="594"/>
      <c r="BW271" s="618"/>
      <c r="BX271" s="644"/>
      <c r="BY271" s="644"/>
    </row>
    <row r="272" ht="25.5" customHeight="1">
      <c r="A272" s="635"/>
      <c r="B272" s="572">
        <v>45386.50208333333</v>
      </c>
      <c r="C272" s="642"/>
      <c r="D272" s="642"/>
      <c r="E272" s="574" t="s">
        <v>218</v>
      </c>
      <c r="F272" s="620"/>
      <c r="G272" s="621"/>
      <c r="H272" s="577"/>
      <c r="I272" s="577"/>
      <c r="J272" s="613"/>
      <c r="K272" s="579"/>
      <c r="L272" s="579"/>
      <c r="M272" s="613"/>
      <c r="N272" s="613"/>
      <c r="O272" s="613"/>
      <c r="P272" s="580"/>
      <c r="Q272" s="580"/>
      <c r="R272" s="579">
        <v>160000.0</v>
      </c>
      <c r="S272" s="581"/>
      <c r="T272" s="581"/>
      <c r="U272" s="582"/>
      <c r="V272" s="614"/>
      <c r="W272" s="581"/>
      <c r="X272" s="615"/>
      <c r="Y272" s="613"/>
      <c r="Z272" s="580"/>
      <c r="AA272" s="634"/>
      <c r="AB272" s="577"/>
      <c r="AC272" s="673"/>
      <c r="AD272" s="634"/>
      <c r="AE272" s="587"/>
      <c r="AF272" s="587"/>
      <c r="AG272" s="582"/>
      <c r="AH272" s="582"/>
      <c r="AI272" s="582"/>
      <c r="AJ272" s="582"/>
      <c r="AK272" s="588"/>
      <c r="AL272" s="623">
        <v>-160000.5</v>
      </c>
      <c r="AM272" s="623"/>
      <c r="AN272" s="589"/>
      <c r="AO272" s="616"/>
      <c r="AP272" s="592"/>
      <c r="AQ272" s="358"/>
      <c r="AR272" s="592"/>
      <c r="AS272" s="592"/>
      <c r="AT272" s="592"/>
      <c r="AU272" s="592"/>
      <c r="AV272" s="592"/>
      <c r="AW272" s="592"/>
      <c r="AX272" s="592"/>
      <c r="AY272" s="592"/>
      <c r="AZ272" s="592"/>
      <c r="BA272" s="617"/>
      <c r="BB272" s="592"/>
      <c r="BC272" s="592"/>
      <c r="BD272" s="592"/>
      <c r="BE272" s="592"/>
      <c r="BF272" s="592"/>
      <c r="BG272" s="358"/>
      <c r="BH272" s="592"/>
      <c r="BI272" s="592"/>
      <c r="BJ272" s="592"/>
      <c r="BK272" s="592"/>
      <c r="BL272" s="592"/>
      <c r="BM272" s="592"/>
      <c r="BN272" s="592"/>
      <c r="BO272" s="592"/>
      <c r="BP272" s="592"/>
      <c r="BQ272" s="594"/>
      <c r="BR272" s="594"/>
      <c r="BS272" s="394"/>
      <c r="BT272" s="594"/>
      <c r="BU272" s="594"/>
      <c r="BV272" s="594"/>
      <c r="BW272" s="618"/>
      <c r="BX272" s="644"/>
      <c r="BY272" s="644"/>
      <c r="BZ272" s="609" t="s">
        <v>444</v>
      </c>
    </row>
    <row r="273" ht="25.5" customHeight="1">
      <c r="A273" s="635"/>
      <c r="B273" s="666">
        <v>45417.49319864583</v>
      </c>
      <c r="C273" s="642"/>
      <c r="D273" s="642"/>
      <c r="E273" s="574" t="s">
        <v>231</v>
      </c>
      <c r="F273" s="620"/>
      <c r="G273" s="621"/>
      <c r="H273" s="577"/>
      <c r="I273" s="577"/>
      <c r="J273" s="613"/>
      <c r="K273" s="579"/>
      <c r="L273" s="579"/>
      <c r="M273" s="613"/>
      <c r="N273" s="613"/>
      <c r="O273" s="613"/>
      <c r="P273" s="580"/>
      <c r="Q273" s="580"/>
      <c r="R273" s="579">
        <v>-160000.0</v>
      </c>
      <c r="S273" s="579">
        <v>160000.48</v>
      </c>
      <c r="T273" s="581"/>
      <c r="U273" s="582"/>
      <c r="V273" s="614"/>
      <c r="W273" s="581"/>
      <c r="X273" s="615"/>
      <c r="Y273" s="613"/>
      <c r="Z273" s="580"/>
      <c r="AA273" s="634"/>
      <c r="AB273" s="577"/>
      <c r="AC273" s="673"/>
      <c r="AD273" s="634"/>
      <c r="AE273" s="587"/>
      <c r="AF273" s="587"/>
      <c r="AG273" s="582"/>
      <c r="AH273" s="582"/>
      <c r="AI273" s="582"/>
      <c r="AJ273" s="582"/>
      <c r="AK273" s="588"/>
      <c r="AL273" s="582"/>
      <c r="AM273" s="582"/>
      <c r="AN273" s="589"/>
      <c r="AO273" s="616"/>
      <c r="AP273" s="592"/>
      <c r="AQ273" s="358"/>
      <c r="AR273" s="592"/>
      <c r="AS273" s="592"/>
      <c r="AT273" s="592"/>
      <c r="AU273" s="592"/>
      <c r="AV273" s="592"/>
      <c r="AW273" s="592"/>
      <c r="AX273" s="592"/>
      <c r="AY273" s="592"/>
      <c r="AZ273" s="592"/>
      <c r="BA273" s="617"/>
      <c r="BB273" s="592"/>
      <c r="BC273" s="592"/>
      <c r="BD273" s="592"/>
      <c r="BE273" s="592"/>
      <c r="BF273" s="592"/>
      <c r="BG273" s="358"/>
      <c r="BH273" s="592"/>
      <c r="BI273" s="592"/>
      <c r="BJ273" s="592"/>
      <c r="BK273" s="592"/>
      <c r="BL273" s="592"/>
      <c r="BM273" s="592"/>
      <c r="BN273" s="592"/>
      <c r="BO273" s="592"/>
      <c r="BP273" s="592"/>
      <c r="BQ273" s="594"/>
      <c r="BR273" s="594"/>
      <c r="BS273" s="394"/>
      <c r="BT273" s="594"/>
      <c r="BU273" s="594"/>
      <c r="BV273" s="594"/>
      <c r="BW273" s="618"/>
      <c r="BX273" s="644"/>
      <c r="BY273" s="644"/>
      <c r="BZ273" s="609" t="s">
        <v>445</v>
      </c>
    </row>
    <row r="274" ht="25.5" customHeight="1">
      <c r="A274" s="635"/>
      <c r="B274" s="666">
        <v>45417.49440527778</v>
      </c>
      <c r="C274" s="642"/>
      <c r="D274" s="642"/>
      <c r="E274" s="574" t="s">
        <v>218</v>
      </c>
      <c r="F274" s="620"/>
      <c r="G274" s="621"/>
      <c r="H274" s="577"/>
      <c r="I274" s="577"/>
      <c r="J274" s="613"/>
      <c r="K274" s="581"/>
      <c r="L274" s="581"/>
      <c r="M274" s="613"/>
      <c r="N274" s="613"/>
      <c r="O274" s="613"/>
      <c r="P274" s="580"/>
      <c r="Q274" s="580"/>
      <c r="R274" s="581"/>
      <c r="S274" s="579">
        <v>-160000.48</v>
      </c>
      <c r="T274" s="579">
        <v>160000.48</v>
      </c>
      <c r="U274" s="582"/>
      <c r="V274" s="614"/>
      <c r="W274" s="581"/>
      <c r="X274" s="615"/>
      <c r="Y274" s="613"/>
      <c r="Z274" s="580"/>
      <c r="AA274" s="634"/>
      <c r="AB274" s="577"/>
      <c r="AC274" s="673"/>
      <c r="AD274" s="634"/>
      <c r="AE274" s="587"/>
      <c r="AF274" s="587"/>
      <c r="AG274" s="582"/>
      <c r="AH274" s="582"/>
      <c r="AI274" s="582"/>
      <c r="AJ274" s="582"/>
      <c r="AK274" s="588"/>
      <c r="AL274" s="582"/>
      <c r="AM274" s="582"/>
      <c r="AN274" s="589"/>
      <c r="AO274" s="616"/>
      <c r="AP274" s="592"/>
      <c r="AQ274" s="358"/>
      <c r="AR274" s="592"/>
      <c r="AS274" s="592"/>
      <c r="AT274" s="592"/>
      <c r="AU274" s="592"/>
      <c r="AV274" s="592"/>
      <c r="AW274" s="592"/>
      <c r="AX274" s="592"/>
      <c r="AY274" s="592"/>
      <c r="AZ274" s="592"/>
      <c r="BA274" s="617"/>
      <c r="BB274" s="592"/>
      <c r="BC274" s="592"/>
      <c r="BD274" s="592"/>
      <c r="BE274" s="592"/>
      <c r="BF274" s="592"/>
      <c r="BG274" s="358"/>
      <c r="BH274" s="592"/>
      <c r="BI274" s="592"/>
      <c r="BJ274" s="592"/>
      <c r="BK274" s="592"/>
      <c r="BL274" s="592"/>
      <c r="BM274" s="592"/>
      <c r="BN274" s="592"/>
      <c r="BO274" s="592"/>
      <c r="BP274" s="592"/>
      <c r="BQ274" s="594"/>
      <c r="BR274" s="594"/>
      <c r="BS274" s="394"/>
      <c r="BT274" s="594"/>
      <c r="BU274" s="594"/>
      <c r="BV274" s="594"/>
      <c r="BW274" s="618"/>
      <c r="BX274" s="644"/>
      <c r="BY274" s="644"/>
      <c r="BZ274" s="609" t="s">
        <v>446</v>
      </c>
    </row>
    <row r="275" ht="25.5" customHeight="1">
      <c r="A275" s="635"/>
      <c r="B275" s="666">
        <v>45417.665574074075</v>
      </c>
      <c r="C275" s="642"/>
      <c r="D275" s="642"/>
      <c r="E275" s="574" t="s">
        <v>327</v>
      </c>
      <c r="F275" s="620"/>
      <c r="G275" s="600">
        <v>0.00120212</v>
      </c>
      <c r="H275" s="577"/>
      <c r="I275" s="577"/>
      <c r="J275" s="613"/>
      <c r="K275" s="581"/>
      <c r="L275" s="581"/>
      <c r="M275" s="613"/>
      <c r="N275" s="613"/>
      <c r="O275" s="613"/>
      <c r="P275" s="580"/>
      <c r="Q275" s="580"/>
      <c r="R275" s="581"/>
      <c r="S275" s="581"/>
      <c r="T275" s="581"/>
      <c r="U275" s="582"/>
      <c r="V275" s="614"/>
      <c r="W275" s="581"/>
      <c r="X275" s="615"/>
      <c r="Y275" s="613"/>
      <c r="Z275" s="580"/>
      <c r="AA275" s="634"/>
      <c r="AB275" s="577"/>
      <c r="AC275" s="673"/>
      <c r="AD275" s="634"/>
      <c r="AE275" s="587"/>
      <c r="AF275" s="587"/>
      <c r="AG275" s="582"/>
      <c r="AH275" s="582"/>
      <c r="AI275" s="582"/>
      <c r="AJ275" s="582"/>
      <c r="AK275" s="588"/>
      <c r="AL275" s="582"/>
      <c r="AM275" s="582"/>
      <c r="AN275" s="589"/>
      <c r="AO275" s="616"/>
      <c r="AP275" s="592"/>
      <c r="AQ275" s="358"/>
      <c r="AR275" s="592"/>
      <c r="AS275" s="592"/>
      <c r="AT275" s="592"/>
      <c r="AU275" s="592"/>
      <c r="AV275" s="592"/>
      <c r="AW275" s="592"/>
      <c r="AX275" s="592"/>
      <c r="AY275" s="592"/>
      <c r="AZ275" s="592"/>
      <c r="BA275" s="617"/>
      <c r="BB275" s="592"/>
      <c r="BC275" s="592"/>
      <c r="BD275" s="592"/>
      <c r="BE275" s="592"/>
      <c r="BF275" s="592"/>
      <c r="BG275" s="358"/>
      <c r="BH275" s="592"/>
      <c r="BI275" s="592"/>
      <c r="BJ275" s="592"/>
      <c r="BK275" s="592"/>
      <c r="BL275" s="592"/>
      <c r="BM275" s="592"/>
      <c r="BN275" s="592"/>
      <c r="BO275" s="592"/>
      <c r="BP275" s="592"/>
      <c r="BQ275" s="594"/>
      <c r="BR275" s="594"/>
      <c r="BS275" s="394"/>
      <c r="BT275" s="594"/>
      <c r="BU275" s="594"/>
      <c r="BV275" s="594"/>
      <c r="BW275" s="618"/>
      <c r="BX275" s="644"/>
      <c r="BY275" s="608" t="s">
        <v>447</v>
      </c>
      <c r="BZ275" s="609" t="s">
        <v>448</v>
      </c>
    </row>
    <row r="276" ht="25.5" customHeight="1">
      <c r="A276" s="635"/>
      <c r="B276" s="572">
        <v>45417.66805555556</v>
      </c>
      <c r="C276" s="642"/>
      <c r="D276" s="642"/>
      <c r="E276" s="574" t="s">
        <v>327</v>
      </c>
      <c r="F276" s="620"/>
      <c r="G276" s="600">
        <v>8.454E-4</v>
      </c>
      <c r="H276" s="622"/>
      <c r="I276" s="622"/>
      <c r="J276" s="613"/>
      <c r="K276" s="581"/>
      <c r="L276" s="581"/>
      <c r="M276" s="613"/>
      <c r="N276" s="613"/>
      <c r="O276" s="613"/>
      <c r="P276" s="580"/>
      <c r="Q276" s="580"/>
      <c r="R276" s="581"/>
      <c r="S276" s="581"/>
      <c r="T276" s="581"/>
      <c r="U276" s="582"/>
      <c r="V276" s="614"/>
      <c r="W276" s="581"/>
      <c r="X276" s="615"/>
      <c r="Y276" s="613"/>
      <c r="Z276" s="580"/>
      <c r="AA276" s="634"/>
      <c r="AB276" s="577"/>
      <c r="AC276" s="673"/>
      <c r="AD276" s="634"/>
      <c r="AE276" s="587"/>
      <c r="AF276" s="587"/>
      <c r="AG276" s="582"/>
      <c r="AH276" s="582"/>
      <c r="AI276" s="582"/>
      <c r="AJ276" s="582"/>
      <c r="AK276" s="588"/>
      <c r="AL276" s="582"/>
      <c r="AM276" s="582"/>
      <c r="AN276" s="589"/>
      <c r="AO276" s="616"/>
      <c r="AP276" s="592"/>
      <c r="AQ276" s="358"/>
      <c r="AR276" s="592"/>
      <c r="AS276" s="592"/>
      <c r="AT276" s="592"/>
      <c r="AU276" s="592"/>
      <c r="AV276" s="592"/>
      <c r="AW276" s="592"/>
      <c r="AX276" s="592"/>
      <c r="AY276" s="592"/>
      <c r="AZ276" s="592"/>
      <c r="BA276" s="617"/>
      <c r="BB276" s="592"/>
      <c r="BC276" s="592"/>
      <c r="BD276" s="592"/>
      <c r="BE276" s="592"/>
      <c r="BF276" s="592"/>
      <c r="BG276" s="358"/>
      <c r="BH276" s="592"/>
      <c r="BI276" s="592"/>
      <c r="BJ276" s="592"/>
      <c r="BK276" s="592"/>
      <c r="BL276" s="592"/>
      <c r="BM276" s="592"/>
      <c r="BN276" s="592"/>
      <c r="BO276" s="592"/>
      <c r="BP276" s="592"/>
      <c r="BQ276" s="594"/>
      <c r="BR276" s="594"/>
      <c r="BS276" s="394"/>
      <c r="BT276" s="594"/>
      <c r="BU276" s="594"/>
      <c r="BV276" s="594"/>
      <c r="BW276" s="618"/>
      <c r="BX276" s="644"/>
      <c r="BY276" s="608" t="s">
        <v>449</v>
      </c>
      <c r="BZ276" s="609" t="s">
        <v>450</v>
      </c>
    </row>
    <row r="277" ht="25.5" customHeight="1">
      <c r="A277" s="635"/>
      <c r="B277" s="666">
        <v>45419.5035656713</v>
      </c>
      <c r="C277" s="642"/>
      <c r="D277" s="642"/>
      <c r="E277" s="574" t="s">
        <v>231</v>
      </c>
      <c r="F277" s="620"/>
      <c r="G277" s="621"/>
      <c r="H277" s="622">
        <v>0.14524206</v>
      </c>
      <c r="I277" s="622"/>
      <c r="J277" s="613"/>
      <c r="K277" s="581"/>
      <c r="L277" s="581"/>
      <c r="M277" s="613"/>
      <c r="N277" s="613"/>
      <c r="O277" s="613"/>
      <c r="P277" s="580"/>
      <c r="Q277" s="580"/>
      <c r="R277" s="581"/>
      <c r="S277" s="581"/>
      <c r="T277" s="581"/>
      <c r="U277" s="582"/>
      <c r="V277" s="614"/>
      <c r="W277" s="581"/>
      <c r="X277" s="615"/>
      <c r="Y277" s="613"/>
      <c r="Z277" s="580"/>
      <c r="AA277" s="634"/>
      <c r="AB277" s="577"/>
      <c r="AC277" s="673"/>
      <c r="AD277" s="634"/>
      <c r="AE277" s="587"/>
      <c r="AF277" s="587"/>
      <c r="AG277" s="582"/>
      <c r="AH277" s="582"/>
      <c r="AI277" s="582"/>
      <c r="AJ277" s="582"/>
      <c r="AK277" s="588"/>
      <c r="AL277" s="582"/>
      <c r="AM277" s="582"/>
      <c r="AN277" s="589"/>
      <c r="AO277" s="616"/>
      <c r="AP277" s="592"/>
      <c r="AQ277" s="358"/>
      <c r="AR277" s="592"/>
      <c r="AS277" s="592"/>
      <c r="AT277" s="592"/>
      <c r="AU277" s="592"/>
      <c r="AV277" s="592"/>
      <c r="AW277" s="592"/>
      <c r="AX277" s="592"/>
      <c r="AY277" s="592"/>
      <c r="AZ277" s="592"/>
      <c r="BA277" s="617"/>
      <c r="BB277" s="592"/>
      <c r="BC277" s="592"/>
      <c r="BD277" s="592"/>
      <c r="BE277" s="592"/>
      <c r="BF277" s="592"/>
      <c r="BG277" s="358"/>
      <c r="BH277" s="592"/>
      <c r="BI277" s="592"/>
      <c r="BJ277" s="592"/>
      <c r="BK277" s="591">
        <v>-3760.24</v>
      </c>
      <c r="BL277" s="592"/>
      <c r="BM277" s="592"/>
      <c r="BN277" s="592"/>
      <c r="BO277" s="592"/>
      <c r="BP277" s="592"/>
      <c r="BQ277" s="594"/>
      <c r="BR277" s="594"/>
      <c r="BS277" s="394"/>
      <c r="BT277" s="594"/>
      <c r="BU277" s="594"/>
      <c r="BV277" s="594"/>
      <c r="BW277" s="618"/>
      <c r="BX277" s="644"/>
      <c r="BY277" s="644"/>
    </row>
    <row r="278" ht="25.5" customHeight="1">
      <c r="A278" s="635"/>
      <c r="B278" s="666">
        <v>45419.50719709491</v>
      </c>
      <c r="C278" s="642"/>
      <c r="D278" s="642"/>
      <c r="E278" s="574" t="s">
        <v>231</v>
      </c>
      <c r="F278" s="620"/>
      <c r="G278" s="621"/>
      <c r="H278" s="577">
        <f>0.26745101-0.145242</f>
        <v>0.12220901</v>
      </c>
      <c r="I278" s="577"/>
      <c r="J278" s="613"/>
      <c r="K278" s="581"/>
      <c r="L278" s="581"/>
      <c r="M278" s="613"/>
      <c r="N278" s="613"/>
      <c r="O278" s="613"/>
      <c r="P278" s="580"/>
      <c r="Q278" s="580"/>
      <c r="R278" s="581"/>
      <c r="S278" s="581"/>
      <c r="T278" s="581"/>
      <c r="U278" s="582"/>
      <c r="V278" s="614"/>
      <c r="W278" s="581"/>
      <c r="X278" s="615"/>
      <c r="Y278" s="613"/>
      <c r="Z278" s="580"/>
      <c r="AA278" s="634"/>
      <c r="AB278" s="577"/>
      <c r="AC278" s="673"/>
      <c r="AD278" s="634"/>
      <c r="AE278" s="587"/>
      <c r="AF278" s="587"/>
      <c r="AG278" s="582"/>
      <c r="AH278" s="582"/>
      <c r="AI278" s="582"/>
      <c r="AJ278" s="582"/>
      <c r="AK278" s="588"/>
      <c r="AL278" s="582"/>
      <c r="AM278" s="582"/>
      <c r="AN278" s="589"/>
      <c r="AO278" s="616"/>
      <c r="AP278" s="592"/>
      <c r="AQ278" s="358"/>
      <c r="AR278" s="592"/>
      <c r="AS278" s="592"/>
      <c r="AT278" s="592"/>
      <c r="AU278" s="592"/>
      <c r="AV278" s="592"/>
      <c r="AW278" s="592"/>
      <c r="AX278" s="592"/>
      <c r="AY278" s="592"/>
      <c r="AZ278" s="592"/>
      <c r="BA278" s="617"/>
      <c r="BB278" s="592"/>
      <c r="BC278" s="592"/>
      <c r="BD278" s="592"/>
      <c r="BE278" s="592"/>
      <c r="BF278" s="592"/>
      <c r="BG278" s="358"/>
      <c r="BH278" s="592"/>
      <c r="BI278" s="592"/>
      <c r="BJ278" s="592"/>
      <c r="BK278" s="592"/>
      <c r="BL278" s="592"/>
      <c r="BM278" s="592"/>
      <c r="BN278" s="592"/>
      <c r="BO278" s="591">
        <v>-1584.43</v>
      </c>
      <c r="BP278" s="592"/>
      <c r="BQ278" s="594"/>
      <c r="BR278" s="594"/>
      <c r="BS278" s="394"/>
      <c r="BT278" s="594"/>
      <c r="BU278" s="594"/>
      <c r="BV278" s="594"/>
      <c r="BW278" s="618"/>
      <c r="BX278" s="644"/>
      <c r="BY278" s="644"/>
    </row>
    <row r="279" ht="25.5" customHeight="1">
      <c r="A279" s="635"/>
      <c r="B279" s="666">
        <v>45422.544562615745</v>
      </c>
      <c r="C279" s="642">
        <f t="shared" ref="C279:C282" si="24">ABS(AL279)/H279</f>
        <v>63037.84369</v>
      </c>
      <c r="D279" s="642"/>
      <c r="E279" s="574" t="s">
        <v>231</v>
      </c>
      <c r="F279" s="620"/>
      <c r="G279" s="621"/>
      <c r="H279" s="577">
        <f>1.28138606-0.267451</f>
        <v>1.01393506</v>
      </c>
      <c r="I279" s="577"/>
      <c r="J279" s="613"/>
      <c r="K279" s="581"/>
      <c r="L279" s="581"/>
      <c r="M279" s="613"/>
      <c r="N279" s="613"/>
      <c r="O279" s="613"/>
      <c r="P279" s="580"/>
      <c r="Q279" s="580"/>
      <c r="R279" s="581"/>
      <c r="S279" s="581"/>
      <c r="T279" s="581"/>
      <c r="U279" s="582"/>
      <c r="V279" s="614"/>
      <c r="W279" s="581"/>
      <c r="X279" s="615"/>
      <c r="Y279" s="613"/>
      <c r="Z279" s="580"/>
      <c r="AA279" s="634"/>
      <c r="AB279" s="577"/>
      <c r="AC279" s="673"/>
      <c r="AD279" s="634"/>
      <c r="AE279" s="587"/>
      <c r="AF279" s="587"/>
      <c r="AG279" s="582"/>
      <c r="AH279" s="582"/>
      <c r="AI279" s="582"/>
      <c r="AJ279" s="582"/>
      <c r="AK279" s="588"/>
      <c r="AL279" s="582">
        <f>63917.11018021-127833.39</f>
        <v>-63916.27982</v>
      </c>
      <c r="AM279" s="582"/>
      <c r="AN279" s="589"/>
      <c r="AO279" s="616"/>
      <c r="AP279" s="592"/>
      <c r="AQ279" s="358"/>
      <c r="AR279" s="592"/>
      <c r="AS279" s="592"/>
      <c r="AT279" s="592"/>
      <c r="AU279" s="592"/>
      <c r="AV279" s="592"/>
      <c r="AW279" s="592"/>
      <c r="AX279" s="592"/>
      <c r="AY279" s="592"/>
      <c r="AZ279" s="592"/>
      <c r="BA279" s="617"/>
      <c r="BB279" s="592"/>
      <c r="BC279" s="592"/>
      <c r="BD279" s="592"/>
      <c r="BE279" s="592"/>
      <c r="BF279" s="592"/>
      <c r="BG279" s="358"/>
      <c r="BH279" s="592"/>
      <c r="BI279" s="592"/>
      <c r="BJ279" s="592"/>
      <c r="BK279" s="592"/>
      <c r="BL279" s="592"/>
      <c r="BM279" s="592"/>
      <c r="BN279" s="592"/>
      <c r="BO279" s="592"/>
      <c r="BP279" s="592"/>
      <c r="BQ279" s="594"/>
      <c r="BR279" s="594"/>
      <c r="BS279" s="394"/>
      <c r="BT279" s="594"/>
      <c r="BU279" s="594"/>
      <c r="BV279" s="594"/>
      <c r="BW279" s="618"/>
      <c r="BX279" s="644"/>
      <c r="BY279" s="644"/>
    </row>
    <row r="280" ht="25.5" customHeight="1">
      <c r="A280" s="635"/>
      <c r="B280" s="666">
        <v>45422.54882253472</v>
      </c>
      <c r="C280" s="642">
        <f t="shared" si="24"/>
        <v>62983.42978</v>
      </c>
      <c r="D280" s="642"/>
      <c r="E280" s="574" t="s">
        <v>231</v>
      </c>
      <c r="F280" s="620"/>
      <c r="G280" s="621"/>
      <c r="H280" s="577">
        <f>2.29621022-1.281386</f>
        <v>1.01482422</v>
      </c>
      <c r="I280" s="577"/>
      <c r="J280" s="613"/>
      <c r="K280" s="581"/>
      <c r="L280" s="581"/>
      <c r="M280" s="613"/>
      <c r="N280" s="613"/>
      <c r="O280" s="613"/>
      <c r="P280" s="580"/>
      <c r="Q280" s="580"/>
      <c r="R280" s="581"/>
      <c r="S280" s="581"/>
      <c r="T280" s="581"/>
      <c r="U280" s="582"/>
      <c r="V280" s="614"/>
      <c r="W280" s="581"/>
      <c r="X280" s="615"/>
      <c r="Y280" s="613"/>
      <c r="Z280" s="580"/>
      <c r="AA280" s="634"/>
      <c r="AB280" s="577"/>
      <c r="AC280" s="673"/>
      <c r="AD280" s="634"/>
      <c r="AE280" s="587"/>
      <c r="AF280" s="587"/>
      <c r="AG280" s="582"/>
      <c r="AH280" s="582"/>
      <c r="AI280" s="582"/>
      <c r="AJ280" s="582"/>
      <c r="AK280" s="588"/>
      <c r="AL280" s="623">
        <v>-63917.11</v>
      </c>
      <c r="AM280" s="623"/>
      <c r="AN280" s="589"/>
      <c r="AO280" s="616"/>
      <c r="AP280" s="592"/>
      <c r="AQ280" s="358"/>
      <c r="AR280" s="592"/>
      <c r="AS280" s="592"/>
      <c r="AT280" s="592"/>
      <c r="AU280" s="592"/>
      <c r="AV280" s="592"/>
      <c r="AW280" s="592"/>
      <c r="AX280" s="592"/>
      <c r="AY280" s="592"/>
      <c r="AZ280" s="592"/>
      <c r="BA280" s="617"/>
      <c r="BB280" s="592"/>
      <c r="BC280" s="592"/>
      <c r="BD280" s="592"/>
      <c r="BE280" s="592"/>
      <c r="BF280" s="592"/>
      <c r="BG280" s="358"/>
      <c r="BH280" s="592"/>
      <c r="BI280" s="592"/>
      <c r="BJ280" s="592"/>
      <c r="BK280" s="592"/>
      <c r="BL280" s="592"/>
      <c r="BM280" s="592"/>
      <c r="BN280" s="592"/>
      <c r="BO280" s="592"/>
      <c r="BP280" s="592"/>
      <c r="BQ280" s="594"/>
      <c r="BR280" s="594"/>
      <c r="BS280" s="394"/>
      <c r="BT280" s="594"/>
      <c r="BU280" s="594"/>
      <c r="BV280" s="594"/>
      <c r="BW280" s="618"/>
      <c r="BX280" s="644"/>
      <c r="BY280" s="644"/>
    </row>
    <row r="281" ht="25.5" customHeight="1">
      <c r="A281" s="635"/>
      <c r="B281" s="572">
        <v>45425.4356712963</v>
      </c>
      <c r="C281" s="642">
        <f t="shared" si="24"/>
        <v>-63327.02051</v>
      </c>
      <c r="D281" s="642"/>
      <c r="E281" s="574" t="s">
        <v>231</v>
      </c>
      <c r="F281" s="620"/>
      <c r="G281" s="621"/>
      <c r="H281" s="577">
        <f>1.14811022-2.29621</f>
        <v>-1.14809978</v>
      </c>
      <c r="I281" s="577"/>
      <c r="J281" s="613"/>
      <c r="K281" s="581"/>
      <c r="L281" s="581"/>
      <c r="M281" s="613"/>
      <c r="N281" s="613"/>
      <c r="O281" s="613"/>
      <c r="P281" s="580"/>
      <c r="Q281" s="580"/>
      <c r="R281" s="581"/>
      <c r="S281" s="581"/>
      <c r="T281" s="581"/>
      <c r="U281" s="582"/>
      <c r="V281" s="614"/>
      <c r="W281" s="581"/>
      <c r="X281" s="615"/>
      <c r="Y281" s="613"/>
      <c r="Z281" s="580"/>
      <c r="AA281" s="634"/>
      <c r="AB281" s="577"/>
      <c r="AC281" s="673"/>
      <c r="AD281" s="634"/>
      <c r="AE281" s="587"/>
      <c r="AF281" s="587"/>
      <c r="AG281" s="582"/>
      <c r="AH281" s="582"/>
      <c r="AI281" s="582"/>
      <c r="AJ281" s="582"/>
      <c r="AK281" s="588"/>
      <c r="AL281" s="623">
        <v>72705.73832121</v>
      </c>
      <c r="AM281" s="623"/>
      <c r="AN281" s="589"/>
      <c r="AO281" s="616"/>
      <c r="AP281" s="592"/>
      <c r="AQ281" s="358"/>
      <c r="AR281" s="592"/>
      <c r="AS281" s="592"/>
      <c r="AT281" s="592"/>
      <c r="AU281" s="592"/>
      <c r="AV281" s="592"/>
      <c r="AW281" s="592"/>
      <c r="AX281" s="592"/>
      <c r="AY281" s="592"/>
      <c r="AZ281" s="592"/>
      <c r="BA281" s="617"/>
      <c r="BB281" s="592"/>
      <c r="BC281" s="592"/>
      <c r="BD281" s="592"/>
      <c r="BE281" s="592"/>
      <c r="BF281" s="592"/>
      <c r="BG281" s="358"/>
      <c r="BH281" s="592"/>
      <c r="BI281" s="592"/>
      <c r="BJ281" s="592"/>
      <c r="BK281" s="592"/>
      <c r="BL281" s="592"/>
      <c r="BM281" s="592"/>
      <c r="BN281" s="592"/>
      <c r="BO281" s="592"/>
      <c r="BP281" s="592"/>
      <c r="BQ281" s="594"/>
      <c r="BR281" s="594"/>
      <c r="BS281" s="394"/>
      <c r="BT281" s="594"/>
      <c r="BU281" s="594"/>
      <c r="BV281" s="594"/>
      <c r="BW281" s="618"/>
      <c r="BX281" s="644"/>
      <c r="BY281" s="644"/>
    </row>
    <row r="282" ht="25.5" customHeight="1">
      <c r="A282" s="635"/>
      <c r="B282" s="572">
        <v>45427.75418981481</v>
      </c>
      <c r="C282" s="642">
        <f t="shared" si="24"/>
        <v>-65384.49157</v>
      </c>
      <c r="D282" s="642"/>
      <c r="E282" s="574" t="s">
        <v>231</v>
      </c>
      <c r="F282" s="620"/>
      <c r="G282" s="621"/>
      <c r="H282" s="622">
        <v>-1.148111</v>
      </c>
      <c r="I282" s="622"/>
      <c r="J282" s="613"/>
      <c r="K282" s="581"/>
      <c r="L282" s="581"/>
      <c r="M282" s="613"/>
      <c r="N282" s="613"/>
      <c r="O282" s="613"/>
      <c r="P282" s="580"/>
      <c r="Q282" s="580"/>
      <c r="R282" s="581"/>
      <c r="S282" s="581"/>
      <c r="T282" s="581"/>
      <c r="U282" s="582"/>
      <c r="V282" s="614"/>
      <c r="W282" s="581"/>
      <c r="X282" s="615"/>
      <c r="Y282" s="613"/>
      <c r="Z282" s="580"/>
      <c r="AA282" s="634"/>
      <c r="AB282" s="577"/>
      <c r="AC282" s="673"/>
      <c r="AD282" s="634"/>
      <c r="AE282" s="587"/>
      <c r="AF282" s="587"/>
      <c r="AG282" s="582"/>
      <c r="AH282" s="582"/>
      <c r="AI282" s="582"/>
      <c r="AJ282" s="582"/>
      <c r="AK282" s="588"/>
      <c r="AL282" s="582">
        <f>147774.394-72705.74</f>
        <v>75068.654</v>
      </c>
      <c r="AM282" s="582"/>
      <c r="AN282" s="589"/>
      <c r="AO282" s="616"/>
      <c r="AP282" s="592"/>
      <c r="AQ282" s="358"/>
      <c r="AR282" s="592"/>
      <c r="AS282" s="592"/>
      <c r="AT282" s="592"/>
      <c r="AU282" s="592"/>
      <c r="AV282" s="592"/>
      <c r="AW282" s="592"/>
      <c r="AX282" s="592"/>
      <c r="AY282" s="592"/>
      <c r="AZ282" s="592"/>
      <c r="BA282" s="617"/>
      <c r="BB282" s="592"/>
      <c r="BC282" s="592"/>
      <c r="BD282" s="592"/>
      <c r="BE282" s="592"/>
      <c r="BF282" s="592"/>
      <c r="BG282" s="358"/>
      <c r="BH282" s="592"/>
      <c r="BI282" s="592"/>
      <c r="BJ282" s="592"/>
      <c r="BK282" s="592"/>
      <c r="BL282" s="592"/>
      <c r="BM282" s="592"/>
      <c r="BN282" s="592"/>
      <c r="BO282" s="592"/>
      <c r="BP282" s="592"/>
      <c r="BQ282" s="594"/>
      <c r="BR282" s="594"/>
      <c r="BS282" s="394"/>
      <c r="BT282" s="594"/>
      <c r="BU282" s="594"/>
      <c r="BV282" s="594"/>
      <c r="BW282" s="618"/>
      <c r="BX282" s="644"/>
      <c r="BY282" s="644"/>
    </row>
    <row r="283" ht="25.5" customHeight="1">
      <c r="A283" s="635"/>
      <c r="B283" s="666">
        <v>45432.648998275465</v>
      </c>
      <c r="C283" s="642"/>
      <c r="D283" s="642"/>
      <c r="E283" s="574" t="s">
        <v>241</v>
      </c>
      <c r="F283" s="620"/>
      <c r="G283" s="621"/>
      <c r="H283" s="577"/>
      <c r="I283" s="577"/>
      <c r="J283" s="613"/>
      <c r="K283" s="581"/>
      <c r="L283" s="581"/>
      <c r="M283" s="613"/>
      <c r="N283" s="613"/>
      <c r="O283" s="613"/>
      <c r="P283" s="580"/>
      <c r="Q283" s="580"/>
      <c r="R283" s="581"/>
      <c r="S283" s="581"/>
      <c r="T283" s="581"/>
      <c r="U283" s="582"/>
      <c r="V283" s="614"/>
      <c r="W283" s="581"/>
      <c r="X283" s="615"/>
      <c r="Y283" s="613"/>
      <c r="Z283" s="580"/>
      <c r="AA283" s="634"/>
      <c r="AB283" s="577"/>
      <c r="AC283" s="673"/>
      <c r="AD283" s="634"/>
      <c r="AE283" s="587"/>
      <c r="AF283" s="587"/>
      <c r="AG283" s="582"/>
      <c r="AH283" s="582"/>
      <c r="AI283" s="582"/>
      <c r="AJ283" s="582"/>
      <c r="AK283" s="588"/>
      <c r="AL283" s="582">
        <f>147374.706-147774.39</f>
        <v>-399.684</v>
      </c>
      <c r="AM283" s="582"/>
      <c r="AN283" s="589"/>
      <c r="AO283" s="616"/>
      <c r="AP283" s="592"/>
      <c r="AQ283" s="358"/>
      <c r="AR283" s="592"/>
      <c r="AS283" s="592"/>
      <c r="AT283" s="592"/>
      <c r="AU283" s="592"/>
      <c r="AV283" s="592"/>
      <c r="AW283" s="592"/>
      <c r="AX283" s="592"/>
      <c r="AY283" s="592"/>
      <c r="AZ283" s="592"/>
      <c r="BA283" s="617"/>
      <c r="BB283" s="592"/>
      <c r="BC283" s="592"/>
      <c r="BD283" s="592"/>
      <c r="BE283" s="592"/>
      <c r="BF283" s="592"/>
      <c r="BG283" s="358"/>
      <c r="BH283" s="592"/>
      <c r="BI283" s="592"/>
      <c r="BJ283" s="592"/>
      <c r="BK283" s="592"/>
      <c r="BL283" s="592"/>
      <c r="BM283" s="592"/>
      <c r="BN283" s="592"/>
      <c r="BO283" s="592"/>
      <c r="BP283" s="592"/>
      <c r="BQ283" s="594"/>
      <c r="BR283" s="594"/>
      <c r="BS283" s="394"/>
      <c r="BT283" s="594"/>
      <c r="BU283" s="594"/>
      <c r="BV283" s="594"/>
      <c r="BW283" s="618"/>
      <c r="BX283" s="644"/>
      <c r="BY283" s="608" t="s">
        <v>451</v>
      </c>
    </row>
    <row r="284" ht="25.5" customHeight="1">
      <c r="A284" s="635"/>
      <c r="B284" s="666">
        <v>45432.737133738425</v>
      </c>
      <c r="C284" s="642">
        <f t="shared" ref="C284:C285" si="25">ABS(AL284)/H284</f>
        <v>67249.97915</v>
      </c>
      <c r="D284" s="642"/>
      <c r="E284" s="574" t="s">
        <v>231</v>
      </c>
      <c r="F284" s="620"/>
      <c r="G284" s="621"/>
      <c r="H284" s="622">
        <v>0.50910022</v>
      </c>
      <c r="I284" s="622"/>
      <c r="J284" s="613"/>
      <c r="K284" s="581"/>
      <c r="L284" s="581"/>
      <c r="M284" s="613"/>
      <c r="N284" s="613"/>
      <c r="O284" s="613"/>
      <c r="P284" s="580"/>
      <c r="Q284" s="580"/>
      <c r="R284" s="581"/>
      <c r="S284" s="581"/>
      <c r="T284" s="581"/>
      <c r="U284" s="582"/>
      <c r="V284" s="614"/>
      <c r="W284" s="581"/>
      <c r="X284" s="615"/>
      <c r="Y284" s="613"/>
      <c r="Z284" s="580"/>
      <c r="AA284" s="634"/>
      <c r="AB284" s="577"/>
      <c r="AC284" s="673"/>
      <c r="AD284" s="634"/>
      <c r="AE284" s="587"/>
      <c r="AF284" s="587"/>
      <c r="AG284" s="582"/>
      <c r="AH284" s="582"/>
      <c r="AI284" s="582"/>
      <c r="AJ284" s="582"/>
      <c r="AK284" s="588"/>
      <c r="AL284" s="582">
        <f>113137.73082171-147374.71</f>
        <v>-34236.97918</v>
      </c>
      <c r="AM284" s="582"/>
      <c r="AN284" s="589"/>
      <c r="AO284" s="616"/>
      <c r="AP284" s="592"/>
      <c r="AQ284" s="358"/>
      <c r="AR284" s="592"/>
      <c r="AS284" s="592"/>
      <c r="AT284" s="592"/>
      <c r="AU284" s="592"/>
      <c r="AV284" s="592"/>
      <c r="AW284" s="592"/>
      <c r="AX284" s="592"/>
      <c r="AY284" s="592"/>
      <c r="AZ284" s="592"/>
      <c r="BA284" s="617"/>
      <c r="BB284" s="592"/>
      <c r="BC284" s="592"/>
      <c r="BD284" s="592"/>
      <c r="BE284" s="592"/>
      <c r="BF284" s="592"/>
      <c r="BG284" s="358"/>
      <c r="BH284" s="592"/>
      <c r="BI284" s="592"/>
      <c r="BJ284" s="592"/>
      <c r="BK284" s="592"/>
      <c r="BL284" s="592"/>
      <c r="BM284" s="592"/>
      <c r="BN284" s="592"/>
      <c r="BO284" s="592"/>
      <c r="BP284" s="592"/>
      <c r="BQ284" s="594"/>
      <c r="BR284" s="594"/>
      <c r="BS284" s="394"/>
      <c r="BT284" s="594"/>
      <c r="BU284" s="594"/>
      <c r="BV284" s="594"/>
      <c r="BW284" s="618"/>
      <c r="BX284" s="644"/>
      <c r="BY284" s="644"/>
    </row>
    <row r="285" ht="25.5" customHeight="1">
      <c r="A285" s="635"/>
      <c r="B285" s="666">
        <v>45433.17027636574</v>
      </c>
      <c r="C285" s="642">
        <f t="shared" si="25"/>
        <v>71089.98197</v>
      </c>
      <c r="D285" s="642"/>
      <c r="E285" s="574" t="s">
        <v>231</v>
      </c>
      <c r="F285" s="620"/>
      <c r="G285" s="621"/>
      <c r="H285" s="577">
        <f>2.1005722-0.5091</f>
        <v>1.5914722</v>
      </c>
      <c r="I285" s="577"/>
      <c r="J285" s="613"/>
      <c r="K285" s="581"/>
      <c r="L285" s="581"/>
      <c r="M285" s="613"/>
      <c r="N285" s="613"/>
      <c r="O285" s="613"/>
      <c r="P285" s="580"/>
      <c r="Q285" s="580"/>
      <c r="R285" s="581"/>
      <c r="S285" s="581"/>
      <c r="T285" s="581"/>
      <c r="U285" s="582"/>
      <c r="V285" s="614"/>
      <c r="W285" s="581"/>
      <c r="X285" s="615"/>
      <c r="Y285" s="613"/>
      <c r="Z285" s="580"/>
      <c r="AA285" s="634"/>
      <c r="AB285" s="577"/>
      <c r="AC285" s="673"/>
      <c r="AD285" s="634"/>
      <c r="AE285" s="587"/>
      <c r="AF285" s="587"/>
      <c r="AG285" s="582"/>
      <c r="AH285" s="582"/>
      <c r="AI285" s="582"/>
      <c r="AJ285" s="582"/>
      <c r="AK285" s="588"/>
      <c r="AL285" s="623">
        <v>-113137.73</v>
      </c>
      <c r="AM285" s="623"/>
      <c r="AN285" s="589"/>
      <c r="AO285" s="616"/>
      <c r="AP285" s="592"/>
      <c r="AQ285" s="358"/>
      <c r="AR285" s="592"/>
      <c r="AS285" s="592"/>
      <c r="AT285" s="592"/>
      <c r="AU285" s="592"/>
      <c r="AV285" s="592"/>
      <c r="AW285" s="592"/>
      <c r="AX285" s="592"/>
      <c r="AY285" s="592"/>
      <c r="AZ285" s="592"/>
      <c r="BA285" s="617"/>
      <c r="BB285" s="592"/>
      <c r="BC285" s="592"/>
      <c r="BD285" s="592"/>
      <c r="BE285" s="592"/>
      <c r="BF285" s="592"/>
      <c r="BG285" s="358"/>
      <c r="BH285" s="592"/>
      <c r="BI285" s="592"/>
      <c r="BJ285" s="592"/>
      <c r="BK285" s="592"/>
      <c r="BL285" s="592"/>
      <c r="BM285" s="592"/>
      <c r="BN285" s="592"/>
      <c r="BO285" s="592"/>
      <c r="BP285" s="592"/>
      <c r="BQ285" s="594"/>
      <c r="BR285" s="594"/>
      <c r="BS285" s="394"/>
      <c r="BT285" s="594"/>
      <c r="BU285" s="594"/>
      <c r="BV285" s="594"/>
      <c r="BW285" s="618"/>
      <c r="BX285" s="644"/>
      <c r="BY285" s="644"/>
    </row>
    <row r="286" ht="25.5" customHeight="1">
      <c r="A286" s="635"/>
      <c r="B286" s="666">
        <v>45433.173335486106</v>
      </c>
      <c r="C286" s="642"/>
      <c r="D286" s="642"/>
      <c r="E286" s="574" t="s">
        <v>231</v>
      </c>
      <c r="F286" s="620"/>
      <c r="G286" s="621"/>
      <c r="H286" s="577">
        <f>2.33322892-2.100572</f>
        <v>0.23265692</v>
      </c>
      <c r="I286" s="577"/>
      <c r="J286" s="613"/>
      <c r="K286" s="581"/>
      <c r="L286" s="581"/>
      <c r="M286" s="613"/>
      <c r="N286" s="613"/>
      <c r="O286" s="613"/>
      <c r="P286" s="580"/>
      <c r="Q286" s="580"/>
      <c r="R286" s="581"/>
      <c r="S286" s="581"/>
      <c r="T286" s="581"/>
      <c r="U286" s="582"/>
      <c r="V286" s="614"/>
      <c r="W286" s="581"/>
      <c r="X286" s="615"/>
      <c r="Y286" s="613"/>
      <c r="Z286" s="580"/>
      <c r="AA286" s="634"/>
      <c r="AB286" s="577"/>
      <c r="AC286" s="673"/>
      <c r="AD286" s="634"/>
      <c r="AE286" s="587"/>
      <c r="AF286" s="587"/>
      <c r="AG286" s="582"/>
      <c r="AH286" s="582"/>
      <c r="AI286" s="582"/>
      <c r="AJ286" s="582"/>
      <c r="AK286" s="588"/>
      <c r="AL286" s="582"/>
      <c r="AM286" s="582"/>
      <c r="AN286" s="589"/>
      <c r="AO286" s="616"/>
      <c r="AP286" s="592"/>
      <c r="AQ286" s="358"/>
      <c r="AR286" s="592"/>
      <c r="AS286" s="592"/>
      <c r="AT286" s="592"/>
      <c r="AU286" s="592"/>
      <c r="AV286" s="592"/>
      <c r="AW286" s="592"/>
      <c r="AX286" s="591">
        <v>-5676.44</v>
      </c>
      <c r="AY286" s="592"/>
      <c r="AZ286" s="592"/>
      <c r="BA286" s="617"/>
      <c r="BB286" s="592"/>
      <c r="BC286" s="592"/>
      <c r="BD286" s="592"/>
      <c r="BE286" s="592"/>
      <c r="BF286" s="592"/>
      <c r="BG286" s="358"/>
      <c r="BH286" s="592"/>
      <c r="BI286" s="592"/>
      <c r="BJ286" s="592"/>
      <c r="BK286" s="592"/>
      <c r="BL286" s="592"/>
      <c r="BM286" s="592"/>
      <c r="BN286" s="592"/>
      <c r="BO286" s="592"/>
      <c r="BP286" s="592"/>
      <c r="BQ286" s="594"/>
      <c r="BR286" s="594"/>
      <c r="BS286" s="394"/>
      <c r="BT286" s="594"/>
      <c r="BU286" s="594"/>
      <c r="BV286" s="594"/>
      <c r="BW286" s="618"/>
      <c r="BX286" s="644"/>
      <c r="BY286" s="644"/>
    </row>
    <row r="287" ht="25.5" customHeight="1">
      <c r="A287" s="635"/>
      <c r="B287" s="666">
        <v>45433.18170299768</v>
      </c>
      <c r="C287" s="642"/>
      <c r="D287" s="642"/>
      <c r="E287" s="574" t="s">
        <v>218</v>
      </c>
      <c r="F287" s="600">
        <v>2.33310892</v>
      </c>
      <c r="H287" s="622">
        <v>-2.333229</v>
      </c>
      <c r="I287" s="622"/>
      <c r="J287" s="613"/>
      <c r="K287" s="581"/>
      <c r="L287" s="581"/>
      <c r="M287" s="613"/>
      <c r="N287" s="613"/>
      <c r="O287" s="613"/>
      <c r="P287" s="580"/>
      <c r="Q287" s="580"/>
      <c r="R287" s="581"/>
      <c r="S287" s="581"/>
      <c r="T287" s="581"/>
      <c r="U287" s="582"/>
      <c r="V287" s="614"/>
      <c r="W287" s="581"/>
      <c r="X287" s="615"/>
      <c r="Y287" s="613"/>
      <c r="Z287" s="580"/>
      <c r="AA287" s="634"/>
      <c r="AB287" s="577"/>
      <c r="AC287" s="673"/>
      <c r="AD287" s="634"/>
      <c r="AE287" s="587"/>
      <c r="AF287" s="587"/>
      <c r="AG287" s="582"/>
      <c r="AH287" s="582"/>
      <c r="AI287" s="582"/>
      <c r="AJ287" s="582"/>
      <c r="AK287" s="588"/>
      <c r="AL287" s="582"/>
      <c r="AM287" s="582"/>
      <c r="AN287" s="589"/>
      <c r="AO287" s="616"/>
      <c r="AP287" s="592"/>
      <c r="AQ287" s="358"/>
      <c r="AR287" s="592"/>
      <c r="AS287" s="592"/>
      <c r="AT287" s="592"/>
      <c r="AU287" s="592"/>
      <c r="AV287" s="592"/>
      <c r="AW287" s="592"/>
      <c r="AX287" s="592"/>
      <c r="AY287" s="592"/>
      <c r="AZ287" s="592"/>
      <c r="BA287" s="617"/>
      <c r="BB287" s="592"/>
      <c r="BC287" s="592"/>
      <c r="BD287" s="592"/>
      <c r="BE287" s="592"/>
      <c r="BF287" s="592"/>
      <c r="BG287" s="358"/>
      <c r="BH287" s="592"/>
      <c r="BI287" s="592"/>
      <c r="BJ287" s="592"/>
      <c r="BK287" s="592"/>
      <c r="BL287" s="592"/>
      <c r="BM287" s="592"/>
      <c r="BN287" s="592"/>
      <c r="BO287" s="592"/>
      <c r="BP287" s="592"/>
      <c r="BQ287" s="594"/>
      <c r="BR287" s="594"/>
      <c r="BS287" s="394"/>
      <c r="BT287" s="594"/>
      <c r="BU287" s="594"/>
      <c r="BV287" s="594"/>
      <c r="BW287" s="618"/>
      <c r="BX287" s="644"/>
      <c r="BY287" s="644"/>
      <c r="BZ287" s="609" t="s">
        <v>452</v>
      </c>
    </row>
    <row r="288" ht="25.5" customHeight="1">
      <c r="A288" s="635"/>
      <c r="B288" s="666">
        <f>now()</f>
        <v>45664.89611</v>
      </c>
      <c r="C288" s="642"/>
      <c r="D288" s="642"/>
      <c r="E288" s="574" t="s">
        <v>231</v>
      </c>
      <c r="F288" s="620"/>
      <c r="G288" s="621"/>
      <c r="H288" s="577"/>
      <c r="I288" s="577"/>
      <c r="J288" s="613"/>
      <c r="K288" s="581"/>
      <c r="L288" s="581"/>
      <c r="M288" s="613"/>
      <c r="N288" s="613"/>
      <c r="O288" s="613"/>
      <c r="P288" s="580"/>
      <c r="Q288" s="580"/>
      <c r="R288" s="581"/>
      <c r="S288" s="579">
        <v>162500.0</v>
      </c>
      <c r="T288" s="579">
        <v>-162500.0</v>
      </c>
      <c r="U288" s="582"/>
      <c r="V288" s="614"/>
      <c r="W288" s="581"/>
      <c r="X288" s="615"/>
      <c r="Y288" s="613"/>
      <c r="Z288" s="580"/>
      <c r="AA288" s="634"/>
      <c r="AB288" s="577"/>
      <c r="AC288" s="673"/>
      <c r="AD288" s="634"/>
      <c r="AE288" s="587"/>
      <c r="AF288" s="587"/>
      <c r="AG288" s="582"/>
      <c r="AH288" s="582"/>
      <c r="AI288" s="582"/>
      <c r="AJ288" s="582"/>
      <c r="AK288" s="588"/>
      <c r="AL288" s="582"/>
      <c r="AM288" s="582"/>
      <c r="AN288" s="589"/>
      <c r="AO288" s="616"/>
      <c r="AP288" s="592"/>
      <c r="AQ288" s="358"/>
      <c r="AR288" s="592"/>
      <c r="AS288" s="592"/>
      <c r="AT288" s="592"/>
      <c r="AU288" s="592"/>
      <c r="AV288" s="592"/>
      <c r="AW288" s="592"/>
      <c r="AX288" s="592"/>
      <c r="AY288" s="592"/>
      <c r="AZ288" s="592"/>
      <c r="BA288" s="617"/>
      <c r="BB288" s="592"/>
      <c r="BC288" s="592"/>
      <c r="BD288" s="592"/>
      <c r="BE288" s="592"/>
      <c r="BF288" s="592"/>
      <c r="BG288" s="358"/>
      <c r="BH288" s="592"/>
      <c r="BI288" s="592"/>
      <c r="BJ288" s="592"/>
      <c r="BK288" s="592"/>
      <c r="BL288" s="592"/>
      <c r="BM288" s="592"/>
      <c r="BN288" s="592"/>
      <c r="BO288" s="592"/>
      <c r="BP288" s="592"/>
      <c r="BQ288" s="594"/>
      <c r="BR288" s="594"/>
      <c r="BS288" s="394"/>
      <c r="BT288" s="594"/>
      <c r="BU288" s="594"/>
      <c r="BV288" s="594"/>
      <c r="BW288" s="618"/>
      <c r="BX288" s="644"/>
      <c r="BY288" s="644"/>
      <c r="BZ288" s="609" t="s">
        <v>453</v>
      </c>
    </row>
    <row r="289" ht="25.5" customHeight="1">
      <c r="A289" s="635"/>
      <c r="B289" s="666">
        <v>45433.199043078705</v>
      </c>
      <c r="C289" s="642"/>
      <c r="D289" s="642"/>
      <c r="E289" s="574" t="s">
        <v>218</v>
      </c>
      <c r="F289" s="620"/>
      <c r="G289" s="621"/>
      <c r="H289" s="577"/>
      <c r="I289" s="577"/>
      <c r="J289" s="613"/>
      <c r="K289" s="581"/>
      <c r="L289" s="581"/>
      <c r="M289" s="613"/>
      <c r="N289" s="613"/>
      <c r="O289" s="613"/>
      <c r="P289" s="580"/>
      <c r="Q289" s="580"/>
      <c r="R289" s="581"/>
      <c r="S289" s="579">
        <v>-162500.0</v>
      </c>
      <c r="T289" s="581"/>
      <c r="U289" s="582"/>
      <c r="V289" s="614"/>
      <c r="W289" s="581"/>
      <c r="X289" s="615"/>
      <c r="Y289" s="613"/>
      <c r="Z289" s="580"/>
      <c r="AA289" s="634"/>
      <c r="AB289" s="577"/>
      <c r="AC289" s="673"/>
      <c r="AD289" s="634"/>
      <c r="AE289" s="587"/>
      <c r="AF289" s="587"/>
      <c r="AG289" s="582"/>
      <c r="AH289" s="582"/>
      <c r="AI289" s="582"/>
      <c r="AJ289" s="582"/>
      <c r="AK289" s="700">
        <v>162500.0</v>
      </c>
      <c r="AL289" s="582"/>
      <c r="AM289" s="582"/>
      <c r="AN289" s="589"/>
      <c r="AO289" s="616"/>
      <c r="AP289" s="592"/>
      <c r="AQ289" s="358"/>
      <c r="AR289" s="592"/>
      <c r="AS289" s="592"/>
      <c r="AT289" s="592"/>
      <c r="AU289" s="592"/>
      <c r="AV289" s="592"/>
      <c r="AW289" s="592"/>
      <c r="AX289" s="592"/>
      <c r="AY289" s="592"/>
      <c r="AZ289" s="592"/>
      <c r="BA289" s="617"/>
      <c r="BB289" s="592"/>
      <c r="BC289" s="592"/>
      <c r="BD289" s="592"/>
      <c r="BE289" s="592"/>
      <c r="BF289" s="592"/>
      <c r="BG289" s="358"/>
      <c r="BH289" s="592"/>
      <c r="BI289" s="592"/>
      <c r="BJ289" s="592"/>
      <c r="BK289" s="592"/>
      <c r="BL289" s="592"/>
      <c r="BM289" s="592"/>
      <c r="BN289" s="592"/>
      <c r="BO289" s="592"/>
      <c r="BP289" s="592"/>
      <c r="BQ289" s="594"/>
      <c r="BR289" s="594"/>
      <c r="BS289" s="394"/>
      <c r="BT289" s="594"/>
      <c r="BU289" s="594"/>
      <c r="BV289" s="594"/>
      <c r="BW289" s="618"/>
      <c r="BX289" s="644"/>
      <c r="BY289" s="644"/>
      <c r="BZ289" s="609" t="s">
        <v>454</v>
      </c>
      <c r="CA289" s="609" t="s">
        <v>455</v>
      </c>
    </row>
    <row r="290" ht="25.5" customHeight="1">
      <c r="A290" s="635"/>
      <c r="B290" s="666">
        <v>45433.273878506945</v>
      </c>
      <c r="C290" s="642">
        <f>ABS(AK290)/H290</f>
        <v>71163.70182</v>
      </c>
      <c r="D290" s="642"/>
      <c r="E290" s="574" t="s">
        <v>231</v>
      </c>
      <c r="F290" s="620"/>
      <c r="G290" s="621"/>
      <c r="H290" s="622">
        <v>2.28342</v>
      </c>
      <c r="I290" s="622"/>
      <c r="J290" s="613"/>
      <c r="K290" s="581"/>
      <c r="L290" s="581"/>
      <c r="M290" s="613"/>
      <c r="N290" s="613"/>
      <c r="O290" s="613"/>
      <c r="P290" s="580"/>
      <c r="Q290" s="580"/>
      <c r="R290" s="581"/>
      <c r="S290" s="581"/>
      <c r="T290" s="581"/>
      <c r="U290" s="582"/>
      <c r="V290" s="614"/>
      <c r="W290" s="581"/>
      <c r="X290" s="615"/>
      <c r="Y290" s="613"/>
      <c r="Z290" s="580"/>
      <c r="AA290" s="634"/>
      <c r="AB290" s="577"/>
      <c r="AC290" s="673"/>
      <c r="AD290" s="634"/>
      <c r="AE290" s="587"/>
      <c r="AF290" s="587"/>
      <c r="AG290" s="582"/>
      <c r="AH290" s="582"/>
      <c r="AI290" s="582"/>
      <c r="AJ290" s="582"/>
      <c r="AK290" s="700">
        <f>-162500+3.38</f>
        <v>-162496.62</v>
      </c>
      <c r="AL290" s="582"/>
      <c r="AM290" s="582"/>
      <c r="AN290" s="589"/>
      <c r="AO290" s="616"/>
      <c r="AP290" s="592"/>
      <c r="AQ290" s="358"/>
      <c r="AR290" s="592"/>
      <c r="AS290" s="592"/>
      <c r="AT290" s="592"/>
      <c r="AU290" s="592"/>
      <c r="AV290" s="592"/>
      <c r="AW290" s="592"/>
      <c r="AX290" s="592"/>
      <c r="AY290" s="592"/>
      <c r="AZ290" s="592"/>
      <c r="BA290" s="617"/>
      <c r="BB290" s="592"/>
      <c r="BC290" s="592"/>
      <c r="BD290" s="592"/>
      <c r="BE290" s="592"/>
      <c r="BF290" s="592"/>
      <c r="BG290" s="358"/>
      <c r="BH290" s="592"/>
      <c r="BI290" s="592"/>
      <c r="BJ290" s="592"/>
      <c r="BK290" s="592"/>
      <c r="BL290" s="592"/>
      <c r="BM290" s="592"/>
      <c r="BN290" s="592"/>
      <c r="BO290" s="592"/>
      <c r="BP290" s="592"/>
      <c r="BQ290" s="594"/>
      <c r="BR290" s="594"/>
      <c r="BS290" s="394"/>
      <c r="BT290" s="594"/>
      <c r="BU290" s="594"/>
      <c r="BV290" s="594"/>
      <c r="BW290" s="618"/>
      <c r="BX290" s="644"/>
      <c r="BY290" s="644"/>
    </row>
    <row r="291" ht="25.5" customHeight="1">
      <c r="A291" s="635"/>
      <c r="B291" s="666">
        <v>45433.46356984954</v>
      </c>
      <c r="C291" s="642"/>
      <c r="D291" s="642"/>
      <c r="E291" s="574" t="s">
        <v>231</v>
      </c>
      <c r="F291" s="620"/>
      <c r="G291" s="621"/>
      <c r="H291" s="577"/>
      <c r="I291" s="577"/>
      <c r="J291" s="613"/>
      <c r="K291" s="581"/>
      <c r="L291" s="581"/>
      <c r="M291" s="613"/>
      <c r="N291" s="613"/>
      <c r="O291" s="613"/>
      <c r="P291" s="580"/>
      <c r="Q291" s="580"/>
      <c r="R291" s="581"/>
      <c r="S291" s="579">
        <v>170000.0</v>
      </c>
      <c r="T291" s="579">
        <v>-170000.0</v>
      </c>
      <c r="U291" s="582"/>
      <c r="V291" s="614"/>
      <c r="W291" s="581"/>
      <c r="X291" s="615"/>
      <c r="Y291" s="613"/>
      <c r="Z291" s="580"/>
      <c r="AA291" s="634"/>
      <c r="AB291" s="577"/>
      <c r="AC291" s="673"/>
      <c r="AD291" s="634"/>
      <c r="AE291" s="587"/>
      <c r="AF291" s="587"/>
      <c r="AG291" s="582"/>
      <c r="AH291" s="582"/>
      <c r="AI291" s="582"/>
      <c r="AJ291" s="582"/>
      <c r="AK291" s="700"/>
      <c r="AL291" s="582"/>
      <c r="AM291" s="582"/>
      <c r="AN291" s="589"/>
      <c r="AO291" s="616"/>
      <c r="AP291" s="592"/>
      <c r="AQ291" s="358"/>
      <c r="AR291" s="592"/>
      <c r="AS291" s="592"/>
      <c r="AT291" s="592"/>
      <c r="AU291" s="592"/>
      <c r="AV291" s="592"/>
      <c r="AW291" s="592"/>
      <c r="AX291" s="592"/>
      <c r="AY291" s="592"/>
      <c r="AZ291" s="592"/>
      <c r="BA291" s="617"/>
      <c r="BB291" s="592"/>
      <c r="BC291" s="592"/>
      <c r="BD291" s="592"/>
      <c r="BE291" s="592"/>
      <c r="BF291" s="592"/>
      <c r="BG291" s="358"/>
      <c r="BH291" s="592"/>
      <c r="BI291" s="592"/>
      <c r="BJ291" s="592"/>
      <c r="BK291" s="592"/>
      <c r="BL291" s="592"/>
      <c r="BM291" s="592"/>
      <c r="BN291" s="592"/>
      <c r="BO291" s="592"/>
      <c r="BP291" s="592"/>
      <c r="BQ291" s="594"/>
      <c r="BR291" s="594"/>
      <c r="BS291" s="394"/>
      <c r="BT291" s="594"/>
      <c r="BU291" s="594"/>
      <c r="BV291" s="594"/>
      <c r="BW291" s="618"/>
      <c r="BX291" s="644"/>
      <c r="BY291" s="644"/>
      <c r="BZ291" s="609" t="s">
        <v>456</v>
      </c>
    </row>
    <row r="292" ht="25.5" customHeight="1">
      <c r="A292" s="635"/>
      <c r="B292" s="572">
        <v>45433.48232638889</v>
      </c>
      <c r="C292" s="642"/>
      <c r="D292" s="642"/>
      <c r="E292" s="574" t="s">
        <v>218</v>
      </c>
      <c r="F292" s="620"/>
      <c r="G292" s="621"/>
      <c r="H292" s="577"/>
      <c r="I292" s="577"/>
      <c r="J292" s="613"/>
      <c r="K292" s="581"/>
      <c r="L292" s="581"/>
      <c r="M292" s="613"/>
      <c r="N292" s="613"/>
      <c r="O292" s="613"/>
      <c r="P292" s="580"/>
      <c r="Q292" s="580"/>
      <c r="R292" s="581"/>
      <c r="S292" s="579">
        <v>-170000.0</v>
      </c>
      <c r="T292" s="581"/>
      <c r="U292" s="582"/>
      <c r="V292" s="614"/>
      <c r="W292" s="581"/>
      <c r="X292" s="615"/>
      <c r="Y292" s="613"/>
      <c r="Z292" s="580"/>
      <c r="AA292" s="634"/>
      <c r="AB292" s="577"/>
      <c r="AC292" s="673"/>
      <c r="AD292" s="634"/>
      <c r="AE292" s="587"/>
      <c r="AF292" s="587"/>
      <c r="AG292" s="582"/>
      <c r="AH292" s="582"/>
      <c r="AI292" s="582"/>
      <c r="AJ292" s="582"/>
      <c r="AK292" s="700">
        <v>170000.0</v>
      </c>
      <c r="AL292" s="582"/>
      <c r="AM292" s="582"/>
      <c r="AN292" s="589"/>
      <c r="AO292" s="616"/>
      <c r="AP292" s="592"/>
      <c r="AQ292" s="358"/>
      <c r="AR292" s="592"/>
      <c r="AS292" s="592"/>
      <c r="AT292" s="592"/>
      <c r="AU292" s="592"/>
      <c r="AV292" s="592"/>
      <c r="AW292" s="592"/>
      <c r="AX292" s="592"/>
      <c r="AY292" s="592"/>
      <c r="AZ292" s="592"/>
      <c r="BA292" s="617"/>
      <c r="BB292" s="592"/>
      <c r="BC292" s="592"/>
      <c r="BD292" s="592"/>
      <c r="BE292" s="592"/>
      <c r="BF292" s="592"/>
      <c r="BG292" s="358"/>
      <c r="BH292" s="592"/>
      <c r="BI292" s="592"/>
      <c r="BJ292" s="592"/>
      <c r="BK292" s="592"/>
      <c r="BL292" s="592"/>
      <c r="BM292" s="592"/>
      <c r="BN292" s="592"/>
      <c r="BO292" s="592"/>
      <c r="BP292" s="592"/>
      <c r="BQ292" s="594"/>
      <c r="BR292" s="594"/>
      <c r="BS292" s="394"/>
      <c r="BT292" s="594"/>
      <c r="BU292" s="594"/>
      <c r="BV292" s="594"/>
      <c r="BW292" s="618"/>
      <c r="BX292" s="644"/>
      <c r="BY292" s="644"/>
      <c r="BZ292" s="609" t="s">
        <v>457</v>
      </c>
    </row>
    <row r="293" ht="25.5" customHeight="1">
      <c r="A293" s="635"/>
      <c r="B293" s="572">
        <v>45433.56008101852</v>
      </c>
      <c r="C293" s="642">
        <f t="shared" ref="C293:C294" si="26">ABS(AK293)/H293</f>
        <v>70550.00388</v>
      </c>
      <c r="D293" s="642"/>
      <c r="E293" s="574" t="s">
        <v>231</v>
      </c>
      <c r="F293" s="620"/>
      <c r="G293" s="621"/>
      <c r="H293" s="577">
        <f>3.48826-2.28342</f>
        <v>1.20484</v>
      </c>
      <c r="I293" s="577"/>
      <c r="J293" s="613"/>
      <c r="K293" s="581"/>
      <c r="L293" s="581"/>
      <c r="M293" s="613"/>
      <c r="N293" s="613"/>
      <c r="O293" s="613"/>
      <c r="P293" s="580"/>
      <c r="Q293" s="580"/>
      <c r="R293" s="581"/>
      <c r="S293" s="581"/>
      <c r="T293" s="581"/>
      <c r="U293" s="582"/>
      <c r="V293" s="614"/>
      <c r="W293" s="581"/>
      <c r="X293" s="615"/>
      <c r="Y293" s="613"/>
      <c r="Z293" s="580"/>
      <c r="AA293" s="634"/>
      <c r="AB293" s="577"/>
      <c r="AC293" s="673"/>
      <c r="AD293" s="634"/>
      <c r="AE293" s="587"/>
      <c r="AF293" s="587"/>
      <c r="AG293" s="582"/>
      <c r="AH293" s="582"/>
      <c r="AI293" s="582"/>
      <c r="AJ293" s="582"/>
      <c r="AK293" s="588">
        <f>85001.9133302-170003.38</f>
        <v>-85001.46667</v>
      </c>
      <c r="AL293" s="582"/>
      <c r="AM293" s="582"/>
      <c r="AN293" s="589"/>
      <c r="AO293" s="616"/>
      <c r="AP293" s="592"/>
      <c r="AQ293" s="358"/>
      <c r="AR293" s="592"/>
      <c r="AS293" s="592"/>
      <c r="AT293" s="592"/>
      <c r="AU293" s="592"/>
      <c r="AV293" s="592"/>
      <c r="AW293" s="592"/>
      <c r="AX293" s="592"/>
      <c r="AY293" s="592"/>
      <c r="AZ293" s="592"/>
      <c r="BA293" s="617"/>
      <c r="BB293" s="592"/>
      <c r="BC293" s="592"/>
      <c r="BD293" s="592"/>
      <c r="BE293" s="592"/>
      <c r="BF293" s="592"/>
      <c r="BG293" s="358"/>
      <c r="BH293" s="592"/>
      <c r="BI293" s="592"/>
      <c r="BJ293" s="592"/>
      <c r="BK293" s="592"/>
      <c r="BL293" s="592"/>
      <c r="BM293" s="592"/>
      <c r="BN293" s="592"/>
      <c r="BO293" s="592"/>
      <c r="BP293" s="592"/>
      <c r="BQ293" s="594"/>
      <c r="BR293" s="594"/>
      <c r="BS293" s="394"/>
      <c r="BT293" s="594"/>
      <c r="BU293" s="594"/>
      <c r="BV293" s="594"/>
      <c r="BW293" s="618"/>
      <c r="BX293" s="644"/>
      <c r="BY293" s="644"/>
    </row>
    <row r="294" ht="25.5" customHeight="1">
      <c r="A294" s="635"/>
      <c r="B294" s="666">
        <v>45433.82006518518</v>
      </c>
      <c r="C294" s="642">
        <f t="shared" si="26"/>
        <v>69751.45244</v>
      </c>
      <c r="D294" s="642"/>
      <c r="E294" s="574" t="s">
        <v>231</v>
      </c>
      <c r="F294" s="620"/>
      <c r="G294" s="621"/>
      <c r="H294" s="577">
        <f>4.7069-3.48826</f>
        <v>1.21864</v>
      </c>
      <c r="I294" s="577"/>
      <c r="J294" s="613"/>
      <c r="K294" s="581"/>
      <c r="L294" s="581"/>
      <c r="M294" s="613"/>
      <c r="N294" s="613"/>
      <c r="O294" s="613"/>
      <c r="P294" s="580"/>
      <c r="Q294" s="580"/>
      <c r="R294" s="581"/>
      <c r="S294" s="581"/>
      <c r="T294" s="581"/>
      <c r="U294" s="582"/>
      <c r="V294" s="614"/>
      <c r="W294" s="581"/>
      <c r="X294" s="615"/>
      <c r="Y294" s="613"/>
      <c r="Z294" s="580"/>
      <c r="AA294" s="634"/>
      <c r="AB294" s="577"/>
      <c r="AC294" s="673"/>
      <c r="AD294" s="634"/>
      <c r="AE294" s="587"/>
      <c r="AF294" s="587"/>
      <c r="AG294" s="582"/>
      <c r="AH294" s="582"/>
      <c r="AI294" s="582"/>
      <c r="AJ294" s="582"/>
      <c r="AK294" s="700">
        <v>-85001.91</v>
      </c>
      <c r="AL294" s="582"/>
      <c r="AM294" s="582"/>
      <c r="AN294" s="589"/>
      <c r="AO294" s="616"/>
      <c r="AP294" s="592"/>
      <c r="AQ294" s="358"/>
      <c r="AR294" s="592"/>
      <c r="AS294" s="592"/>
      <c r="AT294" s="592"/>
      <c r="AU294" s="592"/>
      <c r="AV294" s="592"/>
      <c r="AW294" s="592"/>
      <c r="AX294" s="592"/>
      <c r="AY294" s="592"/>
      <c r="AZ294" s="592"/>
      <c r="BA294" s="617"/>
      <c r="BB294" s="592"/>
      <c r="BC294" s="592"/>
      <c r="BD294" s="592"/>
      <c r="BE294" s="592"/>
      <c r="BF294" s="592"/>
      <c r="BG294" s="358"/>
      <c r="BH294" s="592"/>
      <c r="BI294" s="592"/>
      <c r="BJ294" s="592"/>
      <c r="BK294" s="592"/>
      <c r="BL294" s="592"/>
      <c r="BM294" s="592"/>
      <c r="BN294" s="592"/>
      <c r="BO294" s="592"/>
      <c r="BP294" s="592"/>
      <c r="BQ294" s="594"/>
      <c r="BR294" s="594"/>
      <c r="BS294" s="394"/>
      <c r="BT294" s="594"/>
      <c r="BU294" s="594"/>
      <c r="BV294" s="594"/>
      <c r="BW294" s="618"/>
      <c r="BX294" s="644"/>
      <c r="BY294" s="644"/>
    </row>
    <row r="295" ht="25.5" customHeight="1">
      <c r="A295" s="635"/>
      <c r="B295" s="572">
        <v>45433.99930555555</v>
      </c>
      <c r="C295" s="642"/>
      <c r="D295" s="642"/>
      <c r="E295" s="574" t="s">
        <v>327</v>
      </c>
      <c r="F295" s="620"/>
      <c r="G295" s="621">
        <f>0.40828127-0.00226549</f>
        <v>0.40601578</v>
      </c>
      <c r="H295" s="577"/>
      <c r="I295" s="577"/>
      <c r="J295" s="613"/>
      <c r="K295" s="581"/>
      <c r="L295" s="581"/>
      <c r="M295" s="613"/>
      <c r="N295" s="613"/>
      <c r="O295" s="613"/>
      <c r="P295" s="580"/>
      <c r="Q295" s="580"/>
      <c r="R295" s="581"/>
      <c r="S295" s="581"/>
      <c r="T295" s="581"/>
      <c r="U295" s="582"/>
      <c r="V295" s="614"/>
      <c r="W295" s="581"/>
      <c r="X295" s="615"/>
      <c r="Y295" s="613"/>
      <c r="Z295" s="580"/>
      <c r="AA295" s="634"/>
      <c r="AB295" s="577"/>
      <c r="AC295" s="673"/>
      <c r="AD295" s="634"/>
      <c r="AE295" s="587"/>
      <c r="AF295" s="587"/>
      <c r="AG295" s="582"/>
      <c r="AH295" s="582"/>
      <c r="AI295" s="582"/>
      <c r="AJ295" s="582"/>
      <c r="AK295" s="588"/>
      <c r="AL295" s="582"/>
      <c r="AM295" s="582"/>
      <c r="AN295" s="589"/>
      <c r="AO295" s="616"/>
      <c r="AP295" s="592"/>
      <c r="AQ295" s="358"/>
      <c r="AR295" s="592"/>
      <c r="AS295" s="592"/>
      <c r="AT295" s="592"/>
      <c r="AU295" s="592"/>
      <c r="AV295" s="592"/>
      <c r="AW295" s="592"/>
      <c r="AX295" s="592"/>
      <c r="AY295" s="592"/>
      <c r="AZ295" s="592"/>
      <c r="BA295" s="617"/>
      <c r="BB295" s="592"/>
      <c r="BC295" s="592"/>
      <c r="BD295" s="592"/>
      <c r="BE295" s="592"/>
      <c r="BF295" s="592"/>
      <c r="BG295" s="358"/>
      <c r="BH295" s="592"/>
      <c r="BI295" s="592"/>
      <c r="BJ295" s="592"/>
      <c r="BK295" s="592"/>
      <c r="BL295" s="592"/>
      <c r="BM295" s="592"/>
      <c r="BN295" s="592"/>
      <c r="BO295" s="592"/>
      <c r="BP295" s="592"/>
      <c r="BQ295" s="594"/>
      <c r="BR295" s="594"/>
      <c r="BS295" s="394"/>
      <c r="BT295" s="594"/>
      <c r="BU295" s="594"/>
      <c r="BV295" s="594"/>
      <c r="BW295" s="618"/>
      <c r="BX295" s="644"/>
      <c r="BY295" s="608" t="s">
        <v>458</v>
      </c>
      <c r="BZ295" s="53" t="s">
        <v>459</v>
      </c>
      <c r="CC295" s="609" t="s">
        <v>460</v>
      </c>
    </row>
    <row r="296" ht="25.5" customHeight="1">
      <c r="A296" s="635"/>
      <c r="B296" s="666">
        <v>45434.615980462964</v>
      </c>
      <c r="C296" s="642"/>
      <c r="D296" s="642"/>
      <c r="E296" s="574" t="s">
        <v>218</v>
      </c>
      <c r="F296" s="612">
        <v>4.70678</v>
      </c>
      <c r="G296" s="621"/>
      <c r="H296" s="622">
        <v>-4.7069</v>
      </c>
      <c r="I296" s="622"/>
      <c r="J296" s="613"/>
      <c r="K296" s="581"/>
      <c r="L296" s="581"/>
      <c r="M296" s="613"/>
      <c r="N296" s="613"/>
      <c r="O296" s="613"/>
      <c r="P296" s="580"/>
      <c r="Q296" s="580"/>
      <c r="R296" s="581"/>
      <c r="S296" s="581"/>
      <c r="T296" s="581"/>
      <c r="U296" s="582"/>
      <c r="V296" s="614"/>
      <c r="W296" s="581"/>
      <c r="X296" s="615"/>
      <c r="Y296" s="613"/>
      <c r="Z296" s="580"/>
      <c r="AA296" s="634"/>
      <c r="AB296" s="577"/>
      <c r="AC296" s="673"/>
      <c r="AD296" s="634"/>
      <c r="AE296" s="587"/>
      <c r="AF296" s="587"/>
      <c r="AG296" s="582"/>
      <c r="AH296" s="582"/>
      <c r="AI296" s="582"/>
      <c r="AJ296" s="582"/>
      <c r="AK296" s="588"/>
      <c r="AL296" s="582"/>
      <c r="AM296" s="582"/>
      <c r="AN296" s="589"/>
      <c r="AO296" s="616"/>
      <c r="AP296" s="592"/>
      <c r="AQ296" s="358"/>
      <c r="AR296" s="592"/>
      <c r="AS296" s="592"/>
      <c r="AT296" s="592"/>
      <c r="AU296" s="592"/>
      <c r="AV296" s="592"/>
      <c r="AW296" s="592"/>
      <c r="AX296" s="592"/>
      <c r="AY296" s="592"/>
      <c r="AZ296" s="592"/>
      <c r="BA296" s="617"/>
      <c r="BB296" s="592"/>
      <c r="BC296" s="592"/>
      <c r="BD296" s="592"/>
      <c r="BE296" s="592"/>
      <c r="BF296" s="592"/>
      <c r="BG296" s="358"/>
      <c r="BH296" s="592"/>
      <c r="BI296" s="592"/>
      <c r="BJ296" s="592"/>
      <c r="BK296" s="592"/>
      <c r="BL296" s="592"/>
      <c r="BM296" s="592"/>
      <c r="BN296" s="592"/>
      <c r="BO296" s="592"/>
      <c r="BP296" s="592"/>
      <c r="BQ296" s="594"/>
      <c r="BR296" s="594"/>
      <c r="BS296" s="394"/>
      <c r="BT296" s="594"/>
      <c r="BU296" s="594"/>
      <c r="BV296" s="594"/>
      <c r="BW296" s="618"/>
      <c r="BX296" s="644"/>
      <c r="BY296" s="644"/>
      <c r="BZ296" s="609" t="s">
        <v>461</v>
      </c>
    </row>
    <row r="297" ht="25.5" customHeight="1">
      <c r="A297" s="635"/>
      <c r="B297" s="572">
        <v>45435.47222222222</v>
      </c>
      <c r="C297" s="642"/>
      <c r="D297" s="642"/>
      <c r="E297" s="574" t="s">
        <v>218</v>
      </c>
      <c r="F297" s="612">
        <v>-1.21867867</v>
      </c>
      <c r="G297" s="621"/>
      <c r="H297" s="622">
        <v>1.21864</v>
      </c>
      <c r="I297" s="622"/>
      <c r="J297" s="613"/>
      <c r="K297" s="581"/>
      <c r="L297" s="581"/>
      <c r="M297" s="613"/>
      <c r="N297" s="613"/>
      <c r="O297" s="613"/>
      <c r="P297" s="580"/>
      <c r="Q297" s="580"/>
      <c r="R297" s="581"/>
      <c r="S297" s="581"/>
      <c r="T297" s="581"/>
      <c r="U297" s="582"/>
      <c r="V297" s="614"/>
      <c r="W297" s="581"/>
      <c r="X297" s="615"/>
      <c r="Y297" s="613"/>
      <c r="Z297" s="580"/>
      <c r="AA297" s="634"/>
      <c r="AB297" s="577"/>
      <c r="AC297" s="673"/>
      <c r="AD297" s="634"/>
      <c r="AE297" s="587"/>
      <c r="AF297" s="587"/>
      <c r="AG297" s="582"/>
      <c r="AH297" s="582"/>
      <c r="AI297" s="582"/>
      <c r="AJ297" s="582"/>
      <c r="AK297" s="588"/>
      <c r="AL297" s="582"/>
      <c r="AM297" s="582"/>
      <c r="AN297" s="589"/>
      <c r="AO297" s="616"/>
      <c r="AP297" s="592"/>
      <c r="AQ297" s="358"/>
      <c r="AR297" s="592"/>
      <c r="AS297" s="592"/>
      <c r="AT297" s="592"/>
      <c r="AU297" s="592"/>
      <c r="AV297" s="592"/>
      <c r="AW297" s="592"/>
      <c r="AX297" s="592"/>
      <c r="AY297" s="592"/>
      <c r="AZ297" s="592"/>
      <c r="BA297" s="617"/>
      <c r="BB297" s="592"/>
      <c r="BC297" s="592"/>
      <c r="BD297" s="592"/>
      <c r="BE297" s="592"/>
      <c r="BF297" s="592"/>
      <c r="BG297" s="358"/>
      <c r="BH297" s="592"/>
      <c r="BI297" s="592"/>
      <c r="BJ297" s="592"/>
      <c r="BK297" s="592"/>
      <c r="BL297" s="592"/>
      <c r="BM297" s="592"/>
      <c r="BN297" s="592"/>
      <c r="BO297" s="592"/>
      <c r="BP297" s="592"/>
      <c r="BQ297" s="594"/>
      <c r="BR297" s="594"/>
      <c r="BS297" s="394"/>
      <c r="BT297" s="594"/>
      <c r="BU297" s="594"/>
      <c r="BV297" s="594"/>
      <c r="BW297" s="618"/>
      <c r="BX297" s="644"/>
      <c r="BY297" s="644"/>
      <c r="BZ297" s="609" t="s">
        <v>462</v>
      </c>
    </row>
    <row r="298" ht="25.5" customHeight="1">
      <c r="A298" s="635"/>
      <c r="B298" s="666">
        <v>45435.485815520835</v>
      </c>
      <c r="C298" s="642"/>
      <c r="D298" s="642"/>
      <c r="E298" s="574" t="s">
        <v>241</v>
      </c>
      <c r="F298" s="620"/>
      <c r="G298" s="621"/>
      <c r="H298" s="577">
        <f>1.211604-1.21864</f>
        <v>-0.007036</v>
      </c>
      <c r="I298" s="577"/>
      <c r="J298" s="613"/>
      <c r="K298" s="581"/>
      <c r="L298" s="581"/>
      <c r="M298" s="613"/>
      <c r="N298" s="613"/>
      <c r="O298" s="613"/>
      <c r="P298" s="580"/>
      <c r="Q298" s="580"/>
      <c r="R298" s="581"/>
      <c r="S298" s="581"/>
      <c r="T298" s="581"/>
      <c r="U298" s="582"/>
      <c r="V298" s="614"/>
      <c r="W298" s="581"/>
      <c r="X298" s="615"/>
      <c r="Y298" s="613"/>
      <c r="Z298" s="580"/>
      <c r="AA298" s="634"/>
      <c r="AB298" s="577"/>
      <c r="AC298" s="673"/>
      <c r="AD298" s="634"/>
      <c r="AE298" s="587"/>
      <c r="AF298" s="587"/>
      <c r="AG298" s="582"/>
      <c r="AH298" s="582"/>
      <c r="AI298" s="582"/>
      <c r="AJ298" s="582"/>
      <c r="AK298" s="588"/>
      <c r="AL298" s="582"/>
      <c r="AM298" s="582"/>
      <c r="AN298" s="589"/>
      <c r="AO298" s="616"/>
      <c r="AP298" s="592"/>
      <c r="AQ298" s="358"/>
      <c r="AR298" s="592"/>
      <c r="AS298" s="592"/>
      <c r="AT298" s="592"/>
      <c r="AU298" s="592"/>
      <c r="AV298" s="592"/>
      <c r="AW298" s="592"/>
      <c r="AX298" s="592"/>
      <c r="AY298" s="592"/>
      <c r="AZ298" s="592"/>
      <c r="BA298" s="617"/>
      <c r="BB298" s="592"/>
      <c r="BC298" s="592"/>
      <c r="BD298" s="592"/>
      <c r="BE298" s="592"/>
      <c r="BF298" s="592"/>
      <c r="BG298" s="358"/>
      <c r="BH298" s="592"/>
      <c r="BI298" s="592"/>
      <c r="BJ298" s="592"/>
      <c r="BK298" s="592"/>
      <c r="BL298" s="592"/>
      <c r="BM298" s="592"/>
      <c r="BN298" s="592"/>
      <c r="BO298" s="592"/>
      <c r="BP298" s="592"/>
      <c r="BQ298" s="594"/>
      <c r="BR298" s="594"/>
      <c r="BS298" s="394"/>
      <c r="BT298" s="594"/>
      <c r="BU298" s="594"/>
      <c r="BV298" s="594"/>
      <c r="BW298" s="618"/>
      <c r="BX298" s="644"/>
      <c r="BY298" s="608" t="s">
        <v>451</v>
      </c>
    </row>
    <row r="299" ht="25.5" customHeight="1">
      <c r="A299" s="635"/>
      <c r="B299" s="666">
        <v>45435.55628927083</v>
      </c>
      <c r="C299" s="642">
        <f>ABS(AL299)/H299</f>
        <v>-69799.87564</v>
      </c>
      <c r="D299" s="642"/>
      <c r="E299" s="574" t="s">
        <v>231</v>
      </c>
      <c r="F299" s="620"/>
      <c r="G299" s="621"/>
      <c r="H299" s="622">
        <v>-1.211604</v>
      </c>
      <c r="I299" s="622"/>
      <c r="J299" s="613"/>
      <c r="K299" s="581"/>
      <c r="L299" s="581"/>
      <c r="M299" s="613"/>
      <c r="N299" s="613"/>
      <c r="O299" s="613"/>
      <c r="P299" s="580"/>
      <c r="Q299" s="580"/>
      <c r="R299" s="581"/>
      <c r="S299" s="581"/>
      <c r="T299" s="581"/>
      <c r="U299" s="582"/>
      <c r="V299" s="614"/>
      <c r="W299" s="581"/>
      <c r="X299" s="615"/>
      <c r="Y299" s="613"/>
      <c r="Z299" s="580"/>
      <c r="AA299" s="634"/>
      <c r="AB299" s="577"/>
      <c r="AC299" s="673"/>
      <c r="AD299" s="634"/>
      <c r="AE299" s="587"/>
      <c r="AF299" s="587"/>
      <c r="AG299" s="582"/>
      <c r="AH299" s="582"/>
      <c r="AI299" s="582"/>
      <c r="AJ299" s="582"/>
      <c r="AK299" s="588"/>
      <c r="AL299" s="623">
        <v>84569.80852171</v>
      </c>
      <c r="AM299" s="623"/>
      <c r="AN299" s="589"/>
      <c r="AO299" s="616"/>
      <c r="AP299" s="592"/>
      <c r="AQ299" s="358"/>
      <c r="AR299" s="592"/>
      <c r="AS299" s="592"/>
      <c r="AT299" s="592"/>
      <c r="AU299" s="592"/>
      <c r="AV299" s="592"/>
      <c r="AW299" s="592"/>
      <c r="AX299" s="592"/>
      <c r="AY299" s="592"/>
      <c r="AZ299" s="592"/>
      <c r="BA299" s="617"/>
      <c r="BB299" s="592"/>
      <c r="BC299" s="592"/>
      <c r="BD299" s="592"/>
      <c r="BE299" s="592"/>
      <c r="BF299" s="592"/>
      <c r="BG299" s="358"/>
      <c r="BH299" s="592"/>
      <c r="BI299" s="592"/>
      <c r="BJ299" s="592"/>
      <c r="BK299" s="592"/>
      <c r="BL299" s="592"/>
      <c r="BM299" s="592"/>
      <c r="BN299" s="592"/>
      <c r="BO299" s="592"/>
      <c r="BP299" s="592"/>
      <c r="BQ299" s="594"/>
      <c r="BR299" s="594"/>
      <c r="BS299" s="394"/>
      <c r="BT299" s="594"/>
      <c r="BU299" s="594"/>
      <c r="BV299" s="594"/>
      <c r="BW299" s="618"/>
      <c r="BX299" s="644"/>
      <c r="BY299" s="644"/>
    </row>
    <row r="300" ht="25.5" customHeight="1">
      <c r="A300" s="635"/>
      <c r="B300" s="666">
        <v>45437.31115664352</v>
      </c>
      <c r="C300" s="642">
        <f t="shared" ref="C300:C301" si="27">ABS(AL300)/Q300</f>
        <v>3760.410296</v>
      </c>
      <c r="D300" s="642"/>
      <c r="E300" s="574" t="s">
        <v>231</v>
      </c>
      <c r="F300" s="620"/>
      <c r="G300" s="621"/>
      <c r="H300" s="577"/>
      <c r="I300" s="577"/>
      <c r="J300" s="613"/>
      <c r="K300" s="581"/>
      <c r="L300" s="581"/>
      <c r="M300" s="613"/>
      <c r="N300" s="613"/>
      <c r="O300" s="613"/>
      <c r="P300" s="580"/>
      <c r="Q300" s="686">
        <v>5.0</v>
      </c>
      <c r="R300" s="581"/>
      <c r="S300" s="581"/>
      <c r="T300" s="581"/>
      <c r="U300" s="582"/>
      <c r="V300" s="614"/>
      <c r="W300" s="581"/>
      <c r="X300" s="615"/>
      <c r="Y300" s="613"/>
      <c r="Z300" s="580"/>
      <c r="AA300" s="634"/>
      <c r="AB300" s="577"/>
      <c r="AC300" s="673"/>
      <c r="AD300" s="634"/>
      <c r="AE300" s="587"/>
      <c r="AF300" s="587"/>
      <c r="AG300" s="582"/>
      <c r="AH300" s="582"/>
      <c r="AI300" s="582"/>
      <c r="AJ300" s="582"/>
      <c r="AK300" s="588"/>
      <c r="AL300" s="623">
        <f>65767.75852-84569.81</f>
        <v>-18802.05148</v>
      </c>
      <c r="AM300" s="623"/>
      <c r="AN300" s="589"/>
      <c r="AO300" s="616"/>
      <c r="AP300" s="592"/>
      <c r="AQ300" s="358"/>
      <c r="AR300" s="592"/>
      <c r="AS300" s="592"/>
      <c r="AT300" s="592"/>
      <c r="AU300" s="592"/>
      <c r="AV300" s="592"/>
      <c r="AW300" s="592"/>
      <c r="AX300" s="592"/>
      <c r="AY300" s="592"/>
      <c r="AZ300" s="592"/>
      <c r="BA300" s="617"/>
      <c r="BB300" s="592"/>
      <c r="BC300" s="592"/>
      <c r="BD300" s="592"/>
      <c r="BE300" s="592"/>
      <c r="BF300" s="592"/>
      <c r="BG300" s="358"/>
      <c r="BH300" s="592"/>
      <c r="BI300" s="592"/>
      <c r="BJ300" s="592"/>
      <c r="BK300" s="592"/>
      <c r="BL300" s="592"/>
      <c r="BM300" s="592"/>
      <c r="BN300" s="592"/>
      <c r="BO300" s="592"/>
      <c r="BP300" s="592"/>
      <c r="BQ300" s="594"/>
      <c r="BR300" s="594"/>
      <c r="BS300" s="394"/>
      <c r="BT300" s="594"/>
      <c r="BU300" s="594"/>
      <c r="BV300" s="594"/>
      <c r="BW300" s="618"/>
      <c r="BX300" s="644"/>
      <c r="BY300" s="644"/>
    </row>
    <row r="301" ht="25.5" customHeight="1">
      <c r="A301" s="635"/>
      <c r="B301" s="666">
        <v>45438.75927465278</v>
      </c>
      <c r="C301" s="642">
        <f t="shared" si="27"/>
        <v>3849.998296</v>
      </c>
      <c r="D301" s="642"/>
      <c r="E301" s="574" t="s">
        <v>231</v>
      </c>
      <c r="F301" s="620"/>
      <c r="G301" s="621"/>
      <c r="H301" s="577"/>
      <c r="I301" s="577"/>
      <c r="J301" s="613"/>
      <c r="K301" s="581"/>
      <c r="L301" s="581"/>
      <c r="M301" s="613"/>
      <c r="N301" s="613"/>
      <c r="O301" s="613"/>
      <c r="P301" s="580"/>
      <c r="Q301" s="686">
        <v>5.0</v>
      </c>
      <c r="R301" s="581"/>
      <c r="S301" s="581"/>
      <c r="T301" s="581"/>
      <c r="U301" s="582"/>
      <c r="V301" s="614"/>
      <c r="W301" s="581"/>
      <c r="X301" s="615"/>
      <c r="Y301" s="613"/>
      <c r="Z301" s="580"/>
      <c r="AA301" s="634"/>
      <c r="AB301" s="577"/>
      <c r="AC301" s="673"/>
      <c r="AD301" s="634"/>
      <c r="AE301" s="587"/>
      <c r="AF301" s="587"/>
      <c r="AG301" s="582"/>
      <c r="AH301" s="582"/>
      <c r="AI301" s="582"/>
      <c r="AJ301" s="582"/>
      <c r="AK301" s="588"/>
      <c r="AL301" s="582">
        <f>46517.75852171-65767.75</f>
        <v>-19249.99148</v>
      </c>
      <c r="AM301" s="582"/>
      <c r="AN301" s="589"/>
      <c r="AO301" s="616"/>
      <c r="AP301" s="592"/>
      <c r="AQ301" s="358"/>
      <c r="AR301" s="592"/>
      <c r="AS301" s="592"/>
      <c r="AT301" s="592"/>
      <c r="AU301" s="592"/>
      <c r="AV301" s="592"/>
      <c r="AW301" s="592"/>
      <c r="AX301" s="592"/>
      <c r="AY301" s="592"/>
      <c r="AZ301" s="592"/>
      <c r="BA301" s="617"/>
      <c r="BB301" s="592"/>
      <c r="BC301" s="592"/>
      <c r="BD301" s="592"/>
      <c r="BE301" s="592"/>
      <c r="BF301" s="592"/>
      <c r="BG301" s="358"/>
      <c r="BH301" s="592"/>
      <c r="BI301" s="592"/>
      <c r="BJ301" s="592"/>
      <c r="BK301" s="592"/>
      <c r="BL301" s="592"/>
      <c r="BM301" s="592"/>
      <c r="BN301" s="592"/>
      <c r="BO301" s="592"/>
      <c r="BP301" s="592"/>
      <c r="BQ301" s="594"/>
      <c r="BR301" s="594"/>
      <c r="BS301" s="394"/>
      <c r="BT301" s="594"/>
      <c r="BU301" s="594"/>
      <c r="BV301" s="594"/>
      <c r="BW301" s="618"/>
      <c r="BX301" s="644"/>
      <c r="BY301" s="644"/>
    </row>
    <row r="302" ht="25.5" customHeight="1">
      <c r="A302" s="635"/>
      <c r="B302" s="666">
        <v>45438.76971421296</v>
      </c>
      <c r="C302" s="642"/>
      <c r="D302" s="642"/>
      <c r="E302" s="574" t="s">
        <v>218</v>
      </c>
      <c r="F302" s="620"/>
      <c r="G302" s="621"/>
      <c r="H302" s="577"/>
      <c r="I302" s="577"/>
      <c r="J302" s="613"/>
      <c r="K302" s="581"/>
      <c r="L302" s="581"/>
      <c r="M302" s="613"/>
      <c r="N302" s="613"/>
      <c r="O302" s="604">
        <v>10.0</v>
      </c>
      <c r="P302" s="580"/>
      <c r="Q302" s="686">
        <v>-10.0</v>
      </c>
      <c r="R302" s="581"/>
      <c r="S302" s="581"/>
      <c r="T302" s="581"/>
      <c r="U302" s="582"/>
      <c r="V302" s="614"/>
      <c r="W302" s="581"/>
      <c r="X302" s="615"/>
      <c r="Y302" s="613"/>
      <c r="Z302" s="580"/>
      <c r="AA302" s="634"/>
      <c r="AB302" s="577"/>
      <c r="AC302" s="673"/>
      <c r="AD302" s="634"/>
      <c r="AE302" s="587"/>
      <c r="AF302" s="587"/>
      <c r="AG302" s="582"/>
      <c r="AH302" s="582"/>
      <c r="AI302" s="582"/>
      <c r="AJ302" s="582"/>
      <c r="AK302" s="588"/>
      <c r="AL302" s="582"/>
      <c r="AM302" s="582"/>
      <c r="AN302" s="589"/>
      <c r="AO302" s="616"/>
      <c r="AP302" s="592"/>
      <c r="AQ302" s="358"/>
      <c r="AR302" s="592"/>
      <c r="AS302" s="592"/>
      <c r="AT302" s="592"/>
      <c r="AU302" s="592"/>
      <c r="AV302" s="592"/>
      <c r="AW302" s="592"/>
      <c r="AX302" s="592"/>
      <c r="AY302" s="592"/>
      <c r="AZ302" s="592"/>
      <c r="BA302" s="617"/>
      <c r="BB302" s="592"/>
      <c r="BC302" s="592"/>
      <c r="BD302" s="592"/>
      <c r="BE302" s="592"/>
      <c r="BF302" s="592"/>
      <c r="BG302" s="358"/>
      <c r="BH302" s="592"/>
      <c r="BI302" s="592"/>
      <c r="BJ302" s="592"/>
      <c r="BK302" s="592"/>
      <c r="BL302" s="592"/>
      <c r="BM302" s="592"/>
      <c r="BN302" s="592"/>
      <c r="BO302" s="592"/>
      <c r="BP302" s="592"/>
      <c r="BQ302" s="594"/>
      <c r="BR302" s="594"/>
      <c r="BS302" s="394"/>
      <c r="BT302" s="594"/>
      <c r="BU302" s="594"/>
      <c r="BV302" s="594"/>
      <c r="BW302" s="618"/>
      <c r="BX302" s="644"/>
      <c r="BY302" s="644"/>
      <c r="BZ302" s="609" t="s">
        <v>463</v>
      </c>
    </row>
    <row r="303" ht="25.5" customHeight="1">
      <c r="A303" s="635"/>
      <c r="B303" s="666">
        <v>45438.7726134838</v>
      </c>
      <c r="C303" s="642"/>
      <c r="D303" s="642"/>
      <c r="E303" s="574" t="s">
        <v>218</v>
      </c>
      <c r="F303" s="620"/>
      <c r="G303" s="621"/>
      <c r="H303" s="577"/>
      <c r="I303" s="577"/>
      <c r="J303" s="613"/>
      <c r="K303" s="581"/>
      <c r="L303" s="581"/>
      <c r="M303" s="613"/>
      <c r="N303" s="613"/>
      <c r="O303" s="604">
        <v>-10.0</v>
      </c>
      <c r="P303" s="580"/>
      <c r="Q303" s="580"/>
      <c r="R303" s="581"/>
      <c r="S303" s="581"/>
      <c r="T303" s="581"/>
      <c r="U303" s="582"/>
      <c r="V303" s="630"/>
      <c r="W303" s="581"/>
      <c r="X303" s="631"/>
      <c r="Y303" s="604">
        <v>10.0</v>
      </c>
      <c r="Z303" s="580"/>
      <c r="AA303" s="634"/>
      <c r="AB303" s="577"/>
      <c r="AC303" s="673"/>
      <c r="AD303" s="634"/>
      <c r="AE303" s="587"/>
      <c r="AF303" s="587"/>
      <c r="AG303" s="582"/>
      <c r="AH303" s="582"/>
      <c r="AI303" s="582"/>
      <c r="AJ303" s="582"/>
      <c r="AK303" s="588"/>
      <c r="AL303" s="582"/>
      <c r="AM303" s="582"/>
      <c r="AN303" s="589"/>
      <c r="AO303" s="616"/>
      <c r="AP303" s="592"/>
      <c r="AQ303" s="358"/>
      <c r="AR303" s="592"/>
      <c r="AS303" s="592"/>
      <c r="AT303" s="592"/>
      <c r="AU303" s="592"/>
      <c r="AV303" s="592"/>
      <c r="AW303" s="592"/>
      <c r="AX303" s="592"/>
      <c r="AY303" s="592"/>
      <c r="AZ303" s="592"/>
      <c r="BA303" s="617"/>
      <c r="BB303" s="592"/>
      <c r="BC303" s="592"/>
      <c r="BD303" s="592"/>
      <c r="BE303" s="592"/>
      <c r="BF303" s="592"/>
      <c r="BG303" s="358"/>
      <c r="BH303" s="592"/>
      <c r="BI303" s="592"/>
      <c r="BJ303" s="592"/>
      <c r="BK303" s="592"/>
      <c r="BL303" s="592"/>
      <c r="BM303" s="592"/>
      <c r="BN303" s="592"/>
      <c r="BO303" s="592"/>
      <c r="BP303" s="592"/>
      <c r="BQ303" s="594"/>
      <c r="BR303" s="594"/>
      <c r="BS303" s="394"/>
      <c r="BT303" s="594"/>
      <c r="BU303" s="594"/>
      <c r="BV303" s="594"/>
      <c r="BW303" s="618"/>
      <c r="BX303" s="644"/>
      <c r="BY303" s="644"/>
      <c r="BZ303" s="609" t="s">
        <v>464</v>
      </c>
    </row>
    <row r="304" ht="25.5" customHeight="1">
      <c r="A304" s="635"/>
      <c r="B304" s="666">
        <v>45448.46715401621</v>
      </c>
      <c r="C304" s="642">
        <f>ABS(AL304)/Q304</f>
        <v>3802.2</v>
      </c>
      <c r="D304" s="642"/>
      <c r="E304" s="574" t="s">
        <v>231</v>
      </c>
      <c r="F304" s="620"/>
      <c r="G304" s="621"/>
      <c r="H304" s="577"/>
      <c r="I304" s="577"/>
      <c r="J304" s="613"/>
      <c r="K304" s="581"/>
      <c r="L304" s="581"/>
      <c r="M304" s="613"/>
      <c r="N304" s="613"/>
      <c r="P304" s="580"/>
      <c r="Q304" s="604">
        <v>5.0</v>
      </c>
      <c r="R304" s="581"/>
      <c r="S304" s="581"/>
      <c r="T304" s="581"/>
      <c r="U304" s="582"/>
      <c r="V304" s="614"/>
      <c r="W304" s="581"/>
      <c r="X304" s="615"/>
      <c r="Y304" s="613"/>
      <c r="Z304" s="580"/>
      <c r="AA304" s="634"/>
      <c r="AB304" s="577"/>
      <c r="AC304" s="673"/>
      <c r="AD304" s="634"/>
      <c r="AE304" s="587"/>
      <c r="AF304" s="587"/>
      <c r="AG304" s="582"/>
      <c r="AH304" s="582"/>
      <c r="AI304" s="582"/>
      <c r="AJ304" s="582"/>
      <c r="AK304" s="588"/>
      <c r="AL304" s="582">
        <f>27506.76-46517.76</f>
        <v>-19011</v>
      </c>
      <c r="AM304" s="582"/>
      <c r="AN304" s="589"/>
      <c r="AO304" s="616"/>
      <c r="AP304" s="592"/>
      <c r="AQ304" s="358"/>
      <c r="AR304" s="592"/>
      <c r="AS304" s="592"/>
      <c r="AT304" s="592"/>
      <c r="AU304" s="592"/>
      <c r="AV304" s="592"/>
      <c r="AW304" s="592"/>
      <c r="AX304" s="592"/>
      <c r="AY304" s="592"/>
      <c r="AZ304" s="592"/>
      <c r="BA304" s="617"/>
      <c r="BB304" s="592"/>
      <c r="BC304" s="592"/>
      <c r="BD304" s="592"/>
      <c r="BE304" s="592"/>
      <c r="BF304" s="592"/>
      <c r="BG304" s="358"/>
      <c r="BH304" s="592"/>
      <c r="BI304" s="592"/>
      <c r="BJ304" s="592"/>
      <c r="BK304" s="592"/>
      <c r="BL304" s="592"/>
      <c r="BM304" s="592"/>
      <c r="BN304" s="592"/>
      <c r="BO304" s="592"/>
      <c r="BP304" s="592"/>
      <c r="BQ304" s="594"/>
      <c r="BR304" s="594"/>
      <c r="BS304" s="394"/>
      <c r="BT304" s="594"/>
      <c r="BU304" s="594"/>
      <c r="BV304" s="594"/>
      <c r="BW304" s="618"/>
      <c r="BX304" s="644"/>
      <c r="BY304" s="644"/>
    </row>
    <row r="305" ht="25.5" customHeight="1">
      <c r="A305" s="635"/>
      <c r="B305" s="666">
        <v>45448.50448377315</v>
      </c>
      <c r="C305" s="642"/>
      <c r="D305" s="642"/>
      <c r="E305" s="574" t="s">
        <v>231</v>
      </c>
      <c r="F305" s="620"/>
      <c r="G305" s="621"/>
      <c r="H305" s="577"/>
      <c r="I305" s="577"/>
      <c r="J305" s="613"/>
      <c r="K305" s="581"/>
      <c r="L305" s="581"/>
      <c r="M305" s="613"/>
      <c r="N305" s="613"/>
      <c r="O305" s="613"/>
      <c r="P305" s="580"/>
      <c r="Q305" s="580"/>
      <c r="R305" s="581"/>
      <c r="S305" s="581"/>
      <c r="T305" s="581"/>
      <c r="U305" s="582"/>
      <c r="V305" s="614"/>
      <c r="W305" s="581"/>
      <c r="X305" s="615"/>
      <c r="Y305" s="613"/>
      <c r="Z305" s="580"/>
      <c r="AA305" s="634"/>
      <c r="AB305" s="577"/>
      <c r="AC305" s="673"/>
      <c r="AD305" s="634"/>
      <c r="AE305" s="587"/>
      <c r="AF305" s="587"/>
      <c r="AG305" s="582"/>
      <c r="AH305" s="582"/>
      <c r="AI305" s="582"/>
      <c r="AJ305" s="582"/>
      <c r="AK305" s="588"/>
      <c r="AL305" s="582">
        <f>34746.71-27506.76</f>
        <v>7239.95</v>
      </c>
      <c r="AM305" s="582"/>
      <c r="AN305" s="589"/>
      <c r="AO305" s="616"/>
      <c r="AP305" s="592"/>
      <c r="AQ305" s="358"/>
      <c r="AR305" s="592"/>
      <c r="AS305" s="592"/>
      <c r="AT305" s="592"/>
      <c r="AU305" s="592"/>
      <c r="AV305" s="592"/>
      <c r="AW305" s="592"/>
      <c r="AX305" s="592"/>
      <c r="AY305" s="592"/>
      <c r="AZ305" s="592"/>
      <c r="BA305" s="617"/>
      <c r="BB305" s="592"/>
      <c r="BC305" s="592"/>
      <c r="BD305" s="592"/>
      <c r="BE305" s="592"/>
      <c r="BF305" s="592"/>
      <c r="BG305" s="358"/>
      <c r="BH305" s="592"/>
      <c r="BI305" s="592"/>
      <c r="BJ305" s="592"/>
      <c r="BK305" s="592"/>
      <c r="BL305" s="592"/>
      <c r="BM305" s="592"/>
      <c r="BN305" s="591">
        <v>-15401.36</v>
      </c>
      <c r="BO305" s="592"/>
      <c r="BP305" s="592"/>
      <c r="BQ305" s="594"/>
      <c r="BR305" s="594"/>
      <c r="BS305" s="394"/>
      <c r="BT305" s="594"/>
      <c r="BU305" s="594"/>
      <c r="BV305" s="594"/>
      <c r="BW305" s="618"/>
      <c r="BX305" s="644"/>
      <c r="BY305" s="644"/>
    </row>
    <row r="306" ht="25.5" customHeight="1">
      <c r="A306" s="635"/>
      <c r="B306" s="572">
        <v>45449.840046296296</v>
      </c>
      <c r="C306" s="642"/>
      <c r="D306" s="642"/>
      <c r="E306" s="574" t="s">
        <v>327</v>
      </c>
      <c r="F306" s="620"/>
      <c r="G306" s="600">
        <v>5.0546E-4</v>
      </c>
      <c r="H306" s="577"/>
      <c r="I306" s="577"/>
      <c r="J306" s="613"/>
      <c r="K306" s="581"/>
      <c r="L306" s="581"/>
      <c r="M306" s="613"/>
      <c r="N306" s="613"/>
      <c r="O306" s="613"/>
      <c r="P306" s="580"/>
      <c r="Q306" s="686"/>
      <c r="R306" s="581"/>
      <c r="S306" s="581"/>
      <c r="T306" s="581"/>
      <c r="U306" s="582"/>
      <c r="V306" s="614"/>
      <c r="W306" s="581"/>
      <c r="X306" s="615"/>
      <c r="Y306" s="613"/>
      <c r="Z306" s="580"/>
      <c r="AA306" s="634"/>
      <c r="AB306" s="577"/>
      <c r="AC306" s="673"/>
      <c r="AD306" s="634"/>
      <c r="AE306" s="587"/>
      <c r="AF306" s="587"/>
      <c r="AG306" s="582"/>
      <c r="AH306" s="582"/>
      <c r="AI306" s="582"/>
      <c r="AJ306" s="582"/>
      <c r="AK306" s="588"/>
      <c r="AL306" s="582"/>
      <c r="AM306" s="582"/>
      <c r="AN306" s="589"/>
      <c r="AO306" s="616"/>
      <c r="AP306" s="592"/>
      <c r="AQ306" s="358"/>
      <c r="AR306" s="592"/>
      <c r="AS306" s="592"/>
      <c r="AT306" s="592"/>
      <c r="AU306" s="592"/>
      <c r="AV306" s="592"/>
      <c r="AW306" s="592"/>
      <c r="AX306" s="592"/>
      <c r="AY306" s="592"/>
      <c r="AZ306" s="592"/>
      <c r="BA306" s="617"/>
      <c r="BB306" s="592"/>
      <c r="BC306" s="592"/>
      <c r="BD306" s="592"/>
      <c r="BE306" s="592"/>
      <c r="BF306" s="592"/>
      <c r="BG306" s="358"/>
      <c r="BH306" s="592"/>
      <c r="BI306" s="592"/>
      <c r="BJ306" s="592"/>
      <c r="BK306" s="592"/>
      <c r="BL306" s="592"/>
      <c r="BM306" s="592"/>
      <c r="BN306" s="592"/>
      <c r="BO306" s="592"/>
      <c r="BP306" s="592"/>
      <c r="BQ306" s="594"/>
      <c r="BR306" s="594"/>
      <c r="BS306" s="394"/>
      <c r="BT306" s="594"/>
      <c r="BU306" s="594"/>
      <c r="BV306" s="594"/>
      <c r="BW306" s="618"/>
      <c r="BX306" s="644"/>
      <c r="BY306" s="608" t="s">
        <v>465</v>
      </c>
      <c r="BZ306" s="609" t="s">
        <v>466</v>
      </c>
    </row>
    <row r="307" ht="25.5" customHeight="1">
      <c r="A307" s="635"/>
      <c r="B307" s="572">
        <v>45450.545324074075</v>
      </c>
      <c r="C307" s="642">
        <f t="shared" ref="C307:C308" si="28">ABS(AL307)/Q307</f>
        <v>3809.55</v>
      </c>
      <c r="D307" s="642"/>
      <c r="E307" s="574" t="s">
        <v>231</v>
      </c>
      <c r="F307" s="620"/>
      <c r="G307" s="621"/>
      <c r="H307" s="577"/>
      <c r="I307" s="577"/>
      <c r="J307" s="613"/>
      <c r="K307" s="581"/>
      <c r="L307" s="581"/>
      <c r="M307" s="613"/>
      <c r="N307" s="613"/>
      <c r="O307" s="613"/>
      <c r="P307" s="580"/>
      <c r="Q307" s="686">
        <v>5.0</v>
      </c>
      <c r="R307" s="581"/>
      <c r="S307" s="581"/>
      <c r="T307" s="581"/>
      <c r="U307" s="582"/>
      <c r="V307" s="614"/>
      <c r="W307" s="581"/>
      <c r="X307" s="615"/>
      <c r="Y307" s="613"/>
      <c r="Z307" s="580"/>
      <c r="AA307" s="634"/>
      <c r="AB307" s="577"/>
      <c r="AC307" s="673"/>
      <c r="AD307" s="634"/>
      <c r="AE307" s="587"/>
      <c r="AF307" s="587"/>
      <c r="AG307" s="582"/>
      <c r="AH307" s="582"/>
      <c r="AI307" s="582"/>
      <c r="AJ307" s="582"/>
      <c r="AK307" s="588"/>
      <c r="AL307" s="582">
        <f>15698.96-34746.71</f>
        <v>-19047.75</v>
      </c>
      <c r="AM307" s="582"/>
      <c r="AN307" s="589"/>
      <c r="AO307" s="616"/>
      <c r="AP307" s="592"/>
      <c r="AQ307" s="358"/>
      <c r="AR307" s="592"/>
      <c r="AS307" s="592"/>
      <c r="AT307" s="592"/>
      <c r="AU307" s="592"/>
      <c r="AV307" s="592"/>
      <c r="AW307" s="592"/>
      <c r="AX307" s="592"/>
      <c r="AY307" s="592"/>
      <c r="AZ307" s="592"/>
      <c r="BA307" s="617"/>
      <c r="BB307" s="592"/>
      <c r="BC307" s="592"/>
      <c r="BD307" s="592"/>
      <c r="BE307" s="592"/>
      <c r="BF307" s="592"/>
      <c r="BG307" s="358"/>
      <c r="BH307" s="592"/>
      <c r="BI307" s="592"/>
      <c r="BJ307" s="592"/>
      <c r="BK307" s="592"/>
      <c r="BL307" s="592"/>
      <c r="BM307" s="592"/>
      <c r="BN307" s="592"/>
      <c r="BO307" s="592"/>
      <c r="BP307" s="592"/>
      <c r="BQ307" s="594"/>
      <c r="BR307" s="594"/>
      <c r="BS307" s="394"/>
      <c r="BT307" s="594"/>
      <c r="BU307" s="594"/>
      <c r="BV307" s="594"/>
      <c r="BW307" s="618"/>
      <c r="BX307" s="644"/>
      <c r="BY307" s="644"/>
    </row>
    <row r="308" ht="25.5" customHeight="1">
      <c r="A308" s="635"/>
      <c r="B308" s="572">
        <v>45450.833333333336</v>
      </c>
      <c r="C308" s="642">
        <f t="shared" si="28"/>
        <v>3726.048466</v>
      </c>
      <c r="D308" s="642"/>
      <c r="E308" s="574" t="s">
        <v>231</v>
      </c>
      <c r="F308" s="620"/>
      <c r="G308" s="621"/>
      <c r="H308" s="577"/>
      <c r="I308" s="577"/>
      <c r="J308" s="613"/>
      <c r="K308" s="581"/>
      <c r="L308" s="581"/>
      <c r="M308" s="613"/>
      <c r="N308" s="613"/>
      <c r="O308" s="613"/>
      <c r="P308" s="580"/>
      <c r="Q308" s="686">
        <v>4.2133</v>
      </c>
      <c r="R308" s="581"/>
      <c r="S308" s="581"/>
      <c r="T308" s="581"/>
      <c r="U308" s="582"/>
      <c r="V308" s="614"/>
      <c r="W308" s="581"/>
      <c r="X308" s="615"/>
      <c r="Y308" s="613"/>
      <c r="Z308" s="580"/>
      <c r="AA308" s="634"/>
      <c r="AB308" s="577"/>
      <c r="AC308" s="673"/>
      <c r="AD308" s="634"/>
      <c r="AE308" s="587"/>
      <c r="AF308" s="587"/>
      <c r="AG308" s="582"/>
      <c r="AH308" s="582"/>
      <c r="AI308" s="582"/>
      <c r="AJ308" s="582"/>
      <c r="AK308" s="588"/>
      <c r="AL308" s="623">
        <v>-15698.96</v>
      </c>
      <c r="AM308" s="623"/>
      <c r="AN308" s="589"/>
      <c r="AO308" s="616"/>
      <c r="AP308" s="592"/>
      <c r="AQ308" s="358"/>
      <c r="AR308" s="592"/>
      <c r="AS308" s="592"/>
      <c r="AT308" s="592"/>
      <c r="AU308" s="592"/>
      <c r="AV308" s="592"/>
      <c r="AW308" s="592"/>
      <c r="AX308" s="592"/>
      <c r="AY308" s="592"/>
      <c r="AZ308" s="592"/>
      <c r="BA308" s="617"/>
      <c r="BB308" s="592"/>
      <c r="BC308" s="592"/>
      <c r="BD308" s="592"/>
      <c r="BE308" s="592"/>
      <c r="BF308" s="592"/>
      <c r="BG308" s="358"/>
      <c r="BH308" s="592"/>
      <c r="BI308" s="592"/>
      <c r="BJ308" s="592"/>
      <c r="BK308" s="592"/>
      <c r="BL308" s="592"/>
      <c r="BM308" s="592"/>
      <c r="BN308" s="592"/>
      <c r="BO308" s="592"/>
      <c r="BP308" s="592"/>
      <c r="BQ308" s="594"/>
      <c r="BR308" s="594"/>
      <c r="BS308" s="394"/>
      <c r="BT308" s="594"/>
      <c r="BU308" s="594"/>
      <c r="BV308" s="594"/>
      <c r="BW308" s="618"/>
      <c r="BX308" s="644"/>
      <c r="BY308" s="644"/>
    </row>
    <row r="309" ht="25.5" customHeight="1">
      <c r="A309" s="635"/>
      <c r="B309" s="666">
        <v>45450.91241498843</v>
      </c>
      <c r="C309" s="642"/>
      <c r="D309" s="642"/>
      <c r="E309" s="574" t="s">
        <v>218</v>
      </c>
      <c r="F309" s="620"/>
      <c r="G309" s="621"/>
      <c r="H309" s="577"/>
      <c r="I309" s="577"/>
      <c r="J309" s="613"/>
      <c r="K309" s="581"/>
      <c r="L309" s="581"/>
      <c r="M309" s="613"/>
      <c r="N309" s="613"/>
      <c r="O309" s="604">
        <v>14.21327</v>
      </c>
      <c r="P309" s="580"/>
      <c r="Q309" s="686">
        <v>-14.2133</v>
      </c>
      <c r="R309" s="581"/>
      <c r="S309" s="581"/>
      <c r="T309" s="581"/>
      <c r="U309" s="582"/>
      <c r="V309" s="614"/>
      <c r="W309" s="581"/>
      <c r="X309" s="615"/>
      <c r="Y309" s="613"/>
      <c r="Z309" s="580"/>
      <c r="AA309" s="634"/>
      <c r="AB309" s="577"/>
      <c r="AC309" s="673"/>
      <c r="AD309" s="634"/>
      <c r="AE309" s="587"/>
      <c r="AF309" s="587"/>
      <c r="AG309" s="582"/>
      <c r="AH309" s="582"/>
      <c r="AI309" s="582"/>
      <c r="AJ309" s="582"/>
      <c r="AK309" s="588"/>
      <c r="AL309" s="582"/>
      <c r="AM309" s="582"/>
      <c r="AN309" s="589"/>
      <c r="AO309" s="616"/>
      <c r="AP309" s="592"/>
      <c r="AQ309" s="358"/>
      <c r="AR309" s="592"/>
      <c r="AS309" s="592"/>
      <c r="AT309" s="592"/>
      <c r="AU309" s="592"/>
      <c r="AV309" s="592"/>
      <c r="AW309" s="592"/>
      <c r="AX309" s="592"/>
      <c r="AY309" s="592"/>
      <c r="AZ309" s="592"/>
      <c r="BA309" s="617"/>
      <c r="BB309" s="592"/>
      <c r="BC309" s="592"/>
      <c r="BD309" s="592"/>
      <c r="BE309" s="592"/>
      <c r="BF309" s="592"/>
      <c r="BG309" s="358"/>
      <c r="BH309" s="592"/>
      <c r="BI309" s="592"/>
      <c r="BJ309" s="592"/>
      <c r="BK309" s="592"/>
      <c r="BL309" s="592"/>
      <c r="BM309" s="592"/>
      <c r="BN309" s="592"/>
      <c r="BO309" s="592"/>
      <c r="BP309" s="592"/>
      <c r="BQ309" s="594"/>
      <c r="BR309" s="594"/>
      <c r="BS309" s="394"/>
      <c r="BT309" s="594"/>
      <c r="BU309" s="594"/>
      <c r="BV309" s="594"/>
      <c r="BW309" s="618"/>
      <c r="BX309" s="644"/>
      <c r="BY309" s="644"/>
      <c r="BZ309" s="609" t="s">
        <v>467</v>
      </c>
    </row>
    <row r="310" ht="25.5" customHeight="1">
      <c r="A310" s="635"/>
      <c r="B310" s="666">
        <v>45450.91241498843</v>
      </c>
      <c r="C310" s="642"/>
      <c r="D310" s="642"/>
      <c r="E310" s="574" t="s">
        <v>218</v>
      </c>
      <c r="F310" s="620"/>
      <c r="G310" s="621"/>
      <c r="H310" s="577"/>
      <c r="I310" s="577"/>
      <c r="J310" s="613"/>
      <c r="K310" s="581"/>
      <c r="L310" s="581"/>
      <c r="M310" s="613"/>
      <c r="N310" s="613"/>
      <c r="O310" s="604">
        <v>-14.21327</v>
      </c>
      <c r="P310" s="580"/>
      <c r="Q310" s="580"/>
      <c r="R310" s="581"/>
      <c r="S310" s="581"/>
      <c r="T310" s="581"/>
      <c r="U310" s="582"/>
      <c r="V310" s="630"/>
      <c r="W310" s="581"/>
      <c r="X310" s="631"/>
      <c r="Y310" s="604">
        <v>14.21327</v>
      </c>
      <c r="Z310" s="580"/>
      <c r="AA310" s="634"/>
      <c r="AB310" s="577"/>
      <c r="AC310" s="673"/>
      <c r="AD310" s="634"/>
      <c r="AE310" s="587"/>
      <c r="AF310" s="587"/>
      <c r="AG310" s="582"/>
      <c r="AH310" s="582"/>
      <c r="AI310" s="582"/>
      <c r="AJ310" s="582"/>
      <c r="AK310" s="588"/>
      <c r="AL310" s="582"/>
      <c r="AM310" s="582"/>
      <c r="AN310" s="589"/>
      <c r="AO310" s="616"/>
      <c r="AP310" s="592"/>
      <c r="AQ310" s="358"/>
      <c r="AR310" s="592"/>
      <c r="AS310" s="592"/>
      <c r="AT310" s="592"/>
      <c r="AU310" s="592"/>
      <c r="AV310" s="592"/>
      <c r="AW310" s="592"/>
      <c r="AX310" s="592"/>
      <c r="AY310" s="592"/>
      <c r="AZ310" s="592"/>
      <c r="BA310" s="617"/>
      <c r="BB310" s="592"/>
      <c r="BC310" s="592"/>
      <c r="BD310" s="592"/>
      <c r="BE310" s="592"/>
      <c r="BF310" s="592"/>
      <c r="BG310" s="358"/>
      <c r="BH310" s="592"/>
      <c r="BI310" s="592"/>
      <c r="BJ310" s="592"/>
      <c r="BK310" s="592"/>
      <c r="BL310" s="592"/>
      <c r="BM310" s="592"/>
      <c r="BN310" s="592"/>
      <c r="BO310" s="592"/>
      <c r="BP310" s="592"/>
      <c r="BQ310" s="594"/>
      <c r="BR310" s="594"/>
      <c r="BS310" s="394"/>
      <c r="BT310" s="594"/>
      <c r="BU310" s="594"/>
      <c r="BV310" s="594"/>
      <c r="BW310" s="618"/>
      <c r="BX310" s="644"/>
      <c r="BY310" s="644"/>
      <c r="BZ310" s="609" t="s">
        <v>468</v>
      </c>
    </row>
    <row r="311" ht="25.5" customHeight="1">
      <c r="A311" s="635"/>
      <c r="B311" s="666">
        <v>45451.60896646991</v>
      </c>
      <c r="C311" s="642"/>
      <c r="D311" s="642"/>
      <c r="E311" s="574" t="s">
        <v>469</v>
      </c>
      <c r="F311" s="620"/>
      <c r="G311" s="621"/>
      <c r="H311" s="577"/>
      <c r="I311" s="577"/>
      <c r="J311" s="613"/>
      <c r="K311" s="581"/>
      <c r="L311" s="581"/>
      <c r="M311" s="613"/>
      <c r="N311" s="613"/>
      <c r="O311" s="613"/>
      <c r="P311" s="580"/>
      <c r="Q311" s="580"/>
      <c r="R311" s="581"/>
      <c r="S311" s="581"/>
      <c r="T311" s="581"/>
      <c r="U311" s="582"/>
      <c r="V311" s="614"/>
      <c r="W311" s="581"/>
      <c r="X311" s="615"/>
      <c r="Y311" s="613"/>
      <c r="Z311" s="580"/>
      <c r="AA311" s="634"/>
      <c r="AB311" s="577"/>
      <c r="AC311" s="673"/>
      <c r="AD311" s="634"/>
      <c r="AE311" s="587"/>
      <c r="AF311" s="587"/>
      <c r="AG311" s="582"/>
      <c r="AH311" s="582"/>
      <c r="AI311" s="582"/>
      <c r="AJ311" s="582"/>
      <c r="AK311" s="588"/>
      <c r="AL311" s="582"/>
      <c r="AM311" s="582"/>
      <c r="AN311" s="589"/>
      <c r="AO311" s="616"/>
      <c r="AP311" s="592"/>
      <c r="AQ311" s="358"/>
      <c r="AR311" s="592"/>
      <c r="AS311" s="592"/>
      <c r="AT311" s="592"/>
      <c r="AU311" s="592"/>
      <c r="AV311" s="592"/>
      <c r="AW311" s="591">
        <f>4133.62264561-3951.24</f>
        <v>182.3826456</v>
      </c>
      <c r="AX311" s="592"/>
      <c r="AY311" s="592"/>
      <c r="AZ311" s="592"/>
      <c r="BA311" s="617"/>
      <c r="BB311" s="592"/>
      <c r="BC311" s="592"/>
      <c r="BD311" s="592"/>
      <c r="BE311" s="592"/>
      <c r="BF311" s="592"/>
      <c r="BG311" s="358"/>
      <c r="BH311" s="592"/>
      <c r="BI311" s="592"/>
      <c r="BJ311" s="592"/>
      <c r="BK311" s="592"/>
      <c r="BL311" s="592"/>
      <c r="BM311" s="592"/>
      <c r="BN311" s="592"/>
      <c r="BO311" s="592"/>
      <c r="BP311" s="592"/>
      <c r="BQ311" s="594"/>
      <c r="BR311" s="594"/>
      <c r="BS311" s="394"/>
      <c r="BT311" s="594"/>
      <c r="BU311" s="594"/>
      <c r="BV311" s="594"/>
      <c r="BW311" s="618"/>
      <c r="BX311" s="644"/>
      <c r="BY311" s="644"/>
      <c r="BZ311" s="53"/>
    </row>
    <row r="312" ht="25.5" customHeight="1">
      <c r="A312" s="635"/>
      <c r="B312" s="666">
        <v>45451.60896646991</v>
      </c>
      <c r="C312" s="642"/>
      <c r="D312" s="642"/>
      <c r="E312" s="574" t="s">
        <v>231</v>
      </c>
      <c r="F312" s="620"/>
      <c r="G312" s="621"/>
      <c r="H312" s="577"/>
      <c r="I312" s="577"/>
      <c r="J312" s="613"/>
      <c r="K312" s="581"/>
      <c r="L312" s="581"/>
      <c r="M312" s="613"/>
      <c r="N312" s="613"/>
      <c r="O312" s="613"/>
      <c r="P312" s="580"/>
      <c r="Q312" s="580"/>
      <c r="R312" s="581"/>
      <c r="S312" s="581"/>
      <c r="T312" s="581"/>
      <c r="U312" s="582"/>
      <c r="V312" s="614"/>
      <c r="W312" s="581"/>
      <c r="X312" s="615"/>
      <c r="Y312" s="613"/>
      <c r="Z312" s="580"/>
      <c r="AA312" s="634"/>
      <c r="AB312" s="577"/>
      <c r="AC312" s="673"/>
      <c r="AD312" s="634"/>
      <c r="AE312" s="587"/>
      <c r="AF312" s="587"/>
      <c r="AG312" s="582"/>
      <c r="AH312" s="582"/>
      <c r="AI312" s="582"/>
      <c r="AJ312" s="582"/>
      <c r="AK312" s="588"/>
      <c r="AL312" s="623">
        <v>10842.059</v>
      </c>
      <c r="AM312" s="623"/>
      <c r="AN312" s="589"/>
      <c r="AO312" s="616"/>
      <c r="AP312" s="592"/>
      <c r="AQ312" s="358"/>
      <c r="AR312" s="592"/>
      <c r="AS312" s="592"/>
      <c r="AT312" s="592"/>
      <c r="AU312" s="592"/>
      <c r="AV312" s="592"/>
      <c r="AW312" s="591">
        <v>-4133.62264561</v>
      </c>
      <c r="AX312" s="592"/>
      <c r="AY312" s="592"/>
      <c r="AZ312" s="592"/>
      <c r="BA312" s="617"/>
      <c r="BB312" s="592"/>
      <c r="BC312" s="592"/>
      <c r="BD312" s="592"/>
      <c r="BE312" s="592"/>
      <c r="BF312" s="592"/>
      <c r="BG312" s="358"/>
      <c r="BH312" s="592"/>
      <c r="BI312" s="592"/>
      <c r="BJ312" s="592"/>
      <c r="BK312" s="592"/>
      <c r="BL312" s="592"/>
      <c r="BM312" s="592"/>
      <c r="BN312" s="592"/>
      <c r="BO312" s="592"/>
      <c r="BP312" s="592"/>
      <c r="BQ312" s="594"/>
      <c r="BR312" s="594"/>
      <c r="BS312" s="394"/>
      <c r="BT312" s="594"/>
      <c r="BU312" s="594"/>
      <c r="BV312" s="594"/>
      <c r="BW312" s="618"/>
      <c r="BX312" s="644"/>
      <c r="BY312" s="644"/>
      <c r="BZ312" s="609" t="s">
        <v>470</v>
      </c>
    </row>
    <row r="313" ht="25.5" customHeight="1">
      <c r="A313" s="635"/>
      <c r="B313" s="666">
        <v>45458.389650729165</v>
      </c>
      <c r="C313" s="642">
        <f>ABS(AL313)/Q313</f>
        <v>3549.372974</v>
      </c>
      <c r="D313" s="642"/>
      <c r="E313" s="574" t="s">
        <v>231</v>
      </c>
      <c r="F313" s="620"/>
      <c r="G313" s="621"/>
      <c r="H313" s="577"/>
      <c r="I313" s="577"/>
      <c r="J313" s="613"/>
      <c r="K313" s="581"/>
      <c r="L313" s="581"/>
      <c r="M313" s="613"/>
      <c r="N313" s="613"/>
      <c r="O313" s="613"/>
      <c r="P313" s="580"/>
      <c r="Q313" s="686">
        <v>3.0541</v>
      </c>
      <c r="R313" s="581"/>
      <c r="S313" s="581"/>
      <c r="T313" s="581"/>
      <c r="U313" s="582"/>
      <c r="V313" s="614"/>
      <c r="W313" s="581"/>
      <c r="X313" s="615"/>
      <c r="Y313" s="613"/>
      <c r="Z313" s="580"/>
      <c r="AA313" s="634"/>
      <c r="AB313" s="577"/>
      <c r="AC313" s="673"/>
      <c r="AD313" s="634"/>
      <c r="AE313" s="587"/>
      <c r="AF313" s="587"/>
      <c r="AG313" s="582"/>
      <c r="AH313" s="582"/>
      <c r="AI313" s="582"/>
      <c r="AJ313" s="582"/>
      <c r="AK313" s="588"/>
      <c r="AL313" s="623">
        <f>-(10842.06-1.92)</f>
        <v>-10840.14</v>
      </c>
      <c r="AM313" s="623"/>
      <c r="AN313" s="589"/>
      <c r="AO313" s="616"/>
      <c r="AP313" s="592"/>
      <c r="AQ313" s="358"/>
      <c r="AR313" s="592"/>
      <c r="AS313" s="592"/>
      <c r="AT313" s="592"/>
      <c r="AU313" s="592"/>
      <c r="AV313" s="592"/>
      <c r="AW313" s="592"/>
      <c r="AX313" s="592"/>
      <c r="AY313" s="592"/>
      <c r="AZ313" s="592"/>
      <c r="BA313" s="617"/>
      <c r="BB313" s="592"/>
      <c r="BC313" s="592"/>
      <c r="BD313" s="592"/>
      <c r="BE313" s="592"/>
      <c r="BF313" s="592"/>
      <c r="BG313" s="358"/>
      <c r="BH313" s="592"/>
      <c r="BI313" s="592"/>
      <c r="BJ313" s="592"/>
      <c r="BK313" s="592"/>
      <c r="BL313" s="592"/>
      <c r="BM313" s="592"/>
      <c r="BN313" s="592"/>
      <c r="BO313" s="592"/>
      <c r="BP313" s="592"/>
      <c r="BQ313" s="594"/>
      <c r="BR313" s="594"/>
      <c r="BS313" s="394"/>
      <c r="BT313" s="594"/>
      <c r="BU313" s="594"/>
      <c r="BV313" s="594"/>
      <c r="BW313" s="618"/>
      <c r="BX313" s="644"/>
      <c r="BY313" s="644"/>
    </row>
    <row r="314" ht="25.5" customHeight="1">
      <c r="A314" s="635"/>
      <c r="B314" s="666">
        <v>45458.394259189816</v>
      </c>
      <c r="C314" s="642"/>
      <c r="D314" s="642"/>
      <c r="E314" s="574" t="s">
        <v>218</v>
      </c>
      <c r="F314" s="620"/>
      <c r="G314" s="621"/>
      <c r="H314" s="577"/>
      <c r="I314" s="577"/>
      <c r="J314" s="613"/>
      <c r="K314" s="581"/>
      <c r="L314" s="581"/>
      <c r="M314" s="613"/>
      <c r="N314" s="613"/>
      <c r="O314" s="613"/>
      <c r="P314" s="580"/>
      <c r="Q314" s="580"/>
      <c r="R314" s="581"/>
      <c r="S314" s="579"/>
      <c r="T314" s="579">
        <v>-7200.0</v>
      </c>
      <c r="U314" s="582"/>
      <c r="V314" s="614"/>
      <c r="W314" s="581"/>
      <c r="X314" s="615"/>
      <c r="Y314" s="613"/>
      <c r="Z314" s="580"/>
      <c r="AA314" s="634"/>
      <c r="AB314" s="577"/>
      <c r="AC314" s="673"/>
      <c r="AD314" s="634"/>
      <c r="AE314" s="587"/>
      <c r="AF314" s="587"/>
      <c r="AG314" s="582"/>
      <c r="AH314" s="582"/>
      <c r="AI314" s="582"/>
      <c r="AJ314" s="582"/>
      <c r="AK314" s="700">
        <v>7200.0</v>
      </c>
      <c r="AL314" s="582"/>
      <c r="AM314" s="582"/>
      <c r="AN314" s="589"/>
      <c r="AO314" s="616"/>
      <c r="AP314" s="592"/>
      <c r="AQ314" s="358"/>
      <c r="AR314" s="592"/>
      <c r="AS314" s="592"/>
      <c r="AT314" s="592"/>
      <c r="AU314" s="592"/>
      <c r="AV314" s="592"/>
      <c r="AW314" s="592"/>
      <c r="AX314" s="592"/>
      <c r="AY314" s="592"/>
      <c r="AZ314" s="592"/>
      <c r="BA314" s="617"/>
      <c r="BB314" s="592"/>
      <c r="BC314" s="592"/>
      <c r="BD314" s="592"/>
      <c r="BE314" s="592"/>
      <c r="BF314" s="592"/>
      <c r="BG314" s="358"/>
      <c r="BH314" s="592"/>
      <c r="BI314" s="592"/>
      <c r="BJ314" s="592"/>
      <c r="BK314" s="592"/>
      <c r="BL314" s="592"/>
      <c r="BM314" s="592"/>
      <c r="BN314" s="592"/>
      <c r="BO314" s="592"/>
      <c r="BP314" s="592"/>
      <c r="BQ314" s="594"/>
      <c r="BR314" s="594"/>
      <c r="BS314" s="394"/>
      <c r="BT314" s="594"/>
      <c r="BU314" s="594"/>
      <c r="BV314" s="594"/>
      <c r="BW314" s="618"/>
      <c r="BX314" s="644"/>
      <c r="BY314" s="644"/>
    </row>
    <row r="315" ht="25.5" customHeight="1">
      <c r="A315" s="635"/>
      <c r="B315" s="666">
        <v>45458.394259189816</v>
      </c>
      <c r="C315" s="642"/>
      <c r="D315" s="642"/>
      <c r="E315" s="574" t="s">
        <v>231</v>
      </c>
      <c r="F315" s="620"/>
      <c r="G315" s="621"/>
      <c r="H315" s="577"/>
      <c r="I315" s="577"/>
      <c r="J315" s="613"/>
      <c r="K315" s="581"/>
      <c r="L315" s="581"/>
      <c r="M315" s="613"/>
      <c r="N315" s="613"/>
      <c r="O315" s="613"/>
      <c r="P315" s="580"/>
      <c r="Q315" s="580">
        <f>5.0863-3.0541</f>
        <v>2.0322</v>
      </c>
      <c r="R315" s="581"/>
      <c r="S315" s="579"/>
      <c r="T315" s="581"/>
      <c r="U315" s="582"/>
      <c r="V315" s="614"/>
      <c r="W315" s="581"/>
      <c r="X315" s="615"/>
      <c r="Y315" s="613"/>
      <c r="Z315" s="580"/>
      <c r="AA315" s="634"/>
      <c r="AB315" s="577"/>
      <c r="AC315" s="673"/>
      <c r="AD315" s="634"/>
      <c r="AE315" s="587"/>
      <c r="AF315" s="587"/>
      <c r="AG315" s="582"/>
      <c r="AH315" s="582"/>
      <c r="AI315" s="582"/>
      <c r="AJ315" s="582"/>
      <c r="AK315" s="700">
        <v>-7200.0</v>
      </c>
      <c r="AL315" s="582"/>
      <c r="AM315" s="587"/>
      <c r="AN315" s="589"/>
      <c r="AO315" s="616"/>
      <c r="AP315" s="592"/>
      <c r="AQ315" s="358"/>
      <c r="AR315" s="592"/>
      <c r="AS315" s="592"/>
      <c r="AT315" s="592"/>
      <c r="AU315" s="592"/>
      <c r="AV315" s="592"/>
      <c r="AW315" s="592"/>
      <c r="AX315" s="592"/>
      <c r="AY315" s="592"/>
      <c r="AZ315" s="592"/>
      <c r="BA315" s="617"/>
      <c r="BB315" s="592"/>
      <c r="BC315" s="592"/>
      <c r="BD315" s="592"/>
      <c r="BE315" s="592"/>
      <c r="BF315" s="592"/>
      <c r="BG315" s="358"/>
      <c r="BH315" s="592"/>
      <c r="BI315" s="592"/>
      <c r="BJ315" s="592"/>
      <c r="BK315" s="592"/>
      <c r="BL315" s="592"/>
      <c r="BM315" s="592"/>
      <c r="BN315" s="592"/>
      <c r="BO315" s="592"/>
      <c r="BP315" s="592"/>
      <c r="BQ315" s="594"/>
      <c r="BR315" s="594"/>
      <c r="BS315" s="394"/>
      <c r="BT315" s="594"/>
      <c r="BU315" s="594"/>
      <c r="BV315" s="594"/>
      <c r="BW315" s="618"/>
      <c r="BX315" s="644"/>
      <c r="BY315" s="644"/>
    </row>
    <row r="316" ht="25.5" customHeight="1">
      <c r="A316" s="635"/>
      <c r="B316" s="572">
        <v>45460.375</v>
      </c>
      <c r="C316" s="642"/>
      <c r="D316" s="642"/>
      <c r="E316" s="574" t="s">
        <v>327</v>
      </c>
      <c r="F316" s="620"/>
      <c r="G316" s="621"/>
      <c r="H316" s="577"/>
      <c r="I316" s="577"/>
      <c r="J316" s="613"/>
      <c r="K316" s="581"/>
      <c r="L316" s="581"/>
      <c r="M316" s="613"/>
      <c r="N316" s="613"/>
      <c r="O316" s="613"/>
      <c r="P316" s="580"/>
      <c r="Q316" s="580"/>
      <c r="R316" s="581"/>
      <c r="S316" s="581"/>
      <c r="T316" s="581"/>
      <c r="U316" s="582"/>
      <c r="V316" s="614"/>
      <c r="W316" s="581"/>
      <c r="X316" s="615"/>
      <c r="Y316" s="613"/>
      <c r="Z316" s="580"/>
      <c r="AA316" s="634"/>
      <c r="AB316" s="577"/>
      <c r="AC316" s="673"/>
      <c r="AD316" s="634"/>
      <c r="AE316" s="587"/>
      <c r="AF316" s="587"/>
      <c r="AG316" s="582"/>
      <c r="AH316" s="582"/>
      <c r="AI316" s="582"/>
      <c r="AJ316" s="582"/>
      <c r="AK316" s="588"/>
      <c r="AL316" s="582"/>
      <c r="AM316" s="606">
        <v>52816.0</v>
      </c>
      <c r="AN316" s="589"/>
      <c r="AO316" s="616"/>
      <c r="AP316" s="592"/>
      <c r="AQ316" s="358"/>
      <c r="AR316" s="592"/>
      <c r="AS316" s="592"/>
      <c r="AT316" s="592"/>
      <c r="AU316" s="592"/>
      <c r="AV316" s="592"/>
      <c r="AW316" s="592"/>
      <c r="AX316" s="592"/>
      <c r="AY316" s="592"/>
      <c r="AZ316" s="592"/>
      <c r="BA316" s="617"/>
      <c r="BB316" s="592"/>
      <c r="BC316" s="592"/>
      <c r="BD316" s="592"/>
      <c r="BE316" s="592"/>
      <c r="BF316" s="592"/>
      <c r="BG316" s="358"/>
      <c r="BH316" s="592"/>
      <c r="BI316" s="592"/>
      <c r="BJ316" s="592"/>
      <c r="BK316" s="592"/>
      <c r="BL316" s="592"/>
      <c r="BM316" s="592"/>
      <c r="BN316" s="592"/>
      <c r="BO316" s="592"/>
      <c r="BP316" s="592"/>
      <c r="BQ316" s="594"/>
      <c r="BR316" s="594"/>
      <c r="BS316" s="394"/>
      <c r="BT316" s="594"/>
      <c r="BU316" s="594"/>
      <c r="BV316" s="594"/>
      <c r="BW316" s="618"/>
      <c r="BX316" s="644"/>
      <c r="BY316" s="644"/>
      <c r="BZ316" s="609" t="s">
        <v>471</v>
      </c>
    </row>
    <row r="317" ht="25.5" customHeight="1">
      <c r="A317" s="635"/>
      <c r="B317" s="695">
        <v>45462.49350960648</v>
      </c>
      <c r="C317" s="642"/>
      <c r="D317" s="642"/>
      <c r="E317" s="574" t="s">
        <v>218</v>
      </c>
      <c r="F317" s="620"/>
      <c r="G317" s="621"/>
      <c r="H317" s="577"/>
      <c r="I317" s="577"/>
      <c r="J317" s="604"/>
      <c r="K317" s="581"/>
      <c r="L317" s="581"/>
      <c r="M317" s="604">
        <v>5.0848</v>
      </c>
      <c r="N317" s="613"/>
      <c r="O317" s="613"/>
      <c r="P317" s="580"/>
      <c r="Q317" s="686">
        <v>-5.0863</v>
      </c>
      <c r="R317" s="581"/>
      <c r="S317" s="581"/>
      <c r="T317" s="581"/>
      <c r="U317" s="582"/>
      <c r="V317" s="614"/>
      <c r="W317" s="581"/>
      <c r="X317" s="615"/>
      <c r="Y317" s="613"/>
      <c r="Z317" s="580"/>
      <c r="AA317" s="634"/>
      <c r="AB317" s="577"/>
      <c r="AC317" s="673"/>
      <c r="AD317" s="634"/>
      <c r="AE317" s="587"/>
      <c r="AF317" s="587"/>
      <c r="AG317" s="582"/>
      <c r="AH317" s="582"/>
      <c r="AI317" s="582"/>
      <c r="AJ317" s="582"/>
      <c r="AK317" s="588"/>
      <c r="AL317" s="582"/>
      <c r="AM317" s="606"/>
      <c r="AN317" s="589"/>
      <c r="AO317" s="616"/>
      <c r="AP317" s="592"/>
      <c r="AQ317" s="358"/>
      <c r="AR317" s="592"/>
      <c r="AS317" s="592"/>
      <c r="AT317" s="592"/>
      <c r="AU317" s="592"/>
      <c r="AV317" s="592"/>
      <c r="AW317" s="592"/>
      <c r="AX317" s="592"/>
      <c r="AY317" s="592"/>
      <c r="AZ317" s="592"/>
      <c r="BA317" s="617"/>
      <c r="BB317" s="592"/>
      <c r="BC317" s="592"/>
      <c r="BD317" s="592"/>
      <c r="BE317" s="592"/>
      <c r="BF317" s="592"/>
      <c r="BG317" s="358"/>
      <c r="BH317" s="592"/>
      <c r="BI317" s="592"/>
      <c r="BJ317" s="592"/>
      <c r="BK317" s="592"/>
      <c r="BL317" s="592"/>
      <c r="BM317" s="592"/>
      <c r="BN317" s="592"/>
      <c r="BO317" s="592"/>
      <c r="BP317" s="592"/>
      <c r="BQ317" s="594"/>
      <c r="BR317" s="594"/>
      <c r="BS317" s="394"/>
      <c r="BT317" s="594"/>
      <c r="BU317" s="594"/>
      <c r="BV317" s="594"/>
      <c r="BW317" s="618"/>
      <c r="BX317" s="644"/>
      <c r="BY317" s="644"/>
      <c r="BZ317" s="609" t="s">
        <v>472</v>
      </c>
    </row>
    <row r="318" ht="25.5" customHeight="1">
      <c r="A318" s="635"/>
      <c r="B318" s="695">
        <v>45462.49722228009</v>
      </c>
      <c r="C318" s="642"/>
      <c r="D318" s="642"/>
      <c r="E318" s="574" t="s">
        <v>231</v>
      </c>
      <c r="F318" s="620"/>
      <c r="G318" s="621"/>
      <c r="H318" s="577"/>
      <c r="I318" s="577"/>
      <c r="J318" s="604"/>
      <c r="K318" s="581"/>
      <c r="L318" s="581"/>
      <c r="M318" s="604">
        <v>-5.05</v>
      </c>
      <c r="N318" s="613"/>
      <c r="O318" s="613"/>
      <c r="P318" s="580"/>
      <c r="Q318" s="580"/>
      <c r="R318" s="581"/>
      <c r="S318" s="581"/>
      <c r="T318" s="581"/>
      <c r="U318" s="582"/>
      <c r="V318" s="614"/>
      <c r="W318" s="581"/>
      <c r="X318" s="615"/>
      <c r="Y318" s="613"/>
      <c r="Z318" s="686">
        <v>5.05</v>
      </c>
      <c r="AA318" s="634"/>
      <c r="AB318" s="577"/>
      <c r="AC318" s="673"/>
      <c r="AD318" s="634"/>
      <c r="AE318" s="587"/>
      <c r="AF318" s="587"/>
      <c r="AG318" s="582"/>
      <c r="AH318" s="582"/>
      <c r="AI318" s="582"/>
      <c r="AJ318" s="582"/>
      <c r="AK318" s="588"/>
      <c r="AL318" s="582"/>
      <c r="AM318" s="587"/>
      <c r="AN318" s="589"/>
      <c r="AO318" s="616"/>
      <c r="AP318" s="592"/>
      <c r="AQ318" s="358"/>
      <c r="AR318" s="592"/>
      <c r="AS318" s="592"/>
      <c r="AT318" s="592"/>
      <c r="AU318" s="592"/>
      <c r="AV318" s="592"/>
      <c r="AW318" s="592"/>
      <c r="AX318" s="592"/>
      <c r="AY318" s="592"/>
      <c r="AZ318" s="592"/>
      <c r="BA318" s="617"/>
      <c r="BB318" s="592"/>
      <c r="BC318" s="592"/>
      <c r="BD318" s="592"/>
      <c r="BE318" s="592"/>
      <c r="BF318" s="592"/>
      <c r="BG318" s="358"/>
      <c r="BH318" s="592"/>
      <c r="BI318" s="592"/>
      <c r="BJ318" s="592"/>
      <c r="BK318" s="592"/>
      <c r="BL318" s="592"/>
      <c r="BM318" s="592"/>
      <c r="BN318" s="592"/>
      <c r="BO318" s="592"/>
      <c r="BP318" s="592"/>
      <c r="BQ318" s="594"/>
      <c r="BR318" s="594"/>
      <c r="BS318" s="394"/>
      <c r="BT318" s="594"/>
      <c r="BU318" s="594"/>
      <c r="BV318" s="594"/>
      <c r="BW318" s="618"/>
      <c r="BX318" s="644"/>
      <c r="BY318" s="608" t="s">
        <v>473</v>
      </c>
      <c r="BZ318" s="609" t="s">
        <v>474</v>
      </c>
      <c r="CA318" s="609" t="s">
        <v>475</v>
      </c>
    </row>
    <row r="319" ht="25.5" customHeight="1">
      <c r="A319" s="635"/>
      <c r="B319" s="695">
        <v>45463.41376885417</v>
      </c>
      <c r="C319" s="642"/>
      <c r="D319" s="642"/>
      <c r="E319" s="574" t="s">
        <v>218</v>
      </c>
      <c r="F319" s="612">
        <v>-0.27502335</v>
      </c>
      <c r="G319" s="621"/>
      <c r="H319" s="622">
        <v>0.275</v>
      </c>
      <c r="I319" s="622"/>
      <c r="J319" s="613"/>
      <c r="K319" s="581"/>
      <c r="L319" s="581"/>
      <c r="M319" s="613"/>
      <c r="N319" s="613"/>
      <c r="O319" s="613"/>
      <c r="P319" s="580"/>
      <c r="Q319" s="580"/>
      <c r="R319" s="581"/>
      <c r="S319" s="581"/>
      <c r="T319" s="581"/>
      <c r="U319" s="582"/>
      <c r="V319" s="614"/>
      <c r="W319" s="581"/>
      <c r="X319" s="615"/>
      <c r="Y319" s="613"/>
      <c r="Z319" s="580"/>
      <c r="AA319" s="634"/>
      <c r="AB319" s="577"/>
      <c r="AC319" s="673"/>
      <c r="AD319" s="634"/>
      <c r="AE319" s="587"/>
      <c r="AF319" s="587"/>
      <c r="AG319" s="582"/>
      <c r="AH319" s="582"/>
      <c r="AI319" s="582"/>
      <c r="AJ319" s="582"/>
      <c r="AK319" s="588"/>
      <c r="AL319" s="582"/>
      <c r="AM319" s="587"/>
      <c r="AN319" s="589"/>
      <c r="AO319" s="616"/>
      <c r="AP319" s="592"/>
      <c r="AQ319" s="358"/>
      <c r="AR319" s="592"/>
      <c r="AS319" s="592"/>
      <c r="AT319" s="592"/>
      <c r="AU319" s="592"/>
      <c r="AV319" s="592"/>
      <c r="AW319" s="592"/>
      <c r="AX319" s="592"/>
      <c r="AY319" s="592"/>
      <c r="AZ319" s="592"/>
      <c r="BA319" s="617"/>
      <c r="BB319" s="592"/>
      <c r="BC319" s="592"/>
      <c r="BD319" s="592"/>
      <c r="BE319" s="592"/>
      <c r="BF319" s="592"/>
      <c r="BG319" s="358"/>
      <c r="BH319" s="592"/>
      <c r="BI319" s="592"/>
      <c r="BJ319" s="592"/>
      <c r="BK319" s="592"/>
      <c r="BL319" s="592"/>
      <c r="BM319" s="592"/>
      <c r="BN319" s="592"/>
      <c r="BO319" s="592"/>
      <c r="BP319" s="592"/>
      <c r="BQ319" s="594"/>
      <c r="BR319" s="594"/>
      <c r="BS319" s="394"/>
      <c r="BT319" s="594"/>
      <c r="BU319" s="594"/>
      <c r="BV319" s="594"/>
      <c r="BW319" s="618"/>
      <c r="BX319" s="644"/>
      <c r="BY319" s="644"/>
      <c r="BZ319" s="609" t="s">
        <v>476</v>
      </c>
    </row>
    <row r="320" ht="25.5" customHeight="1">
      <c r="A320" s="635"/>
      <c r="B320" s="695">
        <v>45463.42124930555</v>
      </c>
      <c r="C320" s="702">
        <f>-H320/Q320</f>
        <v>0.05478960791</v>
      </c>
      <c r="D320" s="642"/>
      <c r="E320" s="574" t="s">
        <v>231</v>
      </c>
      <c r="F320" s="620"/>
      <c r="G320" s="621"/>
      <c r="H320" s="622">
        <v>-0.275</v>
      </c>
      <c r="I320" s="622"/>
      <c r="J320" s="613"/>
      <c r="K320" s="581"/>
      <c r="L320" s="581"/>
      <c r="M320" s="613"/>
      <c r="N320" s="613"/>
      <c r="O320" s="613"/>
      <c r="P320" s="580"/>
      <c r="Q320" s="686">
        <v>5.0192</v>
      </c>
      <c r="R320" s="581"/>
      <c r="S320" s="581"/>
      <c r="T320" s="581"/>
      <c r="U320" s="582"/>
      <c r="V320" s="614"/>
      <c r="W320" s="581"/>
      <c r="X320" s="615"/>
      <c r="Y320" s="613"/>
      <c r="Z320" s="580"/>
      <c r="AA320" s="634"/>
      <c r="AB320" s="577"/>
      <c r="AC320" s="673"/>
      <c r="AD320" s="634"/>
      <c r="AE320" s="587"/>
      <c r="AF320" s="587"/>
      <c r="AG320" s="582"/>
      <c r="AH320" s="582"/>
      <c r="AI320" s="582"/>
      <c r="AJ320" s="582"/>
      <c r="AK320" s="588"/>
      <c r="AL320" s="582"/>
      <c r="AM320" s="587"/>
      <c r="AN320" s="589"/>
      <c r="AO320" s="616"/>
      <c r="AP320" s="592"/>
      <c r="AQ320" s="358"/>
      <c r="AR320" s="592"/>
      <c r="AS320" s="592"/>
      <c r="AT320" s="592"/>
      <c r="AU320" s="592"/>
      <c r="AV320" s="592"/>
      <c r="AW320" s="592"/>
      <c r="AX320" s="592"/>
      <c r="AY320" s="592"/>
      <c r="AZ320" s="592"/>
      <c r="BA320" s="617"/>
      <c r="BB320" s="592"/>
      <c r="BC320" s="592"/>
      <c r="BD320" s="592"/>
      <c r="BE320" s="592"/>
      <c r="BF320" s="592"/>
      <c r="BG320" s="358"/>
      <c r="BH320" s="592"/>
      <c r="BI320" s="592"/>
      <c r="BJ320" s="592"/>
      <c r="BK320" s="592"/>
      <c r="BL320" s="592"/>
      <c r="BM320" s="592"/>
      <c r="BN320" s="592"/>
      <c r="BO320" s="592"/>
      <c r="BP320" s="592"/>
      <c r="BQ320" s="594"/>
      <c r="BR320" s="594"/>
      <c r="BS320" s="394"/>
      <c r="BT320" s="594"/>
      <c r="BU320" s="594"/>
      <c r="BV320" s="594"/>
      <c r="BW320" s="618"/>
      <c r="BX320" s="644"/>
      <c r="BY320" s="644"/>
    </row>
    <row r="321" ht="25.5" customHeight="1">
      <c r="A321" s="635"/>
      <c r="B321" s="695">
        <v>45464.35924447917</v>
      </c>
      <c r="C321" s="642"/>
      <c r="D321" s="642"/>
      <c r="E321" s="574" t="s">
        <v>231</v>
      </c>
      <c r="F321" s="620"/>
      <c r="G321" s="621"/>
      <c r="H321" s="577"/>
      <c r="I321" s="577"/>
      <c r="J321" s="613"/>
      <c r="K321" s="581"/>
      <c r="L321" s="581"/>
      <c r="M321" s="613"/>
      <c r="N321" s="613"/>
      <c r="O321" s="613"/>
      <c r="P321" s="580"/>
      <c r="Q321" s="580"/>
      <c r="R321" s="581"/>
      <c r="S321" s="581"/>
      <c r="T321" s="581"/>
      <c r="U321" s="582"/>
      <c r="V321" s="614"/>
      <c r="W321" s="581"/>
      <c r="X321" s="615"/>
      <c r="Y321" s="613"/>
      <c r="Z321" s="580"/>
      <c r="AA321" s="634"/>
      <c r="AB321" s="577"/>
      <c r="AC321" s="673"/>
      <c r="AD321" s="634"/>
      <c r="AE321" s="587"/>
      <c r="AF321" s="587"/>
      <c r="AG321" s="582"/>
      <c r="AH321" s="582"/>
      <c r="AI321" s="582"/>
      <c r="AJ321" s="582"/>
      <c r="AK321" s="588"/>
      <c r="AL321" s="582">
        <f>10036.77802471-1.92</f>
        <v>10034.85802</v>
      </c>
      <c r="AM321" s="606">
        <v>-52816.0</v>
      </c>
      <c r="AN321" s="589"/>
      <c r="AO321" s="616"/>
      <c r="AP321" s="592"/>
      <c r="AQ321" s="358"/>
      <c r="AR321" s="592"/>
      <c r="AS321" s="592"/>
      <c r="AT321" s="592"/>
      <c r="AU321" s="592"/>
      <c r="AV321" s="592"/>
      <c r="AW321" s="592"/>
      <c r="AX321" s="592"/>
      <c r="AY321" s="592"/>
      <c r="AZ321" s="592"/>
      <c r="BA321" s="617"/>
      <c r="BB321" s="592"/>
      <c r="BC321" s="592"/>
      <c r="BD321" s="592"/>
      <c r="BE321" s="592"/>
      <c r="BF321" s="592"/>
      <c r="BG321" s="358"/>
      <c r="BH321" s="592"/>
      <c r="BI321" s="592"/>
      <c r="BJ321" s="592"/>
      <c r="BK321" s="592"/>
      <c r="BL321" s="592"/>
      <c r="BM321" s="592"/>
      <c r="BN321" s="592"/>
      <c r="BO321" s="592"/>
      <c r="BP321" s="592"/>
      <c r="BQ321" s="594"/>
      <c r="BR321" s="594"/>
      <c r="BS321" s="394"/>
      <c r="BT321" s="594"/>
      <c r="BU321" s="594"/>
      <c r="BV321" s="594"/>
      <c r="BW321" s="618"/>
      <c r="BX321" s="644"/>
      <c r="BY321" s="644"/>
    </row>
    <row r="322" ht="25.5" customHeight="1">
      <c r="A322" s="635"/>
      <c r="B322" s="695">
        <v>45464.6199763426</v>
      </c>
      <c r="C322" s="642">
        <f>ABS(AL322)/Q322</f>
        <v>3497.120809</v>
      </c>
      <c r="D322" s="642"/>
      <c r="E322" s="574" t="s">
        <v>231</v>
      </c>
      <c r="F322" s="620"/>
      <c r="G322" s="621"/>
      <c r="H322" s="577"/>
      <c r="I322" s="577"/>
      <c r="J322" s="613"/>
      <c r="K322" s="581"/>
      <c r="L322" s="581"/>
      <c r="M322" s="613"/>
      <c r="N322" s="613"/>
      <c r="O322" s="613"/>
      <c r="P322" s="580"/>
      <c r="Q322" s="580">
        <f>7.8884-5.0192</f>
        <v>2.8692</v>
      </c>
      <c r="R322" s="581"/>
      <c r="S322" s="581"/>
      <c r="T322" s="581"/>
      <c r="U322" s="582"/>
      <c r="V322" s="614"/>
      <c r="W322" s="581"/>
      <c r="X322" s="615"/>
      <c r="Y322" s="613"/>
      <c r="Z322" s="580"/>
      <c r="AA322" s="634"/>
      <c r="AB322" s="577"/>
      <c r="AC322" s="673"/>
      <c r="AD322" s="634"/>
      <c r="AE322" s="587"/>
      <c r="AF322" s="587"/>
      <c r="AG322" s="582"/>
      <c r="AH322" s="582"/>
      <c r="AI322" s="582"/>
      <c r="AJ322" s="582"/>
      <c r="AK322" s="588"/>
      <c r="AL322" s="582">
        <f>0.919-(10036.77802471-1.92)</f>
        <v>-10033.93902</v>
      </c>
      <c r="AM322" s="587"/>
      <c r="AN322" s="589"/>
      <c r="AO322" s="616"/>
      <c r="AP322" s="592"/>
      <c r="AQ322" s="358"/>
      <c r="AR322" s="592"/>
      <c r="AS322" s="592"/>
      <c r="AT322" s="592"/>
      <c r="AU322" s="592"/>
      <c r="AV322" s="592"/>
      <c r="AW322" s="592"/>
      <c r="AX322" s="592"/>
      <c r="AY322" s="592"/>
      <c r="AZ322" s="592"/>
      <c r="BA322" s="617"/>
      <c r="BB322" s="592"/>
      <c r="BC322" s="592"/>
      <c r="BD322" s="592"/>
      <c r="BE322" s="592"/>
      <c r="BF322" s="592"/>
      <c r="BG322" s="358"/>
      <c r="BH322" s="592"/>
      <c r="BI322" s="592"/>
      <c r="BJ322" s="592"/>
      <c r="BK322" s="592"/>
      <c r="BL322" s="592"/>
      <c r="BM322" s="592"/>
      <c r="BN322" s="592"/>
      <c r="BO322" s="592"/>
      <c r="BP322" s="592"/>
      <c r="BQ322" s="594"/>
      <c r="BR322" s="594"/>
      <c r="BS322" s="394"/>
      <c r="BT322" s="594"/>
      <c r="BU322" s="594"/>
      <c r="BV322" s="594"/>
      <c r="BW322" s="618"/>
      <c r="BX322" s="644"/>
      <c r="BY322" s="644"/>
    </row>
    <row r="323" ht="25.5" customHeight="1">
      <c r="A323" s="635"/>
      <c r="B323" s="695">
        <v>45464.70813283564</v>
      </c>
      <c r="C323" s="642"/>
      <c r="D323" s="642"/>
      <c r="E323" s="574" t="s">
        <v>218</v>
      </c>
      <c r="F323" s="620"/>
      <c r="G323" s="621"/>
      <c r="H323" s="577"/>
      <c r="I323" s="577"/>
      <c r="J323" s="613"/>
      <c r="K323" s="581"/>
      <c r="L323" s="581"/>
      <c r="M323" s="613"/>
      <c r="N323" s="613"/>
      <c r="O323" s="613"/>
      <c r="P323" s="580"/>
      <c r="Q323" s="580"/>
      <c r="R323" s="581"/>
      <c r="S323" s="581"/>
      <c r="T323" s="579">
        <v>-7550.0</v>
      </c>
      <c r="U323" s="582"/>
      <c r="V323" s="614"/>
      <c r="W323" s="581"/>
      <c r="X323" s="615"/>
      <c r="Y323" s="613"/>
      <c r="Z323" s="580"/>
      <c r="AA323" s="634"/>
      <c r="AB323" s="577"/>
      <c r="AC323" s="673"/>
      <c r="AD323" s="634"/>
      <c r="AE323" s="587"/>
      <c r="AF323" s="587"/>
      <c r="AG323" s="582"/>
      <c r="AH323" s="582"/>
      <c r="AI323" s="582"/>
      <c r="AJ323" s="582"/>
      <c r="AK323" s="700">
        <v>7550.0</v>
      </c>
      <c r="AL323" s="582"/>
      <c r="AM323" s="587"/>
      <c r="AN323" s="589"/>
      <c r="AO323" s="616"/>
      <c r="AP323" s="592"/>
      <c r="AQ323" s="358"/>
      <c r="AR323" s="592"/>
      <c r="AS323" s="592"/>
      <c r="AT323" s="592"/>
      <c r="AU323" s="592"/>
      <c r="AV323" s="592"/>
      <c r="AW323" s="592"/>
      <c r="AX323" s="592"/>
      <c r="AY323" s="592"/>
      <c r="AZ323" s="592"/>
      <c r="BA323" s="617"/>
      <c r="BB323" s="592"/>
      <c r="BC323" s="592"/>
      <c r="BD323" s="592"/>
      <c r="BE323" s="592"/>
      <c r="BF323" s="592"/>
      <c r="BG323" s="358"/>
      <c r="BH323" s="592"/>
      <c r="BI323" s="592"/>
      <c r="BJ323" s="592"/>
      <c r="BK323" s="592"/>
      <c r="BL323" s="592"/>
      <c r="BM323" s="592"/>
      <c r="BN323" s="592"/>
      <c r="BO323" s="592"/>
      <c r="BP323" s="592"/>
      <c r="BQ323" s="594"/>
      <c r="BR323" s="594"/>
      <c r="BS323" s="394"/>
      <c r="BT323" s="594"/>
      <c r="BU323" s="594"/>
      <c r="BV323" s="594"/>
      <c r="BW323" s="618"/>
      <c r="BX323" s="644"/>
      <c r="BY323" s="644"/>
      <c r="BZ323" s="609" t="s">
        <v>477</v>
      </c>
      <c r="CA323" s="609" t="s">
        <v>478</v>
      </c>
    </row>
    <row r="324" ht="25.5" customHeight="1">
      <c r="A324" s="635"/>
      <c r="B324" s="695">
        <v>45464.719364606484</v>
      </c>
      <c r="C324" s="642">
        <f>ABS(AK324)/Q324</f>
        <v>3507.386416</v>
      </c>
      <c r="D324" s="642"/>
      <c r="E324" s="574" t="s">
        <v>231</v>
      </c>
      <c r="F324" s="620"/>
      <c r="G324" s="621"/>
      <c r="H324" s="577"/>
      <c r="I324" s="577"/>
      <c r="J324" s="613"/>
      <c r="K324" s="581"/>
      <c r="L324" s="581"/>
      <c r="M324" s="613"/>
      <c r="N324" s="613"/>
      <c r="O324" s="613"/>
      <c r="P324" s="580"/>
      <c r="Q324" s="580">
        <f>10.041-7.8884</f>
        <v>2.1526</v>
      </c>
      <c r="R324" s="581"/>
      <c r="S324" s="581"/>
      <c r="T324" s="579"/>
      <c r="U324" s="582"/>
      <c r="V324" s="614"/>
      <c r="W324" s="581"/>
      <c r="X324" s="615"/>
      <c r="Y324" s="613"/>
      <c r="Z324" s="580"/>
      <c r="AA324" s="634"/>
      <c r="AB324" s="577"/>
      <c r="AC324" s="673"/>
      <c r="AD324" s="634"/>
      <c r="AE324" s="587"/>
      <c r="AF324" s="587"/>
      <c r="AG324" s="582"/>
      <c r="AH324" s="582"/>
      <c r="AI324" s="582"/>
      <c r="AJ324" s="582"/>
      <c r="AK324" s="700">
        <v>-7550.0</v>
      </c>
      <c r="AL324" s="582"/>
      <c r="AM324" s="587"/>
      <c r="AN324" s="589"/>
      <c r="AO324" s="616"/>
      <c r="AP324" s="592"/>
      <c r="AQ324" s="358"/>
      <c r="AR324" s="592"/>
      <c r="AS324" s="592"/>
      <c r="AT324" s="592"/>
      <c r="AU324" s="592"/>
      <c r="AV324" s="592"/>
      <c r="AW324" s="592"/>
      <c r="AX324" s="592"/>
      <c r="AY324" s="592"/>
      <c r="AZ324" s="592"/>
      <c r="BA324" s="617"/>
      <c r="BB324" s="592"/>
      <c r="BC324" s="592"/>
      <c r="BD324" s="592"/>
      <c r="BE324" s="592"/>
      <c r="BF324" s="592"/>
      <c r="BG324" s="358"/>
      <c r="BH324" s="592"/>
      <c r="BI324" s="592"/>
      <c r="BJ324" s="592"/>
      <c r="BK324" s="592"/>
      <c r="BL324" s="592"/>
      <c r="BM324" s="592"/>
      <c r="BN324" s="592"/>
      <c r="BO324" s="592"/>
      <c r="BP324" s="592"/>
      <c r="BQ324" s="594"/>
      <c r="BR324" s="594"/>
      <c r="BS324" s="394"/>
      <c r="BT324" s="594"/>
      <c r="BU324" s="594"/>
      <c r="BV324" s="594"/>
      <c r="BW324" s="618"/>
      <c r="BX324" s="644"/>
      <c r="BY324" s="644"/>
    </row>
    <row r="325" ht="25.5" customHeight="1">
      <c r="A325" s="635"/>
      <c r="B325" s="695">
        <v>45464.730827858795</v>
      </c>
      <c r="C325" s="642"/>
      <c r="D325" s="642"/>
      <c r="E325" s="574" t="s">
        <v>218</v>
      </c>
      <c r="F325" s="620"/>
      <c r="G325" s="621"/>
      <c r="H325" s="577"/>
      <c r="I325" s="577"/>
      <c r="J325" s="613"/>
      <c r="K325" s="581"/>
      <c r="L325" s="581"/>
      <c r="M325" s="613"/>
      <c r="N325" s="604">
        <v>10.0395</v>
      </c>
      <c r="O325" s="604"/>
      <c r="P325" s="580"/>
      <c r="Q325" s="686">
        <v>-10.0408</v>
      </c>
      <c r="R325" s="581"/>
      <c r="S325" s="581"/>
      <c r="T325" s="581"/>
      <c r="U325" s="582"/>
      <c r="V325" s="614"/>
      <c r="W325" s="581"/>
      <c r="X325" s="615"/>
      <c r="Y325" s="613"/>
      <c r="Z325" s="580"/>
      <c r="AA325" s="634"/>
      <c r="AB325" s="577"/>
      <c r="AC325" s="673"/>
      <c r="AD325" s="634"/>
      <c r="AE325" s="587"/>
      <c r="AF325" s="587"/>
      <c r="AG325" s="582"/>
      <c r="AH325" s="582"/>
      <c r="AI325" s="582"/>
      <c r="AJ325" s="582"/>
      <c r="AK325" s="588"/>
      <c r="AL325" s="582"/>
      <c r="AM325" s="587"/>
      <c r="AN325" s="589"/>
      <c r="AO325" s="616"/>
      <c r="AP325" s="592"/>
      <c r="AQ325" s="358"/>
      <c r="AR325" s="592"/>
      <c r="AS325" s="592"/>
      <c r="AT325" s="592"/>
      <c r="AU325" s="592"/>
      <c r="AV325" s="592"/>
      <c r="AW325" s="592"/>
      <c r="AX325" s="592"/>
      <c r="AY325" s="592"/>
      <c r="AZ325" s="592"/>
      <c r="BA325" s="617"/>
      <c r="BB325" s="592"/>
      <c r="BC325" s="592"/>
      <c r="BD325" s="592"/>
      <c r="BE325" s="592"/>
      <c r="BF325" s="592"/>
      <c r="BG325" s="358"/>
      <c r="BH325" s="592"/>
      <c r="BI325" s="592"/>
      <c r="BJ325" s="592"/>
      <c r="BK325" s="592"/>
      <c r="BL325" s="592"/>
      <c r="BM325" s="592"/>
      <c r="BN325" s="592"/>
      <c r="BO325" s="592"/>
      <c r="BP325" s="592"/>
      <c r="BQ325" s="594"/>
      <c r="BR325" s="594"/>
      <c r="BS325" s="394"/>
      <c r="BT325" s="594"/>
      <c r="BU325" s="594"/>
      <c r="BV325" s="594"/>
      <c r="BW325" s="618"/>
      <c r="BX325" s="644"/>
      <c r="BY325" s="644"/>
      <c r="BZ325" s="609" t="s">
        <v>479</v>
      </c>
    </row>
    <row r="326" ht="25.5" customHeight="1">
      <c r="A326" s="635"/>
      <c r="B326" s="695">
        <v>45464.73285369213</v>
      </c>
      <c r="C326" s="642"/>
      <c r="D326" s="642"/>
      <c r="E326" s="574" t="s">
        <v>218</v>
      </c>
      <c r="F326" s="620"/>
      <c r="G326" s="621"/>
      <c r="H326" s="577"/>
      <c r="I326" s="577"/>
      <c r="J326" s="613"/>
      <c r="K326" s="581"/>
      <c r="L326" s="581"/>
      <c r="M326" s="613"/>
      <c r="N326" s="604">
        <v>-10.0</v>
      </c>
      <c r="O326" s="604">
        <v>10.0</v>
      </c>
      <c r="P326" s="580"/>
      <c r="Q326" s="580"/>
      <c r="R326" s="581"/>
      <c r="S326" s="581"/>
      <c r="T326" s="581"/>
      <c r="U326" s="582"/>
      <c r="V326" s="614"/>
      <c r="W326" s="581"/>
      <c r="X326" s="615"/>
      <c r="Y326" s="613"/>
      <c r="Z326" s="580"/>
      <c r="AA326" s="634"/>
      <c r="AB326" s="577"/>
      <c r="AC326" s="673"/>
      <c r="AD326" s="634"/>
      <c r="AE326" s="587"/>
      <c r="AF326" s="587"/>
      <c r="AG326" s="582"/>
      <c r="AH326" s="582"/>
      <c r="AI326" s="582"/>
      <c r="AJ326" s="582"/>
      <c r="AK326" s="588"/>
      <c r="AL326" s="582"/>
      <c r="AM326" s="587"/>
      <c r="AN326" s="589"/>
      <c r="AO326" s="616"/>
      <c r="AP326" s="592"/>
      <c r="AQ326" s="358"/>
      <c r="AR326" s="592"/>
      <c r="AS326" s="592"/>
      <c r="AT326" s="592"/>
      <c r="AU326" s="592"/>
      <c r="AV326" s="592"/>
      <c r="AW326" s="592"/>
      <c r="AX326" s="592"/>
      <c r="AY326" s="592"/>
      <c r="AZ326" s="592"/>
      <c r="BA326" s="617"/>
      <c r="BB326" s="592"/>
      <c r="BC326" s="592"/>
      <c r="BD326" s="592"/>
      <c r="BE326" s="592"/>
      <c r="BF326" s="592"/>
      <c r="BG326" s="358"/>
      <c r="BH326" s="592"/>
      <c r="BI326" s="592"/>
      <c r="BJ326" s="592"/>
      <c r="BK326" s="592"/>
      <c r="BL326" s="592"/>
      <c r="BM326" s="592"/>
      <c r="BN326" s="592"/>
      <c r="BO326" s="592"/>
      <c r="BP326" s="592"/>
      <c r="BQ326" s="594"/>
      <c r="BR326" s="594"/>
      <c r="BS326" s="394"/>
      <c r="BT326" s="594"/>
      <c r="BU326" s="594"/>
      <c r="BV326" s="594"/>
      <c r="BW326" s="618"/>
      <c r="BX326" s="644"/>
      <c r="BY326" s="644"/>
      <c r="BZ326" s="609" t="s">
        <v>480</v>
      </c>
    </row>
    <row r="327" ht="25.5" customHeight="1">
      <c r="A327" s="635"/>
      <c r="B327" s="695">
        <v>45464.73561005787</v>
      </c>
      <c r="C327" s="642"/>
      <c r="D327" s="642"/>
      <c r="E327" s="574" t="s">
        <v>218</v>
      </c>
      <c r="F327" s="620"/>
      <c r="G327" s="621"/>
      <c r="H327" s="577"/>
      <c r="I327" s="577"/>
      <c r="J327" s="613"/>
      <c r="K327" s="581"/>
      <c r="L327" s="581"/>
      <c r="M327" s="613"/>
      <c r="N327" s="613"/>
      <c r="O327" s="604">
        <v>-10.0</v>
      </c>
      <c r="P327" s="580"/>
      <c r="Q327" s="580"/>
      <c r="R327" s="581"/>
      <c r="S327" s="581"/>
      <c r="T327" s="581"/>
      <c r="U327" s="582"/>
      <c r="V327" s="630"/>
      <c r="W327" s="581"/>
      <c r="X327" s="631"/>
      <c r="Y327" s="604">
        <v>10.0</v>
      </c>
      <c r="Z327" s="580"/>
      <c r="AA327" s="634"/>
      <c r="AB327" s="577"/>
      <c r="AC327" s="673"/>
      <c r="AD327" s="634"/>
      <c r="AE327" s="587"/>
      <c r="AF327" s="587"/>
      <c r="AG327" s="582"/>
      <c r="AH327" s="582"/>
      <c r="AI327" s="582"/>
      <c r="AJ327" s="582"/>
      <c r="AK327" s="588"/>
      <c r="AL327" s="582"/>
      <c r="AM327" s="587"/>
      <c r="AN327" s="589"/>
      <c r="AO327" s="616"/>
      <c r="AP327" s="592"/>
      <c r="AQ327" s="358"/>
      <c r="AR327" s="592"/>
      <c r="AS327" s="592"/>
      <c r="AT327" s="592"/>
      <c r="AU327" s="592"/>
      <c r="AV327" s="592"/>
      <c r="AW327" s="592"/>
      <c r="AX327" s="592"/>
      <c r="AY327" s="592"/>
      <c r="AZ327" s="592"/>
      <c r="BA327" s="617"/>
      <c r="BB327" s="592"/>
      <c r="BC327" s="592"/>
      <c r="BD327" s="592"/>
      <c r="BE327" s="592"/>
      <c r="BF327" s="592"/>
      <c r="BG327" s="358"/>
      <c r="BH327" s="592"/>
      <c r="BI327" s="592"/>
      <c r="BJ327" s="592"/>
      <c r="BK327" s="592"/>
      <c r="BL327" s="592"/>
      <c r="BM327" s="592"/>
      <c r="BN327" s="592"/>
      <c r="BO327" s="592"/>
      <c r="BP327" s="592"/>
      <c r="BQ327" s="594"/>
      <c r="BR327" s="594"/>
      <c r="BS327" s="394"/>
      <c r="BT327" s="594"/>
      <c r="BU327" s="594"/>
      <c r="BV327" s="594"/>
      <c r="BW327" s="618"/>
      <c r="BX327" s="644"/>
      <c r="BY327" s="644"/>
      <c r="BZ327" s="609" t="s">
        <v>481</v>
      </c>
    </row>
    <row r="328" ht="25.5" customHeight="1">
      <c r="A328" s="635"/>
      <c r="B328" s="695">
        <v>45467.253132557875</v>
      </c>
      <c r="C328" s="642"/>
      <c r="D328" s="642"/>
      <c r="E328" s="574" t="s">
        <v>218</v>
      </c>
      <c r="F328" s="620"/>
      <c r="G328" s="621"/>
      <c r="H328" s="577"/>
      <c r="I328" s="577"/>
      <c r="J328" s="613"/>
      <c r="K328" s="581"/>
      <c r="L328" s="581"/>
      <c r="M328" s="613"/>
      <c r="N328" s="613"/>
      <c r="O328" s="613"/>
      <c r="P328" s="580"/>
      <c r="Q328" s="580"/>
      <c r="R328" s="581"/>
      <c r="S328" s="581"/>
      <c r="T328" s="579">
        <v>-17100.0</v>
      </c>
      <c r="U328" s="582"/>
      <c r="V328" s="614"/>
      <c r="W328" s="581"/>
      <c r="X328" s="615"/>
      <c r="Y328" s="613"/>
      <c r="Z328" s="580"/>
      <c r="AA328" s="634"/>
      <c r="AB328" s="577"/>
      <c r="AC328" s="673"/>
      <c r="AD328" s="634"/>
      <c r="AE328" s="587"/>
      <c r="AF328" s="587"/>
      <c r="AG328" s="582"/>
      <c r="AH328" s="582"/>
      <c r="AI328" s="582"/>
      <c r="AJ328" s="582"/>
      <c r="AK328" s="700">
        <v>17100.0</v>
      </c>
      <c r="AL328" s="582"/>
      <c r="AM328" s="587"/>
      <c r="AN328" s="589"/>
      <c r="AO328" s="616"/>
      <c r="AP328" s="592"/>
      <c r="AQ328" s="358"/>
      <c r="AR328" s="592"/>
      <c r="AS328" s="592"/>
      <c r="AT328" s="592"/>
      <c r="AU328" s="592"/>
      <c r="AV328" s="592"/>
      <c r="AW328" s="592"/>
      <c r="AX328" s="592"/>
      <c r="AY328" s="592"/>
      <c r="AZ328" s="592"/>
      <c r="BA328" s="617"/>
      <c r="BB328" s="592"/>
      <c r="BC328" s="592"/>
      <c r="BD328" s="592"/>
      <c r="BE328" s="592"/>
      <c r="BF328" s="592"/>
      <c r="BG328" s="358"/>
      <c r="BH328" s="592"/>
      <c r="BI328" s="592"/>
      <c r="BJ328" s="592"/>
      <c r="BK328" s="592"/>
      <c r="BL328" s="592"/>
      <c r="BM328" s="592"/>
      <c r="BN328" s="592"/>
      <c r="BO328" s="592"/>
      <c r="BP328" s="592"/>
      <c r="BQ328" s="594"/>
      <c r="BR328" s="594"/>
      <c r="BS328" s="394"/>
      <c r="BT328" s="594"/>
      <c r="BU328" s="594"/>
      <c r="BV328" s="594"/>
      <c r="BW328" s="618"/>
      <c r="BX328" s="644"/>
      <c r="BY328" s="644"/>
      <c r="BZ328" s="609" t="s">
        <v>482</v>
      </c>
      <c r="CA328" s="609" t="s">
        <v>483</v>
      </c>
    </row>
    <row r="329" ht="25.5" customHeight="1">
      <c r="A329" s="635"/>
      <c r="B329" s="695">
        <v>45467.256367256945</v>
      </c>
      <c r="C329" s="642">
        <f>ABS(AK329)/Q329</f>
        <v>3394.001945</v>
      </c>
      <c r="D329" s="642"/>
      <c r="E329" s="574" t="s">
        <v>231</v>
      </c>
      <c r="F329" s="620"/>
      <c r="G329" s="621"/>
      <c r="H329" s="577"/>
      <c r="I329" s="577"/>
      <c r="J329" s="613"/>
      <c r="K329" s="581"/>
      <c r="L329" s="581"/>
      <c r="M329" s="613"/>
      <c r="N329" s="613"/>
      <c r="O329" s="613"/>
      <c r="P329" s="580"/>
      <c r="Q329" s="580">
        <f>5.0383</f>
        <v>5.0383</v>
      </c>
      <c r="R329" s="581"/>
      <c r="S329" s="581"/>
      <c r="T329" s="581"/>
      <c r="U329" s="582"/>
      <c r="V329" s="614"/>
      <c r="W329" s="581"/>
      <c r="X329" s="615"/>
      <c r="Y329" s="613"/>
      <c r="Z329" s="580"/>
      <c r="AA329" s="634"/>
      <c r="AB329" s="577"/>
      <c r="AC329" s="673"/>
      <c r="AD329" s="634"/>
      <c r="AE329" s="587"/>
      <c r="AF329" s="587"/>
      <c r="AG329" s="582"/>
      <c r="AH329" s="582"/>
      <c r="AI329" s="582"/>
      <c r="AJ329" s="582"/>
      <c r="AK329" s="700">
        <v>-17100.0</v>
      </c>
      <c r="AL329" s="582"/>
      <c r="AM329" s="587"/>
      <c r="AN329" s="589"/>
      <c r="AO329" s="616"/>
      <c r="AP329" s="592"/>
      <c r="AQ329" s="358"/>
      <c r="AR329" s="592"/>
      <c r="AS329" s="592"/>
      <c r="AT329" s="592"/>
      <c r="AU329" s="592"/>
      <c r="AV329" s="592"/>
      <c r="AW329" s="592"/>
      <c r="AX329" s="592"/>
      <c r="AY329" s="592"/>
      <c r="AZ329" s="592"/>
      <c r="BA329" s="617"/>
      <c r="BB329" s="592"/>
      <c r="BC329" s="592"/>
      <c r="BD329" s="592"/>
      <c r="BE329" s="592"/>
      <c r="BF329" s="592"/>
      <c r="BG329" s="358"/>
      <c r="BH329" s="592"/>
      <c r="BI329" s="592"/>
      <c r="BJ329" s="592"/>
      <c r="BK329" s="592"/>
      <c r="BL329" s="592"/>
      <c r="BM329" s="592"/>
      <c r="BN329" s="592"/>
      <c r="BO329" s="592"/>
      <c r="BP329" s="592"/>
      <c r="BQ329" s="594"/>
      <c r="BR329" s="594"/>
      <c r="BS329" s="394"/>
      <c r="BT329" s="594"/>
      <c r="BU329" s="594"/>
      <c r="BV329" s="594"/>
      <c r="BW329" s="618"/>
      <c r="BX329" s="644"/>
      <c r="BY329" s="644"/>
    </row>
    <row r="330" ht="25.5" customHeight="1">
      <c r="A330" s="635"/>
      <c r="B330" s="695">
        <v>45467.263584988425</v>
      </c>
      <c r="C330" s="642"/>
      <c r="D330" s="642"/>
      <c r="E330" s="574" t="s">
        <v>218</v>
      </c>
      <c r="F330" s="620"/>
      <c r="G330" s="621"/>
      <c r="H330" s="577"/>
      <c r="I330" s="577"/>
      <c r="J330" s="604"/>
      <c r="K330" s="581"/>
      <c r="L330" s="581"/>
      <c r="M330" s="604">
        <v>5.0368</v>
      </c>
      <c r="N330" s="613"/>
      <c r="O330" s="613"/>
      <c r="P330" s="580"/>
      <c r="Q330" s="686">
        <v>-5.03835</v>
      </c>
      <c r="R330" s="581"/>
      <c r="S330" s="581"/>
      <c r="T330" s="581"/>
      <c r="U330" s="582"/>
      <c r="V330" s="614"/>
      <c r="W330" s="581"/>
      <c r="X330" s="615"/>
      <c r="Y330" s="613"/>
      <c r="Z330" s="580"/>
      <c r="AA330" s="634"/>
      <c r="AB330" s="577"/>
      <c r="AC330" s="673"/>
      <c r="AD330" s="634"/>
      <c r="AE330" s="587"/>
      <c r="AF330" s="587"/>
      <c r="AG330" s="582"/>
      <c r="AH330" s="582"/>
      <c r="AI330" s="582"/>
      <c r="AJ330" s="582"/>
      <c r="AK330" s="588"/>
      <c r="AL330" s="582"/>
      <c r="AM330" s="587"/>
      <c r="AN330" s="589"/>
      <c r="AO330" s="616"/>
      <c r="AP330" s="592"/>
      <c r="AQ330" s="358"/>
      <c r="AR330" s="592"/>
      <c r="AS330" s="592"/>
      <c r="AT330" s="592"/>
      <c r="AU330" s="592"/>
      <c r="AV330" s="592"/>
      <c r="AW330" s="592"/>
      <c r="AX330" s="592"/>
      <c r="AY330" s="592"/>
      <c r="AZ330" s="592"/>
      <c r="BA330" s="617"/>
      <c r="BB330" s="592"/>
      <c r="BC330" s="592"/>
      <c r="BD330" s="592"/>
      <c r="BE330" s="592"/>
      <c r="BF330" s="592"/>
      <c r="BG330" s="358"/>
      <c r="BH330" s="592"/>
      <c r="BI330" s="592"/>
      <c r="BJ330" s="592"/>
      <c r="BK330" s="592"/>
      <c r="BL330" s="592"/>
      <c r="BM330" s="592"/>
      <c r="BN330" s="592"/>
      <c r="BO330" s="592"/>
      <c r="BP330" s="592"/>
      <c r="BQ330" s="594"/>
      <c r="BR330" s="594"/>
      <c r="BS330" s="394"/>
      <c r="BT330" s="594"/>
      <c r="BU330" s="594"/>
      <c r="BV330" s="594"/>
      <c r="BW330" s="618"/>
      <c r="BX330" s="644"/>
      <c r="BY330" s="644"/>
      <c r="BZ330" s="609" t="s">
        <v>484</v>
      </c>
    </row>
    <row r="331" ht="25.5" customHeight="1">
      <c r="A331" s="635"/>
      <c r="B331" s="695">
        <v>45467.26703634259</v>
      </c>
      <c r="C331" s="642"/>
      <c r="D331" s="642"/>
      <c r="E331" s="574" t="s">
        <v>218</v>
      </c>
      <c r="F331" s="620"/>
      <c r="G331" s="621"/>
      <c r="H331" s="577"/>
      <c r="I331" s="577"/>
      <c r="J331" s="604"/>
      <c r="K331" s="581"/>
      <c r="L331" s="581"/>
      <c r="M331" s="604">
        <v>-5.05</v>
      </c>
      <c r="N331" s="613"/>
      <c r="O331" s="613"/>
      <c r="P331" s="580"/>
      <c r="Q331" s="580"/>
      <c r="R331" s="581"/>
      <c r="S331" s="581"/>
      <c r="T331" s="581"/>
      <c r="U331" s="582"/>
      <c r="V331" s="614"/>
      <c r="W331" s="581"/>
      <c r="X331" s="615"/>
      <c r="Y331" s="613"/>
      <c r="Z331" s="686">
        <v>5.05</v>
      </c>
      <c r="AA331" s="634"/>
      <c r="AB331" s="577"/>
      <c r="AC331" s="673"/>
      <c r="AD331" s="634"/>
      <c r="AE331" s="587"/>
      <c r="AF331" s="587"/>
      <c r="AG331" s="582"/>
      <c r="AH331" s="582"/>
      <c r="AI331" s="582"/>
      <c r="AJ331" s="582"/>
      <c r="AK331" s="588"/>
      <c r="AL331" s="582"/>
      <c r="AM331" s="587"/>
      <c r="AN331" s="589"/>
      <c r="AO331" s="616"/>
      <c r="AP331" s="592"/>
      <c r="AQ331" s="358"/>
      <c r="AR331" s="592"/>
      <c r="AS331" s="592"/>
      <c r="AT331" s="592"/>
      <c r="AU331" s="592"/>
      <c r="AV331" s="592"/>
      <c r="AW331" s="592"/>
      <c r="AX331" s="592"/>
      <c r="AY331" s="592"/>
      <c r="AZ331" s="592"/>
      <c r="BA331" s="617"/>
      <c r="BB331" s="592"/>
      <c r="BC331" s="592"/>
      <c r="BD331" s="592"/>
      <c r="BE331" s="592"/>
      <c r="BF331" s="592"/>
      <c r="BG331" s="358"/>
      <c r="BH331" s="592"/>
      <c r="BI331" s="592"/>
      <c r="BJ331" s="592"/>
      <c r="BK331" s="592"/>
      <c r="BL331" s="592"/>
      <c r="BM331" s="592"/>
      <c r="BN331" s="592"/>
      <c r="BO331" s="592"/>
      <c r="BP331" s="592"/>
      <c r="BQ331" s="594"/>
      <c r="BR331" s="594"/>
      <c r="BS331" s="394"/>
      <c r="BT331" s="594"/>
      <c r="BU331" s="594"/>
      <c r="BV331" s="594"/>
      <c r="BW331" s="618"/>
      <c r="BX331" s="644"/>
      <c r="BY331" s="644"/>
      <c r="BZ331" s="609" t="s">
        <v>485</v>
      </c>
      <c r="CA331" s="609" t="s">
        <v>486</v>
      </c>
    </row>
    <row r="332" ht="25.5" customHeight="1">
      <c r="A332" s="635"/>
      <c r="B332" s="695">
        <v>45470.33316052084</v>
      </c>
      <c r="C332" s="642"/>
      <c r="D332" s="642"/>
      <c r="E332" s="574" t="s">
        <v>218</v>
      </c>
      <c r="F332" s="620"/>
      <c r="G332" s="621"/>
      <c r="H332" s="577"/>
      <c r="I332" s="577"/>
      <c r="J332" s="613"/>
      <c r="K332" s="581"/>
      <c r="L332" s="581"/>
      <c r="M332" s="613"/>
      <c r="N332" s="613"/>
      <c r="O332" s="604">
        <v>14.281</v>
      </c>
      <c r="P332" s="580"/>
      <c r="Q332" s="580"/>
      <c r="R332" s="581"/>
      <c r="S332" s="581"/>
      <c r="T332" s="581"/>
      <c r="U332" s="582"/>
      <c r="V332" s="630"/>
      <c r="W332" s="581"/>
      <c r="X332" s="631"/>
      <c r="Y332" s="604">
        <v>-14.281</v>
      </c>
      <c r="Z332" s="580"/>
      <c r="AA332" s="634"/>
      <c r="AB332" s="577"/>
      <c r="AC332" s="673"/>
      <c r="AD332" s="634"/>
      <c r="AE332" s="587"/>
      <c r="AF332" s="587"/>
      <c r="AG332" s="582"/>
      <c r="AH332" s="582"/>
      <c r="AI332" s="582"/>
      <c r="AJ332" s="582"/>
      <c r="AK332" s="588"/>
      <c r="AL332" s="582"/>
      <c r="AM332" s="587"/>
      <c r="AN332" s="589"/>
      <c r="AO332" s="616"/>
      <c r="AP332" s="592"/>
      <c r="AQ332" s="358"/>
      <c r="AR332" s="592"/>
      <c r="AS332" s="592"/>
      <c r="AT332" s="592"/>
      <c r="AU332" s="592"/>
      <c r="AV332" s="592"/>
      <c r="AW332" s="592"/>
      <c r="AX332" s="592"/>
      <c r="AY332" s="592"/>
      <c r="AZ332" s="592"/>
      <c r="BA332" s="617"/>
      <c r="BB332" s="592"/>
      <c r="BC332" s="592"/>
      <c r="BD332" s="592"/>
      <c r="BE332" s="592"/>
      <c r="BF332" s="592"/>
      <c r="BG332" s="358"/>
      <c r="BH332" s="592"/>
      <c r="BI332" s="592"/>
      <c r="BJ332" s="592"/>
      <c r="BK332" s="592"/>
      <c r="BL332" s="592"/>
      <c r="BM332" s="592"/>
      <c r="BN332" s="592"/>
      <c r="BO332" s="592"/>
      <c r="BP332" s="592"/>
      <c r="BQ332" s="594"/>
      <c r="BR332" s="594"/>
      <c r="BS332" s="394"/>
      <c r="BT332" s="594"/>
      <c r="BU332" s="594"/>
      <c r="BV332" s="594"/>
      <c r="BW332" s="618"/>
      <c r="BX332" s="644"/>
      <c r="BY332" s="644"/>
      <c r="BZ332" s="609" t="s">
        <v>487</v>
      </c>
    </row>
    <row r="333" ht="25.5" customHeight="1">
      <c r="A333" s="635"/>
      <c r="B333" s="695">
        <v>45471.411398344906</v>
      </c>
      <c r="C333" s="642"/>
      <c r="D333" s="642"/>
      <c r="E333" s="574" t="s">
        <v>469</v>
      </c>
      <c r="F333" s="620"/>
      <c r="G333" s="621"/>
      <c r="H333" s="577"/>
      <c r="I333" s="577"/>
      <c r="J333" s="613"/>
      <c r="K333" s="581"/>
      <c r="L333" s="581"/>
      <c r="M333" s="613"/>
      <c r="N333" s="613"/>
      <c r="O333" s="613"/>
      <c r="P333" s="580"/>
      <c r="Q333" s="580"/>
      <c r="R333" s="581"/>
      <c r="S333" s="581"/>
      <c r="T333" s="581"/>
      <c r="U333" s="582"/>
      <c r="V333" s="630"/>
      <c r="W333" s="581"/>
      <c r="X333" s="631"/>
      <c r="Y333" s="604">
        <f>0.1939</f>
        <v>0.1939</v>
      </c>
      <c r="Z333" s="580"/>
      <c r="AA333" s="634"/>
      <c r="AB333" s="577"/>
      <c r="AC333" s="673"/>
      <c r="AD333" s="634"/>
      <c r="AE333" s="587"/>
      <c r="AF333" s="587"/>
      <c r="AG333" s="582"/>
      <c r="AH333" s="582"/>
      <c r="AI333" s="582"/>
      <c r="AJ333" s="582"/>
      <c r="AK333" s="588"/>
      <c r="AL333" s="582"/>
      <c r="AM333" s="587"/>
      <c r="AN333" s="589"/>
      <c r="AO333" s="616"/>
      <c r="AP333" s="592"/>
      <c r="AQ333" s="358"/>
      <c r="AR333" s="592"/>
      <c r="AS333" s="592"/>
      <c r="AT333" s="592"/>
      <c r="AU333" s="592"/>
      <c r="AV333" s="592"/>
      <c r="AW333" s="592"/>
      <c r="AX333" s="592"/>
      <c r="AY333" s="592"/>
      <c r="AZ333" s="592"/>
      <c r="BA333" s="617"/>
      <c r="BB333" s="592"/>
      <c r="BC333" s="592"/>
      <c r="BD333" s="592"/>
      <c r="BE333" s="592"/>
      <c r="BF333" s="592"/>
      <c r="BG333" s="358"/>
      <c r="BH333" s="592"/>
      <c r="BI333" s="592"/>
      <c r="BJ333" s="592"/>
      <c r="BK333" s="592"/>
      <c r="BL333" s="592"/>
      <c r="BM333" s="592"/>
      <c r="BN333" s="592"/>
      <c r="BO333" s="592"/>
      <c r="BP333" s="592"/>
      <c r="BQ333" s="594"/>
      <c r="BR333" s="594"/>
      <c r="BS333" s="394"/>
      <c r="BT333" s="594"/>
      <c r="BU333" s="594"/>
      <c r="BV333" s="594"/>
      <c r="BW333" s="618"/>
      <c r="BX333" s="644"/>
      <c r="BY333" s="644"/>
    </row>
    <row r="334" ht="25.5" customHeight="1">
      <c r="A334" s="635"/>
      <c r="B334" s="695">
        <v>45471.411398344906</v>
      </c>
      <c r="C334" s="642"/>
      <c r="D334" s="642"/>
      <c r="E334" s="574" t="s">
        <v>218</v>
      </c>
      <c r="F334" s="620"/>
      <c r="G334" s="621"/>
      <c r="H334" s="577"/>
      <c r="I334" s="577"/>
      <c r="J334" s="613"/>
      <c r="K334" s="581"/>
      <c r="L334" s="581"/>
      <c r="M334" s="613"/>
      <c r="N334" s="613"/>
      <c r="O334" s="604">
        <v>20.1262</v>
      </c>
      <c r="P334" s="580"/>
      <c r="Q334" s="580"/>
      <c r="R334" s="581"/>
      <c r="S334" s="581"/>
      <c r="T334" s="581"/>
      <c r="U334" s="582"/>
      <c r="V334" s="630"/>
      <c r="W334" s="581"/>
      <c r="X334" s="631"/>
      <c r="Y334" s="604">
        <v>-20.1262</v>
      </c>
      <c r="Z334" s="580"/>
      <c r="AA334" s="634"/>
      <c r="AB334" s="577"/>
      <c r="AC334" s="673"/>
      <c r="AD334" s="634"/>
      <c r="AE334" s="587"/>
      <c r="AF334" s="587"/>
      <c r="AG334" s="582"/>
      <c r="AH334" s="582"/>
      <c r="AI334" s="582"/>
      <c r="AJ334" s="582"/>
      <c r="AK334" s="588"/>
      <c r="AL334" s="582"/>
      <c r="AM334" s="587"/>
      <c r="AN334" s="589"/>
      <c r="AO334" s="616"/>
      <c r="AP334" s="592"/>
      <c r="AQ334" s="358"/>
      <c r="AR334" s="592"/>
      <c r="AS334" s="592"/>
      <c r="AT334" s="592"/>
      <c r="AU334" s="592"/>
      <c r="AV334" s="592"/>
      <c r="AW334" s="592"/>
      <c r="AX334" s="592"/>
      <c r="AY334" s="592"/>
      <c r="AZ334" s="592"/>
      <c r="BA334" s="617"/>
      <c r="BB334" s="592"/>
      <c r="BC334" s="592"/>
      <c r="BD334" s="592"/>
      <c r="BE334" s="592"/>
      <c r="BF334" s="592"/>
      <c r="BG334" s="358"/>
      <c r="BH334" s="592"/>
      <c r="BI334" s="592"/>
      <c r="BJ334" s="592"/>
      <c r="BK334" s="592"/>
      <c r="BL334" s="592"/>
      <c r="BM334" s="592"/>
      <c r="BN334" s="592"/>
      <c r="BO334" s="592"/>
      <c r="BP334" s="592"/>
      <c r="BQ334" s="594"/>
      <c r="BR334" s="594"/>
      <c r="BS334" s="394"/>
      <c r="BT334" s="594"/>
      <c r="BU334" s="594"/>
      <c r="BV334" s="594"/>
      <c r="BW334" s="618"/>
      <c r="BX334" s="644"/>
      <c r="BY334" s="608" t="s">
        <v>488</v>
      </c>
      <c r="BZ334" s="609" t="s">
        <v>489</v>
      </c>
      <c r="CA334" s="609" t="s">
        <v>490</v>
      </c>
    </row>
    <row r="335" ht="25.5" customHeight="1">
      <c r="A335" s="635"/>
      <c r="B335" s="695">
        <v>45472.25192444444</v>
      </c>
      <c r="C335" s="642"/>
      <c r="D335" s="642"/>
      <c r="E335" s="574" t="s">
        <v>218</v>
      </c>
      <c r="F335" s="620"/>
      <c r="G335" s="621"/>
      <c r="H335" s="577"/>
      <c r="I335" s="577"/>
      <c r="J335" s="613"/>
      <c r="K335" s="581"/>
      <c r="L335" s="581"/>
      <c r="M335" s="613"/>
      <c r="N335" s="604"/>
      <c r="O335" s="604">
        <v>-14.42</v>
      </c>
      <c r="P335" s="580"/>
      <c r="Q335" s="686">
        <v>14.42</v>
      </c>
      <c r="R335" s="581"/>
      <c r="S335" s="581"/>
      <c r="T335" s="581"/>
      <c r="U335" s="582"/>
      <c r="V335" s="614"/>
      <c r="W335" s="581"/>
      <c r="X335" s="615"/>
      <c r="Y335" s="613"/>
      <c r="Z335" s="580"/>
      <c r="AA335" s="634"/>
      <c r="AB335" s="577"/>
      <c r="AC335" s="673"/>
      <c r="AD335" s="634"/>
      <c r="AE335" s="587"/>
      <c r="AF335" s="587"/>
      <c r="AG335" s="582"/>
      <c r="AH335" s="582"/>
      <c r="AI335" s="582"/>
      <c r="AJ335" s="582"/>
      <c r="AK335" s="588"/>
      <c r="AL335" s="582"/>
      <c r="AM335" s="587"/>
      <c r="AN335" s="589"/>
      <c r="AO335" s="616"/>
      <c r="AP335" s="592"/>
      <c r="AQ335" s="358"/>
      <c r="AR335" s="592"/>
      <c r="AS335" s="592"/>
      <c r="AT335" s="592"/>
      <c r="AU335" s="592"/>
      <c r="AV335" s="592"/>
      <c r="AW335" s="592"/>
      <c r="AX335" s="592"/>
      <c r="AY335" s="592"/>
      <c r="AZ335" s="592"/>
      <c r="BA335" s="617"/>
      <c r="BB335" s="592"/>
      <c r="BC335" s="592"/>
      <c r="BD335" s="592"/>
      <c r="BE335" s="592"/>
      <c r="BF335" s="592"/>
      <c r="BG335" s="358"/>
      <c r="BH335" s="592"/>
      <c r="BI335" s="592"/>
      <c r="BJ335" s="592"/>
      <c r="BK335" s="592"/>
      <c r="BL335" s="592"/>
      <c r="BM335" s="592"/>
      <c r="BN335" s="592"/>
      <c r="BO335" s="592"/>
      <c r="BP335" s="592"/>
      <c r="BQ335" s="594"/>
      <c r="BR335" s="594"/>
      <c r="BS335" s="394"/>
      <c r="BT335" s="594"/>
      <c r="BU335" s="594"/>
      <c r="BV335" s="594"/>
      <c r="BW335" s="618"/>
      <c r="BX335" s="644"/>
      <c r="BY335" s="644"/>
      <c r="BZ335" s="609" t="s">
        <v>491</v>
      </c>
    </row>
    <row r="336" ht="25.5" customHeight="1">
      <c r="A336" s="635"/>
      <c r="B336" s="695">
        <v>45472.25654383102</v>
      </c>
      <c r="C336" s="642"/>
      <c r="D336" s="642"/>
      <c r="E336" s="574" t="s">
        <v>218</v>
      </c>
      <c r="F336" s="620"/>
      <c r="G336" s="621"/>
      <c r="H336" s="577"/>
      <c r="I336" s="577"/>
      <c r="J336" s="613"/>
      <c r="K336" s="581"/>
      <c r="L336" s="581"/>
      <c r="M336" s="613"/>
      <c r="N336" s="613"/>
      <c r="O336" s="613"/>
      <c r="P336" s="580"/>
      <c r="Q336" s="580"/>
      <c r="R336" s="581"/>
      <c r="S336" s="581"/>
      <c r="T336" s="579">
        <v>-17300.0</v>
      </c>
      <c r="U336" s="582"/>
      <c r="V336" s="614"/>
      <c r="W336" s="581"/>
      <c r="X336" s="615"/>
      <c r="Y336" s="613"/>
      <c r="Z336" s="580"/>
      <c r="AA336" s="634"/>
      <c r="AB336" s="577"/>
      <c r="AC336" s="673"/>
      <c r="AD336" s="634"/>
      <c r="AE336" s="587"/>
      <c r="AF336" s="587"/>
      <c r="AG336" s="582"/>
      <c r="AH336" s="582"/>
      <c r="AI336" s="582"/>
      <c r="AJ336" s="582"/>
      <c r="AK336" s="700">
        <v>17300.0</v>
      </c>
      <c r="AL336" s="582"/>
      <c r="AM336" s="587"/>
      <c r="AN336" s="589"/>
      <c r="AO336" s="616"/>
      <c r="AP336" s="592"/>
      <c r="AQ336" s="358"/>
      <c r="AR336" s="592"/>
      <c r="AS336" s="592"/>
      <c r="AT336" s="592"/>
      <c r="AU336" s="592"/>
      <c r="AV336" s="592"/>
      <c r="AW336" s="592"/>
      <c r="AX336" s="592"/>
      <c r="AY336" s="592"/>
      <c r="AZ336" s="592"/>
      <c r="BA336" s="617"/>
      <c r="BB336" s="592"/>
      <c r="BC336" s="592"/>
      <c r="BD336" s="592"/>
      <c r="BE336" s="592"/>
      <c r="BF336" s="592"/>
      <c r="BG336" s="358"/>
      <c r="BH336" s="592"/>
      <c r="BI336" s="592"/>
      <c r="BJ336" s="592"/>
      <c r="BK336" s="592"/>
      <c r="BL336" s="592"/>
      <c r="BM336" s="592"/>
      <c r="BN336" s="592"/>
      <c r="BO336" s="592"/>
      <c r="BP336" s="592"/>
      <c r="BQ336" s="594"/>
      <c r="BR336" s="594"/>
      <c r="BS336" s="394"/>
      <c r="BT336" s="594"/>
      <c r="BU336" s="594"/>
      <c r="BV336" s="594"/>
      <c r="BW336" s="618"/>
      <c r="BX336" s="644"/>
      <c r="BY336" s="644"/>
    </row>
    <row r="337" ht="25.5" customHeight="1">
      <c r="A337" s="635"/>
      <c r="B337" s="695">
        <v>45472.26387603009</v>
      </c>
      <c r="C337" s="642">
        <f>ABS(AK337)/Q337</f>
        <v>3378.510331</v>
      </c>
      <c r="D337" s="642"/>
      <c r="E337" s="574" t="s">
        <v>231</v>
      </c>
      <c r="F337" s="620"/>
      <c r="G337" s="621"/>
      <c r="H337" s="577"/>
      <c r="I337" s="577"/>
      <c r="J337" s="613"/>
      <c r="K337" s="581"/>
      <c r="L337" s="581"/>
      <c r="M337" s="613"/>
      <c r="N337" s="613"/>
      <c r="O337" s="613"/>
      <c r="P337" s="580"/>
      <c r="Q337" s="580">
        <f>19.5407-14.4201</f>
        <v>5.1206</v>
      </c>
      <c r="R337" s="581"/>
      <c r="S337" s="581"/>
      <c r="T337" s="581"/>
      <c r="U337" s="582"/>
      <c r="V337" s="614"/>
      <c r="W337" s="581"/>
      <c r="X337" s="615"/>
      <c r="Y337" s="613"/>
      <c r="Z337" s="580"/>
      <c r="AA337" s="634"/>
      <c r="AB337" s="577"/>
      <c r="AC337" s="673"/>
      <c r="AD337" s="634"/>
      <c r="AE337" s="587"/>
      <c r="AF337" s="587"/>
      <c r="AG337" s="582"/>
      <c r="AH337" s="582"/>
      <c r="AI337" s="582"/>
      <c r="AJ337" s="582"/>
      <c r="AK337" s="700">
        <v>-17300.0</v>
      </c>
      <c r="AL337" s="582"/>
      <c r="AM337" s="587"/>
      <c r="AN337" s="589"/>
      <c r="AO337" s="616"/>
      <c r="AP337" s="592"/>
      <c r="AQ337" s="358"/>
      <c r="AR337" s="592"/>
      <c r="AS337" s="592"/>
      <c r="AT337" s="592"/>
      <c r="AU337" s="592"/>
      <c r="AV337" s="592"/>
      <c r="AW337" s="592"/>
      <c r="AX337" s="592"/>
      <c r="AY337" s="592"/>
      <c r="AZ337" s="592"/>
      <c r="BA337" s="617"/>
      <c r="BB337" s="592"/>
      <c r="BC337" s="592"/>
      <c r="BD337" s="592"/>
      <c r="BE337" s="592"/>
      <c r="BF337" s="592"/>
      <c r="BG337" s="358"/>
      <c r="BH337" s="592"/>
      <c r="BI337" s="592"/>
      <c r="BJ337" s="592"/>
      <c r="BK337" s="592"/>
      <c r="BL337" s="592"/>
      <c r="BM337" s="592"/>
      <c r="BN337" s="592"/>
      <c r="BO337" s="592"/>
      <c r="BP337" s="592"/>
      <c r="BQ337" s="594"/>
      <c r="BR337" s="594"/>
      <c r="BS337" s="394"/>
      <c r="BT337" s="594"/>
      <c r="BU337" s="594"/>
      <c r="BV337" s="594"/>
      <c r="BW337" s="618"/>
      <c r="BX337" s="644"/>
      <c r="BY337" s="644"/>
    </row>
    <row r="338" ht="25.5" customHeight="1">
      <c r="A338" s="635"/>
      <c r="B338" s="695">
        <v>45472.267338125</v>
      </c>
      <c r="C338" s="642"/>
      <c r="D338" s="642"/>
      <c r="E338" s="574" t="s">
        <v>218</v>
      </c>
      <c r="F338" s="620"/>
      <c r="G338" s="621"/>
      <c r="H338" s="577"/>
      <c r="I338" s="577"/>
      <c r="J338" s="604"/>
      <c r="K338" s="581"/>
      <c r="L338" s="581"/>
      <c r="M338" s="604">
        <v>19.5392</v>
      </c>
      <c r="N338" s="613"/>
      <c r="O338" s="613"/>
      <c r="P338" s="580"/>
      <c r="Q338" s="686">
        <v>-19.5407</v>
      </c>
      <c r="R338" s="581"/>
      <c r="S338" s="581"/>
      <c r="T338" s="581"/>
      <c r="U338" s="582"/>
      <c r="V338" s="614"/>
      <c r="W338" s="581"/>
      <c r="X338" s="615"/>
      <c r="Y338" s="613"/>
      <c r="Z338" s="580"/>
      <c r="AA338" s="634"/>
      <c r="AB338" s="577"/>
      <c r="AC338" s="673"/>
      <c r="AD338" s="634"/>
      <c r="AE338" s="587"/>
      <c r="AF338" s="587"/>
      <c r="AG338" s="582"/>
      <c r="AH338" s="582"/>
      <c r="AI338" s="582"/>
      <c r="AJ338" s="582"/>
      <c r="AK338" s="588"/>
      <c r="AL338" s="582"/>
      <c r="AM338" s="587"/>
      <c r="AN338" s="589"/>
      <c r="AO338" s="616"/>
      <c r="AP338" s="592"/>
      <c r="AQ338" s="358"/>
      <c r="AR338" s="592"/>
      <c r="AS338" s="592"/>
      <c r="AT338" s="592"/>
      <c r="AU338" s="592"/>
      <c r="AV338" s="592"/>
      <c r="AW338" s="592"/>
      <c r="AX338" s="592"/>
      <c r="AY338" s="592"/>
      <c r="AZ338" s="592"/>
      <c r="BA338" s="617"/>
      <c r="BB338" s="592"/>
      <c r="BC338" s="592"/>
      <c r="BD338" s="592"/>
      <c r="BE338" s="592"/>
      <c r="BF338" s="592"/>
      <c r="BG338" s="358"/>
      <c r="BH338" s="592"/>
      <c r="BI338" s="592"/>
      <c r="BJ338" s="592"/>
      <c r="BK338" s="592"/>
      <c r="BL338" s="592"/>
      <c r="BM338" s="592"/>
      <c r="BN338" s="592"/>
      <c r="BO338" s="592"/>
      <c r="BP338" s="592"/>
      <c r="BQ338" s="594"/>
      <c r="BR338" s="594"/>
      <c r="BS338" s="394"/>
      <c r="BT338" s="594"/>
      <c r="BU338" s="594"/>
      <c r="BV338" s="594"/>
      <c r="BW338" s="618"/>
      <c r="BX338" s="644"/>
      <c r="BY338" s="644"/>
      <c r="BZ338" s="609" t="s">
        <v>492</v>
      </c>
    </row>
    <row r="339" ht="25.5" customHeight="1">
      <c r="A339" s="635"/>
      <c r="B339" s="695">
        <v>45472.267338125</v>
      </c>
      <c r="C339" s="642"/>
      <c r="D339" s="642"/>
      <c r="E339" s="574" t="s">
        <v>218</v>
      </c>
      <c r="F339" s="620"/>
      <c r="G339" s="621"/>
      <c r="H339" s="577"/>
      <c r="I339" s="577"/>
      <c r="J339" s="604"/>
      <c r="K339" s="581"/>
      <c r="L339" s="581"/>
      <c r="M339" s="604">
        <v>-19.4</v>
      </c>
      <c r="N339" s="613"/>
      <c r="O339" s="613"/>
      <c r="P339" s="580"/>
      <c r="Q339" s="580"/>
      <c r="R339" s="581"/>
      <c r="S339" s="581"/>
      <c r="T339" s="581"/>
      <c r="U339" s="582"/>
      <c r="V339" s="614"/>
      <c r="W339" s="581"/>
      <c r="X339" s="615"/>
      <c r="Y339" s="613"/>
      <c r="Z339" s="686">
        <v>19.4</v>
      </c>
      <c r="AA339" s="634"/>
      <c r="AB339" s="577"/>
      <c r="AC339" s="673"/>
      <c r="AD339" s="634"/>
      <c r="AE339" s="587"/>
      <c r="AF339" s="587"/>
      <c r="AG339" s="582"/>
      <c r="AH339" s="582"/>
      <c r="AI339" s="582"/>
      <c r="AJ339" s="582"/>
      <c r="AK339" s="588"/>
      <c r="AL339" s="582"/>
      <c r="AM339" s="587"/>
      <c r="AN339" s="589"/>
      <c r="AO339" s="616"/>
      <c r="AP339" s="592"/>
      <c r="AQ339" s="358"/>
      <c r="AR339" s="592"/>
      <c r="AS339" s="592"/>
      <c r="AT339" s="592"/>
      <c r="AU339" s="592"/>
      <c r="AV339" s="592"/>
      <c r="AW339" s="592"/>
      <c r="AX339" s="592"/>
      <c r="AY339" s="592"/>
      <c r="AZ339" s="592"/>
      <c r="BA339" s="617"/>
      <c r="BB339" s="592"/>
      <c r="BC339" s="592"/>
      <c r="BD339" s="592"/>
      <c r="BE339" s="592"/>
      <c r="BF339" s="592"/>
      <c r="BG339" s="358"/>
      <c r="BH339" s="592"/>
      <c r="BI339" s="592"/>
      <c r="BJ339" s="592"/>
      <c r="BK339" s="592"/>
      <c r="BL339" s="592"/>
      <c r="BM339" s="592"/>
      <c r="BN339" s="592"/>
      <c r="BO339" s="592"/>
      <c r="BP339" s="592"/>
      <c r="BQ339" s="594"/>
      <c r="BR339" s="594"/>
      <c r="BS339" s="394"/>
      <c r="BT339" s="594"/>
      <c r="BU339" s="594"/>
      <c r="BV339" s="594"/>
      <c r="BW339" s="618"/>
      <c r="BX339" s="644"/>
      <c r="BY339" s="644"/>
      <c r="BZ339" s="609" t="s">
        <v>493</v>
      </c>
      <c r="CA339" s="609" t="s">
        <v>494</v>
      </c>
      <c r="CB339" s="609" t="s">
        <v>495</v>
      </c>
    </row>
    <row r="340" ht="25.5" customHeight="1">
      <c r="A340" s="635"/>
      <c r="B340" s="695">
        <v>45475.372978287036</v>
      </c>
      <c r="C340" s="642"/>
      <c r="D340" s="642"/>
      <c r="E340" s="574" t="s">
        <v>218</v>
      </c>
      <c r="F340" s="620"/>
      <c r="G340" s="621"/>
      <c r="H340" s="577"/>
      <c r="I340" s="577"/>
      <c r="J340" s="613"/>
      <c r="K340" s="581"/>
      <c r="L340" s="581"/>
      <c r="M340" s="613"/>
      <c r="N340" s="613"/>
      <c r="O340" s="604">
        <v>-19.9887</v>
      </c>
      <c r="P340" s="580"/>
      <c r="Q340" s="686">
        <v>19.9887</v>
      </c>
      <c r="R340" s="581"/>
      <c r="S340" s="581"/>
      <c r="T340" s="581"/>
      <c r="U340" s="582"/>
      <c r="V340" s="614"/>
      <c r="W340" s="581"/>
      <c r="X340" s="615"/>
      <c r="Y340" s="613"/>
      <c r="Z340" s="580"/>
      <c r="AA340" s="634"/>
      <c r="AB340" s="577"/>
      <c r="AC340" s="673"/>
      <c r="AD340" s="634"/>
      <c r="AE340" s="587"/>
      <c r="AF340" s="587"/>
      <c r="AG340" s="582"/>
      <c r="AH340" s="582"/>
      <c r="AI340" s="582"/>
      <c r="AJ340" s="582"/>
      <c r="AK340" s="588"/>
      <c r="AL340" s="582"/>
      <c r="AM340" s="587"/>
      <c r="AN340" s="589"/>
      <c r="AO340" s="616"/>
      <c r="AP340" s="592"/>
      <c r="AQ340" s="358"/>
      <c r="AR340" s="592"/>
      <c r="AS340" s="592"/>
      <c r="AT340" s="592"/>
      <c r="AU340" s="592"/>
      <c r="AV340" s="592"/>
      <c r="AW340" s="592"/>
      <c r="AX340" s="592"/>
      <c r="AY340" s="592"/>
      <c r="AZ340" s="592"/>
      <c r="BA340" s="617"/>
      <c r="BB340" s="592"/>
      <c r="BC340" s="592"/>
      <c r="BD340" s="592"/>
      <c r="BE340" s="592"/>
      <c r="BF340" s="592"/>
      <c r="BG340" s="358"/>
      <c r="BH340" s="592"/>
      <c r="BI340" s="592"/>
      <c r="BJ340" s="592"/>
      <c r="BK340" s="592"/>
      <c r="BL340" s="592"/>
      <c r="BM340" s="592"/>
      <c r="BN340" s="592"/>
      <c r="BO340" s="592"/>
      <c r="BP340" s="592"/>
      <c r="BQ340" s="594"/>
      <c r="BR340" s="594"/>
      <c r="BS340" s="394"/>
      <c r="BT340" s="594"/>
      <c r="BU340" s="594"/>
      <c r="BV340" s="594"/>
      <c r="BW340" s="618"/>
      <c r="BX340" s="644"/>
      <c r="BY340" s="644"/>
      <c r="BZ340" s="609" t="s">
        <v>496</v>
      </c>
    </row>
    <row r="341" ht="25.5" customHeight="1">
      <c r="A341" s="635"/>
      <c r="B341" s="695">
        <v>45475.50489157408</v>
      </c>
      <c r="C341" s="642"/>
      <c r="D341" s="642"/>
      <c r="E341" s="574" t="s">
        <v>218</v>
      </c>
      <c r="F341" s="620"/>
      <c r="G341" s="621"/>
      <c r="H341" s="577"/>
      <c r="I341" s="577"/>
      <c r="J341" s="613"/>
      <c r="K341" s="581"/>
      <c r="L341" s="581"/>
      <c r="M341" s="613"/>
      <c r="N341" s="604">
        <v>19.9887</v>
      </c>
      <c r="O341" s="613"/>
      <c r="P341" s="580"/>
      <c r="Q341" s="686">
        <v>-19.9887</v>
      </c>
      <c r="R341" s="581"/>
      <c r="S341" s="581"/>
      <c r="T341" s="581"/>
      <c r="U341" s="582"/>
      <c r="V341" s="614"/>
      <c r="W341" s="581"/>
      <c r="X341" s="615"/>
      <c r="Y341" s="613"/>
      <c r="Z341" s="580"/>
      <c r="AA341" s="634"/>
      <c r="AB341" s="577"/>
      <c r="AC341" s="673"/>
      <c r="AD341" s="634"/>
      <c r="AE341" s="587"/>
      <c r="AF341" s="587"/>
      <c r="AG341" s="582"/>
      <c r="AH341" s="582"/>
      <c r="AI341" s="582"/>
      <c r="AJ341" s="582"/>
      <c r="AK341" s="588"/>
      <c r="AL341" s="582"/>
      <c r="AM341" s="587"/>
      <c r="AN341" s="589"/>
      <c r="AO341" s="616"/>
      <c r="AP341" s="592"/>
      <c r="AQ341" s="358"/>
      <c r="AR341" s="592"/>
      <c r="AS341" s="592"/>
      <c r="AT341" s="592"/>
      <c r="AU341" s="592"/>
      <c r="AV341" s="592"/>
      <c r="AW341" s="592"/>
      <c r="AX341" s="592"/>
      <c r="AY341" s="592"/>
      <c r="AZ341" s="592"/>
      <c r="BA341" s="617"/>
      <c r="BB341" s="592"/>
      <c r="BC341" s="592"/>
      <c r="BD341" s="592"/>
      <c r="BE341" s="592"/>
      <c r="BF341" s="592"/>
      <c r="BG341" s="358"/>
      <c r="BH341" s="592"/>
      <c r="BI341" s="592"/>
      <c r="BJ341" s="592"/>
      <c r="BK341" s="592"/>
      <c r="BL341" s="592"/>
      <c r="BM341" s="592"/>
      <c r="BN341" s="592"/>
      <c r="BO341" s="592"/>
      <c r="BP341" s="592"/>
      <c r="BQ341" s="594"/>
      <c r="BR341" s="594"/>
      <c r="BS341" s="394"/>
      <c r="BT341" s="594"/>
      <c r="BU341" s="594"/>
      <c r="BV341" s="594"/>
      <c r="BW341" s="618"/>
      <c r="BX341" s="644"/>
      <c r="BY341" s="644"/>
    </row>
    <row r="342" ht="25.5" customHeight="1">
      <c r="A342" s="635"/>
      <c r="B342" s="695">
        <v>45475.510941458335</v>
      </c>
      <c r="C342" s="642"/>
      <c r="D342" s="642"/>
      <c r="E342" s="574" t="s">
        <v>218</v>
      </c>
      <c r="F342" s="620"/>
      <c r="G342" s="621"/>
      <c r="H342" s="577"/>
      <c r="I342" s="577"/>
      <c r="J342" s="613"/>
      <c r="K342" s="581"/>
      <c r="L342" s="581"/>
      <c r="M342" s="613"/>
      <c r="N342" s="604">
        <v>-20.0</v>
      </c>
      <c r="O342" s="613"/>
      <c r="P342" s="580"/>
      <c r="Q342" s="580"/>
      <c r="R342" s="581"/>
      <c r="S342" s="581"/>
      <c r="T342" s="581"/>
      <c r="U342" s="582"/>
      <c r="V342" s="630"/>
      <c r="W342" s="581"/>
      <c r="X342" s="631"/>
      <c r="Y342" s="604">
        <v>20.0</v>
      </c>
      <c r="Z342" s="580"/>
      <c r="AA342" s="634"/>
      <c r="AB342" s="577"/>
      <c r="AC342" s="673"/>
      <c r="AD342" s="634"/>
      <c r="AE342" s="587"/>
      <c r="AF342" s="587"/>
      <c r="AG342" s="582"/>
      <c r="AH342" s="582"/>
      <c r="AI342" s="582"/>
      <c r="AJ342" s="582"/>
      <c r="AK342" s="588"/>
      <c r="AL342" s="582"/>
      <c r="AM342" s="587"/>
      <c r="AN342" s="589"/>
      <c r="AO342" s="616"/>
      <c r="AP342" s="592"/>
      <c r="AQ342" s="358"/>
      <c r="AR342" s="592"/>
      <c r="AS342" s="592"/>
      <c r="AT342" s="592"/>
      <c r="AU342" s="592"/>
      <c r="AV342" s="592"/>
      <c r="AW342" s="592"/>
      <c r="AX342" s="592"/>
      <c r="AY342" s="592"/>
      <c r="AZ342" s="592"/>
      <c r="BA342" s="617"/>
      <c r="BB342" s="592"/>
      <c r="BC342" s="592"/>
      <c r="BD342" s="592"/>
      <c r="BE342" s="592"/>
      <c r="BF342" s="592"/>
      <c r="BG342" s="358"/>
      <c r="BH342" s="592"/>
      <c r="BI342" s="592"/>
      <c r="BJ342" s="592"/>
      <c r="BK342" s="592"/>
      <c r="BL342" s="592"/>
      <c r="BM342" s="592"/>
      <c r="BN342" s="592"/>
      <c r="BO342" s="592"/>
      <c r="BP342" s="592"/>
      <c r="BQ342" s="594"/>
      <c r="BR342" s="594"/>
      <c r="BS342" s="394"/>
      <c r="BT342" s="594"/>
      <c r="BU342" s="594"/>
      <c r="BV342" s="594"/>
      <c r="BW342" s="618"/>
      <c r="BX342" s="644"/>
      <c r="BY342" s="644"/>
      <c r="BZ342" s="609" t="s">
        <v>497</v>
      </c>
      <c r="CA342" s="609" t="s">
        <v>498</v>
      </c>
    </row>
    <row r="343" ht="25.5" customHeight="1">
      <c r="A343" s="635"/>
      <c r="B343" s="695">
        <v>45477.616545150464</v>
      </c>
      <c r="C343" s="642"/>
      <c r="D343" s="642"/>
      <c r="E343" s="574" t="s">
        <v>218</v>
      </c>
      <c r="F343" s="620"/>
      <c r="G343" s="621"/>
      <c r="H343" s="577"/>
      <c r="I343" s="577"/>
      <c r="J343" s="613"/>
      <c r="K343" s="581"/>
      <c r="L343" s="581"/>
      <c r="M343" s="613"/>
      <c r="N343" s="613"/>
      <c r="O343" s="613"/>
      <c r="P343" s="580"/>
      <c r="Q343" s="580"/>
      <c r="R343" s="581"/>
      <c r="T343" s="579">
        <v>-15750.0</v>
      </c>
      <c r="U343" s="582"/>
      <c r="V343" s="614"/>
      <c r="W343" s="581"/>
      <c r="X343" s="615"/>
      <c r="Y343" s="613"/>
      <c r="Z343" s="580"/>
      <c r="AA343" s="634"/>
      <c r="AB343" s="577"/>
      <c r="AC343" s="673"/>
      <c r="AD343" s="634"/>
      <c r="AE343" s="587"/>
      <c r="AF343" s="587"/>
      <c r="AG343" s="582"/>
      <c r="AH343" s="582"/>
      <c r="AI343" s="582"/>
      <c r="AJ343" s="582"/>
      <c r="AK343" s="579">
        <v>15750.0</v>
      </c>
      <c r="AL343" s="582"/>
      <c r="AM343" s="587"/>
      <c r="AN343" s="589"/>
      <c r="AO343" s="616"/>
      <c r="AP343" s="592"/>
      <c r="AQ343" s="358"/>
      <c r="AR343" s="592"/>
      <c r="AS343" s="592"/>
      <c r="AT343" s="592"/>
      <c r="AU343" s="592"/>
      <c r="AV343" s="592"/>
      <c r="AW343" s="592"/>
      <c r="AX343" s="592"/>
      <c r="AY343" s="592"/>
      <c r="AZ343" s="592"/>
      <c r="BA343" s="617"/>
      <c r="BB343" s="592"/>
      <c r="BC343" s="592"/>
      <c r="BD343" s="592"/>
      <c r="BE343" s="592"/>
      <c r="BF343" s="592"/>
      <c r="BG343" s="358"/>
      <c r="BH343" s="592"/>
      <c r="BI343" s="592"/>
      <c r="BJ343" s="592"/>
      <c r="BK343" s="592"/>
      <c r="BL343" s="592"/>
      <c r="BM343" s="592"/>
      <c r="BN343" s="592"/>
      <c r="BO343" s="592"/>
      <c r="BP343" s="592"/>
      <c r="BQ343" s="594"/>
      <c r="BR343" s="594"/>
      <c r="BS343" s="394"/>
      <c r="BT343" s="594"/>
      <c r="BU343" s="594"/>
      <c r="BV343" s="594"/>
      <c r="BW343" s="618"/>
      <c r="BX343" s="644"/>
      <c r="BY343" s="644"/>
      <c r="BZ343" s="609" t="s">
        <v>499</v>
      </c>
      <c r="CA343" s="609" t="s">
        <v>500</v>
      </c>
    </row>
    <row r="344" ht="25.5" customHeight="1">
      <c r="A344" s="635"/>
      <c r="B344" s="665">
        <v>45478.070752314816</v>
      </c>
      <c r="C344" s="642">
        <f>ABS(AK344)/Q344</f>
        <v>3057.955538</v>
      </c>
      <c r="D344" s="642"/>
      <c r="E344" s="574" t="s">
        <v>231</v>
      </c>
      <c r="Q344" s="703">
        <v>5.1505</v>
      </c>
      <c r="U344" s="582"/>
      <c r="V344" s="614"/>
      <c r="W344" s="581"/>
      <c r="X344" s="615"/>
      <c r="Y344" s="613"/>
      <c r="Z344" s="580"/>
      <c r="AA344" s="634"/>
      <c r="AB344" s="577"/>
      <c r="AC344" s="673"/>
      <c r="AD344" s="634"/>
      <c r="AE344" s="587"/>
      <c r="AF344" s="587"/>
      <c r="AG344" s="582"/>
      <c r="AH344" s="582"/>
      <c r="AI344" s="582"/>
      <c r="AJ344" s="582"/>
      <c r="AK344" s="700">
        <v>-15750.0</v>
      </c>
      <c r="AL344" s="582"/>
      <c r="AM344" s="587"/>
      <c r="AN344" s="589"/>
      <c r="AO344" s="616"/>
      <c r="AP344" s="592"/>
      <c r="AQ344" s="358"/>
      <c r="AR344" s="592"/>
      <c r="AS344" s="592"/>
      <c r="AT344" s="592"/>
      <c r="AU344" s="592"/>
      <c r="AV344" s="592"/>
      <c r="AW344" s="592"/>
      <c r="AX344" s="592"/>
      <c r="AY344" s="592"/>
      <c r="AZ344" s="592"/>
      <c r="BA344" s="617"/>
      <c r="BB344" s="592"/>
      <c r="BC344" s="592"/>
      <c r="BD344" s="592"/>
      <c r="BE344" s="592"/>
      <c r="BF344" s="592"/>
      <c r="BG344" s="358"/>
      <c r="BH344" s="592"/>
      <c r="BI344" s="592"/>
      <c r="BJ344" s="592"/>
      <c r="BK344" s="592"/>
      <c r="BL344" s="592"/>
      <c r="BM344" s="592"/>
      <c r="BN344" s="592"/>
      <c r="BO344" s="592"/>
      <c r="BP344" s="592"/>
      <c r="BQ344" s="594"/>
      <c r="BR344" s="594"/>
      <c r="BS344" s="394"/>
      <c r="BT344" s="594"/>
      <c r="BU344" s="594"/>
      <c r="BV344" s="594"/>
      <c r="BW344" s="618"/>
      <c r="BX344" s="644"/>
      <c r="BY344" s="644"/>
    </row>
    <row r="345" ht="25.5" customHeight="1">
      <c r="A345" s="635"/>
      <c r="B345" s="695">
        <v>45478.26450520833</v>
      </c>
      <c r="C345" s="642"/>
      <c r="D345" s="642"/>
      <c r="E345" s="574" t="s">
        <v>218</v>
      </c>
      <c r="F345" s="620"/>
      <c r="G345" s="621"/>
      <c r="H345" s="577"/>
      <c r="I345" s="577"/>
      <c r="J345" s="613"/>
      <c r="K345" s="581"/>
      <c r="L345" s="581"/>
      <c r="M345" s="613"/>
      <c r="N345" s="613"/>
      <c r="O345" s="613"/>
      <c r="P345" s="580"/>
      <c r="Q345" s="686"/>
      <c r="R345" s="581"/>
      <c r="S345" s="581"/>
      <c r="T345" s="579">
        <v>-15500.0</v>
      </c>
      <c r="U345" s="582"/>
      <c r="V345" s="614"/>
      <c r="W345" s="581"/>
      <c r="X345" s="615"/>
      <c r="Y345" s="613"/>
      <c r="Z345" s="580"/>
      <c r="AA345" s="634"/>
      <c r="AB345" s="577"/>
      <c r="AC345" s="673"/>
      <c r="AD345" s="634"/>
      <c r="AE345" s="587"/>
      <c r="AF345" s="587"/>
      <c r="AG345" s="582"/>
      <c r="AH345" s="582"/>
      <c r="AI345" s="582"/>
      <c r="AJ345" s="582"/>
      <c r="AK345" s="700">
        <v>15500.0</v>
      </c>
      <c r="AL345" s="582"/>
      <c r="AM345" s="587"/>
      <c r="AN345" s="589"/>
      <c r="AO345" s="616"/>
      <c r="AP345" s="592"/>
      <c r="AQ345" s="358"/>
      <c r="AR345" s="592"/>
      <c r="AS345" s="592"/>
      <c r="AT345" s="592"/>
      <c r="AU345" s="592"/>
      <c r="AV345" s="592"/>
      <c r="AW345" s="592"/>
      <c r="AX345" s="592"/>
      <c r="AY345" s="592"/>
      <c r="AZ345" s="592"/>
      <c r="BA345" s="617"/>
      <c r="BB345" s="592"/>
      <c r="BC345" s="592"/>
      <c r="BD345" s="592"/>
      <c r="BE345" s="592"/>
      <c r="BF345" s="592"/>
      <c r="BG345" s="358"/>
      <c r="BH345" s="592"/>
      <c r="BI345" s="592"/>
      <c r="BJ345" s="592"/>
      <c r="BK345" s="592"/>
      <c r="BL345" s="592"/>
      <c r="BM345" s="592"/>
      <c r="BN345" s="592"/>
      <c r="BO345" s="592"/>
      <c r="BP345" s="592"/>
      <c r="BQ345" s="594"/>
      <c r="BR345" s="594"/>
      <c r="BS345" s="394"/>
      <c r="BT345" s="594"/>
      <c r="BU345" s="594"/>
      <c r="BV345" s="594"/>
      <c r="BW345" s="618"/>
      <c r="BX345" s="644"/>
      <c r="BY345" s="644"/>
      <c r="BZ345" s="609" t="s">
        <v>501</v>
      </c>
    </row>
    <row r="346" ht="25.5" customHeight="1">
      <c r="A346" s="635"/>
      <c r="B346" s="665">
        <v>45481.16936342593</v>
      </c>
      <c r="C346" s="642">
        <f>ABS(AK346)/Q346</f>
        <v>2874.82116</v>
      </c>
      <c r="D346" s="642"/>
      <c r="E346" s="574" t="s">
        <v>231</v>
      </c>
      <c r="F346" s="620"/>
      <c r="G346" s="621"/>
      <c r="H346" s="577"/>
      <c r="I346" s="577"/>
      <c r="J346" s="613"/>
      <c r="K346" s="581"/>
      <c r="L346" s="581"/>
      <c r="M346" s="613"/>
      <c r="N346" s="613"/>
      <c r="O346" s="613"/>
      <c r="P346" s="580"/>
      <c r="Q346" s="686">
        <v>5.3819</v>
      </c>
      <c r="R346" s="581"/>
      <c r="S346" s="581"/>
      <c r="T346" s="581"/>
      <c r="U346" s="582"/>
      <c r="V346" s="614"/>
      <c r="W346" s="581"/>
      <c r="X346" s="615"/>
      <c r="Y346" s="613"/>
      <c r="Z346" s="580"/>
      <c r="AA346" s="634"/>
      <c r="AB346" s="577"/>
      <c r="AC346" s="673"/>
      <c r="AD346" s="634"/>
      <c r="AE346" s="587"/>
      <c r="AF346" s="587"/>
      <c r="AG346" s="582"/>
      <c r="AH346" s="582"/>
      <c r="AI346" s="582"/>
      <c r="AJ346" s="582"/>
      <c r="AK346" s="700">
        <v>-15472.0</v>
      </c>
      <c r="AL346" s="582"/>
      <c r="AM346" s="587"/>
      <c r="AN346" s="589"/>
      <c r="AO346" s="616"/>
      <c r="AP346" s="592"/>
      <c r="AQ346" s="358"/>
      <c r="AR346" s="592"/>
      <c r="AS346" s="592"/>
      <c r="AT346" s="592"/>
      <c r="AU346" s="592"/>
      <c r="AV346" s="592"/>
      <c r="AW346" s="592"/>
      <c r="AX346" s="592"/>
      <c r="AY346" s="592"/>
      <c r="AZ346" s="592"/>
      <c r="BA346" s="617"/>
      <c r="BB346" s="592"/>
      <c r="BC346" s="592"/>
      <c r="BD346" s="592"/>
      <c r="BE346" s="592"/>
      <c r="BF346" s="592"/>
      <c r="BG346" s="358"/>
      <c r="BH346" s="592"/>
      <c r="BI346" s="592"/>
      <c r="BJ346" s="592"/>
      <c r="BK346" s="592"/>
      <c r="BL346" s="592"/>
      <c r="BM346" s="592"/>
      <c r="BN346" s="592"/>
      <c r="BO346" s="592"/>
      <c r="BP346" s="592"/>
      <c r="BQ346" s="594"/>
      <c r="BR346" s="594"/>
      <c r="BS346" s="394"/>
      <c r="BT346" s="594"/>
      <c r="BU346" s="594"/>
      <c r="BV346" s="594"/>
      <c r="BW346" s="618"/>
      <c r="BX346" s="644"/>
      <c r="BY346" s="644"/>
    </row>
    <row r="347" ht="25.5" customHeight="1">
      <c r="A347" s="635"/>
      <c r="B347" s="695">
        <v>45485.952083553246</v>
      </c>
      <c r="C347" s="642"/>
      <c r="D347" s="642"/>
      <c r="E347" s="574" t="s">
        <v>218</v>
      </c>
      <c r="F347" s="620"/>
      <c r="G347" s="621"/>
      <c r="H347" s="577"/>
      <c r="I347" s="577"/>
      <c r="J347" s="613"/>
      <c r="K347" s="581"/>
      <c r="L347" s="581"/>
      <c r="M347" s="613"/>
      <c r="N347" s="613"/>
      <c r="O347" s="613"/>
      <c r="P347" s="580"/>
      <c r="Q347" s="580"/>
      <c r="R347" s="581"/>
      <c r="S347" s="581"/>
      <c r="T347" s="579">
        <v>-17500.0</v>
      </c>
      <c r="U347" s="582"/>
      <c r="V347" s="614"/>
      <c r="W347" s="581"/>
      <c r="X347" s="615"/>
      <c r="Y347" s="613"/>
      <c r="Z347" s="580"/>
      <c r="AA347" s="634"/>
      <c r="AB347" s="577"/>
      <c r="AC347" s="673"/>
      <c r="AD347" s="634"/>
      <c r="AE347" s="587"/>
      <c r="AF347" s="587"/>
      <c r="AG347" s="582"/>
      <c r="AH347" s="582"/>
      <c r="AI347" s="582"/>
      <c r="AJ347" s="582"/>
      <c r="AK347" s="700">
        <v>17500.0</v>
      </c>
      <c r="AL347" s="582"/>
      <c r="AM347" s="587"/>
      <c r="AN347" s="589"/>
      <c r="AO347" s="616"/>
      <c r="AP347" s="592"/>
      <c r="AQ347" s="358"/>
      <c r="AR347" s="592"/>
      <c r="AS347" s="592"/>
      <c r="AT347" s="592"/>
      <c r="AU347" s="592"/>
      <c r="AV347" s="592"/>
      <c r="AW347" s="592"/>
      <c r="AX347" s="592"/>
      <c r="AY347" s="592"/>
      <c r="AZ347" s="592"/>
      <c r="BA347" s="617"/>
      <c r="BB347" s="592"/>
      <c r="BC347" s="592"/>
      <c r="BD347" s="592"/>
      <c r="BE347" s="592"/>
      <c r="BF347" s="592"/>
      <c r="BG347" s="358"/>
      <c r="BH347" s="592"/>
      <c r="BI347" s="592"/>
      <c r="BJ347" s="592"/>
      <c r="BK347" s="592"/>
      <c r="BL347" s="592"/>
      <c r="BM347" s="592"/>
      <c r="BN347" s="592"/>
      <c r="BO347" s="592"/>
      <c r="BP347" s="592"/>
      <c r="BQ347" s="594"/>
      <c r="BR347" s="594"/>
      <c r="BS347" s="394"/>
      <c r="BT347" s="594"/>
      <c r="BU347" s="594"/>
      <c r="BV347" s="594"/>
      <c r="BW347" s="618"/>
      <c r="BX347" s="644"/>
      <c r="BY347" s="644"/>
      <c r="BZ347" s="609" t="s">
        <v>502</v>
      </c>
      <c r="CA347" s="609" t="s">
        <v>503</v>
      </c>
    </row>
    <row r="348" ht="25.5" customHeight="1">
      <c r="A348" s="635"/>
      <c r="B348" s="665">
        <v>45486.32083333333</v>
      </c>
      <c r="C348" s="642">
        <f>ABS(AK348)/Q348</f>
        <v>3106.314353</v>
      </c>
      <c r="D348" s="642"/>
      <c r="E348" s="574" t="s">
        <v>231</v>
      </c>
      <c r="F348" s="620"/>
      <c r="G348" s="621"/>
      <c r="H348" s="577"/>
      <c r="I348" s="577"/>
      <c r="J348" s="613"/>
      <c r="K348" s="581"/>
      <c r="L348" s="581"/>
      <c r="M348" s="613"/>
      <c r="N348" s="613"/>
      <c r="O348" s="613"/>
      <c r="P348" s="580"/>
      <c r="Q348" s="580">
        <f>16.1751-10.5324</f>
        <v>5.6427</v>
      </c>
      <c r="R348" s="581"/>
      <c r="S348" s="581"/>
      <c r="T348" s="581"/>
      <c r="U348" s="582"/>
      <c r="V348" s="614"/>
      <c r="W348" s="581"/>
      <c r="X348" s="615"/>
      <c r="Y348" s="613"/>
      <c r="Z348" s="580"/>
      <c r="AA348" s="634"/>
      <c r="AB348" s="577"/>
      <c r="AC348" s="673"/>
      <c r="AD348" s="634"/>
      <c r="AE348" s="587"/>
      <c r="AF348" s="587"/>
      <c r="AG348" s="582"/>
      <c r="AH348" s="582"/>
      <c r="AI348" s="582"/>
      <c r="AJ348" s="582"/>
      <c r="AK348" s="462">
        <v>-17528.0</v>
      </c>
      <c r="AL348" s="582"/>
      <c r="AM348" s="587"/>
      <c r="AN348" s="589"/>
      <c r="AO348" s="616"/>
      <c r="AP348" s="592"/>
      <c r="AQ348" s="358"/>
      <c r="AR348" s="592"/>
      <c r="AS348" s="592"/>
      <c r="AT348" s="592"/>
      <c r="AU348" s="592"/>
      <c r="AV348" s="592"/>
      <c r="AW348" s="592"/>
      <c r="AX348" s="592"/>
      <c r="AY348" s="592"/>
      <c r="AZ348" s="592"/>
      <c r="BA348" s="617"/>
      <c r="BB348" s="592"/>
      <c r="BC348" s="592"/>
      <c r="BD348" s="592"/>
      <c r="BE348" s="592"/>
      <c r="BF348" s="592"/>
      <c r="BG348" s="358"/>
      <c r="BH348" s="592"/>
      <c r="BI348" s="592"/>
      <c r="BJ348" s="592"/>
      <c r="BK348" s="592"/>
      <c r="BL348" s="592"/>
      <c r="BM348" s="592"/>
      <c r="BN348" s="592"/>
      <c r="BO348" s="592"/>
      <c r="BP348" s="592"/>
      <c r="BQ348" s="594"/>
      <c r="BR348" s="594"/>
      <c r="BS348" s="394"/>
      <c r="BT348" s="594"/>
      <c r="BU348" s="594"/>
      <c r="BV348" s="594"/>
      <c r="BW348" s="618"/>
      <c r="BX348" s="644"/>
      <c r="BY348" s="644"/>
    </row>
    <row r="349" ht="25.5" customHeight="1">
      <c r="A349" s="635"/>
      <c r="B349" s="695">
        <v>45486.4729525</v>
      </c>
      <c r="C349" s="642"/>
      <c r="D349" s="642"/>
      <c r="E349" s="574" t="s">
        <v>218</v>
      </c>
      <c r="F349" s="620"/>
      <c r="G349" s="621"/>
      <c r="H349" s="577"/>
      <c r="I349" s="577"/>
      <c r="J349" s="613"/>
      <c r="K349" s="581"/>
      <c r="L349" s="581"/>
      <c r="M349" s="613"/>
      <c r="N349" s="604">
        <v>16.1736</v>
      </c>
      <c r="O349" s="613"/>
      <c r="P349" s="580"/>
      <c r="Q349" s="686">
        <v>-16.1751</v>
      </c>
      <c r="R349" s="581"/>
      <c r="S349" s="581"/>
      <c r="T349" s="581"/>
      <c r="U349" s="582"/>
      <c r="V349" s="614"/>
      <c r="W349" s="581"/>
      <c r="X349" s="615"/>
      <c r="Y349" s="613"/>
      <c r="Z349" s="580"/>
      <c r="AA349" s="634"/>
      <c r="AB349" s="577"/>
      <c r="AC349" s="673"/>
      <c r="AD349" s="634"/>
      <c r="AE349" s="587"/>
      <c r="AF349" s="587"/>
      <c r="AG349" s="582"/>
      <c r="AH349" s="582"/>
      <c r="AI349" s="582"/>
      <c r="AJ349" s="582"/>
      <c r="AK349" s="588"/>
      <c r="AL349" s="582"/>
      <c r="AM349" s="587"/>
      <c r="AN349" s="589"/>
      <c r="AO349" s="616"/>
      <c r="AP349" s="592"/>
      <c r="AQ349" s="358"/>
      <c r="AR349" s="592"/>
      <c r="AS349" s="592"/>
      <c r="AT349" s="592"/>
      <c r="AU349" s="592"/>
      <c r="AV349" s="592"/>
      <c r="AW349" s="592"/>
      <c r="AX349" s="592"/>
      <c r="AY349" s="592"/>
      <c r="AZ349" s="592"/>
      <c r="BA349" s="617"/>
      <c r="BB349" s="592"/>
      <c r="BC349" s="592"/>
      <c r="BD349" s="592"/>
      <c r="BE349" s="592"/>
      <c r="BF349" s="592"/>
      <c r="BG349" s="358"/>
      <c r="BH349" s="592"/>
      <c r="BI349" s="592"/>
      <c r="BJ349" s="592"/>
      <c r="BK349" s="592"/>
      <c r="BL349" s="592"/>
      <c r="BM349" s="592"/>
      <c r="BN349" s="592"/>
      <c r="BO349" s="592"/>
      <c r="BP349" s="592"/>
      <c r="BQ349" s="594"/>
      <c r="BR349" s="594"/>
      <c r="BS349" s="394"/>
      <c r="BT349" s="594"/>
      <c r="BU349" s="594"/>
      <c r="BV349" s="594"/>
      <c r="BW349" s="618"/>
      <c r="BX349" s="644"/>
      <c r="BY349" s="644"/>
    </row>
    <row r="350" ht="25.5" customHeight="1">
      <c r="A350" s="635"/>
      <c r="B350" s="695">
        <f>now()</f>
        <v>45664.89611</v>
      </c>
      <c r="C350" s="642"/>
      <c r="D350" s="642"/>
      <c r="E350" s="574" t="s">
        <v>218</v>
      </c>
      <c r="F350" s="620"/>
      <c r="G350" s="621"/>
      <c r="H350" s="577"/>
      <c r="I350" s="577"/>
      <c r="J350" s="613"/>
      <c r="K350" s="581"/>
      <c r="L350" s="581"/>
      <c r="M350" s="613"/>
      <c r="N350" s="604">
        <v>-16.18</v>
      </c>
      <c r="O350" s="613"/>
      <c r="P350" s="580"/>
      <c r="Q350" s="580"/>
      <c r="R350" s="581"/>
      <c r="S350" s="581"/>
      <c r="T350" s="581"/>
      <c r="U350" s="582"/>
      <c r="V350" s="630"/>
      <c r="W350" s="581"/>
      <c r="X350" s="631"/>
      <c r="Y350" s="571">
        <v>16.18</v>
      </c>
      <c r="Z350" s="580"/>
      <c r="AA350" s="634"/>
      <c r="AB350" s="577"/>
      <c r="AC350" s="673"/>
      <c r="AD350" s="634"/>
      <c r="AE350" s="587"/>
      <c r="AF350" s="587"/>
      <c r="AG350" s="582"/>
      <c r="AH350" s="582"/>
      <c r="AI350" s="582"/>
      <c r="AJ350" s="582"/>
      <c r="AK350" s="588"/>
      <c r="AL350" s="582"/>
      <c r="AM350" s="587"/>
      <c r="AN350" s="589"/>
      <c r="AO350" s="616"/>
      <c r="AP350" s="592"/>
      <c r="AQ350" s="358"/>
      <c r="AR350" s="592"/>
      <c r="AS350" s="592"/>
      <c r="AT350" s="592"/>
      <c r="AU350" s="592"/>
      <c r="AV350" s="592"/>
      <c r="AW350" s="592"/>
      <c r="AX350" s="592"/>
      <c r="AY350" s="592"/>
      <c r="AZ350" s="592"/>
      <c r="BA350" s="617"/>
      <c r="BB350" s="592"/>
      <c r="BC350" s="592"/>
      <c r="BD350" s="592"/>
      <c r="BE350" s="592"/>
      <c r="BF350" s="592"/>
      <c r="BG350" s="358"/>
      <c r="BH350" s="592"/>
      <c r="BI350" s="592"/>
      <c r="BJ350" s="592"/>
      <c r="BK350" s="592"/>
      <c r="BL350" s="592"/>
      <c r="BM350" s="592"/>
      <c r="BN350" s="592"/>
      <c r="BO350" s="592"/>
      <c r="BP350" s="592"/>
      <c r="BQ350" s="594"/>
      <c r="BR350" s="594"/>
      <c r="BS350" s="394"/>
      <c r="BT350" s="594"/>
      <c r="BU350" s="594"/>
      <c r="BV350" s="594"/>
      <c r="BW350" s="618"/>
      <c r="BX350" s="644"/>
      <c r="BY350" s="644"/>
      <c r="BZ350" s="609" t="s">
        <v>504</v>
      </c>
    </row>
    <row r="351" ht="25.5" customHeight="1">
      <c r="A351" s="635"/>
      <c r="B351" s="695">
        <v>45488.79998303241</v>
      </c>
      <c r="C351" s="642"/>
      <c r="D351" s="642"/>
      <c r="E351" s="574" t="s">
        <v>469</v>
      </c>
      <c r="F351" s="620"/>
      <c r="G351" s="621"/>
      <c r="H351" s="577"/>
      <c r="I351" s="577"/>
      <c r="J351" s="613"/>
      <c r="K351" s="581"/>
      <c r="L351" s="581"/>
      <c r="M351" s="613"/>
      <c r="N351" s="613"/>
      <c r="O351" s="613"/>
      <c r="P351" s="580"/>
      <c r="Q351" s="580"/>
      <c r="R351" s="581"/>
      <c r="S351" s="581"/>
      <c r="T351" s="579">
        <v>4266.1</v>
      </c>
      <c r="U351" s="582"/>
      <c r="V351" s="614"/>
      <c r="W351" s="581"/>
      <c r="X351" s="615"/>
      <c r="Y351" s="613"/>
      <c r="Z351" s="580"/>
      <c r="AA351" s="634"/>
      <c r="AB351" s="577"/>
      <c r="AC351" s="673"/>
      <c r="AD351" s="634"/>
      <c r="AE351" s="587"/>
      <c r="AF351" s="587"/>
      <c r="AG351" s="582"/>
      <c r="AH351" s="582"/>
      <c r="AI351" s="582"/>
      <c r="AJ351" s="582"/>
      <c r="AK351" s="588"/>
      <c r="AL351" s="582"/>
      <c r="AM351" s="587"/>
      <c r="AN351" s="589"/>
      <c r="AO351" s="616"/>
      <c r="AP351" s="592"/>
      <c r="AQ351" s="358"/>
      <c r="AR351" s="592"/>
      <c r="AS351" s="592"/>
      <c r="AT351" s="592"/>
      <c r="AU351" s="592"/>
      <c r="AV351" s="592"/>
      <c r="AW351" s="592"/>
      <c r="AX351" s="592"/>
      <c r="AY351" s="592"/>
      <c r="AZ351" s="592"/>
      <c r="BA351" s="617"/>
      <c r="BB351" s="592"/>
      <c r="BC351" s="592"/>
      <c r="BD351" s="592"/>
      <c r="BE351" s="592"/>
      <c r="BF351" s="592"/>
      <c r="BG351" s="358"/>
      <c r="BH351" s="592"/>
      <c r="BI351" s="592"/>
      <c r="BJ351" s="592"/>
      <c r="BK351" s="592"/>
      <c r="BL351" s="592"/>
      <c r="BM351" s="592"/>
      <c r="BN351" s="592"/>
      <c r="BO351" s="592"/>
      <c r="BP351" s="592"/>
      <c r="BQ351" s="594"/>
      <c r="BR351" s="594"/>
      <c r="BS351" s="394"/>
      <c r="BT351" s="594"/>
      <c r="BU351" s="594"/>
      <c r="BV351" s="594"/>
      <c r="BW351" s="618"/>
      <c r="BX351" s="644"/>
      <c r="BY351" s="644"/>
    </row>
    <row r="352" ht="25.5" customHeight="1">
      <c r="A352" s="635"/>
      <c r="B352" s="695">
        <v>45488.79998303241</v>
      </c>
      <c r="C352" s="642"/>
      <c r="D352" s="642"/>
      <c r="E352" s="574" t="s">
        <v>218</v>
      </c>
      <c r="F352" s="620"/>
      <c r="G352" s="621"/>
      <c r="H352" s="577"/>
      <c r="I352" s="577"/>
      <c r="J352" s="613"/>
      <c r="K352" s="581"/>
      <c r="L352" s="581"/>
      <c r="M352" s="613"/>
      <c r="N352" s="613"/>
      <c r="O352" s="613"/>
      <c r="P352" s="580"/>
      <c r="Q352" s="580"/>
      <c r="R352" s="581"/>
      <c r="S352" s="579">
        <v>83924.16</v>
      </c>
      <c r="T352" s="579">
        <v>-83924.16</v>
      </c>
      <c r="U352" s="582"/>
      <c r="V352" s="614"/>
      <c r="W352" s="581"/>
      <c r="X352" s="615"/>
      <c r="Y352" s="613"/>
      <c r="Z352" s="580"/>
      <c r="AA352" s="634"/>
      <c r="AB352" s="577"/>
      <c r="AC352" s="673"/>
      <c r="AD352" s="634"/>
      <c r="AE352" s="587"/>
      <c r="AF352" s="587"/>
      <c r="AG352" s="582"/>
      <c r="AH352" s="582"/>
      <c r="AI352" s="582"/>
      <c r="AJ352" s="582"/>
      <c r="AK352" s="588"/>
      <c r="AL352" s="582"/>
      <c r="AM352" s="587"/>
      <c r="AN352" s="589"/>
      <c r="AO352" s="616"/>
      <c r="AP352" s="592"/>
      <c r="AQ352" s="358"/>
      <c r="AR352" s="592"/>
      <c r="AS352" s="592"/>
      <c r="AT352" s="592"/>
      <c r="AU352" s="592"/>
      <c r="AV352" s="592"/>
      <c r="AW352" s="592"/>
      <c r="AX352" s="592"/>
      <c r="AY352" s="592"/>
      <c r="AZ352" s="592"/>
      <c r="BA352" s="617"/>
      <c r="BB352" s="592"/>
      <c r="BC352" s="592"/>
      <c r="BD352" s="592"/>
      <c r="BE352" s="592"/>
      <c r="BF352" s="592"/>
      <c r="BG352" s="358"/>
      <c r="BH352" s="592"/>
      <c r="BI352" s="592"/>
      <c r="BJ352" s="592"/>
      <c r="BK352" s="592"/>
      <c r="BL352" s="592"/>
      <c r="BM352" s="592"/>
      <c r="BN352" s="592"/>
      <c r="BO352" s="592"/>
      <c r="BP352" s="592"/>
      <c r="BQ352" s="594"/>
      <c r="BR352" s="594"/>
      <c r="BS352" s="394"/>
      <c r="BT352" s="594"/>
      <c r="BU352" s="594"/>
      <c r="BV352" s="594"/>
      <c r="BW352" s="618"/>
      <c r="BX352" s="644"/>
      <c r="BY352" s="644"/>
      <c r="BZ352" s="609" t="s">
        <v>505</v>
      </c>
    </row>
    <row r="353" ht="25.5" customHeight="1">
      <c r="A353" s="635"/>
      <c r="B353" s="695">
        <v>45488.80145679398</v>
      </c>
      <c r="C353" s="642"/>
      <c r="D353" s="642"/>
      <c r="E353" s="574" t="s">
        <v>218</v>
      </c>
      <c r="F353" s="620"/>
      <c r="G353" s="621"/>
      <c r="H353" s="577"/>
      <c r="I353" s="577"/>
      <c r="J353" s="613"/>
      <c r="K353" s="581"/>
      <c r="L353" s="581"/>
      <c r="M353" s="613"/>
      <c r="N353" s="613"/>
      <c r="O353" s="613"/>
      <c r="P353" s="580"/>
      <c r="Q353" s="580"/>
      <c r="R353" s="581"/>
      <c r="S353" s="579">
        <v>-83924.16</v>
      </c>
      <c r="T353" s="581"/>
      <c r="U353" s="582"/>
      <c r="V353" s="614"/>
      <c r="W353" s="581"/>
      <c r="X353" s="615"/>
      <c r="Y353" s="613"/>
      <c r="Z353" s="580"/>
      <c r="AA353" s="634"/>
      <c r="AB353" s="577"/>
      <c r="AC353" s="673"/>
      <c r="AD353" s="634"/>
      <c r="AE353" s="587"/>
      <c r="AF353" s="587"/>
      <c r="AG353" s="582"/>
      <c r="AH353" s="582"/>
      <c r="AI353" s="582"/>
      <c r="AJ353" s="582"/>
      <c r="AK353" s="700">
        <v>83924.16</v>
      </c>
      <c r="AL353" s="582"/>
      <c r="AM353" s="587"/>
      <c r="AN353" s="589"/>
      <c r="AO353" s="616"/>
      <c r="AP353" s="592"/>
      <c r="AQ353" s="358"/>
      <c r="AR353" s="592"/>
      <c r="AS353" s="592"/>
      <c r="AT353" s="592"/>
      <c r="AU353" s="592"/>
      <c r="AV353" s="592"/>
      <c r="AW353" s="592"/>
      <c r="AX353" s="592"/>
      <c r="AY353" s="592"/>
      <c r="AZ353" s="592"/>
      <c r="BA353" s="617"/>
      <c r="BB353" s="592"/>
      <c r="BC353" s="592"/>
      <c r="BD353" s="592"/>
      <c r="BE353" s="592"/>
      <c r="BF353" s="592"/>
      <c r="BG353" s="358"/>
      <c r="BH353" s="592"/>
      <c r="BI353" s="592"/>
      <c r="BJ353" s="592"/>
      <c r="BK353" s="592"/>
      <c r="BL353" s="592"/>
      <c r="BM353" s="592"/>
      <c r="BN353" s="592"/>
      <c r="BO353" s="592"/>
      <c r="BP353" s="592"/>
      <c r="BQ353" s="594"/>
      <c r="BR353" s="594"/>
      <c r="BS353" s="394"/>
      <c r="BT353" s="594"/>
      <c r="BU353" s="594"/>
      <c r="BV353" s="594"/>
      <c r="BW353" s="618"/>
      <c r="BX353" s="644"/>
      <c r="BY353" s="644"/>
      <c r="BZ353" s="609" t="s">
        <v>506</v>
      </c>
    </row>
    <row r="354" ht="25.5" customHeight="1">
      <c r="A354" s="635"/>
      <c r="B354" s="695">
        <v>45488.831944826394</v>
      </c>
      <c r="C354" s="642"/>
      <c r="D354" s="642"/>
      <c r="E354" s="574" t="s">
        <v>218</v>
      </c>
      <c r="F354" s="620"/>
      <c r="G354" s="621"/>
      <c r="H354" s="577"/>
      <c r="I354" s="577"/>
      <c r="J354" s="613"/>
      <c r="K354" s="581"/>
      <c r="L354" s="581"/>
      <c r="M354" s="613"/>
      <c r="N354" s="613"/>
      <c r="O354" s="613"/>
      <c r="P354" s="580"/>
      <c r="Q354" s="580"/>
      <c r="R354" s="581"/>
      <c r="S354" s="581"/>
      <c r="T354" s="581"/>
      <c r="U354" s="582"/>
      <c r="V354" s="704">
        <v>83924.16</v>
      </c>
      <c r="W354" s="581"/>
      <c r="X354" s="615"/>
      <c r="Y354" s="613"/>
      <c r="Z354" s="580"/>
      <c r="AA354" s="634"/>
      <c r="AB354" s="577"/>
      <c r="AC354" s="673"/>
      <c r="AD354" s="634"/>
      <c r="AE354" s="587"/>
      <c r="AF354" s="587"/>
      <c r="AG354" s="582"/>
      <c r="AH354" s="582"/>
      <c r="AI354" s="582"/>
      <c r="AJ354" s="582"/>
      <c r="AK354" s="700">
        <v>-83924.16</v>
      </c>
      <c r="AL354" s="582"/>
      <c r="AM354" s="587"/>
      <c r="AN354" s="589"/>
      <c r="AO354" s="616"/>
      <c r="AP354" s="592"/>
      <c r="AQ354" s="358"/>
      <c r="AR354" s="592"/>
      <c r="AS354" s="592"/>
      <c r="AT354" s="592"/>
      <c r="AU354" s="592"/>
      <c r="AV354" s="592"/>
      <c r="AW354" s="592"/>
      <c r="AX354" s="592"/>
      <c r="AY354" s="592"/>
      <c r="AZ354" s="592"/>
      <c r="BA354" s="617"/>
      <c r="BB354" s="592"/>
      <c r="BC354" s="592"/>
      <c r="BD354" s="592"/>
      <c r="BE354" s="592"/>
      <c r="BF354" s="592"/>
      <c r="BG354" s="358"/>
      <c r="BH354" s="592"/>
      <c r="BI354" s="592"/>
      <c r="BJ354" s="592"/>
      <c r="BK354" s="592"/>
      <c r="BL354" s="592"/>
      <c r="BM354" s="592"/>
      <c r="BN354" s="592"/>
      <c r="BO354" s="592"/>
      <c r="BP354" s="592"/>
      <c r="BQ354" s="594"/>
      <c r="BR354" s="594"/>
      <c r="BS354" s="394"/>
      <c r="BT354" s="594"/>
      <c r="BU354" s="594"/>
      <c r="BV354" s="594"/>
      <c r="BW354" s="618"/>
      <c r="BX354" s="644"/>
      <c r="BY354" s="644"/>
      <c r="CB354" s="705"/>
      <c r="CC354" s="705"/>
      <c r="CD354" s="705"/>
      <c r="CE354" s="705"/>
      <c r="CF354" s="705"/>
    </row>
    <row r="355" ht="25.5" customHeight="1">
      <c r="A355" s="635"/>
      <c r="B355" s="695">
        <v>45488.83201172454</v>
      </c>
      <c r="C355" s="642"/>
      <c r="D355" s="642"/>
      <c r="E355" s="574" t="s">
        <v>218</v>
      </c>
      <c r="F355" s="620"/>
      <c r="G355" s="621"/>
      <c r="H355" s="577"/>
      <c r="I355" s="577"/>
      <c r="J355" s="613"/>
      <c r="K355" s="581"/>
      <c r="L355" s="581"/>
      <c r="M355" s="613"/>
      <c r="N355" s="613"/>
      <c r="O355" s="613"/>
      <c r="P355" s="580"/>
      <c r="Q355" s="580"/>
      <c r="R355" s="581"/>
      <c r="S355" s="581"/>
      <c r="T355" s="581"/>
      <c r="U355" s="582"/>
      <c r="V355" s="706">
        <f>75526.53-83924.16</f>
        <v>-8397.63</v>
      </c>
      <c r="W355" s="707"/>
      <c r="X355" s="708">
        <v>8397.63000000001</v>
      </c>
      <c r="Y355" s="613"/>
      <c r="Z355" s="580"/>
      <c r="AA355" s="634"/>
      <c r="AB355" s="577"/>
      <c r="AC355" s="673"/>
      <c r="AD355" s="634"/>
      <c r="AE355" s="587"/>
      <c r="AF355" s="587"/>
      <c r="AG355" s="582"/>
      <c r="AH355" s="582"/>
      <c r="AI355" s="582"/>
      <c r="AJ355" s="582"/>
      <c r="AK355" s="588"/>
      <c r="AL355" s="582"/>
      <c r="AM355" s="587"/>
      <c r="AN355" s="589"/>
      <c r="AO355" s="616"/>
      <c r="AP355" s="592"/>
      <c r="AQ355" s="358"/>
      <c r="AR355" s="592"/>
      <c r="AS355" s="592"/>
      <c r="AT355" s="592"/>
      <c r="AU355" s="592"/>
      <c r="AV355" s="592"/>
      <c r="AW355" s="592"/>
      <c r="AX355" s="592"/>
      <c r="AY355" s="592"/>
      <c r="AZ355" s="592"/>
      <c r="BA355" s="617"/>
      <c r="BB355" s="592"/>
      <c r="BC355" s="592"/>
      <c r="BD355" s="592"/>
      <c r="BE355" s="592"/>
      <c r="BF355" s="592"/>
      <c r="BG355" s="358"/>
      <c r="BH355" s="592"/>
      <c r="BI355" s="592"/>
      <c r="BJ355" s="592"/>
      <c r="BK355" s="592"/>
      <c r="BL355" s="592"/>
      <c r="BM355" s="592"/>
      <c r="BN355" s="592"/>
      <c r="BO355" s="592"/>
      <c r="BP355" s="592"/>
      <c r="BQ355" s="594"/>
      <c r="BR355" s="594"/>
      <c r="BS355" s="394"/>
      <c r="BT355" s="594"/>
      <c r="BU355" s="594"/>
      <c r="BV355" s="594"/>
      <c r="BW355" s="618"/>
      <c r="BX355" s="644"/>
      <c r="BY355" s="644"/>
      <c r="BZ355" s="709" t="s">
        <v>507</v>
      </c>
      <c r="CA355" s="709" t="s">
        <v>508</v>
      </c>
      <c r="CB355" s="709" t="s">
        <v>509</v>
      </c>
      <c r="CC355" s="705"/>
      <c r="CD355" s="705"/>
      <c r="CE355" s="705"/>
      <c r="CF355" s="705"/>
    </row>
    <row r="356" ht="25.5" customHeight="1">
      <c r="A356" s="635"/>
      <c r="B356" s="695">
        <v>45488.842689756944</v>
      </c>
      <c r="C356" s="642"/>
      <c r="D356" s="642"/>
      <c r="E356" s="574" t="s">
        <v>218</v>
      </c>
      <c r="F356" s="620"/>
      <c r="G356" s="621"/>
      <c r="H356" s="577"/>
      <c r="I356" s="577"/>
      <c r="J356" s="613"/>
      <c r="K356" s="581"/>
      <c r="L356" s="581"/>
      <c r="M356" s="613"/>
      <c r="N356" s="613"/>
      <c r="O356" s="613"/>
      <c r="P356" s="580"/>
      <c r="Q356" s="580"/>
      <c r="R356" s="581"/>
      <c r="S356" s="581"/>
      <c r="T356" s="581"/>
      <c r="U356" s="582"/>
      <c r="V356" s="706">
        <f>812.3-75526.53</f>
        <v>-74714.23</v>
      </c>
      <c r="W356" s="707"/>
      <c r="X356" s="708">
        <v>74714.23</v>
      </c>
      <c r="Y356" s="613"/>
      <c r="Z356" s="580"/>
      <c r="AA356" s="634"/>
      <c r="AB356" s="577"/>
      <c r="AC356" s="673"/>
      <c r="AD356" s="634"/>
      <c r="AE356" s="587"/>
      <c r="AF356" s="587"/>
      <c r="AG356" s="582"/>
      <c r="AH356" s="582"/>
      <c r="AI356" s="582"/>
      <c r="AJ356" s="582"/>
      <c r="AK356" s="588"/>
      <c r="AL356" s="582"/>
      <c r="AM356" s="587"/>
      <c r="AN356" s="589"/>
      <c r="AO356" s="616"/>
      <c r="AP356" s="592"/>
      <c r="AQ356" s="358"/>
      <c r="AR356" s="592"/>
      <c r="AS356" s="592"/>
      <c r="AT356" s="592"/>
      <c r="AU356" s="592"/>
      <c r="AV356" s="592"/>
      <c r="AW356" s="592"/>
      <c r="AX356" s="592"/>
      <c r="AY356" s="592"/>
      <c r="AZ356" s="592"/>
      <c r="BA356" s="617"/>
      <c r="BB356" s="592"/>
      <c r="BC356" s="592"/>
      <c r="BD356" s="592"/>
      <c r="BE356" s="592"/>
      <c r="BF356" s="592"/>
      <c r="BG356" s="358"/>
      <c r="BH356" s="592"/>
      <c r="BI356" s="592"/>
      <c r="BJ356" s="592"/>
      <c r="BK356" s="592"/>
      <c r="BL356" s="592"/>
      <c r="BM356" s="592"/>
      <c r="BN356" s="592"/>
      <c r="BO356" s="592"/>
      <c r="BP356" s="592"/>
      <c r="BQ356" s="594"/>
      <c r="BR356" s="594"/>
      <c r="BS356" s="394"/>
      <c r="BT356" s="594"/>
      <c r="BU356" s="594"/>
      <c r="BV356" s="594"/>
      <c r="BW356" s="618"/>
      <c r="BX356" s="644"/>
      <c r="BY356" s="644"/>
      <c r="BZ356" s="609" t="s">
        <v>510</v>
      </c>
      <c r="CA356" s="709" t="s">
        <v>511</v>
      </c>
      <c r="CB356" s="710" t="s">
        <v>512</v>
      </c>
      <c r="CC356" s="710" t="s">
        <v>513</v>
      </c>
      <c r="CD356" s="709" t="s">
        <v>514</v>
      </c>
      <c r="CE356" s="709" t="s">
        <v>515</v>
      </c>
      <c r="CF356" s="705"/>
    </row>
    <row r="357" ht="25.5" customHeight="1">
      <c r="A357" s="635"/>
      <c r="B357" s="695">
        <v>45491.64298336806</v>
      </c>
      <c r="C357" s="642"/>
      <c r="D357" s="642"/>
      <c r="E357" s="574" t="s">
        <v>327</v>
      </c>
      <c r="F357" s="620"/>
      <c r="G357" s="621"/>
      <c r="H357" s="577"/>
      <c r="I357" s="577"/>
      <c r="J357" s="613"/>
      <c r="K357" s="581"/>
      <c r="L357" s="581"/>
      <c r="M357" s="613">
        <f>0.2506-0.1672</f>
        <v>0.0834</v>
      </c>
      <c r="N357" s="613"/>
      <c r="O357" s="613"/>
      <c r="P357" s="580"/>
      <c r="Q357" s="580"/>
      <c r="R357" s="581"/>
      <c r="S357" s="581"/>
      <c r="T357" s="581"/>
      <c r="U357" s="582"/>
      <c r="V357" s="614"/>
      <c r="W357" s="581"/>
      <c r="X357" s="615"/>
      <c r="Y357" s="613"/>
      <c r="Z357" s="580"/>
      <c r="AA357" s="634"/>
      <c r="AB357" s="577"/>
      <c r="AC357" s="673"/>
      <c r="AD357" s="634"/>
      <c r="AE357" s="587"/>
      <c r="AF357" s="587"/>
      <c r="AG357" s="582"/>
      <c r="AH357" s="582"/>
      <c r="AI357" s="582"/>
      <c r="AJ357" s="582"/>
      <c r="AK357" s="588"/>
      <c r="AL357" s="582"/>
      <c r="AM357" s="587"/>
      <c r="AN357" s="589"/>
      <c r="AO357" s="616"/>
      <c r="AP357" s="592"/>
      <c r="AQ357" s="358"/>
      <c r="AR357" s="592"/>
      <c r="AS357" s="592"/>
      <c r="AT357" s="592"/>
      <c r="AU357" s="592"/>
      <c r="AV357" s="592"/>
      <c r="AW357" s="592"/>
      <c r="AX357" s="592"/>
      <c r="AY357" s="592"/>
      <c r="AZ357" s="592"/>
      <c r="BA357" s="617"/>
      <c r="BB357" s="592"/>
      <c r="BC357" s="592"/>
      <c r="BD357" s="592"/>
      <c r="BE357" s="592"/>
      <c r="BF357" s="592"/>
      <c r="BG357" s="358"/>
      <c r="BH357" s="592"/>
      <c r="BI357" s="592"/>
      <c r="BJ357" s="592"/>
      <c r="BK357" s="592"/>
      <c r="BL357" s="592"/>
      <c r="BM357" s="592"/>
      <c r="BN357" s="592"/>
      <c r="BO357" s="592"/>
      <c r="BP357" s="592"/>
      <c r="BQ357" s="594"/>
      <c r="BR357" s="594"/>
      <c r="BS357" s="394"/>
      <c r="BT357" s="594"/>
      <c r="BU357" s="594"/>
      <c r="BV357" s="594"/>
      <c r="BW357" s="618"/>
      <c r="BX357" s="644"/>
      <c r="BY357" s="608" t="s">
        <v>516</v>
      </c>
      <c r="BZ357" s="609" t="s">
        <v>517</v>
      </c>
    </row>
    <row r="358" ht="25.5" customHeight="1">
      <c r="A358" s="635"/>
      <c r="B358" s="695">
        <v>45492.69529503472</v>
      </c>
      <c r="C358" s="642"/>
      <c r="D358" s="642"/>
      <c r="E358" s="574" t="s">
        <v>469</v>
      </c>
      <c r="F358" s="620"/>
      <c r="G358" s="621"/>
      <c r="H358" s="577"/>
      <c r="I358" s="577"/>
      <c r="J358" s="613"/>
      <c r="K358" s="581"/>
      <c r="L358" s="581"/>
      <c r="M358" s="613"/>
      <c r="N358" s="613"/>
      <c r="O358" s="613"/>
      <c r="P358" s="580"/>
      <c r="Q358" s="580"/>
      <c r="R358" s="581"/>
      <c r="S358" s="581"/>
      <c r="T358" s="581"/>
      <c r="U358" s="623">
        <v>394.81</v>
      </c>
      <c r="V358" s="614"/>
      <c r="W358" s="581"/>
      <c r="X358" s="615"/>
      <c r="Y358" s="613"/>
      <c r="Z358" s="580"/>
      <c r="AA358" s="634"/>
      <c r="AB358" s="577"/>
      <c r="AC358" s="673"/>
      <c r="AD358" s="634"/>
      <c r="AE358" s="587"/>
      <c r="AF358" s="587"/>
      <c r="AG358" s="582"/>
      <c r="AH358" s="582"/>
      <c r="AI358" s="582"/>
      <c r="AJ358" s="582"/>
      <c r="AK358" s="588"/>
      <c r="AL358" s="582"/>
      <c r="AM358" s="587"/>
      <c r="AN358" s="589"/>
      <c r="AO358" s="616"/>
      <c r="AP358" s="592"/>
      <c r="AQ358" s="358"/>
      <c r="AR358" s="592"/>
      <c r="AS358" s="592"/>
      <c r="AT358" s="592"/>
      <c r="AU358" s="592"/>
      <c r="AV358" s="592"/>
      <c r="AW358" s="592"/>
      <c r="AX358" s="592"/>
      <c r="AY358" s="592"/>
      <c r="AZ358" s="592"/>
      <c r="BA358" s="617"/>
      <c r="BB358" s="592"/>
      <c r="BC358" s="592"/>
      <c r="BD358" s="592"/>
      <c r="BE358" s="592"/>
      <c r="BF358" s="592"/>
      <c r="BG358" s="358"/>
      <c r="BH358" s="592"/>
      <c r="BI358" s="592"/>
      <c r="BJ358" s="592"/>
      <c r="BK358" s="592"/>
      <c r="BL358" s="592"/>
      <c r="BM358" s="592"/>
      <c r="BN358" s="592"/>
      <c r="BO358" s="592"/>
      <c r="BP358" s="592"/>
      <c r="BQ358" s="594"/>
      <c r="BR358" s="594"/>
      <c r="BS358" s="394"/>
      <c r="BT358" s="594"/>
      <c r="BU358" s="594"/>
      <c r="BV358" s="594"/>
      <c r="BW358" s="618"/>
      <c r="BX358" s="644"/>
      <c r="BY358" s="608" t="s">
        <v>518</v>
      </c>
      <c r="BZ358" s="609" t="s">
        <v>519</v>
      </c>
      <c r="CA358" s="609" t="s">
        <v>520</v>
      </c>
    </row>
    <row r="359" ht="25.5" customHeight="1">
      <c r="A359" s="635"/>
      <c r="B359" s="665">
        <v>45493.74068287037</v>
      </c>
      <c r="C359" s="642"/>
      <c r="D359" s="642"/>
      <c r="E359" s="574" t="s">
        <v>218</v>
      </c>
      <c r="F359" s="620"/>
      <c r="G359" s="621"/>
      <c r="H359" s="577"/>
      <c r="I359" s="577"/>
      <c r="J359" s="613"/>
      <c r="K359" s="581"/>
      <c r="L359" s="581"/>
      <c r="M359" s="613"/>
      <c r="N359" s="613"/>
      <c r="O359" s="613"/>
      <c r="P359" s="580"/>
      <c r="Q359" s="580"/>
      <c r="R359" s="581"/>
      <c r="S359" s="581"/>
      <c r="T359" s="581"/>
      <c r="U359" s="582">
        <f>17669.62-394.81-812.3</f>
        <v>16462.51</v>
      </c>
      <c r="V359" s="614"/>
      <c r="W359" s="581"/>
      <c r="X359" s="631">
        <v>-16462.51</v>
      </c>
      <c r="Y359" s="613"/>
      <c r="Z359" s="580"/>
      <c r="AA359" s="634"/>
      <c r="AB359" s="577"/>
      <c r="AC359" s="673"/>
      <c r="AD359" s="634"/>
      <c r="AE359" s="587"/>
      <c r="AF359" s="587"/>
      <c r="AG359" s="582"/>
      <c r="AH359" s="582"/>
      <c r="AI359" s="582"/>
      <c r="AJ359" s="582"/>
      <c r="AK359" s="588"/>
      <c r="AL359" s="582"/>
      <c r="AM359" s="587"/>
      <c r="AN359" s="589"/>
      <c r="AO359" s="616"/>
      <c r="AP359" s="592"/>
      <c r="AQ359" s="358"/>
      <c r="AR359" s="592"/>
      <c r="AS359" s="592"/>
      <c r="AT359" s="592"/>
      <c r="AU359" s="592"/>
      <c r="AV359" s="592"/>
      <c r="AW359" s="592"/>
      <c r="AX359" s="592"/>
      <c r="AY359" s="592"/>
      <c r="AZ359" s="592"/>
      <c r="BA359" s="617"/>
      <c r="BB359" s="592"/>
      <c r="BC359" s="592"/>
      <c r="BD359" s="592"/>
      <c r="BE359" s="592"/>
      <c r="BF359" s="592"/>
      <c r="BG359" s="358"/>
      <c r="BH359" s="592"/>
      <c r="BI359" s="592"/>
      <c r="BJ359" s="592"/>
      <c r="BK359" s="592"/>
      <c r="BL359" s="592"/>
      <c r="BM359" s="592"/>
      <c r="BN359" s="592"/>
      <c r="BO359" s="592"/>
      <c r="BP359" s="592"/>
      <c r="BQ359" s="594"/>
      <c r="BR359" s="594"/>
      <c r="BS359" s="394"/>
      <c r="BT359" s="594"/>
      <c r="BU359" s="594"/>
      <c r="BV359" s="594"/>
      <c r="BW359" s="618"/>
      <c r="BX359" s="644"/>
      <c r="BY359" s="608" t="s">
        <v>521</v>
      </c>
      <c r="BZ359" s="609" t="s">
        <v>522</v>
      </c>
      <c r="CA359" s="609" t="s">
        <v>523</v>
      </c>
      <c r="CB359" s="609" t="s">
        <v>524</v>
      </c>
    </row>
    <row r="360" ht="25.5" customHeight="1">
      <c r="A360" s="635"/>
      <c r="B360" s="665">
        <v>45493.74068287037</v>
      </c>
      <c r="C360" s="642"/>
      <c r="D360" s="642"/>
      <c r="E360" s="574" t="s">
        <v>231</v>
      </c>
      <c r="F360" s="620"/>
      <c r="G360" s="621"/>
      <c r="H360" s="577"/>
      <c r="I360" s="577"/>
      <c r="J360" s="613"/>
      <c r="K360" s="581"/>
      <c r="L360" s="581"/>
      <c r="M360" s="613"/>
      <c r="N360" s="613"/>
      <c r="O360" s="613"/>
      <c r="P360" s="580"/>
      <c r="Q360" s="580"/>
      <c r="R360" s="581"/>
      <c r="S360" s="581"/>
      <c r="T360" s="581"/>
      <c r="U360" s="631">
        <f>812.3</f>
        <v>812.3</v>
      </c>
      <c r="V360" s="630">
        <v>-812.3</v>
      </c>
      <c r="W360" s="581"/>
      <c r="X360" s="615"/>
      <c r="Y360" s="613"/>
      <c r="Z360" s="580"/>
      <c r="AA360" s="634"/>
      <c r="AB360" s="577"/>
      <c r="AC360" s="673"/>
      <c r="AD360" s="634"/>
      <c r="AE360" s="587"/>
      <c r="AF360" s="587"/>
      <c r="AG360" s="582"/>
      <c r="AH360" s="582"/>
      <c r="AI360" s="582"/>
      <c r="AJ360" s="582"/>
      <c r="AK360" s="588"/>
      <c r="AL360" s="623"/>
      <c r="AM360" s="587"/>
      <c r="AN360" s="589"/>
      <c r="AO360" s="616"/>
      <c r="AP360" s="592"/>
      <c r="AQ360" s="358"/>
      <c r="AR360" s="592"/>
      <c r="AS360" s="592"/>
      <c r="AT360" s="592"/>
      <c r="AU360" s="592"/>
      <c r="AV360" s="592"/>
      <c r="AW360" s="592"/>
      <c r="AX360" s="592"/>
      <c r="AY360" s="592"/>
      <c r="AZ360" s="592"/>
      <c r="BA360" s="617"/>
      <c r="BB360" s="592"/>
      <c r="BC360" s="592"/>
      <c r="BD360" s="592"/>
      <c r="BE360" s="592"/>
      <c r="BF360" s="592"/>
      <c r="BG360" s="358"/>
      <c r="BH360" s="592"/>
      <c r="BI360" s="592"/>
      <c r="BJ360" s="592"/>
      <c r="BK360" s="592"/>
      <c r="BL360" s="592"/>
      <c r="BM360" s="592"/>
      <c r="BN360" s="592"/>
      <c r="BO360" s="592"/>
      <c r="BP360" s="592"/>
      <c r="BQ360" s="594"/>
      <c r="BR360" s="594"/>
      <c r="BS360" s="394"/>
      <c r="BT360" s="594"/>
      <c r="BU360" s="594"/>
      <c r="BV360" s="594"/>
      <c r="BW360" s="618"/>
      <c r="BX360" s="644"/>
      <c r="BY360" s="644"/>
    </row>
    <row r="361" ht="25.5" customHeight="1">
      <c r="A361" s="635"/>
      <c r="B361" s="695">
        <v>45493.74759935185</v>
      </c>
      <c r="C361" s="642"/>
      <c r="D361" s="642"/>
      <c r="E361" s="574" t="s">
        <v>218</v>
      </c>
      <c r="F361" s="620"/>
      <c r="G361" s="621"/>
      <c r="H361" s="577"/>
      <c r="I361" s="577"/>
      <c r="J361" s="613"/>
      <c r="K361" s="581"/>
      <c r="L361" s="581"/>
      <c r="M361" s="613"/>
      <c r="N361" s="613"/>
      <c r="O361" s="613"/>
      <c r="P361" s="580"/>
      <c r="Q361" s="580"/>
      <c r="R361" s="581"/>
      <c r="S361" s="581"/>
      <c r="T361" s="581"/>
      <c r="U361" s="631">
        <v>-17669.62</v>
      </c>
      <c r="V361" s="614"/>
      <c r="W361" s="581"/>
      <c r="X361" s="615"/>
      <c r="Y361" s="613"/>
      <c r="Z361" s="580"/>
      <c r="AA361" s="634"/>
      <c r="AB361" s="577"/>
      <c r="AC361" s="673"/>
      <c r="AD361" s="634"/>
      <c r="AE361" s="587"/>
      <c r="AF361" s="587"/>
      <c r="AG361" s="582"/>
      <c r="AH361" s="582"/>
      <c r="AI361" s="582"/>
      <c r="AJ361" s="582"/>
      <c r="AK361" s="588"/>
      <c r="AL361" s="623">
        <v>17669.62</v>
      </c>
      <c r="AM361" s="587"/>
      <c r="AN361" s="589"/>
      <c r="AO361" s="616"/>
      <c r="AP361" s="592"/>
      <c r="AQ361" s="358"/>
      <c r="AR361" s="592"/>
      <c r="AS361" s="592"/>
      <c r="AT361" s="592"/>
      <c r="AU361" s="592"/>
      <c r="AV361" s="592"/>
      <c r="AW361" s="592"/>
      <c r="AX361" s="592"/>
      <c r="AY361" s="592"/>
      <c r="AZ361" s="592"/>
      <c r="BA361" s="617"/>
      <c r="BB361" s="592"/>
      <c r="BC361" s="592"/>
      <c r="BD361" s="592"/>
      <c r="BE361" s="592"/>
      <c r="BF361" s="592"/>
      <c r="BG361" s="358"/>
      <c r="BH361" s="592"/>
      <c r="BI361" s="592"/>
      <c r="BJ361" s="592"/>
      <c r="BK361" s="592"/>
      <c r="BL361" s="592"/>
      <c r="BM361" s="592"/>
      <c r="BN361" s="592"/>
      <c r="BO361" s="592"/>
      <c r="BP361" s="592"/>
      <c r="BQ361" s="594"/>
      <c r="BR361" s="594"/>
      <c r="BS361" s="394"/>
      <c r="BT361" s="594"/>
      <c r="BU361" s="594"/>
      <c r="BV361" s="594"/>
      <c r="BW361" s="618"/>
      <c r="BX361" s="644"/>
      <c r="BY361" s="644"/>
    </row>
    <row r="362" ht="25.5" customHeight="1">
      <c r="A362" s="635"/>
      <c r="B362" s="695">
        <v>45493.75511484954</v>
      </c>
      <c r="C362" s="642">
        <f>AL362/-Q362</f>
        <v>3503.312519</v>
      </c>
      <c r="D362" s="642"/>
      <c r="E362" s="574" t="s">
        <v>231</v>
      </c>
      <c r="F362" s="620"/>
      <c r="G362" s="621"/>
      <c r="H362" s="577"/>
      <c r="I362" s="577"/>
      <c r="J362" s="613"/>
      <c r="K362" s="581"/>
      <c r="L362" s="581"/>
      <c r="M362" s="613"/>
      <c r="N362" s="613"/>
      <c r="O362" s="613"/>
      <c r="P362" s="580"/>
      <c r="Q362" s="686">
        <v>5.0445</v>
      </c>
      <c r="R362" s="581"/>
      <c r="S362" s="581"/>
      <c r="T362" s="581"/>
      <c r="U362" s="582"/>
      <c r="V362" s="614"/>
      <c r="W362" s="581"/>
      <c r="X362" s="615"/>
      <c r="Y362" s="613"/>
      <c r="Z362" s="580"/>
      <c r="AA362" s="634"/>
      <c r="AB362" s="577"/>
      <c r="AC362" s="673"/>
      <c r="AD362" s="634"/>
      <c r="AE362" s="587"/>
      <c r="AF362" s="587"/>
      <c r="AG362" s="582"/>
      <c r="AH362" s="582"/>
      <c r="AI362" s="582"/>
      <c r="AJ362" s="582"/>
      <c r="AK362" s="588"/>
      <c r="AL362" s="623">
        <v>-17672.46</v>
      </c>
      <c r="AM362" s="587"/>
      <c r="AN362" s="589"/>
      <c r="AO362" s="616"/>
      <c r="AP362" s="592"/>
      <c r="AQ362" s="358"/>
      <c r="AR362" s="592"/>
      <c r="AS362" s="592"/>
      <c r="AT362" s="592"/>
      <c r="AU362" s="592"/>
      <c r="AV362" s="592"/>
      <c r="AW362" s="592"/>
      <c r="AX362" s="592"/>
      <c r="AY362" s="592"/>
      <c r="AZ362" s="592"/>
      <c r="BA362" s="617"/>
      <c r="BB362" s="592"/>
      <c r="BC362" s="592"/>
      <c r="BD362" s="592"/>
      <c r="BE362" s="592"/>
      <c r="BF362" s="592"/>
      <c r="BG362" s="358"/>
      <c r="BH362" s="592"/>
      <c r="BI362" s="592"/>
      <c r="BJ362" s="592"/>
      <c r="BK362" s="592"/>
      <c r="BL362" s="592"/>
      <c r="BM362" s="592"/>
      <c r="BN362" s="592"/>
      <c r="BO362" s="592"/>
      <c r="BP362" s="592"/>
      <c r="BQ362" s="594"/>
      <c r="BR362" s="594"/>
      <c r="BS362" s="394"/>
      <c r="BT362" s="594"/>
      <c r="BU362" s="594"/>
      <c r="BV362" s="594"/>
      <c r="BW362" s="618"/>
      <c r="BX362" s="644"/>
      <c r="BY362" s="644"/>
    </row>
    <row r="363" ht="25.5" customHeight="1">
      <c r="A363" s="635"/>
      <c r="B363" s="695">
        <v>45493.81065648148</v>
      </c>
      <c r="C363" s="642"/>
      <c r="D363" s="642"/>
      <c r="E363" s="574" t="s">
        <v>218</v>
      </c>
      <c r="F363" s="620"/>
      <c r="G363" s="621"/>
      <c r="H363" s="577"/>
      <c r="I363" s="577"/>
      <c r="J363" s="613"/>
      <c r="K363" s="581"/>
      <c r="L363" s="581"/>
      <c r="M363" s="613"/>
      <c r="N363" s="604">
        <v>5.0432</v>
      </c>
      <c r="O363" s="613"/>
      <c r="P363" s="580"/>
      <c r="Q363" s="686">
        <v>-5.0445</v>
      </c>
      <c r="R363" s="581"/>
      <c r="S363" s="581"/>
      <c r="T363" s="581"/>
      <c r="U363" s="582"/>
      <c r="V363" s="614"/>
      <c r="W363" s="581"/>
      <c r="X363" s="615"/>
      <c r="Y363" s="613"/>
      <c r="Z363" s="580"/>
      <c r="AA363" s="634"/>
      <c r="AB363" s="577"/>
      <c r="AC363" s="673"/>
      <c r="AD363" s="634"/>
      <c r="AE363" s="587"/>
      <c r="AF363" s="587"/>
      <c r="AG363" s="582"/>
      <c r="AH363" s="582"/>
      <c r="AI363" s="582"/>
      <c r="AJ363" s="582"/>
      <c r="AK363" s="588"/>
      <c r="AL363" s="582"/>
      <c r="AM363" s="587"/>
      <c r="AN363" s="589"/>
      <c r="AO363" s="616"/>
      <c r="AP363" s="592"/>
      <c r="AQ363" s="358"/>
      <c r="AR363" s="592"/>
      <c r="AS363" s="592"/>
      <c r="AT363" s="592"/>
      <c r="AU363" s="592"/>
      <c r="AV363" s="592"/>
      <c r="AW363" s="592"/>
      <c r="AX363" s="592"/>
      <c r="AY363" s="592"/>
      <c r="AZ363" s="592"/>
      <c r="BA363" s="617"/>
      <c r="BB363" s="592"/>
      <c r="BC363" s="592"/>
      <c r="BD363" s="592"/>
      <c r="BE363" s="592"/>
      <c r="BF363" s="592"/>
      <c r="BG363" s="358"/>
      <c r="BH363" s="592"/>
      <c r="BI363" s="592"/>
      <c r="BJ363" s="592"/>
      <c r="BK363" s="592"/>
      <c r="BL363" s="592"/>
      <c r="BM363" s="592"/>
      <c r="BN363" s="592"/>
      <c r="BO363" s="592"/>
      <c r="BP363" s="592"/>
      <c r="BQ363" s="594"/>
      <c r="BR363" s="594"/>
      <c r="BS363" s="394"/>
      <c r="BT363" s="594"/>
      <c r="BU363" s="594"/>
      <c r="BV363" s="594"/>
      <c r="BW363" s="618"/>
      <c r="BX363" s="644"/>
      <c r="BY363" s="644"/>
      <c r="BZ363" s="609" t="s">
        <v>525</v>
      </c>
    </row>
    <row r="364" ht="25.5" customHeight="1">
      <c r="A364" s="635"/>
      <c r="B364" s="695">
        <v>45493.81106552083</v>
      </c>
      <c r="C364" s="642"/>
      <c r="D364" s="642"/>
      <c r="E364" s="574" t="s">
        <v>218</v>
      </c>
      <c r="F364" s="620"/>
      <c r="G364" s="621"/>
      <c r="H364" s="577"/>
      <c r="I364" s="577"/>
      <c r="J364" s="613"/>
      <c r="K364" s="581"/>
      <c r="L364" s="581"/>
      <c r="M364" s="613"/>
      <c r="N364" s="604">
        <v>-5.03</v>
      </c>
      <c r="O364" s="613"/>
      <c r="P364" s="580"/>
      <c r="Q364" s="580"/>
      <c r="R364" s="581"/>
      <c r="S364" s="581"/>
      <c r="T364" s="581"/>
      <c r="U364" s="582"/>
      <c r="V364" s="614"/>
      <c r="W364" s="581"/>
      <c r="X364" s="615"/>
      <c r="Y364" s="604">
        <v>5.03</v>
      </c>
      <c r="Z364" s="580"/>
      <c r="AA364" s="634"/>
      <c r="AB364" s="577"/>
      <c r="AC364" s="673"/>
      <c r="AD364" s="634"/>
      <c r="AE364" s="587"/>
      <c r="AF364" s="587"/>
      <c r="AG364" s="582"/>
      <c r="AH364" s="582"/>
      <c r="AI364" s="582"/>
      <c r="AJ364" s="582"/>
      <c r="AK364" s="588"/>
      <c r="AL364" s="582"/>
      <c r="AM364" s="587"/>
      <c r="AN364" s="589"/>
      <c r="AO364" s="616"/>
      <c r="AP364" s="592"/>
      <c r="AQ364" s="358"/>
      <c r="AR364" s="592"/>
      <c r="AS364" s="592"/>
      <c r="AT364" s="592"/>
      <c r="AU364" s="592"/>
      <c r="AV364" s="592"/>
      <c r="AW364" s="592"/>
      <c r="AX364" s="592"/>
      <c r="AY364" s="592"/>
      <c r="AZ364" s="592"/>
      <c r="BA364" s="617"/>
      <c r="BB364" s="592"/>
      <c r="BC364" s="592"/>
      <c r="BD364" s="592"/>
      <c r="BE364" s="592"/>
      <c r="BF364" s="592"/>
      <c r="BG364" s="358"/>
      <c r="BH364" s="592"/>
      <c r="BI364" s="592"/>
      <c r="BJ364" s="592"/>
      <c r="BK364" s="592"/>
      <c r="BL364" s="592"/>
      <c r="BM364" s="592"/>
      <c r="BN364" s="592"/>
      <c r="BO364" s="592"/>
      <c r="BP364" s="592"/>
      <c r="BQ364" s="594"/>
      <c r="BR364" s="594"/>
      <c r="BS364" s="394"/>
      <c r="BT364" s="594"/>
      <c r="BU364" s="594"/>
      <c r="BV364" s="594"/>
      <c r="BW364" s="618"/>
      <c r="BX364" s="644"/>
      <c r="BY364" s="644"/>
      <c r="BZ364" s="609" t="s">
        <v>526</v>
      </c>
    </row>
    <row r="365" ht="25.5" customHeight="1">
      <c r="A365" s="635"/>
      <c r="B365" s="665">
        <v>45497.423310185186</v>
      </c>
      <c r="C365" s="642"/>
      <c r="D365" s="642"/>
      <c r="E365" s="574" t="s">
        <v>327</v>
      </c>
      <c r="F365" s="620"/>
      <c r="G365" s="600">
        <v>9.8944E-4</v>
      </c>
      <c r="H365" s="577"/>
      <c r="I365" s="577"/>
      <c r="J365" s="613"/>
      <c r="K365" s="581"/>
      <c r="L365" s="581"/>
      <c r="M365" s="613"/>
      <c r="N365" s="613"/>
      <c r="O365" s="613"/>
      <c r="P365" s="580"/>
      <c r="Q365" s="580"/>
      <c r="R365" s="581"/>
      <c r="S365" s="581"/>
      <c r="T365" s="581"/>
      <c r="U365" s="582"/>
      <c r="V365" s="614"/>
      <c r="W365" s="581"/>
      <c r="Y365" s="613"/>
      <c r="Z365" s="580"/>
      <c r="AA365" s="634"/>
      <c r="AB365" s="577"/>
      <c r="AC365" s="673"/>
      <c r="AD365" s="634"/>
      <c r="AE365" s="587"/>
      <c r="AF365" s="587"/>
      <c r="AG365" s="582"/>
      <c r="AH365" s="582"/>
      <c r="AI365" s="582"/>
      <c r="AJ365" s="582"/>
      <c r="AK365" s="588"/>
      <c r="AL365" s="582"/>
      <c r="AM365" s="587"/>
      <c r="AN365" s="589"/>
      <c r="AO365" s="616"/>
      <c r="AP365" s="592"/>
      <c r="AQ365" s="358"/>
      <c r="AR365" s="592"/>
      <c r="AS365" s="592"/>
      <c r="AT365" s="592"/>
      <c r="AU365" s="592"/>
      <c r="AV365" s="592"/>
      <c r="AW365" s="592"/>
      <c r="AX365" s="592"/>
      <c r="AY365" s="592"/>
      <c r="AZ365" s="592"/>
      <c r="BA365" s="617"/>
      <c r="BB365" s="592"/>
      <c r="BC365" s="592"/>
      <c r="BD365" s="592"/>
      <c r="BE365" s="592"/>
      <c r="BF365" s="592"/>
      <c r="BG365" s="358"/>
      <c r="BH365" s="592"/>
      <c r="BI365" s="592"/>
      <c r="BJ365" s="592"/>
      <c r="BK365" s="592"/>
      <c r="BL365" s="592"/>
      <c r="BM365" s="592"/>
      <c r="BN365" s="592"/>
      <c r="BO365" s="592"/>
      <c r="BP365" s="592"/>
      <c r="BQ365" s="594"/>
      <c r="BR365" s="594"/>
      <c r="BS365" s="394"/>
      <c r="BT365" s="594"/>
      <c r="BU365" s="594"/>
      <c r="BV365" s="594"/>
      <c r="BW365" s="618"/>
      <c r="BX365" s="644"/>
      <c r="BY365" s="608" t="s">
        <v>527</v>
      </c>
      <c r="BZ365" s="609" t="s">
        <v>528</v>
      </c>
      <c r="CA365" s="658" t="s">
        <v>529</v>
      </c>
    </row>
    <row r="366" ht="25.5" customHeight="1">
      <c r="A366" s="635"/>
      <c r="B366" s="695">
        <v>45500.43242793981</v>
      </c>
      <c r="C366" s="642"/>
      <c r="D366" s="642"/>
      <c r="E366" s="574" t="s">
        <v>218</v>
      </c>
      <c r="F366" s="620"/>
      <c r="G366" s="621"/>
      <c r="H366" s="577"/>
      <c r="I366" s="577"/>
      <c r="J366" s="613"/>
      <c r="K366" s="581"/>
      <c r="L366" s="581"/>
      <c r="M366" s="613"/>
      <c r="N366" s="613"/>
      <c r="O366" s="613"/>
      <c r="P366" s="580"/>
      <c r="Q366" s="580"/>
      <c r="R366" s="581"/>
      <c r="S366" s="581"/>
      <c r="T366" s="581"/>
      <c r="U366" s="623">
        <v>15771.66</v>
      </c>
      <c r="V366" s="614"/>
      <c r="W366" s="581"/>
      <c r="X366" s="631">
        <v>-15771.66</v>
      </c>
      <c r="Y366" s="613"/>
      <c r="Z366" s="580"/>
      <c r="AA366" s="634"/>
      <c r="AB366" s="577"/>
      <c r="AC366" s="673"/>
      <c r="AD366" s="634"/>
      <c r="AE366" s="587"/>
      <c r="AF366" s="587"/>
      <c r="AG366" s="582"/>
      <c r="AH366" s="582"/>
      <c r="AI366" s="582"/>
      <c r="AJ366" s="582"/>
      <c r="AK366" s="588"/>
      <c r="AL366" s="582"/>
      <c r="AM366" s="587"/>
      <c r="AN366" s="589"/>
      <c r="AO366" s="616"/>
      <c r="AP366" s="592"/>
      <c r="AQ366" s="358"/>
      <c r="AR366" s="592"/>
      <c r="AS366" s="592"/>
      <c r="AT366" s="592"/>
      <c r="AU366" s="592"/>
      <c r="AV366" s="592"/>
      <c r="AW366" s="592"/>
      <c r="AX366" s="592"/>
      <c r="AY366" s="592"/>
      <c r="AZ366" s="592"/>
      <c r="BA366" s="617"/>
      <c r="BB366" s="592"/>
      <c r="BC366" s="592"/>
      <c r="BD366" s="592"/>
      <c r="BE366" s="592"/>
      <c r="BF366" s="592"/>
      <c r="BG366" s="358"/>
      <c r="BH366" s="592"/>
      <c r="BI366" s="592"/>
      <c r="BJ366" s="592"/>
      <c r="BK366" s="592"/>
      <c r="BL366" s="592"/>
      <c r="BM366" s="592"/>
      <c r="BN366" s="592"/>
      <c r="BO366" s="592"/>
      <c r="BP366" s="592"/>
      <c r="BQ366" s="594"/>
      <c r="BR366" s="594"/>
      <c r="BS366" s="394"/>
      <c r="BT366" s="594"/>
      <c r="BU366" s="594"/>
      <c r="BV366" s="594"/>
      <c r="BW366" s="618"/>
      <c r="BX366" s="644"/>
      <c r="BY366" s="644"/>
      <c r="BZ366" s="609" t="s">
        <v>530</v>
      </c>
      <c r="CA366" s="658" t="s">
        <v>531</v>
      </c>
      <c r="CB366" s="609" t="s">
        <v>532</v>
      </c>
      <c r="CC366" s="658" t="s">
        <v>532</v>
      </c>
    </row>
    <row r="367" ht="25.5" customHeight="1">
      <c r="A367" s="635"/>
      <c r="B367" s="695">
        <v>45500.43340484954</v>
      </c>
      <c r="C367" s="642"/>
      <c r="D367" s="642"/>
      <c r="E367" s="574" t="s">
        <v>218</v>
      </c>
      <c r="F367" s="620"/>
      <c r="G367" s="621"/>
      <c r="H367" s="577"/>
      <c r="I367" s="577"/>
      <c r="J367" s="613"/>
      <c r="K367" s="581"/>
      <c r="L367" s="581"/>
      <c r="M367" s="613"/>
      <c r="N367" s="613"/>
      <c r="O367" s="613"/>
      <c r="P367" s="580"/>
      <c r="Q367" s="580"/>
      <c r="R367" s="581"/>
      <c r="S367" s="581"/>
      <c r="T367" s="581"/>
      <c r="U367" s="53">
        <v>-15771.66</v>
      </c>
      <c r="V367" s="614"/>
      <c r="W367" s="581"/>
      <c r="X367" s="615"/>
      <c r="Y367" s="613"/>
      <c r="Z367" s="580"/>
      <c r="AA367" s="634"/>
      <c r="AB367" s="577"/>
      <c r="AC367" s="673"/>
      <c r="AD367" s="634"/>
      <c r="AE367" s="587"/>
      <c r="AF367" s="587"/>
      <c r="AG367" s="582"/>
      <c r="AH367" s="582"/>
      <c r="AI367" s="582"/>
      <c r="AJ367" s="582"/>
      <c r="AK367" s="588"/>
      <c r="AL367" s="623">
        <v>15771.66</v>
      </c>
      <c r="AM367" s="587"/>
      <c r="AN367" s="589"/>
      <c r="AO367" s="616"/>
      <c r="AP367" s="592"/>
      <c r="AQ367" s="358"/>
      <c r="AR367" s="592"/>
      <c r="AS367" s="592"/>
      <c r="AT367" s="592"/>
      <c r="AU367" s="592"/>
      <c r="AV367" s="592"/>
      <c r="AW367" s="592"/>
      <c r="AX367" s="592"/>
      <c r="AY367" s="592"/>
      <c r="AZ367" s="592"/>
      <c r="BA367" s="617"/>
      <c r="BB367" s="592"/>
      <c r="BC367" s="592"/>
      <c r="BD367" s="592"/>
      <c r="BE367" s="592"/>
      <c r="BF367" s="592"/>
      <c r="BG367" s="358"/>
      <c r="BH367" s="592"/>
      <c r="BI367" s="592"/>
      <c r="BJ367" s="592"/>
      <c r="BK367" s="592"/>
      <c r="BL367" s="592"/>
      <c r="BM367" s="592"/>
      <c r="BN367" s="592"/>
      <c r="BO367" s="592"/>
      <c r="BP367" s="592"/>
      <c r="BQ367" s="594"/>
      <c r="BR367" s="594"/>
      <c r="BS367" s="394"/>
      <c r="BT367" s="594"/>
      <c r="BU367" s="594"/>
      <c r="BV367" s="594"/>
      <c r="BW367" s="618"/>
      <c r="BX367" s="644"/>
      <c r="BY367" s="644"/>
      <c r="BZ367" s="609" t="s">
        <v>533</v>
      </c>
    </row>
    <row r="368" ht="25.5" customHeight="1">
      <c r="A368" s="635"/>
      <c r="B368" s="695">
        <v>45500.43569871528</v>
      </c>
      <c r="C368" s="642">
        <f>AL368/-Q368</f>
        <v>3276.002742</v>
      </c>
      <c r="D368" s="642"/>
      <c r="E368" s="574" t="s">
        <v>231</v>
      </c>
      <c r="F368" s="620"/>
      <c r="G368" s="621"/>
      <c r="H368" s="577"/>
      <c r="I368" s="577"/>
      <c r="J368" s="613"/>
      <c r="K368" s="581"/>
      <c r="L368" s="581"/>
      <c r="M368" s="613"/>
      <c r="N368" s="613"/>
      <c r="O368" s="613"/>
      <c r="P368" s="580"/>
      <c r="Q368" s="686">
        <v>4.8143</v>
      </c>
      <c r="R368" s="581"/>
      <c r="S368" s="581"/>
      <c r="T368" s="581"/>
      <c r="U368" s="582"/>
      <c r="V368" s="614"/>
      <c r="W368" s="581"/>
      <c r="X368" s="615"/>
      <c r="Y368" s="613"/>
      <c r="Z368" s="580"/>
      <c r="AA368" s="634"/>
      <c r="AB368" s="577"/>
      <c r="AC368" s="673"/>
      <c r="AD368" s="634"/>
      <c r="AE368" s="587"/>
      <c r="AF368" s="587"/>
      <c r="AG368" s="582"/>
      <c r="AH368" s="582"/>
      <c r="AI368" s="582"/>
      <c r="AJ368" s="582"/>
      <c r="AK368" s="588"/>
      <c r="AL368" s="623">
        <v>-15771.66</v>
      </c>
      <c r="AM368" s="587"/>
      <c r="AN368" s="589"/>
      <c r="AO368" s="616"/>
      <c r="AP368" s="592"/>
      <c r="AQ368" s="358"/>
      <c r="AR368" s="592"/>
      <c r="AS368" s="592"/>
      <c r="AT368" s="592"/>
      <c r="AU368" s="592"/>
      <c r="AV368" s="592"/>
      <c r="AW368" s="592"/>
      <c r="AX368" s="592"/>
      <c r="AY368" s="592"/>
      <c r="AZ368" s="592"/>
      <c r="BA368" s="617"/>
      <c r="BB368" s="592"/>
      <c r="BC368" s="592"/>
      <c r="BD368" s="592"/>
      <c r="BE368" s="592"/>
      <c r="BF368" s="592"/>
      <c r="BG368" s="358"/>
      <c r="BH368" s="592"/>
      <c r="BI368" s="592"/>
      <c r="BJ368" s="592"/>
      <c r="BK368" s="592"/>
      <c r="BL368" s="592"/>
      <c r="BM368" s="592"/>
      <c r="BN368" s="592"/>
      <c r="BO368" s="592"/>
      <c r="BP368" s="592"/>
      <c r="BQ368" s="594"/>
      <c r="BR368" s="594"/>
      <c r="BS368" s="394"/>
      <c r="BT368" s="594"/>
      <c r="BU368" s="594"/>
      <c r="BV368" s="594"/>
      <c r="BW368" s="618"/>
      <c r="BX368" s="644"/>
      <c r="BY368" s="644"/>
    </row>
    <row r="369" ht="25.5" customHeight="1">
      <c r="A369" s="635"/>
      <c r="B369" s="695">
        <v>45500.452751006946</v>
      </c>
      <c r="C369" s="642"/>
      <c r="D369" s="642"/>
      <c r="E369" s="574" t="s">
        <v>218</v>
      </c>
      <c r="F369" s="620"/>
      <c r="G369" s="621"/>
      <c r="H369" s="577"/>
      <c r="I369" s="577"/>
      <c r="J369" s="604"/>
      <c r="K369" s="581"/>
      <c r="L369" s="581"/>
      <c r="M369" s="604">
        <v>4.813</v>
      </c>
      <c r="N369" s="613"/>
      <c r="O369" s="613"/>
      <c r="P369" s="580"/>
      <c r="Q369" s="686">
        <v>-4.8143</v>
      </c>
      <c r="R369" s="581"/>
      <c r="S369" s="581"/>
      <c r="T369" s="581"/>
      <c r="U369" s="582"/>
      <c r="V369" s="614"/>
      <c r="W369" s="581"/>
      <c r="X369" s="615"/>
      <c r="Y369" s="613"/>
      <c r="Z369" s="580"/>
      <c r="AA369" s="634"/>
      <c r="AB369" s="577"/>
      <c r="AC369" s="673"/>
      <c r="AD369" s="634"/>
      <c r="AE369" s="587"/>
      <c r="AF369" s="587"/>
      <c r="AG369" s="582"/>
      <c r="AH369" s="582"/>
      <c r="AI369" s="582"/>
      <c r="AJ369" s="582"/>
      <c r="AK369" s="588"/>
      <c r="AL369" s="582"/>
      <c r="AM369" s="587"/>
      <c r="AN369" s="589"/>
      <c r="AO369" s="616"/>
      <c r="AP369" s="592"/>
      <c r="AQ369" s="358"/>
      <c r="AR369" s="592"/>
      <c r="AS369" s="592"/>
      <c r="AT369" s="592"/>
      <c r="AU369" s="592"/>
      <c r="AV369" s="592"/>
      <c r="AW369" s="592"/>
      <c r="AX369" s="592"/>
      <c r="AY369" s="592"/>
      <c r="AZ369" s="592"/>
      <c r="BA369" s="617"/>
      <c r="BB369" s="592"/>
      <c r="BC369" s="592"/>
      <c r="BD369" s="592"/>
      <c r="BE369" s="592"/>
      <c r="BF369" s="592"/>
      <c r="BG369" s="358"/>
      <c r="BH369" s="592"/>
      <c r="BI369" s="592"/>
      <c r="BJ369" s="592"/>
      <c r="BK369" s="592"/>
      <c r="BL369" s="592"/>
      <c r="BM369" s="592"/>
      <c r="BN369" s="592"/>
      <c r="BO369" s="592"/>
      <c r="BP369" s="592"/>
      <c r="BQ369" s="594"/>
      <c r="BR369" s="594"/>
      <c r="BS369" s="394"/>
      <c r="BT369" s="594"/>
      <c r="BU369" s="594"/>
      <c r="BV369" s="594"/>
      <c r="BW369" s="618"/>
      <c r="BX369" s="644"/>
      <c r="BY369" s="644"/>
      <c r="BZ369" s="609" t="s">
        <v>534</v>
      </c>
    </row>
    <row r="370" ht="25.5" customHeight="1">
      <c r="A370" s="635"/>
      <c r="B370" s="695">
        <v>45500.45685538194</v>
      </c>
      <c r="C370" s="642"/>
      <c r="D370" s="642"/>
      <c r="E370" s="574" t="s">
        <v>218</v>
      </c>
      <c r="F370" s="620"/>
      <c r="G370" s="621"/>
      <c r="H370" s="577"/>
      <c r="I370" s="577"/>
      <c r="J370" s="613"/>
      <c r="K370" s="581"/>
      <c r="L370" s="581"/>
      <c r="M370" s="613">
        <f>0.0628-5.0636</f>
        <v>-5.0008</v>
      </c>
      <c r="N370" s="613"/>
      <c r="O370" s="613"/>
      <c r="P370" s="580"/>
      <c r="Q370" s="580"/>
      <c r="R370" s="581"/>
      <c r="S370" s="581"/>
      <c r="T370" s="581"/>
      <c r="U370" s="582"/>
      <c r="V370" s="614"/>
      <c r="W370" s="581"/>
      <c r="X370" s="615"/>
      <c r="Y370" s="613"/>
      <c r="Z370" s="686">
        <v>5.0</v>
      </c>
      <c r="AA370" s="634"/>
      <c r="AB370" s="577"/>
      <c r="AC370" s="673"/>
      <c r="AD370" s="634"/>
      <c r="AE370" s="587"/>
      <c r="AF370" s="587"/>
      <c r="AG370" s="582"/>
      <c r="AH370" s="582"/>
      <c r="AI370" s="582"/>
      <c r="AJ370" s="582"/>
      <c r="AK370" s="588"/>
      <c r="AL370" s="582"/>
      <c r="AM370" s="587"/>
      <c r="AN370" s="589"/>
      <c r="AO370" s="616"/>
      <c r="AP370" s="592"/>
      <c r="AQ370" s="358"/>
      <c r="AR370" s="592"/>
      <c r="AS370" s="592"/>
      <c r="AT370" s="592"/>
      <c r="AU370" s="592"/>
      <c r="AV370" s="592"/>
      <c r="AW370" s="592"/>
      <c r="AX370" s="592"/>
      <c r="AY370" s="592"/>
      <c r="AZ370" s="592"/>
      <c r="BA370" s="617"/>
      <c r="BB370" s="592"/>
      <c r="BC370" s="592"/>
      <c r="BD370" s="592"/>
      <c r="BE370" s="592"/>
      <c r="BF370" s="592"/>
      <c r="BG370" s="358"/>
      <c r="BH370" s="592"/>
      <c r="BI370" s="592"/>
      <c r="BJ370" s="592"/>
      <c r="BK370" s="592"/>
      <c r="BL370" s="592"/>
      <c r="BM370" s="592"/>
      <c r="BN370" s="592"/>
      <c r="BO370" s="592"/>
      <c r="BP370" s="592"/>
      <c r="BQ370" s="594"/>
      <c r="BR370" s="594"/>
      <c r="BS370" s="394"/>
      <c r="BT370" s="594"/>
      <c r="BU370" s="594"/>
      <c r="BV370" s="594"/>
      <c r="BW370" s="618"/>
      <c r="BX370" s="644"/>
      <c r="BY370" s="644"/>
      <c r="BZ370" s="609" t="s">
        <v>535</v>
      </c>
      <c r="CA370" s="609" t="s">
        <v>536</v>
      </c>
    </row>
    <row r="371" ht="25.5" customHeight="1">
      <c r="A371" s="635"/>
      <c r="B371" s="695">
        <v>45507.30208347223</v>
      </c>
      <c r="C371" s="642"/>
      <c r="D371" s="642"/>
      <c r="E371" s="574" t="s">
        <v>469</v>
      </c>
      <c r="F371" s="620"/>
      <c r="G371" s="621"/>
      <c r="H371" s="577"/>
      <c r="I371" s="577"/>
      <c r="J371" s="613"/>
      <c r="K371" s="581"/>
      <c r="L371" s="581"/>
      <c r="M371" s="613"/>
      <c r="N371" s="613"/>
      <c r="O371" s="613"/>
      <c r="P371" s="580"/>
      <c r="Q371" s="580"/>
      <c r="R371" s="581"/>
      <c r="S371" s="581"/>
      <c r="T371" s="581"/>
      <c r="U371" s="623">
        <v>669.0353</v>
      </c>
      <c r="V371" s="614"/>
      <c r="W371" s="581"/>
      <c r="X371" s="615"/>
      <c r="Y371" s="613"/>
      <c r="Z371" s="580"/>
      <c r="AA371" s="634"/>
      <c r="AB371" s="577"/>
      <c r="AC371" s="673"/>
      <c r="AD371" s="634"/>
      <c r="AE371" s="587"/>
      <c r="AF371" s="587"/>
      <c r="AG371" s="582"/>
      <c r="AH371" s="582"/>
      <c r="AI371" s="582"/>
      <c r="AJ371" s="582"/>
      <c r="AK371" s="588"/>
      <c r="AL371" s="582"/>
      <c r="AM371" s="587"/>
      <c r="AN371" s="589"/>
      <c r="AO371" s="616"/>
      <c r="AP371" s="592"/>
      <c r="AQ371" s="358"/>
      <c r="AR371" s="592"/>
      <c r="AS371" s="592"/>
      <c r="AT371" s="592"/>
      <c r="AU371" s="592"/>
      <c r="AV371" s="592"/>
      <c r="AW371" s="592"/>
      <c r="AX371" s="592"/>
      <c r="AY371" s="592"/>
      <c r="AZ371" s="592"/>
      <c r="BA371" s="617"/>
      <c r="BB371" s="592"/>
      <c r="BC371" s="592"/>
      <c r="BD371" s="592"/>
      <c r="BE371" s="592"/>
      <c r="BF371" s="592"/>
      <c r="BG371" s="358"/>
      <c r="BH371" s="592"/>
      <c r="BI371" s="592"/>
      <c r="BJ371" s="592"/>
      <c r="BK371" s="592"/>
      <c r="BL371" s="592"/>
      <c r="BM371" s="592"/>
      <c r="BN371" s="592"/>
      <c r="BO371" s="592"/>
      <c r="BP371" s="592"/>
      <c r="BQ371" s="594"/>
      <c r="BR371" s="594"/>
      <c r="BS371" s="394"/>
      <c r="BT371" s="594"/>
      <c r="BU371" s="594"/>
      <c r="BV371" s="594"/>
      <c r="BW371" s="618"/>
      <c r="BX371" s="644"/>
      <c r="BY371" s="644"/>
      <c r="BZ371" s="609" t="s">
        <v>537</v>
      </c>
      <c r="CA371" s="609" t="s">
        <v>538</v>
      </c>
      <c r="CB371" s="609" t="s">
        <v>539</v>
      </c>
    </row>
    <row r="372" ht="25.5" customHeight="1">
      <c r="A372" s="635"/>
      <c r="B372" s="695">
        <v>45507.306415949075</v>
      </c>
      <c r="C372" s="642"/>
      <c r="D372" s="642"/>
      <c r="E372" s="574" t="s">
        <v>218</v>
      </c>
      <c r="F372" s="620"/>
      <c r="G372" s="621"/>
      <c r="H372" s="577"/>
      <c r="I372" s="577"/>
      <c r="J372" s="613"/>
      <c r="K372" s="581"/>
      <c r="L372" s="581"/>
      <c r="M372" s="613"/>
      <c r="N372" s="613"/>
      <c r="O372" s="613"/>
      <c r="P372" s="580"/>
      <c r="Q372" s="580"/>
      <c r="R372" s="581"/>
      <c r="S372" s="581"/>
      <c r="T372" s="581"/>
      <c r="U372" s="582">
        <f>15024.85-669.04</f>
        <v>14355.81</v>
      </c>
      <c r="V372" s="614"/>
      <c r="W372" s="581"/>
      <c r="X372" s="631">
        <v>-14355.81</v>
      </c>
      <c r="Y372" s="613"/>
      <c r="Z372" s="580"/>
      <c r="AA372" s="634"/>
      <c r="AB372" s="577"/>
      <c r="AC372" s="673"/>
      <c r="AD372" s="634"/>
      <c r="AE372" s="587"/>
      <c r="AF372" s="587"/>
      <c r="AG372" s="582"/>
      <c r="AH372" s="582"/>
      <c r="AI372" s="582"/>
      <c r="AJ372" s="582"/>
      <c r="AK372" s="588"/>
      <c r="AL372" s="582"/>
      <c r="AM372" s="587"/>
      <c r="AN372" s="589"/>
      <c r="AO372" s="616"/>
      <c r="AP372" s="592"/>
      <c r="AQ372" s="358"/>
      <c r="AR372" s="592"/>
      <c r="AS372" s="592"/>
      <c r="AT372" s="592"/>
      <c r="AU372" s="592"/>
      <c r="AV372" s="592"/>
      <c r="AW372" s="592"/>
      <c r="AX372" s="592"/>
      <c r="AY372" s="592"/>
      <c r="AZ372" s="592"/>
      <c r="BA372" s="617"/>
      <c r="BB372" s="592"/>
      <c r="BC372" s="592"/>
      <c r="BD372" s="592"/>
      <c r="BE372" s="592"/>
      <c r="BF372" s="592"/>
      <c r="BG372" s="358"/>
      <c r="BH372" s="592"/>
      <c r="BI372" s="592"/>
      <c r="BJ372" s="592"/>
      <c r="BK372" s="592"/>
      <c r="BL372" s="592"/>
      <c r="BM372" s="592"/>
      <c r="BN372" s="592"/>
      <c r="BO372" s="592"/>
      <c r="BP372" s="592"/>
      <c r="BQ372" s="594"/>
      <c r="BR372" s="594"/>
      <c r="BS372" s="394"/>
      <c r="BT372" s="594"/>
      <c r="BU372" s="594"/>
      <c r="BV372" s="594"/>
      <c r="BW372" s="618"/>
      <c r="BX372" s="644"/>
      <c r="BY372" s="644"/>
      <c r="BZ372" s="609" t="s">
        <v>540</v>
      </c>
      <c r="CA372" s="609" t="s">
        <v>541</v>
      </c>
      <c r="CB372" s="609" t="s">
        <v>542</v>
      </c>
    </row>
    <row r="373" ht="25.5" customHeight="1">
      <c r="A373" s="635"/>
      <c r="B373" s="695">
        <v>45508.30975694444</v>
      </c>
      <c r="C373" s="642"/>
      <c r="D373" s="642"/>
      <c r="E373" s="574" t="s">
        <v>218</v>
      </c>
      <c r="F373" s="620"/>
      <c r="G373" s="621"/>
      <c r="H373" s="577"/>
      <c r="I373" s="577"/>
      <c r="J373" s="613"/>
      <c r="K373" s="581"/>
      <c r="L373" s="581"/>
      <c r="M373" s="613"/>
      <c r="N373" s="613"/>
      <c r="O373" s="613"/>
      <c r="P373" s="580"/>
      <c r="Q373" s="580"/>
      <c r="R373" s="581"/>
      <c r="S373" s="581"/>
      <c r="T373" s="581"/>
      <c r="U373" s="434">
        <v>-15024.8453</v>
      </c>
      <c r="V373" s="614"/>
      <c r="W373" s="581"/>
      <c r="X373" s="615"/>
      <c r="Y373" s="613"/>
      <c r="Z373" s="580"/>
      <c r="AA373" s="634"/>
      <c r="AB373" s="577"/>
      <c r="AC373" s="673"/>
      <c r="AD373" s="634"/>
      <c r="AE373" s="587"/>
      <c r="AF373" s="587"/>
      <c r="AG373" s="582"/>
      <c r="AH373" s="582"/>
      <c r="AI373" s="582"/>
      <c r="AJ373" s="582"/>
      <c r="AK373" s="588"/>
      <c r="AL373" s="582">
        <v>15024.8453</v>
      </c>
      <c r="AM373" s="587"/>
      <c r="AN373" s="589"/>
      <c r="AO373" s="616"/>
      <c r="AP373" s="592"/>
      <c r="AQ373" s="358"/>
      <c r="AR373" s="592"/>
      <c r="AS373" s="592"/>
      <c r="AT373" s="592"/>
      <c r="AU373" s="592"/>
      <c r="AV373" s="592"/>
      <c r="AW373" s="592"/>
      <c r="AX373" s="592"/>
      <c r="AY373" s="592"/>
      <c r="AZ373" s="592"/>
      <c r="BA373" s="617"/>
      <c r="BB373" s="592"/>
      <c r="BC373" s="592"/>
      <c r="BD373" s="592"/>
      <c r="BE373" s="592"/>
      <c r="BF373" s="592"/>
      <c r="BG373" s="358"/>
      <c r="BH373" s="592"/>
      <c r="BI373" s="592"/>
      <c r="BJ373" s="592"/>
      <c r="BK373" s="592"/>
      <c r="BL373" s="592"/>
      <c r="BM373" s="592"/>
      <c r="BN373" s="592"/>
      <c r="BO373" s="592"/>
      <c r="BP373" s="592"/>
      <c r="BQ373" s="594"/>
      <c r="BR373" s="594"/>
      <c r="BS373" s="394"/>
      <c r="BT373" s="594"/>
      <c r="BU373" s="594"/>
      <c r="BV373" s="594"/>
      <c r="BW373" s="618"/>
      <c r="BX373" s="644"/>
      <c r="BY373" s="644"/>
      <c r="BZ373" s="609" t="s">
        <v>543</v>
      </c>
    </row>
    <row r="374" ht="25.5" customHeight="1">
      <c r="A374" s="635"/>
      <c r="B374" s="665">
        <v>45507.31947916667</v>
      </c>
      <c r="C374" s="642">
        <f>AL374/-Q374</f>
        <v>2978.937475</v>
      </c>
      <c r="D374" s="642"/>
      <c r="E374" s="574" t="s">
        <v>231</v>
      </c>
      <c r="F374" s="620"/>
      <c r="G374" s="621"/>
      <c r="H374" s="577"/>
      <c r="I374" s="577"/>
      <c r="J374" s="613"/>
      <c r="K374" s="581"/>
      <c r="L374" s="581"/>
      <c r="M374" s="613"/>
      <c r="N374" s="613"/>
      <c r="O374" s="613"/>
      <c r="P374" s="580"/>
      <c r="Q374" s="686">
        <v>5.0428</v>
      </c>
      <c r="R374" s="581"/>
      <c r="S374" s="581"/>
      <c r="T374" s="581"/>
      <c r="U374" s="582"/>
      <c r="V374" s="614"/>
      <c r="W374" s="581"/>
      <c r="X374" s="615"/>
      <c r="Y374" s="613"/>
      <c r="Z374" s="580"/>
      <c r="AA374" s="634"/>
      <c r="AB374" s="577"/>
      <c r="AC374" s="673"/>
      <c r="AD374" s="634"/>
      <c r="AE374" s="587"/>
      <c r="AF374" s="587"/>
      <c r="AG374" s="582"/>
      <c r="AH374" s="582"/>
      <c r="AI374" s="582"/>
      <c r="AJ374" s="582"/>
      <c r="AK374" s="588"/>
      <c r="AL374" s="623">
        <f>-15024.85+2.6641</f>
        <v>-15022.1859</v>
      </c>
      <c r="AM374" s="587"/>
      <c r="AN374" s="589"/>
      <c r="AO374" s="616"/>
      <c r="AP374" s="592"/>
      <c r="AQ374" s="358"/>
      <c r="AR374" s="592"/>
      <c r="AS374" s="592"/>
      <c r="AT374" s="592"/>
      <c r="AU374" s="592"/>
      <c r="AV374" s="592"/>
      <c r="AW374" s="592"/>
      <c r="AX374" s="592"/>
      <c r="AY374" s="592"/>
      <c r="AZ374" s="592"/>
      <c r="BA374" s="617"/>
      <c r="BB374" s="592"/>
      <c r="BC374" s="592"/>
      <c r="BD374" s="592"/>
      <c r="BE374" s="592"/>
      <c r="BF374" s="592"/>
      <c r="BG374" s="358"/>
      <c r="BH374" s="592"/>
      <c r="BI374" s="592"/>
      <c r="BJ374" s="592"/>
      <c r="BK374" s="592"/>
      <c r="BL374" s="592"/>
      <c r="BM374" s="592"/>
      <c r="BN374" s="592"/>
      <c r="BO374" s="592"/>
      <c r="BP374" s="592"/>
      <c r="BQ374" s="594"/>
      <c r="BR374" s="594"/>
      <c r="BS374" s="394"/>
      <c r="BT374" s="594"/>
      <c r="BU374" s="594"/>
      <c r="BV374" s="594"/>
      <c r="BW374" s="618"/>
      <c r="BX374" s="644"/>
      <c r="BY374" s="644"/>
    </row>
    <row r="375" ht="25.5" customHeight="1">
      <c r="A375" s="635"/>
      <c r="B375" s="711">
        <v>45509.69894107639</v>
      </c>
      <c r="C375" s="642"/>
      <c r="D375" s="642"/>
      <c r="E375" s="574" t="s">
        <v>218</v>
      </c>
      <c r="F375" s="620"/>
      <c r="G375" s="621"/>
      <c r="H375" s="577"/>
      <c r="I375" s="577"/>
      <c r="J375" s="613"/>
      <c r="K375" s="581"/>
      <c r="L375" s="581"/>
      <c r="M375" s="613"/>
      <c r="N375" s="613"/>
      <c r="O375" s="613"/>
      <c r="P375" s="580"/>
      <c r="Q375" s="580"/>
      <c r="R375" s="581"/>
      <c r="S375" s="581"/>
      <c r="T375" s="581"/>
      <c r="U375" s="623">
        <v>18217.96</v>
      </c>
      <c r="V375" s="614"/>
      <c r="W375" s="581"/>
      <c r="X375" s="631">
        <v>-18217.96</v>
      </c>
      <c r="Y375" s="613"/>
      <c r="Z375" s="580"/>
      <c r="AA375" s="634"/>
      <c r="AB375" s="577"/>
      <c r="AC375" s="673"/>
      <c r="AD375" s="634"/>
      <c r="AE375" s="587"/>
      <c r="AF375" s="587"/>
      <c r="AG375" s="582"/>
      <c r="AH375" s="582"/>
      <c r="AI375" s="582"/>
      <c r="AJ375" s="582"/>
      <c r="AK375" s="588"/>
      <c r="AL375" s="582"/>
      <c r="AM375" s="587"/>
      <c r="AN375" s="589"/>
      <c r="AO375" s="616"/>
      <c r="AP375" s="592"/>
      <c r="AQ375" s="358"/>
      <c r="AR375" s="592"/>
      <c r="AS375" s="592"/>
      <c r="AT375" s="592"/>
      <c r="AU375" s="592"/>
      <c r="AV375" s="592"/>
      <c r="AW375" s="592"/>
      <c r="AX375" s="592"/>
      <c r="AY375" s="592"/>
      <c r="AZ375" s="592"/>
      <c r="BA375" s="617"/>
      <c r="BB375" s="592"/>
      <c r="BC375" s="592"/>
      <c r="BD375" s="592"/>
      <c r="BE375" s="592"/>
      <c r="BF375" s="592"/>
      <c r="BG375" s="358"/>
      <c r="BH375" s="592"/>
      <c r="BI375" s="592"/>
      <c r="BJ375" s="592"/>
      <c r="BK375" s="592"/>
      <c r="BL375" s="592"/>
      <c r="BM375" s="592"/>
      <c r="BN375" s="592"/>
      <c r="BO375" s="592"/>
      <c r="BP375" s="592"/>
      <c r="BQ375" s="594"/>
      <c r="BR375" s="594"/>
      <c r="BS375" s="394"/>
      <c r="BT375" s="594"/>
      <c r="BU375" s="594"/>
      <c r="BV375" s="594"/>
      <c r="BW375" s="618"/>
      <c r="BX375" s="644"/>
      <c r="BY375" s="644"/>
      <c r="BZ375" s="609" t="s">
        <v>544</v>
      </c>
      <c r="CA375" s="609" t="s">
        <v>545</v>
      </c>
      <c r="CB375" s="609" t="s">
        <v>546</v>
      </c>
    </row>
    <row r="376" ht="25.5" customHeight="1">
      <c r="A376" s="635"/>
      <c r="B376" s="695">
        <v>45509.70065442129</v>
      </c>
      <c r="C376" s="642"/>
      <c r="D376" s="642"/>
      <c r="E376" s="574" t="s">
        <v>218</v>
      </c>
      <c r="F376" s="620"/>
      <c r="G376" s="621"/>
      <c r="H376" s="577"/>
      <c r="I376" s="577"/>
      <c r="J376" s="613"/>
      <c r="K376" s="581"/>
      <c r="L376" s="581"/>
      <c r="M376" s="613"/>
      <c r="N376" s="613"/>
      <c r="O376" s="613"/>
      <c r="P376" s="580"/>
      <c r="Q376" s="580"/>
      <c r="R376" s="581"/>
      <c r="S376" s="581"/>
      <c r="T376" s="581"/>
      <c r="U376" s="623">
        <v>-18217.96</v>
      </c>
      <c r="V376" s="614"/>
      <c r="W376" s="581"/>
      <c r="X376" s="615"/>
      <c r="Y376" s="613"/>
      <c r="Z376" s="580"/>
      <c r="AA376" s="634"/>
      <c r="AB376" s="577"/>
      <c r="AC376" s="673"/>
      <c r="AD376" s="634"/>
      <c r="AE376" s="587"/>
      <c r="AF376" s="587"/>
      <c r="AG376" s="582"/>
      <c r="AH376" s="582"/>
      <c r="AI376" s="582"/>
      <c r="AJ376" s="582"/>
      <c r="AK376" s="588"/>
      <c r="AL376" s="623">
        <v>18217.96</v>
      </c>
      <c r="AM376" s="587"/>
      <c r="AN376" s="589"/>
      <c r="AO376" s="616"/>
      <c r="AP376" s="592"/>
      <c r="AQ376" s="358"/>
      <c r="AR376" s="592"/>
      <c r="AS376" s="592"/>
      <c r="AT376" s="592"/>
      <c r="AU376" s="592"/>
      <c r="AV376" s="592"/>
      <c r="AW376" s="592"/>
      <c r="AX376" s="592"/>
      <c r="AY376" s="592"/>
      <c r="AZ376" s="592"/>
      <c r="BA376" s="617"/>
      <c r="BB376" s="592"/>
      <c r="BC376" s="592"/>
      <c r="BD376" s="592"/>
      <c r="BE376" s="592"/>
      <c r="BF376" s="592"/>
      <c r="BG376" s="358"/>
      <c r="BH376" s="592"/>
      <c r="BI376" s="592"/>
      <c r="BJ376" s="592"/>
      <c r="BK376" s="592"/>
      <c r="BL376" s="592"/>
      <c r="BM376" s="592"/>
      <c r="BN376" s="592"/>
      <c r="BO376" s="592"/>
      <c r="BP376" s="592"/>
      <c r="BQ376" s="594"/>
      <c r="BR376" s="594"/>
      <c r="BS376" s="394"/>
      <c r="BT376" s="594"/>
      <c r="BU376" s="594"/>
      <c r="BV376" s="594"/>
      <c r="BW376" s="618"/>
      <c r="BX376" s="644"/>
      <c r="BY376" s="644"/>
      <c r="BZ376" s="609" t="s">
        <v>547</v>
      </c>
    </row>
    <row r="377" ht="25.5" customHeight="1">
      <c r="A377" s="635"/>
      <c r="B377" s="695">
        <v>45509.7029015625</v>
      </c>
      <c r="C377" s="642">
        <f>AL377/-Q377</f>
        <v>2406.728572</v>
      </c>
      <c r="D377" s="642"/>
      <c r="E377" s="574" t="s">
        <v>231</v>
      </c>
      <c r="F377" s="620"/>
      <c r="G377" s="621"/>
      <c r="H377" s="577"/>
      <c r="I377" s="577"/>
      <c r="J377" s="613"/>
      <c r="K377" s="581"/>
      <c r="L377" s="581"/>
      <c r="M377" s="613"/>
      <c r="N377" s="613"/>
      <c r="O377" s="613"/>
      <c r="P377" s="580"/>
      <c r="Q377" s="580">
        <f>12.6135-5.0428</f>
        <v>7.5707</v>
      </c>
      <c r="R377" s="581"/>
      <c r="S377" s="581"/>
      <c r="T377" s="581"/>
      <c r="U377" s="582"/>
      <c r="V377" s="614"/>
      <c r="W377" s="581"/>
      <c r="X377" s="631"/>
      <c r="Y377" s="613"/>
      <c r="Z377" s="580"/>
      <c r="AA377" s="634"/>
      <c r="AB377" s="577"/>
      <c r="AC377" s="673"/>
      <c r="AD377" s="634"/>
      <c r="AE377" s="587"/>
      <c r="AF377" s="587"/>
      <c r="AG377" s="582"/>
      <c r="AH377" s="582"/>
      <c r="AI377" s="582"/>
      <c r="AJ377" s="582"/>
      <c r="AK377" s="588"/>
      <c r="AL377" s="623">
        <v>-18220.62</v>
      </c>
      <c r="AM377" s="587"/>
      <c r="AN377" s="589"/>
      <c r="AO377" s="616"/>
      <c r="AP377" s="592"/>
      <c r="AQ377" s="358"/>
      <c r="AR377" s="592"/>
      <c r="AS377" s="592"/>
      <c r="AT377" s="592"/>
      <c r="AU377" s="592"/>
      <c r="AV377" s="592"/>
      <c r="AW377" s="592"/>
      <c r="AX377" s="592"/>
      <c r="AY377" s="592"/>
      <c r="AZ377" s="592"/>
      <c r="BA377" s="617"/>
      <c r="BB377" s="592"/>
      <c r="BC377" s="592"/>
      <c r="BD377" s="592"/>
      <c r="BE377" s="592"/>
      <c r="BF377" s="592"/>
      <c r="BG377" s="358"/>
      <c r="BH377" s="592"/>
      <c r="BI377" s="592"/>
      <c r="BJ377" s="592"/>
      <c r="BK377" s="592"/>
      <c r="BL377" s="592"/>
      <c r="BM377" s="592"/>
      <c r="BN377" s="592"/>
      <c r="BO377" s="592"/>
      <c r="BP377" s="592"/>
      <c r="BQ377" s="594"/>
      <c r="BR377" s="594"/>
      <c r="BS377" s="394"/>
      <c r="BT377" s="594"/>
      <c r="BU377" s="594"/>
      <c r="BV377" s="594"/>
      <c r="BW377" s="618"/>
      <c r="BX377" s="644"/>
      <c r="BY377" s="644"/>
    </row>
    <row r="378" ht="25.5" customHeight="1">
      <c r="A378" s="635"/>
      <c r="B378" s="695">
        <v>45522.428344687505</v>
      </c>
      <c r="C378" s="642"/>
      <c r="D378" s="642"/>
      <c r="E378" s="574" t="s">
        <v>469</v>
      </c>
      <c r="F378" s="620"/>
      <c r="G378" s="621"/>
      <c r="H378" s="577"/>
      <c r="I378" s="577"/>
      <c r="J378" s="613"/>
      <c r="K378" s="581"/>
      <c r="L378" s="581"/>
      <c r="M378" s="613"/>
      <c r="N378" s="613"/>
      <c r="O378" s="613"/>
      <c r="P378" s="580"/>
      <c r="Q378" s="580"/>
      <c r="R378" s="581"/>
      <c r="S378" s="581"/>
      <c r="T378" s="581"/>
      <c r="U378" s="582"/>
      <c r="V378" s="614"/>
      <c r="W378" s="581"/>
      <c r="X378" s="631">
        <v>197.98</v>
      </c>
      <c r="Y378" s="613"/>
      <c r="Z378" s="580"/>
      <c r="AA378" s="634"/>
      <c r="AB378" s="577"/>
      <c r="AC378" s="673"/>
      <c r="AD378" s="634"/>
      <c r="AE378" s="587"/>
      <c r="AF378" s="587"/>
      <c r="AG378" s="582"/>
      <c r="AH378" s="582"/>
      <c r="AI378" s="582"/>
      <c r="AJ378" s="582"/>
      <c r="AK378" s="588"/>
      <c r="AL378" s="582"/>
      <c r="AM378" s="587"/>
      <c r="AN378" s="589"/>
      <c r="AO378" s="616"/>
      <c r="AP378" s="592"/>
      <c r="AQ378" s="358"/>
      <c r="AR378" s="592"/>
      <c r="AS378" s="592"/>
      <c r="AT378" s="592"/>
      <c r="AU378" s="592"/>
      <c r="AV378" s="592"/>
      <c r="AW378" s="592"/>
      <c r="AX378" s="592"/>
      <c r="AY378" s="592"/>
      <c r="AZ378" s="592"/>
      <c r="BA378" s="617"/>
      <c r="BB378" s="592"/>
      <c r="BC378" s="592"/>
      <c r="BD378" s="592"/>
      <c r="BE378" s="592"/>
      <c r="BF378" s="592"/>
      <c r="BG378" s="358"/>
      <c r="BH378" s="592"/>
      <c r="BI378" s="592"/>
      <c r="BJ378" s="592"/>
      <c r="BK378" s="592"/>
      <c r="BL378" s="592"/>
      <c r="BM378" s="592"/>
      <c r="BN378" s="592"/>
      <c r="BO378" s="592"/>
      <c r="BP378" s="592"/>
      <c r="BQ378" s="594"/>
      <c r="BR378" s="594"/>
      <c r="BS378" s="394"/>
      <c r="BT378" s="594"/>
      <c r="BU378" s="594"/>
      <c r="BV378" s="594"/>
      <c r="BW378" s="618"/>
      <c r="BX378" s="644"/>
      <c r="BY378" s="644"/>
    </row>
    <row r="379" ht="25.5" customHeight="1">
      <c r="A379" s="635"/>
      <c r="B379" s="695">
        <v>45522.428344687505</v>
      </c>
      <c r="C379" s="642"/>
      <c r="D379" s="642"/>
      <c r="E379" s="574" t="s">
        <v>218</v>
      </c>
      <c r="F379" s="620"/>
      <c r="G379" s="621"/>
      <c r="H379" s="577"/>
      <c r="I379" s="577"/>
      <c r="J379" s="613"/>
      <c r="K379" s="581"/>
      <c r="L379" s="581"/>
      <c r="M379" s="613"/>
      <c r="N379" s="613"/>
      <c r="O379" s="613"/>
      <c r="P379" s="580"/>
      <c r="Q379" s="580"/>
      <c r="R379" s="581"/>
      <c r="S379" s="581"/>
      <c r="T379" s="581"/>
      <c r="U379" s="623">
        <v>18501.9</v>
      </c>
      <c r="V379" s="614"/>
      <c r="W379" s="581"/>
      <c r="X379" s="631">
        <v>-18501.9</v>
      </c>
      <c r="Y379" s="613"/>
      <c r="Z379" s="580"/>
      <c r="AA379" s="634"/>
      <c r="AB379" s="577"/>
      <c r="AC379" s="673"/>
      <c r="AD379" s="634"/>
      <c r="AE379" s="587"/>
      <c r="AF379" s="587"/>
      <c r="AG379" s="582"/>
      <c r="AH379" s="582"/>
      <c r="AI379" s="582"/>
      <c r="AJ379" s="582"/>
      <c r="AK379" s="588"/>
      <c r="AL379" s="582"/>
      <c r="AM379" s="587"/>
      <c r="AN379" s="589"/>
      <c r="AO379" s="616"/>
      <c r="AP379" s="592"/>
      <c r="AQ379" s="358"/>
      <c r="AR379" s="592"/>
      <c r="AS379" s="592"/>
      <c r="AT379" s="592"/>
      <c r="AU379" s="592"/>
      <c r="AV379" s="592"/>
      <c r="AW379" s="592"/>
      <c r="AX379" s="592"/>
      <c r="AY379" s="592"/>
      <c r="AZ379" s="592"/>
      <c r="BA379" s="617"/>
      <c r="BB379" s="592"/>
      <c r="BC379" s="592"/>
      <c r="BD379" s="592"/>
      <c r="BE379" s="592"/>
      <c r="BF379" s="592"/>
      <c r="BG379" s="358"/>
      <c r="BH379" s="592"/>
      <c r="BI379" s="592"/>
      <c r="BJ379" s="592"/>
      <c r="BK379" s="592"/>
      <c r="BL379" s="592"/>
      <c r="BM379" s="592"/>
      <c r="BN379" s="592"/>
      <c r="BO379" s="592"/>
      <c r="BP379" s="592"/>
      <c r="BQ379" s="594"/>
      <c r="BR379" s="594"/>
      <c r="BS379" s="394"/>
      <c r="BT379" s="594"/>
      <c r="BU379" s="594"/>
      <c r="BV379" s="594"/>
      <c r="BW379" s="618"/>
      <c r="BX379" s="644"/>
      <c r="BY379" s="644"/>
      <c r="BZ379" s="609" t="s">
        <v>548</v>
      </c>
    </row>
    <row r="380" ht="25.5" customHeight="1">
      <c r="A380" s="635"/>
      <c r="B380" s="695">
        <v>45522.447980509256</v>
      </c>
      <c r="C380" s="642"/>
      <c r="D380" s="642"/>
      <c r="E380" s="574" t="s">
        <v>218</v>
      </c>
      <c r="F380" s="620"/>
      <c r="G380" s="621"/>
      <c r="H380" s="577"/>
      <c r="I380" s="577"/>
      <c r="J380" s="613"/>
      <c r="K380" s="581"/>
      <c r="L380" s="581"/>
      <c r="M380" s="613"/>
      <c r="N380" s="613"/>
      <c r="O380" s="613"/>
      <c r="P380" s="580"/>
      <c r="Q380" s="580"/>
      <c r="R380" s="581"/>
      <c r="S380" s="581"/>
      <c r="T380" s="581"/>
      <c r="U380" s="623">
        <v>-18501.9</v>
      </c>
      <c r="V380" s="614"/>
      <c r="W380" s="581"/>
      <c r="X380" s="615"/>
      <c r="Y380" s="613"/>
      <c r="Z380" s="580"/>
      <c r="AA380" s="634"/>
      <c r="AB380" s="577"/>
      <c r="AC380" s="673"/>
      <c r="AD380" s="634"/>
      <c r="AE380" s="587"/>
      <c r="AF380" s="587"/>
      <c r="AG380" s="582"/>
      <c r="AH380" s="582"/>
      <c r="AI380" s="582"/>
      <c r="AJ380" s="582"/>
      <c r="AK380" s="588"/>
      <c r="AL380" s="623">
        <v>18501.9</v>
      </c>
      <c r="AM380" s="587"/>
      <c r="AN380" s="589"/>
      <c r="AO380" s="616"/>
      <c r="AP380" s="592"/>
      <c r="AQ380" s="358"/>
      <c r="AR380" s="592"/>
      <c r="AS380" s="592"/>
      <c r="AT380" s="592"/>
      <c r="AU380" s="592"/>
      <c r="AV380" s="592"/>
      <c r="AW380" s="592"/>
      <c r="AX380" s="592"/>
      <c r="AY380" s="592"/>
      <c r="AZ380" s="592"/>
      <c r="BA380" s="617"/>
      <c r="BB380" s="592"/>
      <c r="BC380" s="592"/>
      <c r="BD380" s="592"/>
      <c r="BE380" s="592"/>
      <c r="BF380" s="592"/>
      <c r="BG380" s="358"/>
      <c r="BH380" s="592"/>
      <c r="BI380" s="592"/>
      <c r="BJ380" s="592"/>
      <c r="BK380" s="592"/>
      <c r="BL380" s="592"/>
      <c r="BM380" s="592"/>
      <c r="BN380" s="592"/>
      <c r="BO380" s="592"/>
      <c r="BP380" s="592"/>
      <c r="BQ380" s="594"/>
      <c r="BR380" s="594"/>
      <c r="BS380" s="394"/>
      <c r="BT380" s="594"/>
      <c r="BU380" s="594"/>
      <c r="BV380" s="594"/>
      <c r="BW380" s="618"/>
      <c r="BX380" s="644"/>
      <c r="BY380" s="644"/>
      <c r="BZ380" s="609" t="s">
        <v>549</v>
      </c>
    </row>
    <row r="381" ht="25.5" customHeight="1">
      <c r="A381" s="635"/>
      <c r="B381" s="695">
        <v>45522.526711493054</v>
      </c>
      <c r="C381" s="642">
        <f>AL381/-Q381</f>
        <v>2640.784573</v>
      </c>
      <c r="D381" s="642"/>
      <c r="E381" s="574" t="s">
        <v>231</v>
      </c>
      <c r="F381" s="620"/>
      <c r="G381" s="621"/>
      <c r="H381" s="577"/>
      <c r="I381" s="577"/>
      <c r="J381" s="613"/>
      <c r="K381" s="581"/>
      <c r="L381" s="581"/>
      <c r="M381" s="613"/>
      <c r="N381" s="613"/>
      <c r="O381" s="613"/>
      <c r="P381" s="580"/>
      <c r="Q381" s="580">
        <f>19.6197133-12.6135</f>
        <v>7.0062133</v>
      </c>
      <c r="R381" s="581"/>
      <c r="S381" s="581"/>
      <c r="T381" s="581"/>
      <c r="U381" s="582"/>
      <c r="V381" s="614"/>
      <c r="W381" s="581"/>
      <c r="X381" s="615"/>
      <c r="Y381" s="613"/>
      <c r="Z381" s="580"/>
      <c r="AA381" s="634"/>
      <c r="AB381" s="577"/>
      <c r="AC381" s="673"/>
      <c r="AD381" s="634"/>
      <c r="AE381" s="587"/>
      <c r="AF381" s="587"/>
      <c r="AG381" s="582"/>
      <c r="AH381" s="582"/>
      <c r="AI381" s="582"/>
      <c r="AJ381" s="582"/>
      <c r="AK381" s="588"/>
      <c r="AL381" s="623">
        <v>-18501.9</v>
      </c>
      <c r="AM381" s="587"/>
      <c r="AN381" s="589"/>
      <c r="AO381" s="616"/>
      <c r="AP381" s="592"/>
      <c r="AQ381" s="358"/>
      <c r="AR381" s="592"/>
      <c r="AS381" s="592"/>
      <c r="AT381" s="592"/>
      <c r="AU381" s="592"/>
      <c r="AV381" s="592"/>
      <c r="AW381" s="592"/>
      <c r="AX381" s="592"/>
      <c r="AY381" s="592"/>
      <c r="AZ381" s="592"/>
      <c r="BA381" s="617"/>
      <c r="BB381" s="592"/>
      <c r="BC381" s="592"/>
      <c r="BD381" s="592"/>
      <c r="BE381" s="592"/>
      <c r="BF381" s="592"/>
      <c r="BG381" s="358"/>
      <c r="BH381" s="592"/>
      <c r="BI381" s="592"/>
      <c r="BJ381" s="592"/>
      <c r="BK381" s="592"/>
      <c r="BL381" s="592"/>
      <c r="BM381" s="592"/>
      <c r="BN381" s="592"/>
      <c r="BO381" s="592"/>
      <c r="BP381" s="592"/>
      <c r="BQ381" s="594"/>
      <c r="BR381" s="594"/>
      <c r="BS381" s="394"/>
      <c r="BT381" s="594"/>
      <c r="BU381" s="594"/>
      <c r="BV381" s="594"/>
      <c r="BW381" s="618"/>
      <c r="BX381" s="644"/>
      <c r="BY381" s="644"/>
    </row>
    <row r="382" ht="25.5" customHeight="1">
      <c r="A382" s="635"/>
      <c r="B382" s="665">
        <v>45522.60836805555</v>
      </c>
      <c r="C382" s="642"/>
      <c r="D382" s="642"/>
      <c r="E382" s="574" t="s">
        <v>218</v>
      </c>
      <c r="F382" s="620"/>
      <c r="G382" s="621"/>
      <c r="H382" s="577"/>
      <c r="I382" s="577"/>
      <c r="J382" s="604"/>
      <c r="K382" s="581"/>
      <c r="L382" s="581"/>
      <c r="M382" s="604">
        <v>19.6184133</v>
      </c>
      <c r="N382" s="613"/>
      <c r="O382" s="613"/>
      <c r="P382" s="580"/>
      <c r="Q382" s="686">
        <v>-19.6198</v>
      </c>
      <c r="R382" s="581"/>
      <c r="S382" s="581"/>
      <c r="T382" s="581"/>
      <c r="U382" s="582"/>
      <c r="V382" s="614"/>
      <c r="W382" s="581"/>
      <c r="X382" s="615"/>
      <c r="Y382" s="613"/>
      <c r="Z382" s="580"/>
      <c r="AA382" s="634"/>
      <c r="AB382" s="577"/>
      <c r="AC382" s="673"/>
      <c r="AD382" s="634"/>
      <c r="AE382" s="587"/>
      <c r="AF382" s="587"/>
      <c r="AG382" s="582"/>
      <c r="AH382" s="582"/>
      <c r="AI382" s="582"/>
      <c r="AJ382" s="582"/>
      <c r="AK382" s="588"/>
      <c r="AL382" s="582"/>
      <c r="AM382" s="587"/>
      <c r="AN382" s="589"/>
      <c r="AO382" s="616"/>
      <c r="AP382" s="592"/>
      <c r="AQ382" s="358"/>
      <c r="AR382" s="592"/>
      <c r="AS382" s="592"/>
      <c r="AT382" s="592"/>
      <c r="AU382" s="592"/>
      <c r="AV382" s="592"/>
      <c r="AW382" s="592"/>
      <c r="AX382" s="592"/>
      <c r="AY382" s="592"/>
      <c r="AZ382" s="592"/>
      <c r="BA382" s="617"/>
      <c r="BB382" s="592"/>
      <c r="BC382" s="592"/>
      <c r="BD382" s="592"/>
      <c r="BE382" s="592"/>
      <c r="BF382" s="592"/>
      <c r="BG382" s="358"/>
      <c r="BH382" s="592"/>
      <c r="BI382" s="592"/>
      <c r="BJ382" s="592"/>
      <c r="BK382" s="592"/>
      <c r="BL382" s="592"/>
      <c r="BM382" s="592"/>
      <c r="BN382" s="592"/>
      <c r="BO382" s="592"/>
      <c r="BP382" s="592"/>
      <c r="BQ382" s="594"/>
      <c r="BR382" s="594"/>
      <c r="BS382" s="394"/>
      <c r="BT382" s="594"/>
      <c r="BU382" s="594"/>
      <c r="BV382" s="594"/>
      <c r="BW382" s="618"/>
      <c r="BX382" s="644"/>
      <c r="BY382" s="644"/>
    </row>
    <row r="383" ht="25.5" customHeight="1">
      <c r="A383" s="635"/>
      <c r="B383" s="695">
        <v>45526.40962020833</v>
      </c>
      <c r="C383" s="642"/>
      <c r="D383" s="642"/>
      <c r="E383" s="574" t="s">
        <v>218</v>
      </c>
      <c r="F383" s="620"/>
      <c r="G383" s="621"/>
      <c r="H383" s="577"/>
      <c r="I383" s="577"/>
      <c r="J383" s="613"/>
      <c r="K383" s="581"/>
      <c r="L383" s="581"/>
      <c r="M383" s="613"/>
      <c r="N383" s="613">
        <f>15.2783-0.0438</f>
        <v>15.2345</v>
      </c>
      <c r="O383" s="613"/>
      <c r="P383" s="580"/>
      <c r="Q383" s="580"/>
      <c r="R383" s="581"/>
      <c r="S383" s="581"/>
      <c r="T383" s="581"/>
      <c r="U383" s="582"/>
      <c r="V383" s="614"/>
      <c r="W383" s="581"/>
      <c r="X383" s="615"/>
      <c r="Y383" s="613">
        <f>-15.2783+0.0438</f>
        <v>-15.2345</v>
      </c>
      <c r="Z383" s="580"/>
      <c r="AA383" s="634"/>
      <c r="AB383" s="577"/>
      <c r="AC383" s="673"/>
      <c r="AD383" s="634"/>
      <c r="AE383" s="587"/>
      <c r="AF383" s="587"/>
      <c r="AG383" s="582"/>
      <c r="AH383" s="582"/>
      <c r="AI383" s="582"/>
      <c r="AJ383" s="582"/>
      <c r="AK383" s="588"/>
      <c r="AL383" s="582"/>
      <c r="AM383" s="587"/>
      <c r="AN383" s="589"/>
      <c r="AO383" s="616"/>
      <c r="AP383" s="592"/>
      <c r="AQ383" s="358"/>
      <c r="AR383" s="592"/>
      <c r="AS383" s="592"/>
      <c r="AT383" s="592"/>
      <c r="AU383" s="592"/>
      <c r="AV383" s="592"/>
      <c r="AW383" s="592"/>
      <c r="AX383" s="592"/>
      <c r="AY383" s="592"/>
      <c r="AZ383" s="592"/>
      <c r="BA383" s="617"/>
      <c r="BB383" s="592"/>
      <c r="BC383" s="592"/>
      <c r="BD383" s="592"/>
      <c r="BE383" s="592"/>
      <c r="BF383" s="592"/>
      <c r="BG383" s="358"/>
      <c r="BH383" s="592"/>
      <c r="BI383" s="592"/>
      <c r="BJ383" s="592"/>
      <c r="BK383" s="592"/>
      <c r="BL383" s="592"/>
      <c r="BM383" s="592"/>
      <c r="BN383" s="592"/>
      <c r="BO383" s="592"/>
      <c r="BP383" s="592"/>
      <c r="BQ383" s="594"/>
      <c r="BR383" s="594"/>
      <c r="BS383" s="394"/>
      <c r="BT383" s="594"/>
      <c r="BU383" s="594"/>
      <c r="BV383" s="594"/>
      <c r="BW383" s="618"/>
      <c r="BX383" s="644"/>
      <c r="BY383" s="644"/>
      <c r="BZ383" s="609" t="s">
        <v>550</v>
      </c>
    </row>
    <row r="384" ht="25.5" customHeight="1">
      <c r="A384" s="635"/>
      <c r="B384" s="695">
        <v>45526.41492775463</v>
      </c>
      <c r="C384" s="642"/>
      <c r="D384" s="642"/>
      <c r="E384" s="574" t="s">
        <v>218</v>
      </c>
      <c r="F384" s="620"/>
      <c r="G384" s="621"/>
      <c r="H384" s="577"/>
      <c r="I384" s="577"/>
      <c r="J384" s="613"/>
      <c r="K384" s="581"/>
      <c r="L384" s="581"/>
      <c r="M384" s="613"/>
      <c r="N384" s="613">
        <f>25.4231-15.2783</f>
        <v>10.1448</v>
      </c>
      <c r="O384" s="613"/>
      <c r="P384" s="580"/>
      <c r="Q384" s="580"/>
      <c r="R384" s="581"/>
      <c r="S384" s="581"/>
      <c r="T384" s="581"/>
      <c r="U384" s="582"/>
      <c r="V384" s="614"/>
      <c r="W384" s="581"/>
      <c r="X384" s="615"/>
      <c r="Y384" s="604">
        <v>-10.1448</v>
      </c>
      <c r="Z384" s="580"/>
      <c r="AA384" s="634"/>
      <c r="AB384" s="577"/>
      <c r="AC384" s="673"/>
      <c r="AD384" s="634"/>
      <c r="AE384" s="587"/>
      <c r="AF384" s="587"/>
      <c r="AG384" s="582"/>
      <c r="AH384" s="582"/>
      <c r="AI384" s="582"/>
      <c r="AJ384" s="582"/>
      <c r="AK384" s="588"/>
      <c r="AL384" s="582"/>
      <c r="AM384" s="587"/>
      <c r="AN384" s="589"/>
      <c r="AO384" s="616"/>
      <c r="AP384" s="592"/>
      <c r="AQ384" s="358"/>
      <c r="AR384" s="592"/>
      <c r="AS384" s="592"/>
      <c r="AT384" s="592"/>
      <c r="AU384" s="592"/>
      <c r="AV384" s="592"/>
      <c r="AW384" s="592"/>
      <c r="AX384" s="592"/>
      <c r="AY384" s="592"/>
      <c r="AZ384" s="592"/>
      <c r="BA384" s="617"/>
      <c r="BB384" s="592"/>
      <c r="BC384" s="592"/>
      <c r="BD384" s="592"/>
      <c r="BE384" s="592"/>
      <c r="BF384" s="592"/>
      <c r="BG384" s="358"/>
      <c r="BH384" s="592"/>
      <c r="BI384" s="592"/>
      <c r="BJ384" s="592"/>
      <c r="BK384" s="592"/>
      <c r="BL384" s="592"/>
      <c r="BM384" s="592"/>
      <c r="BN384" s="592"/>
      <c r="BO384" s="592"/>
      <c r="BP384" s="592"/>
      <c r="BQ384" s="594"/>
      <c r="BR384" s="594"/>
      <c r="BS384" s="394"/>
      <c r="BT384" s="594"/>
      <c r="BU384" s="594"/>
      <c r="BV384" s="594"/>
      <c r="BW384" s="618"/>
      <c r="BX384" s="644"/>
      <c r="BY384" s="644"/>
      <c r="BZ384" s="609" t="s">
        <v>551</v>
      </c>
    </row>
    <row r="385" ht="25.5" customHeight="1">
      <c r="A385" s="635"/>
      <c r="B385" s="695">
        <v>45530.37826170139</v>
      </c>
      <c r="C385" s="642"/>
      <c r="D385" s="642"/>
      <c r="E385" s="574" t="s">
        <v>218</v>
      </c>
      <c r="F385" s="620"/>
      <c r="G385" s="621"/>
      <c r="H385" s="577"/>
      <c r="I385" s="577"/>
      <c r="J385" s="613"/>
      <c r="K385" s="581"/>
      <c r="L385" s="581"/>
      <c r="M385" s="613"/>
      <c r="N385" s="604">
        <v>-25.4</v>
      </c>
      <c r="O385" s="613"/>
      <c r="P385" s="580"/>
      <c r="Q385" s="580"/>
      <c r="R385" s="581"/>
      <c r="S385" s="581"/>
      <c r="T385" s="581"/>
      <c r="U385" s="582"/>
      <c r="V385" s="614"/>
      <c r="W385" s="581"/>
      <c r="X385" s="615"/>
      <c r="Y385" s="613">
        <f>25.4</f>
        <v>25.4</v>
      </c>
      <c r="Z385" s="580"/>
      <c r="AA385" s="634"/>
      <c r="AB385" s="577"/>
      <c r="AC385" s="673"/>
      <c r="AD385" s="634"/>
      <c r="AE385" s="587"/>
      <c r="AF385" s="587"/>
      <c r="AG385" s="582"/>
      <c r="AH385" s="582"/>
      <c r="AI385" s="582"/>
      <c r="AJ385" s="582"/>
      <c r="AK385" s="588"/>
      <c r="AL385" s="582"/>
      <c r="AM385" s="587"/>
      <c r="AN385" s="589"/>
      <c r="AO385" s="616"/>
      <c r="AP385" s="592"/>
      <c r="AQ385" s="358"/>
      <c r="AR385" s="592"/>
      <c r="AS385" s="592"/>
      <c r="AT385" s="592"/>
      <c r="AU385" s="592"/>
      <c r="AV385" s="592"/>
      <c r="AW385" s="592"/>
      <c r="AX385" s="592"/>
      <c r="AY385" s="592"/>
      <c r="AZ385" s="592"/>
      <c r="BA385" s="617"/>
      <c r="BB385" s="592"/>
      <c r="BC385" s="592"/>
      <c r="BD385" s="592"/>
      <c r="BE385" s="592"/>
      <c r="BF385" s="592"/>
      <c r="BG385" s="358"/>
      <c r="BH385" s="592"/>
      <c r="BI385" s="592"/>
      <c r="BJ385" s="592"/>
      <c r="BK385" s="592"/>
      <c r="BL385" s="592"/>
      <c r="BM385" s="592"/>
      <c r="BN385" s="592"/>
      <c r="BO385" s="592"/>
      <c r="BP385" s="592"/>
      <c r="BQ385" s="594"/>
      <c r="BR385" s="594"/>
      <c r="BS385" s="394"/>
      <c r="BT385" s="594"/>
      <c r="BU385" s="594"/>
      <c r="BV385" s="594"/>
      <c r="BW385" s="618"/>
      <c r="BX385" s="644"/>
      <c r="BY385" s="644"/>
      <c r="BZ385" s="609" t="s">
        <v>552</v>
      </c>
    </row>
    <row r="386" ht="25.5" customHeight="1">
      <c r="A386" s="635"/>
      <c r="B386" s="695">
        <v>45536.65960994213</v>
      </c>
      <c r="C386" s="642"/>
      <c r="D386" s="642"/>
      <c r="E386" s="574" t="s">
        <v>218</v>
      </c>
      <c r="F386" s="574"/>
      <c r="G386" s="621"/>
      <c r="H386" s="577"/>
      <c r="I386" s="577"/>
      <c r="J386" s="604"/>
      <c r="K386" s="581"/>
      <c r="L386" s="581"/>
      <c r="M386" s="604">
        <v>-19.66</v>
      </c>
      <c r="N386" s="613">
        <f>19.66</f>
        <v>19.66</v>
      </c>
      <c r="O386" s="613"/>
      <c r="P386" s="580"/>
      <c r="Q386" s="580"/>
      <c r="R386" s="581"/>
      <c r="S386" s="581"/>
      <c r="T386" s="581"/>
      <c r="U386" s="582"/>
      <c r="V386" s="614"/>
      <c r="W386" s="581"/>
      <c r="X386" s="615"/>
      <c r="Y386" s="613"/>
      <c r="Z386" s="580"/>
      <c r="AA386" s="634"/>
      <c r="AB386" s="577"/>
      <c r="AC386" s="673"/>
      <c r="AD386" s="634"/>
      <c r="AE386" s="587"/>
      <c r="AF386" s="587"/>
      <c r="AG386" s="582"/>
      <c r="AH386" s="582"/>
      <c r="AI386" s="582"/>
      <c r="AJ386" s="582"/>
      <c r="AK386" s="588"/>
      <c r="AL386" s="582"/>
      <c r="AM386" s="587"/>
      <c r="AN386" s="589"/>
      <c r="AO386" s="616"/>
      <c r="AP386" s="592"/>
      <c r="AQ386" s="358"/>
      <c r="AR386" s="592"/>
      <c r="AS386" s="592"/>
      <c r="AT386" s="592"/>
      <c r="AU386" s="592"/>
      <c r="AV386" s="592"/>
      <c r="AW386" s="592"/>
      <c r="AX386" s="592"/>
      <c r="AY386" s="592"/>
      <c r="AZ386" s="592"/>
      <c r="BA386" s="617"/>
      <c r="BB386" s="592"/>
      <c r="BC386" s="592"/>
      <c r="BD386" s="592"/>
      <c r="BE386" s="592"/>
      <c r="BF386" s="592"/>
      <c r="BG386" s="358"/>
      <c r="BH386" s="592"/>
      <c r="BI386" s="592"/>
      <c r="BJ386" s="592"/>
      <c r="BK386" s="592"/>
      <c r="BL386" s="592"/>
      <c r="BM386" s="592"/>
      <c r="BN386" s="592"/>
      <c r="BO386" s="592"/>
      <c r="BP386" s="592"/>
      <c r="BQ386" s="594"/>
      <c r="BR386" s="594"/>
      <c r="BS386" s="394"/>
      <c r="BT386" s="594"/>
      <c r="BU386" s="594"/>
      <c r="BV386" s="594"/>
      <c r="BW386" s="618"/>
      <c r="BX386" s="644"/>
      <c r="BY386" s="644"/>
      <c r="BZ386" s="609" t="s">
        <v>553</v>
      </c>
    </row>
    <row r="387" ht="25.5" customHeight="1">
      <c r="A387" s="635"/>
      <c r="B387" s="695">
        <v>45536.667164502316</v>
      </c>
      <c r="C387" s="642"/>
      <c r="D387" s="642"/>
      <c r="E387" s="574" t="s">
        <v>218</v>
      </c>
      <c r="F387" s="620"/>
      <c r="G387" s="621"/>
      <c r="H387" s="577"/>
      <c r="I387" s="577"/>
      <c r="J387" s="613"/>
      <c r="K387" s="581"/>
      <c r="L387" s="581"/>
      <c r="M387" s="613"/>
      <c r="N387" s="604">
        <v>-19.67</v>
      </c>
      <c r="O387" s="613"/>
      <c r="P387" s="580"/>
      <c r="Q387" s="580"/>
      <c r="R387" s="581"/>
      <c r="S387" s="581"/>
      <c r="T387" s="581"/>
      <c r="U387" s="582"/>
      <c r="V387" s="614"/>
      <c r="W387" s="581"/>
      <c r="X387" s="615"/>
      <c r="Y387" s="604">
        <v>19.67</v>
      </c>
      <c r="Z387" s="580"/>
      <c r="AA387" s="634"/>
      <c r="AB387" s="577"/>
      <c r="AC387" s="673"/>
      <c r="AD387" s="634"/>
      <c r="AE387" s="587"/>
      <c r="AF387" s="587"/>
      <c r="AG387" s="582"/>
      <c r="AH387" s="582"/>
      <c r="AI387" s="582"/>
      <c r="AJ387" s="582"/>
      <c r="AK387" s="588"/>
      <c r="AL387" s="582"/>
      <c r="AM387" s="587"/>
      <c r="AN387" s="589"/>
      <c r="AO387" s="616"/>
      <c r="AP387" s="592"/>
      <c r="AQ387" s="358"/>
      <c r="AR387" s="592"/>
      <c r="AS387" s="592"/>
      <c r="AT387" s="592"/>
      <c r="AU387" s="592"/>
      <c r="AV387" s="592"/>
      <c r="AW387" s="592"/>
      <c r="AX387" s="592"/>
      <c r="AY387" s="592"/>
      <c r="AZ387" s="592"/>
      <c r="BA387" s="617"/>
      <c r="BB387" s="592"/>
      <c r="BC387" s="592"/>
      <c r="BD387" s="592"/>
      <c r="BE387" s="592"/>
      <c r="BF387" s="592"/>
      <c r="BG387" s="358"/>
      <c r="BH387" s="592"/>
      <c r="BI387" s="592"/>
      <c r="BJ387" s="592"/>
      <c r="BK387" s="592"/>
      <c r="BL387" s="592"/>
      <c r="BM387" s="592"/>
      <c r="BN387" s="592"/>
      <c r="BO387" s="592"/>
      <c r="BP387" s="592"/>
      <c r="BQ387" s="594"/>
      <c r="BR387" s="594"/>
      <c r="BS387" s="394"/>
      <c r="BT387" s="594"/>
      <c r="BU387" s="594"/>
      <c r="BV387" s="594"/>
      <c r="BW387" s="618"/>
      <c r="BX387" s="644"/>
      <c r="BY387" s="644"/>
      <c r="BZ387" s="609" t="s">
        <v>554</v>
      </c>
    </row>
    <row r="388" ht="25.5" customHeight="1">
      <c r="A388" s="635"/>
      <c r="B388" s="695">
        <v>45565.62263344908</v>
      </c>
      <c r="C388" s="642"/>
      <c r="D388" s="642"/>
      <c r="E388" s="574" t="s">
        <v>327</v>
      </c>
      <c r="F388" s="620"/>
      <c r="G388" s="621"/>
      <c r="H388" s="577"/>
      <c r="I388" s="577"/>
      <c r="J388" s="613"/>
      <c r="K388" s="581"/>
      <c r="L388" s="581"/>
      <c r="M388" s="613">
        <f>0.3917796</f>
        <v>0.3917796</v>
      </c>
      <c r="N388" s="613"/>
      <c r="O388" s="613"/>
      <c r="P388" s="580"/>
      <c r="Q388" s="580"/>
      <c r="R388" s="581"/>
      <c r="S388" s="581"/>
      <c r="T388" s="581"/>
      <c r="U388" s="582"/>
      <c r="V388" s="614"/>
      <c r="W388" s="581"/>
      <c r="X388" s="615"/>
      <c r="Y388" s="613"/>
      <c r="Z388" s="580"/>
      <c r="AA388" s="634"/>
      <c r="AB388" s="577"/>
      <c r="AC388" s="673"/>
      <c r="AD388" s="634"/>
      <c r="AE388" s="587"/>
      <c r="AF388" s="587"/>
      <c r="AG388" s="582"/>
      <c r="AH388" s="582"/>
      <c r="AI388" s="582"/>
      <c r="AJ388" s="582"/>
      <c r="AK388" s="588"/>
      <c r="AL388" s="582"/>
      <c r="AM388" s="587"/>
      <c r="AN388" s="589"/>
      <c r="AO388" s="616"/>
      <c r="AP388" s="592"/>
      <c r="AQ388" s="358"/>
      <c r="AR388" s="592"/>
      <c r="AS388" s="592"/>
      <c r="AT388" s="592"/>
      <c r="AU388" s="592"/>
      <c r="AV388" s="592"/>
      <c r="AW388" s="592"/>
      <c r="AX388" s="592"/>
      <c r="AY388" s="592"/>
      <c r="AZ388" s="592"/>
      <c r="BA388" s="617"/>
      <c r="BB388" s="592"/>
      <c r="BC388" s="592"/>
      <c r="BD388" s="592"/>
      <c r="BE388" s="592"/>
      <c r="BF388" s="592"/>
      <c r="BG388" s="358"/>
      <c r="BH388" s="592"/>
      <c r="BI388" s="592"/>
      <c r="BJ388" s="592"/>
      <c r="BK388" s="592"/>
      <c r="BL388" s="592"/>
      <c r="BM388" s="592"/>
      <c r="BN388" s="592"/>
      <c r="BO388" s="592"/>
      <c r="BP388" s="592"/>
      <c r="BQ388" s="594"/>
      <c r="BR388" s="594"/>
      <c r="BS388" s="394"/>
      <c r="BT388" s="594"/>
      <c r="BU388" s="594"/>
      <c r="BV388" s="594"/>
      <c r="BW388" s="618"/>
      <c r="BX388" s="644"/>
      <c r="BY388" s="608" t="s">
        <v>555</v>
      </c>
      <c r="BZ388" s="609" t="s">
        <v>556</v>
      </c>
    </row>
    <row r="389" ht="25.5" customHeight="1">
      <c r="A389" s="635"/>
      <c r="B389" s="665">
        <v>45588.97486111111</v>
      </c>
      <c r="C389" s="642"/>
      <c r="D389" s="642"/>
      <c r="E389" s="574" t="s">
        <v>218</v>
      </c>
      <c r="F389" s="620"/>
      <c r="G389" s="712">
        <v>-0.40662824</v>
      </c>
      <c r="H389" s="577"/>
      <c r="I389" s="577"/>
      <c r="J389" s="613"/>
      <c r="K389" s="581"/>
      <c r="L389" s="581"/>
      <c r="M389" s="613"/>
      <c r="N389" s="613"/>
      <c r="O389" s="613"/>
      <c r="P389" s="580"/>
      <c r="Q389" s="580"/>
      <c r="R389" s="581"/>
      <c r="S389" s="581"/>
      <c r="T389" s="581"/>
      <c r="U389" s="582"/>
      <c r="V389" s="614"/>
      <c r="W389" s="581"/>
      <c r="X389" s="615"/>
      <c r="Y389" s="613"/>
      <c r="Z389" s="580"/>
      <c r="AA389" s="634"/>
      <c r="AB389" s="622">
        <v>0.4062</v>
      </c>
      <c r="AC389" s="673"/>
      <c r="AD389" s="634"/>
      <c r="AE389" s="587"/>
      <c r="AF389" s="587"/>
      <c r="AG389" s="582"/>
      <c r="AH389" s="582"/>
      <c r="AI389" s="582"/>
      <c r="AJ389" s="582"/>
      <c r="AK389" s="588"/>
      <c r="AL389" s="582"/>
      <c r="AM389" s="587"/>
      <c r="AN389" s="589"/>
      <c r="AO389" s="616"/>
      <c r="AP389" s="592"/>
      <c r="AQ389" s="358"/>
      <c r="AR389" s="592"/>
      <c r="AS389" s="592"/>
      <c r="AT389" s="592"/>
      <c r="AU389" s="592"/>
      <c r="AV389" s="592"/>
      <c r="AW389" s="592"/>
      <c r="AX389" s="592"/>
      <c r="AY389" s="592"/>
      <c r="AZ389" s="592"/>
      <c r="BA389" s="617"/>
      <c r="BB389" s="592"/>
      <c r="BC389" s="592"/>
      <c r="BD389" s="592"/>
      <c r="BE389" s="592"/>
      <c r="BF389" s="592"/>
      <c r="BG389" s="358"/>
      <c r="BH389" s="592"/>
      <c r="BI389" s="592"/>
      <c r="BJ389" s="592"/>
      <c r="BK389" s="592"/>
      <c r="BL389" s="592"/>
      <c r="BM389" s="592"/>
      <c r="BN389" s="592"/>
      <c r="BO389" s="592"/>
      <c r="BP389" s="592"/>
      <c r="BQ389" s="594"/>
      <c r="BR389" s="594"/>
      <c r="BS389" s="394"/>
      <c r="BT389" s="594"/>
      <c r="BU389" s="594"/>
      <c r="BV389" s="594"/>
      <c r="BW389" s="618"/>
      <c r="BX389" s="644"/>
      <c r="BY389" s="644"/>
    </row>
    <row r="390" ht="25.5" customHeight="1">
      <c r="A390" s="635"/>
      <c r="B390" s="695">
        <v>45589.61854693287</v>
      </c>
      <c r="C390" s="702">
        <f t="shared" ref="C390:C391" si="29">AB390/AC390</f>
        <v>-0.03787330414</v>
      </c>
      <c r="D390" s="642"/>
      <c r="E390" s="574" t="s">
        <v>231</v>
      </c>
      <c r="F390" s="620"/>
      <c r="G390" s="621"/>
      <c r="H390" s="577"/>
      <c r="I390" s="577"/>
      <c r="J390" s="613"/>
      <c r="K390" s="581"/>
      <c r="L390" s="581"/>
      <c r="M390" s="613"/>
      <c r="N390" s="613"/>
      <c r="O390" s="613"/>
      <c r="P390" s="580"/>
      <c r="Q390" s="580"/>
      <c r="R390" s="581"/>
      <c r="S390" s="581"/>
      <c r="T390" s="581"/>
      <c r="U390" s="582"/>
      <c r="V390" s="614"/>
      <c r="W390" s="581"/>
      <c r="X390" s="615"/>
      <c r="Y390" s="613"/>
      <c r="Z390" s="580"/>
      <c r="AA390" s="634"/>
      <c r="AB390" s="577">
        <f>0.10535-0.4062</f>
        <v>-0.30085</v>
      </c>
      <c r="AC390" s="680">
        <v>7.94359</v>
      </c>
      <c r="AD390" s="634"/>
      <c r="AE390" s="587"/>
      <c r="AF390" s="587"/>
      <c r="AG390" s="582"/>
      <c r="AH390" s="582"/>
      <c r="AI390" s="582"/>
      <c r="AJ390" s="582"/>
      <c r="AK390" s="588"/>
      <c r="AL390" s="582"/>
      <c r="AM390" s="587"/>
      <c r="AN390" s="589"/>
      <c r="AO390" s="616"/>
      <c r="AP390" s="592"/>
      <c r="AQ390" s="358"/>
      <c r="AR390" s="592"/>
      <c r="AS390" s="592"/>
      <c r="AT390" s="592"/>
      <c r="AU390" s="592"/>
      <c r="AV390" s="592"/>
      <c r="AW390" s="592"/>
      <c r="AX390" s="592"/>
      <c r="AY390" s="592"/>
      <c r="AZ390" s="592"/>
      <c r="BA390" s="617"/>
      <c r="BB390" s="592"/>
      <c r="BC390" s="592"/>
      <c r="BD390" s="592"/>
      <c r="BE390" s="592"/>
      <c r="BF390" s="592"/>
      <c r="BG390" s="358"/>
      <c r="BH390" s="592"/>
      <c r="BI390" s="592"/>
      <c r="BJ390" s="592"/>
      <c r="BK390" s="592"/>
      <c r="BL390" s="592"/>
      <c r="BM390" s="592"/>
      <c r="BN390" s="592"/>
      <c r="BO390" s="592"/>
      <c r="BP390" s="592"/>
      <c r="BQ390" s="594"/>
      <c r="BR390" s="594"/>
      <c r="BS390" s="394"/>
      <c r="BT390" s="594"/>
      <c r="BU390" s="594"/>
      <c r="BV390" s="594"/>
      <c r="BW390" s="618"/>
      <c r="BX390" s="644"/>
      <c r="BY390" s="644"/>
    </row>
    <row r="391" ht="25.5" customHeight="1">
      <c r="A391" s="635"/>
      <c r="B391" s="695">
        <v>45593.34305596065</v>
      </c>
      <c r="C391" s="702">
        <f t="shared" si="29"/>
        <v>-0.036896815</v>
      </c>
      <c r="D391" s="642"/>
      <c r="E391" s="574" t="s">
        <v>231</v>
      </c>
      <c r="F391" s="620"/>
      <c r="G391" s="621"/>
      <c r="H391" s="577"/>
      <c r="I391" s="577"/>
      <c r="J391" s="613"/>
      <c r="K391" s="581"/>
      <c r="L391" s="581"/>
      <c r="M391" s="613"/>
      <c r="N391" s="613"/>
      <c r="O391" s="613"/>
      <c r="P391" s="580"/>
      <c r="Q391" s="580"/>
      <c r="R391" s="581"/>
      <c r="S391" s="581"/>
      <c r="T391" s="581"/>
      <c r="U391" s="582"/>
      <c r="V391" s="614"/>
      <c r="W391" s="581"/>
      <c r="X391" s="615"/>
      <c r="Y391" s="613"/>
      <c r="Z391" s="580"/>
      <c r="AA391" s="634"/>
      <c r="AB391" s="701">
        <v>-0.10535</v>
      </c>
      <c r="AC391" s="680">
        <f>10.79885-7.94359</f>
        <v>2.85526</v>
      </c>
      <c r="AD391" s="634"/>
      <c r="AE391" s="587"/>
      <c r="AF391" s="587"/>
      <c r="AG391" s="582"/>
      <c r="AH391" s="582"/>
      <c r="AI391" s="582"/>
      <c r="AJ391" s="582"/>
      <c r="AK391" s="588"/>
      <c r="AL391" s="582"/>
      <c r="AM391" s="587"/>
      <c r="AN391" s="589"/>
      <c r="AO391" s="616"/>
      <c r="AP391" s="592"/>
      <c r="AQ391" s="358"/>
      <c r="AR391" s="592"/>
      <c r="AS391" s="592"/>
      <c r="AT391" s="592"/>
      <c r="AU391" s="592"/>
      <c r="AV391" s="592"/>
      <c r="AW391" s="592"/>
      <c r="AX391" s="592"/>
      <c r="AY391" s="592"/>
      <c r="AZ391" s="592"/>
      <c r="BA391" s="617"/>
      <c r="BB391" s="592"/>
      <c r="BC391" s="592"/>
      <c r="BD391" s="592"/>
      <c r="BE391" s="592"/>
      <c r="BF391" s="592"/>
      <c r="BG391" s="358"/>
      <c r="BH391" s="592"/>
      <c r="BI391" s="592"/>
      <c r="BJ391" s="592"/>
      <c r="BK391" s="592"/>
      <c r="BL391" s="592"/>
      <c r="BM391" s="592"/>
      <c r="BN391" s="592"/>
      <c r="BO391" s="592"/>
      <c r="BP391" s="592"/>
      <c r="BQ391" s="594"/>
      <c r="BR391" s="594"/>
      <c r="BS391" s="394"/>
      <c r="BT391" s="594"/>
      <c r="BU391" s="594"/>
      <c r="BV391" s="594"/>
      <c r="BW391" s="618"/>
      <c r="BX391" s="644"/>
      <c r="BY391" s="644"/>
    </row>
    <row r="392" ht="25.5" customHeight="1">
      <c r="A392" s="635"/>
      <c r="B392" s="695">
        <v>45602.76089266204</v>
      </c>
      <c r="C392" s="642"/>
      <c r="D392" s="642"/>
      <c r="E392" s="574" t="s">
        <v>218</v>
      </c>
      <c r="F392" s="620"/>
      <c r="G392" s="621"/>
      <c r="H392" s="577"/>
      <c r="I392" s="577"/>
      <c r="J392" s="613"/>
      <c r="K392" s="581"/>
      <c r="L392" s="581"/>
      <c r="M392" s="613">
        <f>11.20808283-0.413</f>
        <v>10.79508283</v>
      </c>
      <c r="N392" s="613"/>
      <c r="O392" s="613"/>
      <c r="P392" s="580"/>
      <c r="Q392" s="580"/>
      <c r="R392" s="581"/>
      <c r="S392" s="581"/>
      <c r="T392" s="581"/>
      <c r="U392" s="582"/>
      <c r="V392" s="614"/>
      <c r="W392" s="581"/>
      <c r="X392" s="615"/>
      <c r="Y392" s="613"/>
      <c r="Z392" s="580"/>
      <c r="AA392" s="634"/>
      <c r="AB392" s="577"/>
      <c r="AC392" s="680">
        <v>-10.79886036</v>
      </c>
      <c r="AD392" s="634"/>
      <c r="AE392" s="587"/>
      <c r="AF392" s="587"/>
      <c r="AG392" s="582"/>
      <c r="AH392" s="582"/>
      <c r="AI392" s="582"/>
      <c r="AJ392" s="582"/>
      <c r="AK392" s="588"/>
      <c r="AL392" s="582"/>
      <c r="AM392" s="587"/>
      <c r="AN392" s="589"/>
      <c r="AO392" s="616"/>
      <c r="AP392" s="592"/>
      <c r="AQ392" s="358"/>
      <c r="AR392" s="592"/>
      <c r="AS392" s="592"/>
      <c r="AT392" s="592"/>
      <c r="AU392" s="592"/>
      <c r="AV392" s="592"/>
      <c r="AW392" s="592"/>
      <c r="AX392" s="592"/>
      <c r="AY392" s="592"/>
      <c r="AZ392" s="592"/>
      <c r="BA392" s="617"/>
      <c r="BB392" s="592"/>
      <c r="BC392" s="592"/>
      <c r="BD392" s="592"/>
      <c r="BE392" s="592"/>
      <c r="BF392" s="592"/>
      <c r="BG392" s="358"/>
      <c r="BH392" s="592"/>
      <c r="BI392" s="592"/>
      <c r="BJ392" s="592"/>
      <c r="BK392" s="592"/>
      <c r="BL392" s="592"/>
      <c r="BM392" s="592"/>
      <c r="BN392" s="592"/>
      <c r="BO392" s="592"/>
      <c r="BP392" s="592"/>
      <c r="BQ392" s="594"/>
      <c r="BR392" s="594"/>
      <c r="BS392" s="394"/>
      <c r="BT392" s="594"/>
      <c r="BU392" s="594"/>
      <c r="BV392" s="594"/>
      <c r="BW392" s="618"/>
      <c r="BX392" s="644"/>
      <c r="BY392" s="644"/>
      <c r="BZ392" s="609" t="s">
        <v>557</v>
      </c>
    </row>
    <row r="393" ht="25.5" customHeight="1">
      <c r="A393" s="635"/>
      <c r="B393" s="695">
        <v>45615.97639596065</v>
      </c>
      <c r="C393" s="642"/>
      <c r="D393" s="642"/>
      <c r="E393" s="574" t="s">
        <v>218</v>
      </c>
      <c r="F393" s="620"/>
      <c r="G393" s="621"/>
      <c r="H393" s="577"/>
      <c r="I393" s="577"/>
      <c r="J393" s="604">
        <v>11.15</v>
      </c>
      <c r="K393" s="581"/>
      <c r="L393" s="581"/>
      <c r="M393" s="604">
        <v>-11.15028</v>
      </c>
      <c r="N393" s="613"/>
      <c r="O393" s="613"/>
      <c r="P393" s="580"/>
      <c r="Q393" s="580"/>
      <c r="R393" s="581"/>
      <c r="S393" s="581"/>
      <c r="T393" s="581"/>
      <c r="U393" s="582"/>
      <c r="V393" s="614"/>
      <c r="W393" s="581"/>
      <c r="X393" s="615"/>
      <c r="Y393" s="613"/>
      <c r="Z393" s="580"/>
      <c r="AA393" s="634"/>
      <c r="AB393" s="577"/>
      <c r="AC393" s="673"/>
      <c r="AD393" s="634"/>
      <c r="AE393" s="587"/>
      <c r="AF393" s="587"/>
      <c r="AG393" s="582"/>
      <c r="AH393" s="582"/>
      <c r="AI393" s="582"/>
      <c r="AJ393" s="582"/>
      <c r="AK393" s="588"/>
      <c r="AL393" s="582"/>
      <c r="AM393" s="587"/>
      <c r="AN393" s="589"/>
      <c r="AO393" s="616"/>
      <c r="AP393" s="592"/>
      <c r="AQ393" s="358"/>
      <c r="AR393" s="592"/>
      <c r="AS393" s="592"/>
      <c r="AT393" s="592"/>
      <c r="AU393" s="592"/>
      <c r="AV393" s="592"/>
      <c r="AW393" s="592"/>
      <c r="AX393" s="592"/>
      <c r="AY393" s="592"/>
      <c r="AZ393" s="592"/>
      <c r="BA393" s="617"/>
      <c r="BB393" s="592"/>
      <c r="BC393" s="592"/>
      <c r="BD393" s="592"/>
      <c r="BE393" s="592"/>
      <c r="BF393" s="592"/>
      <c r="BG393" s="358"/>
      <c r="BH393" s="592"/>
      <c r="BI393" s="592"/>
      <c r="BJ393" s="592"/>
      <c r="BK393" s="592"/>
      <c r="BL393" s="592"/>
      <c r="BM393" s="592"/>
      <c r="BN393" s="592"/>
      <c r="BO393" s="592"/>
      <c r="BP393" s="592"/>
      <c r="BQ393" s="594"/>
      <c r="BR393" s="594"/>
      <c r="BS393" s="394"/>
      <c r="BT393" s="594"/>
      <c r="BU393" s="594"/>
      <c r="BV393" s="594"/>
      <c r="BW393" s="618"/>
      <c r="BX393" s="644"/>
      <c r="BY393" s="644"/>
      <c r="BZ393" s="658" t="s">
        <v>558</v>
      </c>
    </row>
    <row r="394" ht="25.5" customHeight="1">
      <c r="A394" s="635"/>
      <c r="B394" s="695">
        <v>45615.984191689815</v>
      </c>
      <c r="C394" s="675">
        <f>K394/J394</f>
        <v>-3067.290152</v>
      </c>
      <c r="D394" s="642"/>
      <c r="E394" s="574" t="s">
        <v>231</v>
      </c>
      <c r="F394" s="620"/>
      <c r="G394" s="621"/>
      <c r="H394" s="577"/>
      <c r="I394" s="577"/>
      <c r="J394" s="604">
        <v>-11.15</v>
      </c>
      <c r="K394" s="579">
        <v>34200.2852</v>
      </c>
      <c r="L394" s="579"/>
      <c r="M394" s="613"/>
      <c r="N394" s="613"/>
      <c r="O394" s="613"/>
      <c r="P394" s="580"/>
      <c r="Q394" s="580"/>
      <c r="R394" s="581"/>
      <c r="S394" s="581"/>
      <c r="T394" s="581"/>
      <c r="U394" s="582"/>
      <c r="V394" s="614"/>
      <c r="W394" s="581"/>
      <c r="X394" s="615"/>
      <c r="Y394" s="613"/>
      <c r="Z394" s="580"/>
      <c r="AA394" s="634"/>
      <c r="AB394" s="577"/>
      <c r="AC394" s="673"/>
      <c r="AD394" s="634"/>
      <c r="AE394" s="587"/>
      <c r="AF394" s="587"/>
      <c r="AG394" s="582"/>
      <c r="AH394" s="582"/>
      <c r="AI394" s="582"/>
      <c r="AJ394" s="582"/>
      <c r="AK394" s="588"/>
      <c r="AL394" s="582"/>
      <c r="AM394" s="587"/>
      <c r="AN394" s="589"/>
      <c r="AO394" s="616"/>
      <c r="AP394" s="592"/>
      <c r="AQ394" s="358"/>
      <c r="AR394" s="592"/>
      <c r="AS394" s="592"/>
      <c r="AT394" s="592"/>
      <c r="AU394" s="592"/>
      <c r="AV394" s="592"/>
      <c r="AW394" s="592"/>
      <c r="AX394" s="592"/>
      <c r="AY394" s="592"/>
      <c r="AZ394" s="592"/>
      <c r="BA394" s="617"/>
      <c r="BB394" s="592"/>
      <c r="BC394" s="592"/>
      <c r="BD394" s="592"/>
      <c r="BE394" s="592"/>
      <c r="BF394" s="592"/>
      <c r="BG394" s="358"/>
      <c r="BH394" s="592"/>
      <c r="BI394" s="592"/>
      <c r="BJ394" s="592"/>
      <c r="BK394" s="592"/>
      <c r="BL394" s="592"/>
      <c r="BM394" s="592"/>
      <c r="BN394" s="592"/>
      <c r="BO394" s="592"/>
      <c r="BP394" s="592"/>
      <c r="BQ394" s="594"/>
      <c r="BR394" s="594"/>
      <c r="BS394" s="394"/>
      <c r="BT394" s="594"/>
      <c r="BU394" s="594"/>
      <c r="BV394" s="594"/>
      <c r="BW394" s="618"/>
      <c r="BX394" s="644"/>
      <c r="BY394" s="644"/>
    </row>
    <row r="395" ht="25.5" customHeight="1">
      <c r="A395" s="635"/>
      <c r="B395" s="695">
        <v>45615.98951241898</v>
      </c>
      <c r="C395" s="642"/>
      <c r="D395" s="642"/>
      <c r="E395" s="574" t="s">
        <v>218</v>
      </c>
      <c r="F395" s="612">
        <v>-0.57342435</v>
      </c>
      <c r="G395" s="621"/>
      <c r="H395" s="577"/>
      <c r="I395" s="622">
        <v>0.5734</v>
      </c>
      <c r="J395" s="613"/>
      <c r="K395" s="581"/>
      <c r="L395" s="581"/>
      <c r="M395" s="613"/>
      <c r="N395" s="613"/>
      <c r="O395" s="613"/>
      <c r="P395" s="580"/>
      <c r="Q395" s="580"/>
      <c r="R395" s="581"/>
      <c r="S395" s="581"/>
      <c r="T395" s="581"/>
      <c r="U395" s="582"/>
      <c r="V395" s="614"/>
      <c r="W395" s="581"/>
      <c r="X395" s="615"/>
      <c r="Y395" s="613"/>
      <c r="Z395" s="580"/>
      <c r="AA395" s="634"/>
      <c r="AB395" s="577"/>
      <c r="AC395" s="673"/>
      <c r="AD395" s="634"/>
      <c r="AE395" s="587"/>
      <c r="AF395" s="587"/>
      <c r="AG395" s="582"/>
      <c r="AH395" s="582"/>
      <c r="AI395" s="582"/>
      <c r="AJ395" s="582"/>
      <c r="AK395" s="588"/>
      <c r="AL395" s="582"/>
      <c r="AM395" s="587"/>
      <c r="AN395" s="589"/>
      <c r="AO395" s="616"/>
      <c r="AP395" s="592"/>
      <c r="AQ395" s="358"/>
      <c r="AR395" s="592"/>
      <c r="AS395" s="592"/>
      <c r="AT395" s="592"/>
      <c r="AU395" s="592"/>
      <c r="AV395" s="592"/>
      <c r="AW395" s="592"/>
      <c r="AX395" s="592"/>
      <c r="AY395" s="592"/>
      <c r="AZ395" s="592"/>
      <c r="BA395" s="617"/>
      <c r="BB395" s="592"/>
      <c r="BC395" s="592"/>
      <c r="BD395" s="592"/>
      <c r="BE395" s="592"/>
      <c r="BF395" s="592"/>
      <c r="BG395" s="358"/>
      <c r="BH395" s="592"/>
      <c r="BI395" s="592"/>
      <c r="BJ395" s="592"/>
      <c r="BK395" s="592"/>
      <c r="BL395" s="592"/>
      <c r="BM395" s="592"/>
      <c r="BN395" s="592"/>
      <c r="BO395" s="592"/>
      <c r="BP395" s="592"/>
      <c r="BQ395" s="594"/>
      <c r="BR395" s="594"/>
      <c r="BS395" s="394"/>
      <c r="BT395" s="594"/>
      <c r="BU395" s="594"/>
      <c r="BV395" s="594"/>
      <c r="BW395" s="618"/>
      <c r="BX395" s="644"/>
      <c r="BY395" s="644"/>
      <c r="BZ395" s="609" t="s">
        <v>559</v>
      </c>
    </row>
    <row r="396" ht="25.5" customHeight="1">
      <c r="A396" s="635"/>
      <c r="B396" s="665">
        <v>45616.014386574076</v>
      </c>
      <c r="C396" s="642">
        <f>K396/I396</f>
        <v>-92006.90094</v>
      </c>
      <c r="D396" s="642"/>
      <c r="E396" s="574" t="s">
        <v>231</v>
      </c>
      <c r="F396" s="620"/>
      <c r="G396" s="621"/>
      <c r="H396" s="577"/>
      <c r="I396" s="622">
        <v>-0.5734</v>
      </c>
      <c r="J396" s="613"/>
      <c r="K396" s="579">
        <f>86957.0422-34200.2852</f>
        <v>52756.757</v>
      </c>
      <c r="L396" s="579"/>
      <c r="M396" s="613"/>
      <c r="N396" s="613"/>
      <c r="O396" s="613"/>
      <c r="P396" s="580"/>
      <c r="Q396" s="580"/>
      <c r="R396" s="581"/>
      <c r="S396" s="581"/>
      <c r="T396" s="581"/>
      <c r="U396" s="582"/>
      <c r="V396" s="614"/>
      <c r="W396" s="581"/>
      <c r="X396" s="615"/>
      <c r="Y396" s="613"/>
      <c r="Z396" s="580"/>
      <c r="AA396" s="634"/>
      <c r="AB396" s="577"/>
      <c r="AC396" s="673"/>
      <c r="AD396" s="634"/>
      <c r="AE396" s="587"/>
      <c r="AF396" s="587"/>
      <c r="AG396" s="582"/>
      <c r="AH396" s="582"/>
      <c r="AI396" s="582"/>
      <c r="AJ396" s="582"/>
      <c r="AK396" s="588"/>
      <c r="AL396" s="582"/>
      <c r="AM396" s="587"/>
      <c r="AN396" s="589"/>
      <c r="AO396" s="616"/>
      <c r="AP396" s="592"/>
      <c r="AQ396" s="358"/>
      <c r="AR396" s="592"/>
      <c r="AS396" s="592"/>
      <c r="AT396" s="592"/>
      <c r="AU396" s="592"/>
      <c r="AV396" s="592"/>
      <c r="AW396" s="592"/>
      <c r="AX396" s="592"/>
      <c r="AY396" s="592"/>
      <c r="AZ396" s="592"/>
      <c r="BA396" s="617"/>
      <c r="BB396" s="592"/>
      <c r="BC396" s="592"/>
      <c r="BD396" s="592"/>
      <c r="BE396" s="592"/>
      <c r="BF396" s="592"/>
      <c r="BG396" s="358"/>
      <c r="BH396" s="592"/>
      <c r="BI396" s="592"/>
      <c r="BJ396" s="592"/>
      <c r="BK396" s="592"/>
      <c r="BL396" s="592"/>
      <c r="BM396" s="592"/>
      <c r="BN396" s="592"/>
      <c r="BO396" s="592"/>
      <c r="BP396" s="592"/>
      <c r="BQ396" s="594"/>
      <c r="BR396" s="594"/>
      <c r="BS396" s="394"/>
      <c r="BT396" s="594"/>
      <c r="BU396" s="594"/>
      <c r="BV396" s="594"/>
      <c r="BW396" s="618"/>
      <c r="BX396" s="644"/>
      <c r="BY396" s="644"/>
    </row>
    <row r="397" ht="25.5" customHeight="1">
      <c r="A397" s="635"/>
      <c r="B397" s="713">
        <v>45616.71739980324</v>
      </c>
      <c r="C397" s="642"/>
      <c r="D397" s="642"/>
      <c r="E397" s="574" t="s">
        <v>218</v>
      </c>
      <c r="F397" s="620"/>
      <c r="G397" s="621"/>
      <c r="H397" s="577"/>
      <c r="I397" s="577"/>
      <c r="J397" s="604"/>
      <c r="K397" s="581"/>
      <c r="L397" s="581"/>
      <c r="M397" s="613"/>
      <c r="N397" s="613">
        <f>25.9437</f>
        <v>25.9437</v>
      </c>
      <c r="O397" s="613"/>
      <c r="P397" s="580"/>
      <c r="Q397" s="580"/>
      <c r="R397" s="581"/>
      <c r="S397" s="581"/>
      <c r="T397" s="581"/>
      <c r="U397" s="582"/>
      <c r="V397" s="614"/>
      <c r="W397" s="581"/>
      <c r="X397" s="615"/>
      <c r="Y397" s="604">
        <v>-25.9437</v>
      </c>
      <c r="Z397" s="580"/>
      <c r="AA397" s="634"/>
      <c r="AB397" s="577"/>
      <c r="AC397" s="673"/>
      <c r="AD397" s="634"/>
      <c r="AE397" s="587"/>
      <c r="AF397" s="587"/>
      <c r="AG397" s="582"/>
      <c r="AH397" s="582"/>
      <c r="AI397" s="582"/>
      <c r="AJ397" s="582"/>
      <c r="AK397" s="588"/>
      <c r="AL397" s="582"/>
      <c r="AM397" s="587"/>
      <c r="AN397" s="589"/>
      <c r="AO397" s="616"/>
      <c r="AP397" s="592"/>
      <c r="AQ397" s="358"/>
      <c r="AR397" s="592"/>
      <c r="AS397" s="592"/>
      <c r="AT397" s="592"/>
      <c r="AU397" s="592"/>
      <c r="AV397" s="592"/>
      <c r="AW397" s="592"/>
      <c r="AX397" s="592"/>
      <c r="AY397" s="592"/>
      <c r="AZ397" s="592"/>
      <c r="BA397" s="617"/>
      <c r="BB397" s="592"/>
      <c r="BC397" s="592"/>
      <c r="BD397" s="592"/>
      <c r="BE397" s="592"/>
      <c r="BF397" s="592"/>
      <c r="BG397" s="358"/>
      <c r="BH397" s="592"/>
      <c r="BI397" s="592"/>
      <c r="BJ397" s="592"/>
      <c r="BK397" s="592"/>
      <c r="BL397" s="592"/>
      <c r="BM397" s="592"/>
      <c r="BN397" s="592"/>
      <c r="BO397" s="592"/>
      <c r="BP397" s="592"/>
      <c r="BQ397" s="594"/>
      <c r="BR397" s="594"/>
      <c r="BS397" s="394"/>
      <c r="BT397" s="594"/>
      <c r="BU397" s="594"/>
      <c r="BV397" s="594"/>
      <c r="BW397" s="618"/>
      <c r="BX397" s="644"/>
      <c r="BY397" s="644"/>
      <c r="BZ397" s="609" t="s">
        <v>560</v>
      </c>
    </row>
    <row r="398" ht="25.5" customHeight="1">
      <c r="A398" s="635"/>
      <c r="B398" s="695">
        <v>45616.7200431713</v>
      </c>
      <c r="C398" s="642"/>
      <c r="D398" s="642"/>
      <c r="E398" s="574" t="s">
        <v>218</v>
      </c>
      <c r="F398" s="620"/>
      <c r="G398" s="600"/>
      <c r="H398" s="577"/>
      <c r="I398" s="577"/>
      <c r="J398" s="604">
        <v>25.9</v>
      </c>
      <c r="K398" s="581"/>
      <c r="L398" s="581"/>
      <c r="M398" s="613"/>
      <c r="N398" s="613">
        <f>-25.9</f>
        <v>-25.9</v>
      </c>
      <c r="O398" s="613"/>
      <c r="P398" s="580"/>
      <c r="Q398" s="580"/>
      <c r="R398" s="581"/>
      <c r="S398" s="581"/>
      <c r="T398" s="581"/>
      <c r="U398" s="582"/>
      <c r="V398" s="614"/>
      <c r="W398" s="581"/>
      <c r="X398" s="615"/>
      <c r="Y398" s="613"/>
      <c r="Z398" s="580"/>
      <c r="AA398" s="634"/>
      <c r="AB398" s="577"/>
      <c r="AC398" s="673"/>
      <c r="AD398" s="634"/>
      <c r="AE398" s="587"/>
      <c r="AF398" s="587"/>
      <c r="AG398" s="582"/>
      <c r="AH398" s="582"/>
      <c r="AI398" s="582"/>
      <c r="AJ398" s="582"/>
      <c r="AK398" s="588"/>
      <c r="AL398" s="582"/>
      <c r="AM398" s="587"/>
      <c r="AN398" s="589"/>
      <c r="AO398" s="616"/>
      <c r="AP398" s="592"/>
      <c r="AQ398" s="358"/>
      <c r="AR398" s="592"/>
      <c r="AS398" s="592"/>
      <c r="AT398" s="592"/>
      <c r="AU398" s="592"/>
      <c r="AV398" s="592"/>
      <c r="AW398" s="592"/>
      <c r="AX398" s="592"/>
      <c r="AY398" s="592"/>
      <c r="AZ398" s="592"/>
      <c r="BA398" s="617"/>
      <c r="BB398" s="592"/>
      <c r="BC398" s="592"/>
      <c r="BD398" s="592"/>
      <c r="BE398" s="592"/>
      <c r="BF398" s="592"/>
      <c r="BG398" s="358"/>
      <c r="BH398" s="592"/>
      <c r="BI398" s="592"/>
      <c r="BJ398" s="592"/>
      <c r="BK398" s="592"/>
      <c r="BL398" s="592"/>
      <c r="BM398" s="592"/>
      <c r="BN398" s="592"/>
      <c r="BO398" s="592"/>
      <c r="BP398" s="592"/>
      <c r="BQ398" s="594"/>
      <c r="BR398" s="594"/>
      <c r="BS398" s="394"/>
      <c r="BT398" s="594"/>
      <c r="BU398" s="594"/>
      <c r="BV398" s="594"/>
      <c r="BW398" s="618"/>
      <c r="BX398" s="644"/>
      <c r="BY398" s="644"/>
      <c r="BZ398" s="609" t="s">
        <v>561</v>
      </c>
    </row>
    <row r="399" ht="25.5" customHeight="1">
      <c r="A399" s="635"/>
      <c r="B399" s="695">
        <v>45616.73266361111</v>
      </c>
      <c r="C399" s="675">
        <f t="shared" ref="C399:C400" si="30">K399/J399</f>
        <v>-3088.454054</v>
      </c>
      <c r="D399" s="642"/>
      <c r="E399" s="574" t="s">
        <v>231</v>
      </c>
      <c r="F399" s="620"/>
      <c r="G399" s="621"/>
      <c r="H399" s="577"/>
      <c r="I399" s="577"/>
      <c r="J399" s="604">
        <v>-12.95</v>
      </c>
      <c r="K399" s="579">
        <f>126952.52-86957.04</f>
        <v>39995.48</v>
      </c>
      <c r="L399" s="579"/>
      <c r="M399" s="613"/>
      <c r="N399" s="613"/>
      <c r="O399" s="613"/>
      <c r="P399" s="580"/>
      <c r="Q399" s="580"/>
      <c r="R399" s="581"/>
      <c r="S399" s="581"/>
      <c r="T399" s="581"/>
      <c r="U399" s="582"/>
      <c r="V399" s="614"/>
      <c r="W399" s="581"/>
      <c r="X399" s="615"/>
      <c r="Y399" s="613"/>
      <c r="Z399" s="580"/>
      <c r="AA399" s="634"/>
      <c r="AB399" s="577"/>
      <c r="AC399" s="673"/>
      <c r="AD399" s="634"/>
      <c r="AE399" s="587"/>
      <c r="AF399" s="587"/>
      <c r="AG399" s="582"/>
      <c r="AH399" s="582"/>
      <c r="AI399" s="582"/>
      <c r="AJ399" s="582"/>
      <c r="AK399" s="588"/>
      <c r="AL399" s="582"/>
      <c r="AM399" s="587"/>
      <c r="AN399" s="589"/>
      <c r="AO399" s="616"/>
      <c r="AP399" s="592"/>
      <c r="AQ399" s="358"/>
      <c r="AR399" s="592"/>
      <c r="AS399" s="592"/>
      <c r="AT399" s="592"/>
      <c r="AU399" s="592"/>
      <c r="AV399" s="592"/>
      <c r="AW399" s="592"/>
      <c r="AX399" s="592"/>
      <c r="AY399" s="592"/>
      <c r="AZ399" s="592"/>
      <c r="BA399" s="617"/>
      <c r="BB399" s="592"/>
      <c r="BC399" s="592"/>
      <c r="BD399" s="592"/>
      <c r="BE399" s="592"/>
      <c r="BF399" s="592"/>
      <c r="BG399" s="358"/>
      <c r="BH399" s="592"/>
      <c r="BI399" s="592"/>
      <c r="BJ399" s="592"/>
      <c r="BK399" s="592"/>
      <c r="BL399" s="592"/>
      <c r="BM399" s="592"/>
      <c r="BN399" s="592"/>
      <c r="BO399" s="592"/>
      <c r="BP399" s="592"/>
      <c r="BQ399" s="594"/>
      <c r="BR399" s="594"/>
      <c r="BS399" s="394"/>
      <c r="BT399" s="594"/>
      <c r="BU399" s="594"/>
      <c r="BV399" s="594"/>
      <c r="BW399" s="618"/>
      <c r="BX399" s="644"/>
      <c r="BY399" s="644"/>
    </row>
    <row r="400" ht="25.5" customHeight="1">
      <c r="A400" s="635"/>
      <c r="B400" s="695">
        <v>45617.288194548615</v>
      </c>
      <c r="C400" s="642">
        <f t="shared" si="30"/>
        <v>-3117.894</v>
      </c>
      <c r="D400" s="642"/>
      <c r="E400" s="574" t="s">
        <v>231</v>
      </c>
      <c r="F400" s="620"/>
      <c r="G400" s="621"/>
      <c r="H400" s="577"/>
      <c r="I400" s="577"/>
      <c r="J400" s="604">
        <v>-12.95</v>
      </c>
      <c r="K400" s="581">
        <f>167329.2473-126952.52</f>
        <v>40376.7273</v>
      </c>
      <c r="L400" s="581"/>
      <c r="M400" s="604"/>
      <c r="N400" s="613"/>
      <c r="O400" s="613"/>
      <c r="P400" s="580"/>
      <c r="Q400" s="580"/>
      <c r="R400" s="581"/>
      <c r="S400" s="581"/>
      <c r="T400" s="581"/>
      <c r="U400" s="582"/>
      <c r="V400" s="614"/>
      <c r="W400" s="581"/>
      <c r="X400" s="615"/>
      <c r="Y400" s="613"/>
      <c r="Z400" s="580"/>
      <c r="AA400" s="634"/>
      <c r="AB400" s="577"/>
      <c r="AC400" s="673"/>
      <c r="AD400" s="634"/>
      <c r="AE400" s="587"/>
      <c r="AF400" s="587"/>
      <c r="AG400" s="582"/>
      <c r="AH400" s="582"/>
      <c r="AI400" s="582"/>
      <c r="AJ400" s="582"/>
      <c r="AK400" s="588"/>
      <c r="AL400" s="582"/>
      <c r="AM400" s="587"/>
      <c r="AN400" s="589"/>
      <c r="AO400" s="616"/>
      <c r="AP400" s="592"/>
      <c r="AQ400" s="358"/>
      <c r="AR400" s="592"/>
      <c r="AS400" s="592"/>
      <c r="AT400" s="592"/>
      <c r="AU400" s="592"/>
      <c r="AV400" s="592"/>
      <c r="AW400" s="592"/>
      <c r="AX400" s="592"/>
      <c r="AY400" s="592"/>
      <c r="AZ400" s="592"/>
      <c r="BA400" s="617"/>
      <c r="BB400" s="592"/>
      <c r="BC400" s="592"/>
      <c r="BD400" s="592"/>
      <c r="BE400" s="592"/>
      <c r="BF400" s="592"/>
      <c r="BG400" s="358"/>
      <c r="BH400" s="592"/>
      <c r="BI400" s="592"/>
      <c r="BJ400" s="592"/>
      <c r="BK400" s="592"/>
      <c r="BL400" s="592"/>
      <c r="BM400" s="592"/>
      <c r="BN400" s="592"/>
      <c r="BO400" s="592"/>
      <c r="BP400" s="592"/>
      <c r="BQ400" s="594"/>
      <c r="BR400" s="594"/>
      <c r="BS400" s="394"/>
      <c r="BT400" s="594"/>
      <c r="BU400" s="594"/>
      <c r="BV400" s="594"/>
      <c r="BW400" s="618"/>
      <c r="BX400" s="644"/>
      <c r="BY400" s="644"/>
    </row>
    <row r="401" ht="25.5" customHeight="1">
      <c r="A401" s="635"/>
      <c r="B401" s="695">
        <v>45617.34478287037</v>
      </c>
      <c r="C401" s="642"/>
      <c r="D401" s="642"/>
      <c r="E401" s="574" t="s">
        <v>218</v>
      </c>
      <c r="F401" s="620"/>
      <c r="G401" s="621"/>
      <c r="H401" s="577"/>
      <c r="I401" s="577"/>
      <c r="J401" s="604"/>
      <c r="K401" s="579">
        <v>-167329.25</v>
      </c>
      <c r="L401" s="579">
        <v>167327.25</v>
      </c>
      <c r="M401" s="613"/>
      <c r="N401" s="613"/>
      <c r="O401" s="613"/>
      <c r="P401" s="580"/>
      <c r="Q401" s="580"/>
      <c r="R401" s="581"/>
      <c r="S401" s="581"/>
      <c r="T401" s="581"/>
      <c r="U401" s="582"/>
      <c r="V401" s="614"/>
      <c r="W401" s="581"/>
      <c r="X401" s="615"/>
      <c r="Y401" s="613"/>
      <c r="Z401" s="580"/>
      <c r="AA401" s="634"/>
      <c r="AB401" s="577"/>
      <c r="AC401" s="673"/>
      <c r="AD401" s="634"/>
      <c r="AE401" s="587"/>
      <c r="AF401" s="587"/>
      <c r="AG401" s="582"/>
      <c r="AH401" s="582"/>
      <c r="AI401" s="582"/>
      <c r="AJ401" s="582"/>
      <c r="AK401" s="588"/>
      <c r="AL401" s="582"/>
      <c r="AM401" s="587"/>
      <c r="AN401" s="589"/>
      <c r="AO401" s="616"/>
      <c r="AP401" s="592"/>
      <c r="AQ401" s="358"/>
      <c r="AR401" s="592"/>
      <c r="AS401" s="592"/>
      <c r="AT401" s="592"/>
      <c r="AU401" s="592"/>
      <c r="AV401" s="592"/>
      <c r="AW401" s="592"/>
      <c r="AX401" s="592"/>
      <c r="AY401" s="592"/>
      <c r="AZ401" s="592"/>
      <c r="BA401" s="617"/>
      <c r="BB401" s="592"/>
      <c r="BC401" s="592"/>
      <c r="BD401" s="592"/>
      <c r="BE401" s="592"/>
      <c r="BF401" s="592"/>
      <c r="BG401" s="358"/>
      <c r="BH401" s="592"/>
      <c r="BI401" s="592"/>
      <c r="BJ401" s="592"/>
      <c r="BK401" s="592"/>
      <c r="BL401" s="592"/>
      <c r="BM401" s="592"/>
      <c r="BN401" s="592"/>
      <c r="BO401" s="592"/>
      <c r="BP401" s="592"/>
      <c r="BQ401" s="594"/>
      <c r="BR401" s="594"/>
      <c r="BS401" s="394"/>
      <c r="BT401" s="594"/>
      <c r="BU401" s="594"/>
      <c r="BV401" s="594"/>
      <c r="BW401" s="618"/>
      <c r="BX401" s="644"/>
      <c r="BY401" s="644"/>
      <c r="BZ401" s="609" t="s">
        <v>562</v>
      </c>
    </row>
    <row r="402" ht="25.5" customHeight="1">
      <c r="A402" s="635"/>
      <c r="B402" s="695">
        <v>45619.860170995365</v>
      </c>
      <c r="C402" s="642"/>
      <c r="D402" s="642"/>
      <c r="E402" s="574" t="s">
        <v>231</v>
      </c>
      <c r="F402" s="620"/>
      <c r="G402" s="621"/>
      <c r="H402" s="577"/>
      <c r="I402" s="577"/>
      <c r="J402" s="604">
        <v>19.74657206</v>
      </c>
      <c r="K402" s="581"/>
      <c r="L402" s="579">
        <v>-67440.0</v>
      </c>
      <c r="M402" s="613"/>
      <c r="N402" s="613"/>
      <c r="O402" s="613"/>
      <c r="P402" s="580"/>
      <c r="Q402" s="580"/>
      <c r="R402" s="581"/>
      <c r="S402" s="581"/>
      <c r="T402" s="581"/>
      <c r="U402" s="582"/>
      <c r="V402" s="614"/>
      <c r="W402" s="581"/>
      <c r="X402" s="615"/>
      <c r="Y402" s="613"/>
      <c r="Z402" s="580"/>
      <c r="AA402" s="634"/>
      <c r="AB402" s="577"/>
      <c r="AC402" s="673"/>
      <c r="AD402" s="634"/>
      <c r="AE402" s="587"/>
      <c r="AF402" s="587"/>
      <c r="AG402" s="582"/>
      <c r="AH402" s="582"/>
      <c r="AI402" s="582"/>
      <c r="AJ402" s="582"/>
      <c r="AK402" s="588"/>
      <c r="AL402" s="582"/>
      <c r="AM402" s="587"/>
      <c r="AN402" s="589"/>
      <c r="AO402" s="616"/>
      <c r="AP402" s="592"/>
      <c r="AQ402" s="358"/>
      <c r="AR402" s="592"/>
      <c r="AS402" s="592"/>
      <c r="AT402" s="592"/>
      <c r="AU402" s="592"/>
      <c r="AV402" s="592"/>
      <c r="AW402" s="592"/>
      <c r="AX402" s="592"/>
      <c r="AY402" s="592"/>
      <c r="AZ402" s="592"/>
      <c r="BA402" s="617"/>
      <c r="BB402" s="592"/>
      <c r="BC402" s="592"/>
      <c r="BD402" s="592"/>
      <c r="BE402" s="592"/>
      <c r="BF402" s="592"/>
      <c r="BG402" s="358"/>
      <c r="BH402" s="592"/>
      <c r="BI402" s="592"/>
      <c r="BJ402" s="592"/>
      <c r="BK402" s="592"/>
      <c r="BL402" s="592"/>
      <c r="BM402" s="592"/>
      <c r="BN402" s="592"/>
      <c r="BO402" s="592"/>
      <c r="BP402" s="592"/>
      <c r="BQ402" s="594"/>
      <c r="BR402" s="594"/>
      <c r="BS402" s="394"/>
      <c r="BT402" s="594"/>
      <c r="BU402" s="594"/>
      <c r="BV402" s="594"/>
      <c r="BW402" s="618"/>
      <c r="BX402" s="644"/>
      <c r="BY402" s="644"/>
    </row>
    <row r="403" ht="25.5" customHeight="1">
      <c r="A403" s="635"/>
      <c r="B403" s="695">
        <v>45619.87524844907</v>
      </c>
      <c r="C403" s="642"/>
      <c r="D403" s="642"/>
      <c r="E403" s="574" t="s">
        <v>231</v>
      </c>
      <c r="F403" s="714">
        <v>-0.26</v>
      </c>
      <c r="G403" s="621"/>
      <c r="H403" s="577"/>
      <c r="I403" s="577"/>
      <c r="J403" s="613">
        <f>27.17837809-19.7466</f>
        <v>7.43177809</v>
      </c>
      <c r="K403" s="581"/>
      <c r="L403" s="581"/>
      <c r="M403" s="613"/>
      <c r="N403" s="613"/>
      <c r="O403" s="613"/>
      <c r="P403" s="580"/>
      <c r="Q403" s="580"/>
      <c r="R403" s="581"/>
      <c r="S403" s="581"/>
      <c r="T403" s="581"/>
      <c r="U403" s="582"/>
      <c r="V403" s="614"/>
      <c r="W403" s="581"/>
      <c r="X403" s="615"/>
      <c r="Y403" s="613"/>
      <c r="Z403" s="580"/>
      <c r="AA403" s="634"/>
      <c r="AB403" s="577"/>
      <c r="AC403" s="673"/>
      <c r="AD403" s="634"/>
      <c r="AE403" s="587"/>
      <c r="AF403" s="587"/>
      <c r="AG403" s="582"/>
      <c r="AH403" s="582"/>
      <c r="AI403" s="582"/>
      <c r="AJ403" s="582"/>
      <c r="AK403" s="588"/>
      <c r="AL403" s="582"/>
      <c r="AM403" s="587"/>
      <c r="AN403" s="589"/>
      <c r="AO403" s="616"/>
      <c r="AP403" s="592"/>
      <c r="AQ403" s="358"/>
      <c r="AR403" s="592"/>
      <c r="AS403" s="592"/>
      <c r="AT403" s="592"/>
      <c r="AU403" s="592"/>
      <c r="AV403" s="592"/>
      <c r="AW403" s="592"/>
      <c r="AX403" s="592"/>
      <c r="AY403" s="592"/>
      <c r="AZ403" s="592"/>
      <c r="BA403" s="617"/>
      <c r="BB403" s="592"/>
      <c r="BC403" s="592"/>
      <c r="BD403" s="592"/>
      <c r="BE403" s="592"/>
      <c r="BF403" s="592"/>
      <c r="BG403" s="358"/>
      <c r="BH403" s="592"/>
      <c r="BI403" s="592"/>
      <c r="BJ403" s="592"/>
      <c r="BK403" s="592"/>
      <c r="BL403" s="592"/>
      <c r="BM403" s="592"/>
      <c r="BN403" s="592"/>
      <c r="BO403" s="592"/>
      <c r="BP403" s="592"/>
      <c r="BQ403" s="594"/>
      <c r="BR403" s="594"/>
      <c r="BS403" s="394"/>
      <c r="BT403" s="594"/>
      <c r="BU403" s="594"/>
      <c r="BV403" s="594"/>
      <c r="BW403" s="618"/>
      <c r="BX403" s="644"/>
      <c r="BY403" s="644"/>
    </row>
    <row r="404" ht="25.5" customHeight="1">
      <c r="A404" s="635"/>
      <c r="B404" s="695">
        <v>45621.97362671296</v>
      </c>
      <c r="C404" s="642"/>
      <c r="D404" s="642"/>
      <c r="E404" s="574" t="s">
        <v>218</v>
      </c>
      <c r="F404" s="696"/>
      <c r="G404" s="621"/>
      <c r="H404" s="577"/>
      <c r="I404" s="577"/>
      <c r="J404" s="613"/>
      <c r="K404" s="581"/>
      <c r="L404" s="581"/>
      <c r="M404" s="604">
        <v>19.737137</v>
      </c>
      <c r="Y404" s="613"/>
      <c r="Z404" s="686">
        <v>-19.737137</v>
      </c>
      <c r="AA404" s="634"/>
      <c r="AB404" s="577"/>
      <c r="AC404" s="673"/>
      <c r="AD404" s="634"/>
      <c r="AE404" s="587"/>
      <c r="AF404" s="587"/>
      <c r="AG404" s="582"/>
      <c r="AH404" s="582"/>
      <c r="AI404" s="582"/>
      <c r="AJ404" s="582"/>
      <c r="AK404" s="588"/>
      <c r="AL404" s="582"/>
      <c r="AM404" s="587"/>
      <c r="AN404" s="589"/>
      <c r="AO404" s="616"/>
      <c r="AP404" s="592"/>
      <c r="AQ404" s="358"/>
      <c r="AR404" s="592"/>
      <c r="AS404" s="592"/>
      <c r="AT404" s="592"/>
      <c r="AU404" s="592"/>
      <c r="AV404" s="592"/>
      <c r="AW404" s="592"/>
      <c r="AX404" s="592"/>
      <c r="AY404" s="592"/>
      <c r="AZ404" s="592"/>
      <c r="BA404" s="617"/>
      <c r="BB404" s="592"/>
      <c r="BC404" s="592"/>
      <c r="BD404" s="592"/>
      <c r="BE404" s="592"/>
      <c r="BF404" s="592"/>
      <c r="BG404" s="358"/>
      <c r="BH404" s="592"/>
      <c r="BI404" s="592"/>
      <c r="BJ404" s="592"/>
      <c r="BK404" s="592"/>
      <c r="BL404" s="592"/>
      <c r="BM404" s="592"/>
      <c r="BN404" s="592"/>
      <c r="BO404" s="592"/>
      <c r="BP404" s="592"/>
      <c r="BQ404" s="594"/>
      <c r="BR404" s="594"/>
      <c r="BS404" s="394"/>
      <c r="BT404" s="594"/>
      <c r="BU404" s="594"/>
      <c r="BV404" s="594"/>
      <c r="BW404" s="618"/>
      <c r="BX404" s="644"/>
      <c r="BY404" s="608" t="s">
        <v>563</v>
      </c>
      <c r="BZ404" s="609" t="s">
        <v>564</v>
      </c>
    </row>
    <row r="405" ht="25.5" customHeight="1">
      <c r="A405" s="635"/>
      <c r="B405" s="695">
        <v>45623.60813099537</v>
      </c>
      <c r="C405" s="642"/>
      <c r="D405" s="642"/>
      <c r="E405" s="574" t="s">
        <v>218</v>
      </c>
      <c r="F405" s="696"/>
      <c r="G405" s="621"/>
      <c r="H405" s="577"/>
      <c r="I405" s="577"/>
      <c r="J405" s="604">
        <v>-27.1784</v>
      </c>
      <c r="K405" s="581"/>
      <c r="L405" s="581"/>
      <c r="M405" s="604">
        <f>46.9489-19.7949</f>
        <v>27.154</v>
      </c>
      <c r="N405" s="613"/>
      <c r="O405" s="613"/>
      <c r="P405" s="580"/>
      <c r="Q405" s="580"/>
      <c r="R405" s="581"/>
      <c r="S405" s="581"/>
      <c r="T405" s="581"/>
      <c r="U405" s="582"/>
      <c r="V405" s="614"/>
      <c r="W405" s="581"/>
      <c r="X405" s="615"/>
      <c r="Y405" s="613"/>
      <c r="Z405" s="580"/>
      <c r="AA405" s="634"/>
      <c r="AB405" s="577"/>
      <c r="AC405" s="673"/>
      <c r="AD405" s="634"/>
      <c r="AE405" s="587"/>
      <c r="AF405" s="587"/>
      <c r="AG405" s="582"/>
      <c r="AH405" s="582"/>
      <c r="AI405" s="582"/>
      <c r="AJ405" s="582"/>
      <c r="AK405" s="588"/>
      <c r="AL405" s="582"/>
      <c r="AM405" s="587"/>
      <c r="AN405" s="589"/>
      <c r="AO405" s="616"/>
      <c r="AP405" s="592"/>
      <c r="AQ405" s="358"/>
      <c r="AR405" s="592"/>
      <c r="AS405" s="592"/>
      <c r="AT405" s="592"/>
      <c r="AU405" s="592"/>
      <c r="AV405" s="592"/>
      <c r="AW405" s="592"/>
      <c r="AX405" s="592"/>
      <c r="AY405" s="592"/>
      <c r="AZ405" s="592"/>
      <c r="BA405" s="617"/>
      <c r="BB405" s="592"/>
      <c r="BC405" s="592"/>
      <c r="BD405" s="592"/>
      <c r="BE405" s="592"/>
      <c r="BF405" s="592"/>
      <c r="BG405" s="358"/>
      <c r="BH405" s="592"/>
      <c r="BI405" s="592"/>
      <c r="BJ405" s="592"/>
      <c r="BK405" s="592"/>
      <c r="BL405" s="592"/>
      <c r="BM405" s="592"/>
      <c r="BN405" s="592"/>
      <c r="BO405" s="592"/>
      <c r="BP405" s="592"/>
      <c r="BQ405" s="594"/>
      <c r="BR405" s="594"/>
      <c r="BS405" s="394"/>
      <c r="BT405" s="594"/>
      <c r="BU405" s="594"/>
      <c r="BV405" s="594"/>
      <c r="BW405" s="618"/>
      <c r="BX405" s="644"/>
      <c r="BY405" s="644"/>
      <c r="BZ405" s="609" t="s">
        <v>565</v>
      </c>
    </row>
    <row r="406" ht="25.5" customHeight="1">
      <c r="A406" s="635"/>
      <c r="B406" s="695">
        <v>45626.45320708334</v>
      </c>
      <c r="C406" s="675">
        <f>-(L406)/AP406</f>
        <v>205.0154992</v>
      </c>
      <c r="D406" s="642"/>
      <c r="E406" s="574" t="s">
        <v>231</v>
      </c>
      <c r="F406" s="696"/>
      <c r="G406" s="621"/>
      <c r="H406" s="577"/>
      <c r="I406" s="577"/>
      <c r="J406" s="613"/>
      <c r="K406" s="581"/>
      <c r="L406" s="579">
        <v>-2500.0</v>
      </c>
      <c r="M406" s="613"/>
      <c r="N406" s="613"/>
      <c r="O406" s="613"/>
      <c r="P406" s="580"/>
      <c r="Q406" s="580"/>
      <c r="R406" s="581"/>
      <c r="S406" s="581"/>
      <c r="T406" s="581"/>
      <c r="U406" s="582"/>
      <c r="V406" s="614"/>
      <c r="W406" s="581"/>
      <c r="X406" s="615"/>
      <c r="Y406" s="613"/>
      <c r="Z406" s="580"/>
      <c r="AA406" s="634"/>
      <c r="AB406" s="577"/>
      <c r="AC406" s="673"/>
      <c r="AD406" s="634"/>
      <c r="AE406" s="587"/>
      <c r="AF406" s="587"/>
      <c r="AG406" s="582"/>
      <c r="AH406" s="582"/>
      <c r="AI406" s="582"/>
      <c r="AJ406" s="582"/>
      <c r="AK406" s="588"/>
      <c r="AL406" s="582"/>
      <c r="AM406" s="587"/>
      <c r="AN406" s="589"/>
      <c r="AO406" s="616"/>
      <c r="AP406" s="591">
        <v>12.1942</v>
      </c>
      <c r="AQ406" s="358"/>
      <c r="AR406" s="592"/>
      <c r="AS406" s="592"/>
      <c r="AT406" s="592"/>
      <c r="AU406" s="592"/>
      <c r="AV406" s="592"/>
      <c r="AW406" s="592"/>
      <c r="AX406" s="592"/>
      <c r="AY406" s="592"/>
      <c r="AZ406" s="592"/>
      <c r="BA406" s="617"/>
      <c r="BB406" s="592"/>
      <c r="BC406" s="592"/>
      <c r="BD406" s="592"/>
      <c r="BE406" s="592"/>
      <c r="BF406" s="592"/>
      <c r="BG406" s="358"/>
      <c r="BH406" s="592"/>
      <c r="BI406" s="592"/>
      <c r="BJ406" s="592"/>
      <c r="BK406" s="592"/>
      <c r="BL406" s="592"/>
      <c r="BM406" s="592"/>
      <c r="BN406" s="592"/>
      <c r="BO406" s="592"/>
      <c r="BP406" s="592"/>
      <c r="BQ406" s="594"/>
      <c r="BR406" s="594"/>
      <c r="BS406" s="394"/>
      <c r="BT406" s="594"/>
      <c r="BU406" s="594"/>
      <c r="BV406" s="594"/>
      <c r="BW406" s="618"/>
      <c r="BX406" s="644"/>
      <c r="BY406" s="644"/>
    </row>
    <row r="407" ht="25.5" customHeight="1">
      <c r="A407" s="635"/>
      <c r="B407" s="695">
        <v>45626.45320708334</v>
      </c>
      <c r="C407" s="715">
        <f>-L407/AR407</f>
        <v>6.06560559</v>
      </c>
      <c r="D407" s="642"/>
      <c r="E407" s="574" t="s">
        <v>231</v>
      </c>
      <c r="F407" s="696"/>
      <c r="G407" s="621"/>
      <c r="H407" s="577"/>
      <c r="I407" s="577"/>
      <c r="J407" s="613"/>
      <c r="K407" s="581"/>
      <c r="L407" s="579">
        <v>-2500.0</v>
      </c>
      <c r="M407" s="613"/>
      <c r="N407" s="613"/>
      <c r="O407" s="613"/>
      <c r="P407" s="580"/>
      <c r="Q407" s="580"/>
      <c r="R407" s="581"/>
      <c r="S407" s="581"/>
      <c r="T407" s="581"/>
      <c r="U407" s="582"/>
      <c r="V407" s="614"/>
      <c r="W407" s="581"/>
      <c r="X407" s="615"/>
      <c r="Y407" s="613"/>
      <c r="Z407" s="580"/>
      <c r="AA407" s="634"/>
      <c r="AB407" s="577"/>
      <c r="AC407" s="673"/>
      <c r="AD407" s="634"/>
      <c r="AE407" s="587"/>
      <c r="AF407" s="587"/>
      <c r="AG407" s="582"/>
      <c r="AH407" s="582"/>
      <c r="AI407" s="582"/>
      <c r="AJ407" s="582"/>
      <c r="AK407" s="588"/>
      <c r="AL407" s="582"/>
      <c r="AM407" s="587"/>
      <c r="AN407" s="589"/>
      <c r="AO407" s="616"/>
      <c r="AP407" s="592"/>
      <c r="AQ407" s="656"/>
      <c r="AR407" s="591">
        <v>412.16</v>
      </c>
      <c r="AS407" s="592"/>
      <c r="AT407" s="592"/>
      <c r="AU407" s="592"/>
      <c r="AV407" s="592"/>
      <c r="AW407" s="592"/>
      <c r="AX407" s="592"/>
      <c r="AY407" s="592"/>
      <c r="AZ407" s="592"/>
      <c r="BA407" s="617"/>
      <c r="BB407" s="592"/>
      <c r="BC407" s="592"/>
      <c r="BD407" s="592"/>
      <c r="BE407" s="592"/>
      <c r="BF407" s="592"/>
      <c r="BG407" s="358"/>
      <c r="BH407" s="592"/>
      <c r="BI407" s="592"/>
      <c r="BJ407" s="592"/>
      <c r="BK407" s="592"/>
      <c r="BL407" s="592"/>
      <c r="BM407" s="592"/>
      <c r="BN407" s="592"/>
      <c r="BO407" s="592"/>
      <c r="BP407" s="592"/>
      <c r="BQ407" s="594"/>
      <c r="BR407" s="594"/>
      <c r="BS407" s="394"/>
      <c r="BT407" s="594"/>
      <c r="BU407" s="594"/>
      <c r="BV407" s="594"/>
      <c r="BW407" s="618"/>
      <c r="BX407" s="644"/>
      <c r="BY407" s="644"/>
    </row>
    <row r="408" ht="25.5" customHeight="1">
      <c r="A408" s="635"/>
      <c r="B408" s="695">
        <v>45626.45320708334</v>
      </c>
      <c r="C408" s="715">
        <f>-L408/AS408</f>
        <v>2.4574483</v>
      </c>
      <c r="D408" s="642"/>
      <c r="E408" s="574" t="s">
        <v>231</v>
      </c>
      <c r="F408" s="696"/>
      <c r="G408" s="621"/>
      <c r="H408" s="577"/>
      <c r="I408" s="577"/>
      <c r="J408" s="613"/>
      <c r="K408" s="581"/>
      <c r="L408" s="579">
        <v>-2500.0</v>
      </c>
      <c r="M408" s="613"/>
      <c r="N408" s="613"/>
      <c r="O408" s="613"/>
      <c r="P408" s="580"/>
      <c r="Q408" s="580"/>
      <c r="R408" s="581"/>
      <c r="S408" s="581"/>
      <c r="T408" s="581"/>
      <c r="U408" s="582"/>
      <c r="V408" s="614"/>
      <c r="W408" s="581"/>
      <c r="X408" s="615"/>
      <c r="Y408" s="613"/>
      <c r="Z408" s="580"/>
      <c r="AA408" s="634"/>
      <c r="AB408" s="577"/>
      <c r="AC408" s="673"/>
      <c r="AD408" s="634"/>
      <c r="AE408" s="587"/>
      <c r="AF408" s="587"/>
      <c r="AG408" s="582"/>
      <c r="AH408" s="582"/>
      <c r="AI408" s="582"/>
      <c r="AJ408" s="582"/>
      <c r="AK408" s="588"/>
      <c r="AL408" s="582"/>
      <c r="AM408" s="587"/>
      <c r="AN408" s="589"/>
      <c r="AO408" s="616"/>
      <c r="AP408" s="592"/>
      <c r="AQ408" s="358"/>
      <c r="AR408" s="592"/>
      <c r="AS408" s="591">
        <v>1017.3154</v>
      </c>
      <c r="AT408" s="592"/>
      <c r="AU408" s="592"/>
      <c r="AV408" s="592"/>
      <c r="AW408" s="592"/>
      <c r="AX408" s="592"/>
      <c r="AY408" s="592"/>
      <c r="AZ408" s="592"/>
      <c r="BA408" s="617"/>
      <c r="BB408" s="592"/>
      <c r="BC408" s="592"/>
      <c r="BD408" s="592"/>
      <c r="BE408" s="592"/>
      <c r="BF408" s="592"/>
      <c r="BG408" s="358"/>
      <c r="BH408" s="592"/>
      <c r="BI408" s="592"/>
      <c r="BJ408" s="592"/>
      <c r="BK408" s="592"/>
      <c r="BL408" s="592"/>
      <c r="BM408" s="592"/>
      <c r="BN408" s="592"/>
      <c r="BO408" s="592"/>
      <c r="BP408" s="592"/>
      <c r="BQ408" s="594"/>
      <c r="BR408" s="594"/>
      <c r="BS408" s="394"/>
      <c r="BT408" s="594"/>
      <c r="BU408" s="594"/>
      <c r="BV408" s="594"/>
      <c r="BW408" s="618"/>
      <c r="BX408" s="644"/>
      <c r="BY408" s="644"/>
    </row>
    <row r="409" ht="25.5" customHeight="1">
      <c r="A409" s="635"/>
      <c r="B409" s="695">
        <v>45626.45320708334</v>
      </c>
      <c r="C409" s="715">
        <f>-L409/AT409</f>
        <v>13.19010637</v>
      </c>
      <c r="D409" s="642"/>
      <c r="E409" s="574" t="s">
        <v>231</v>
      </c>
      <c r="F409" s="696"/>
      <c r="G409" s="621"/>
      <c r="H409" s="577"/>
      <c r="I409" s="577"/>
      <c r="J409" s="613"/>
      <c r="K409" s="581"/>
      <c r="L409" s="579">
        <v>-2500.0</v>
      </c>
      <c r="M409" s="613"/>
      <c r="N409" s="613"/>
      <c r="O409" s="613"/>
      <c r="P409" s="580"/>
      <c r="Q409" s="580"/>
      <c r="R409" s="581"/>
      <c r="S409" s="581"/>
      <c r="T409" s="581"/>
      <c r="U409" s="582"/>
      <c r="V409" s="614"/>
      <c r="W409" s="581"/>
      <c r="X409" s="615"/>
      <c r="Y409" s="613"/>
      <c r="Z409" s="580"/>
      <c r="AA409" s="634"/>
      <c r="AB409" s="577"/>
      <c r="AC409" s="673"/>
      <c r="AD409" s="634"/>
      <c r="AE409" s="587"/>
      <c r="AF409" s="587"/>
      <c r="AG409" s="582"/>
      <c r="AH409" s="582"/>
      <c r="AI409" s="582"/>
      <c r="AJ409" s="582"/>
      <c r="AK409" s="588"/>
      <c r="AL409" s="582"/>
      <c r="AM409" s="587"/>
      <c r="AN409" s="589"/>
      <c r="AO409" s="616"/>
      <c r="AP409" s="592"/>
      <c r="AQ409" s="358"/>
      <c r="AR409" s="592"/>
      <c r="AS409" s="592"/>
      <c r="AT409" s="591">
        <v>189.536</v>
      </c>
      <c r="AU409" s="592"/>
      <c r="AV409" s="592"/>
      <c r="AW409" s="592"/>
      <c r="AX409" s="592"/>
      <c r="AY409" s="592"/>
      <c r="AZ409" s="592"/>
      <c r="BA409" s="617"/>
      <c r="BB409" s="592"/>
      <c r="BC409" s="592"/>
      <c r="BD409" s="592"/>
      <c r="BE409" s="592"/>
      <c r="BF409" s="592"/>
      <c r="BG409" s="358"/>
      <c r="BH409" s="592"/>
      <c r="BI409" s="592"/>
      <c r="BJ409" s="592"/>
      <c r="BK409" s="592"/>
      <c r="BL409" s="592"/>
      <c r="BM409" s="592"/>
      <c r="BN409" s="592"/>
      <c r="BO409" s="592"/>
      <c r="BP409" s="592"/>
      <c r="BQ409" s="594"/>
      <c r="BR409" s="594"/>
      <c r="BS409" s="394"/>
      <c r="BT409" s="594"/>
      <c r="BU409" s="594"/>
      <c r="BV409" s="594"/>
      <c r="BW409" s="618"/>
      <c r="BX409" s="644"/>
      <c r="BY409" s="644"/>
    </row>
    <row r="410" ht="25.5" customHeight="1">
      <c r="A410" s="635"/>
      <c r="B410" s="695">
        <v>45627.45349127315</v>
      </c>
      <c r="C410" s="715"/>
      <c r="D410" s="642"/>
      <c r="E410" s="574" t="s">
        <v>469</v>
      </c>
      <c r="F410" s="696"/>
      <c r="G410" s="621"/>
      <c r="H410" s="577"/>
      <c r="I410" s="577"/>
      <c r="J410" s="613"/>
      <c r="K410" s="581"/>
      <c r="L410" s="579"/>
      <c r="M410" s="613"/>
      <c r="N410" s="613"/>
      <c r="O410" s="613"/>
      <c r="P410" s="580"/>
      <c r="Q410" s="580"/>
      <c r="R410" s="581"/>
      <c r="S410" s="581"/>
      <c r="T410" s="581"/>
      <c r="U410" s="582"/>
      <c r="V410" s="614"/>
      <c r="W410" s="581"/>
      <c r="X410" s="615"/>
      <c r="Y410" s="604">
        <v>0.685030000000001</v>
      </c>
      <c r="Z410" s="580"/>
      <c r="AA410" s="634"/>
      <c r="AB410" s="577"/>
      <c r="AC410" s="673"/>
      <c r="AD410" s="634"/>
      <c r="AE410" s="587"/>
      <c r="AF410" s="587"/>
      <c r="AG410" s="582"/>
      <c r="AH410" s="582"/>
      <c r="AI410" s="582"/>
      <c r="AJ410" s="582"/>
      <c r="AK410" s="588"/>
      <c r="AL410" s="582"/>
      <c r="AM410" s="587"/>
      <c r="AN410" s="589"/>
      <c r="AO410" s="616"/>
      <c r="AP410" s="592"/>
      <c r="AQ410" s="358"/>
      <c r="AR410" s="592"/>
      <c r="AS410" s="592"/>
      <c r="AT410" s="591"/>
      <c r="AU410" s="592"/>
      <c r="AV410" s="592"/>
      <c r="AW410" s="592"/>
      <c r="AX410" s="592"/>
      <c r="AY410" s="592"/>
      <c r="AZ410" s="592"/>
      <c r="BA410" s="617"/>
      <c r="BB410" s="592"/>
      <c r="BC410" s="592"/>
      <c r="BD410" s="592"/>
      <c r="BE410" s="592"/>
      <c r="BF410" s="592"/>
      <c r="BG410" s="358"/>
      <c r="BH410" s="592"/>
      <c r="BI410" s="592"/>
      <c r="BJ410" s="592"/>
      <c r="BK410" s="592"/>
      <c r="BL410" s="592"/>
      <c r="BM410" s="592"/>
      <c r="BN410" s="592"/>
      <c r="BO410" s="592"/>
      <c r="BP410" s="592"/>
      <c r="BQ410" s="594"/>
      <c r="BR410" s="594"/>
      <c r="BS410" s="394"/>
      <c r="BT410" s="594"/>
      <c r="BU410" s="594"/>
      <c r="BV410" s="594"/>
      <c r="BW410" s="618"/>
      <c r="BX410" s="644"/>
      <c r="BY410" s="644"/>
    </row>
    <row r="411" ht="25.5" customHeight="1">
      <c r="A411" s="635"/>
      <c r="B411" s="695">
        <v>45627.45349127315</v>
      </c>
      <c r="C411" s="715"/>
      <c r="D411" s="642"/>
      <c r="E411" s="574" t="s">
        <v>218</v>
      </c>
      <c r="F411" s="696"/>
      <c r="G411" s="621"/>
      <c r="H411" s="577"/>
      <c r="I411" s="577"/>
      <c r="J411" s="613"/>
      <c r="K411" s="581"/>
      <c r="L411" s="579"/>
      <c r="M411" s="613"/>
      <c r="N411" s="613">
        <f>16.5725-0.0568</f>
        <v>16.5157</v>
      </c>
      <c r="O411" s="613"/>
      <c r="P411" s="580"/>
      <c r="Q411" s="580"/>
      <c r="R411" s="581"/>
      <c r="S411" s="581"/>
      <c r="T411" s="581"/>
      <c r="U411" s="582"/>
      <c r="V411" s="614"/>
      <c r="W411" s="581"/>
      <c r="X411" s="615"/>
      <c r="Y411" s="604">
        <v>-16.5157</v>
      </c>
      <c r="Z411" s="580"/>
      <c r="AA411" s="634"/>
      <c r="AB411" s="577"/>
      <c r="AC411" s="673"/>
      <c r="AD411" s="634"/>
      <c r="AE411" s="587"/>
      <c r="AF411" s="587"/>
      <c r="AG411" s="582"/>
      <c r="AH411" s="582"/>
      <c r="AI411" s="582"/>
      <c r="AJ411" s="582"/>
      <c r="AK411" s="588"/>
      <c r="AL411" s="582"/>
      <c r="AM411" s="587"/>
      <c r="AN411" s="589"/>
      <c r="AO411" s="616"/>
      <c r="AP411" s="592"/>
      <c r="AQ411" s="358"/>
      <c r="AR411" s="592"/>
      <c r="AS411" s="592"/>
      <c r="AT411" s="591"/>
      <c r="AU411" s="592"/>
      <c r="AV411" s="592"/>
      <c r="AW411" s="592"/>
      <c r="AX411" s="592"/>
      <c r="AY411" s="592"/>
      <c r="AZ411" s="592"/>
      <c r="BA411" s="617"/>
      <c r="BB411" s="592"/>
      <c r="BC411" s="592"/>
      <c r="BD411" s="592"/>
      <c r="BE411" s="592"/>
      <c r="BF411" s="592"/>
      <c r="BG411" s="358"/>
      <c r="BH411" s="592"/>
      <c r="BI411" s="592"/>
      <c r="BJ411" s="592"/>
      <c r="BK411" s="592"/>
      <c r="BL411" s="592"/>
      <c r="BM411" s="592"/>
      <c r="BN411" s="592"/>
      <c r="BO411" s="592"/>
      <c r="BP411" s="592"/>
      <c r="BQ411" s="594"/>
      <c r="BR411" s="594"/>
      <c r="BS411" s="394"/>
      <c r="BT411" s="594"/>
      <c r="BU411" s="594"/>
      <c r="BV411" s="594"/>
      <c r="BW411" s="618"/>
      <c r="BX411" s="644"/>
      <c r="BY411" s="644"/>
    </row>
    <row r="412" ht="25.5" customHeight="1">
      <c r="A412" s="635"/>
      <c r="B412" s="695">
        <v>45627.460883946755</v>
      </c>
      <c r="C412" s="642"/>
      <c r="D412" s="642"/>
      <c r="E412" s="574" t="s">
        <v>469</v>
      </c>
      <c r="F412" s="696"/>
      <c r="G412" s="621"/>
      <c r="H412" s="577"/>
      <c r="I412" s="577"/>
      <c r="J412" s="613"/>
      <c r="K412" s="581"/>
      <c r="L412" s="581"/>
      <c r="M412" s="613"/>
      <c r="N412" s="604"/>
      <c r="O412" s="613"/>
      <c r="P412" s="580"/>
      <c r="Q412" s="580"/>
      <c r="R412" s="581"/>
      <c r="S412" s="581"/>
      <c r="T412" s="581"/>
      <c r="U412" s="582"/>
      <c r="V412" s="614"/>
      <c r="W412" s="581"/>
      <c r="X412" s="615"/>
      <c r="Y412" s="604">
        <v>1.1459</v>
      </c>
      <c r="Z412" s="580"/>
      <c r="AA412" s="634"/>
      <c r="AB412" s="577"/>
      <c r="AC412" s="673"/>
      <c r="AD412" s="634"/>
      <c r="AE412" s="587"/>
      <c r="AF412" s="587"/>
      <c r="AG412" s="582"/>
      <c r="AH412" s="582"/>
      <c r="AI412" s="582"/>
      <c r="AJ412" s="582"/>
      <c r="AK412" s="588"/>
      <c r="AL412" s="582"/>
      <c r="AM412" s="587"/>
      <c r="AN412" s="589"/>
      <c r="AO412" s="616"/>
      <c r="AP412" s="592"/>
      <c r="AQ412" s="358"/>
      <c r="AR412" s="592"/>
      <c r="AS412" s="592"/>
      <c r="AT412" s="592"/>
      <c r="AU412" s="592"/>
      <c r="AV412" s="592"/>
      <c r="AW412" s="592"/>
      <c r="AX412" s="592"/>
      <c r="AY412" s="592"/>
      <c r="AZ412" s="592"/>
      <c r="BA412" s="617"/>
      <c r="BB412" s="592"/>
      <c r="BC412" s="592"/>
      <c r="BD412" s="592"/>
      <c r="BE412" s="592"/>
      <c r="BF412" s="592"/>
      <c r="BG412" s="358"/>
      <c r="BH412" s="592"/>
      <c r="BI412" s="592"/>
      <c r="BJ412" s="592"/>
      <c r="BK412" s="592"/>
      <c r="BL412" s="592"/>
      <c r="BM412" s="592"/>
      <c r="BN412" s="592"/>
      <c r="BO412" s="592"/>
      <c r="BP412" s="592"/>
      <c r="BQ412" s="594"/>
      <c r="BR412" s="594"/>
      <c r="BS412" s="394"/>
      <c r="BT412" s="594"/>
      <c r="BU412" s="594"/>
      <c r="BV412" s="594"/>
      <c r="BW412" s="618"/>
      <c r="BX412" s="644"/>
      <c r="BY412" s="608"/>
      <c r="BZ412" s="53"/>
    </row>
    <row r="413" ht="25.5" customHeight="1">
      <c r="A413" s="635"/>
      <c r="B413" s="695">
        <v>45627.460883946755</v>
      </c>
      <c r="C413" s="642"/>
      <c r="D413" s="642"/>
      <c r="E413" s="574" t="s">
        <v>218</v>
      </c>
      <c r="F413" s="696"/>
      <c r="G413" s="621"/>
      <c r="H413" s="577"/>
      <c r="I413" s="577"/>
      <c r="J413" s="613"/>
      <c r="K413" s="581"/>
      <c r="L413" s="581"/>
      <c r="M413" s="613"/>
      <c r="N413" s="604">
        <v>20.2722</v>
      </c>
      <c r="O413" s="613"/>
      <c r="P413" s="580"/>
      <c r="Q413" s="580"/>
      <c r="R413" s="581"/>
      <c r="S413" s="581"/>
      <c r="T413" s="581"/>
      <c r="U413" s="582"/>
      <c r="V413" s="614"/>
      <c r="W413" s="581"/>
      <c r="X413" s="615"/>
      <c r="Y413" s="604">
        <v>-20.2722</v>
      </c>
      <c r="Z413" s="580"/>
      <c r="AA413" s="634"/>
      <c r="AB413" s="577"/>
      <c r="AC413" s="673"/>
      <c r="AD413" s="634"/>
      <c r="AE413" s="587"/>
      <c r="AF413" s="587"/>
      <c r="AG413" s="582"/>
      <c r="AH413" s="582"/>
      <c r="AI413" s="582"/>
      <c r="AJ413" s="582"/>
      <c r="AK413" s="588"/>
      <c r="AL413" s="582"/>
      <c r="AM413" s="587"/>
      <c r="AN413" s="589"/>
      <c r="AO413" s="616"/>
      <c r="AP413" s="592"/>
      <c r="AQ413" s="358"/>
      <c r="AR413" s="592"/>
      <c r="AS413" s="592"/>
      <c r="AT413" s="592"/>
      <c r="AU413" s="592"/>
      <c r="AV413" s="592"/>
      <c r="AW413" s="592"/>
      <c r="AX413" s="592"/>
      <c r="AY413" s="592"/>
      <c r="AZ413" s="592"/>
      <c r="BA413" s="617"/>
      <c r="BB413" s="592"/>
      <c r="BC413" s="592"/>
      <c r="BD413" s="592"/>
      <c r="BE413" s="592"/>
      <c r="BF413" s="592"/>
      <c r="BG413" s="358"/>
      <c r="BH413" s="592"/>
      <c r="BI413" s="592"/>
      <c r="BJ413" s="592"/>
      <c r="BK413" s="592"/>
      <c r="BL413" s="592"/>
      <c r="BM413" s="592"/>
      <c r="BN413" s="592"/>
      <c r="BO413" s="592"/>
      <c r="BP413" s="592"/>
      <c r="BQ413" s="594"/>
      <c r="BR413" s="594"/>
      <c r="BS413" s="394"/>
      <c r="BT413" s="594"/>
      <c r="BU413" s="594"/>
      <c r="BV413" s="594"/>
      <c r="BW413" s="618"/>
      <c r="BX413" s="644"/>
      <c r="BY413" s="608"/>
      <c r="BZ413" s="609" t="s">
        <v>566</v>
      </c>
    </row>
    <row r="414" ht="25.5" customHeight="1">
      <c r="A414" s="635"/>
      <c r="B414" s="695">
        <v>45629.79829979167</v>
      </c>
      <c r="C414" s="642"/>
      <c r="D414" s="642"/>
      <c r="E414" s="574" t="s">
        <v>218</v>
      </c>
      <c r="F414" s="696"/>
      <c r="G414" s="621"/>
      <c r="H414" s="577"/>
      <c r="I414" s="577"/>
      <c r="J414" s="613"/>
      <c r="K414" s="581"/>
      <c r="L414" s="581"/>
      <c r="M414" s="604">
        <f>83.7839-46.9489</f>
        <v>36.835</v>
      </c>
      <c r="N414" s="604">
        <f>-36.8447+0.009</f>
        <v>-36.8357</v>
      </c>
      <c r="O414" s="613"/>
      <c r="P414" s="580"/>
      <c r="Q414" s="580"/>
      <c r="R414" s="581"/>
      <c r="S414" s="581"/>
      <c r="T414" s="581"/>
      <c r="U414" s="582"/>
      <c r="V414" s="614"/>
      <c r="W414" s="581"/>
      <c r="X414" s="615"/>
      <c r="Y414" s="613"/>
      <c r="Z414" s="580"/>
      <c r="AA414" s="634"/>
      <c r="AB414" s="577"/>
      <c r="AC414" s="673"/>
      <c r="AD414" s="634"/>
      <c r="AE414" s="587"/>
      <c r="AF414" s="587"/>
      <c r="AG414" s="582"/>
      <c r="AH414" s="582"/>
      <c r="AI414" s="582"/>
      <c r="AJ414" s="582"/>
      <c r="AK414" s="588"/>
      <c r="AL414" s="582"/>
      <c r="AM414" s="587"/>
      <c r="AN414" s="589"/>
      <c r="AO414" s="616"/>
      <c r="AP414" s="592"/>
      <c r="AQ414" s="358"/>
      <c r="AR414" s="592"/>
      <c r="AS414" s="592"/>
      <c r="AT414" s="592"/>
      <c r="AU414" s="592"/>
      <c r="AV414" s="592"/>
      <c r="AW414" s="592"/>
      <c r="AX414" s="592"/>
      <c r="AY414" s="592"/>
      <c r="AZ414" s="592"/>
      <c r="BA414" s="617"/>
      <c r="BB414" s="592"/>
      <c r="BC414" s="592"/>
      <c r="BD414" s="592"/>
      <c r="BE414" s="592"/>
      <c r="BF414" s="592"/>
      <c r="BG414" s="358"/>
      <c r="BH414" s="592"/>
      <c r="BI414" s="592"/>
      <c r="BJ414" s="592"/>
      <c r="BK414" s="592"/>
      <c r="BL414" s="592"/>
      <c r="BM414" s="592"/>
      <c r="BN414" s="592"/>
      <c r="BO414" s="592"/>
      <c r="BP414" s="592"/>
      <c r="BQ414" s="594"/>
      <c r="BR414" s="594"/>
      <c r="BS414" s="394"/>
      <c r="BT414" s="594"/>
      <c r="BU414" s="594"/>
      <c r="BV414" s="594"/>
      <c r="BW414" s="618"/>
      <c r="BX414" s="644"/>
      <c r="BY414" s="608"/>
      <c r="BZ414" s="658" t="s">
        <v>567</v>
      </c>
    </row>
    <row r="415" ht="25.5" customHeight="1">
      <c r="A415" s="635"/>
      <c r="B415" s="695">
        <v>45629.81264208333</v>
      </c>
      <c r="C415" s="642"/>
      <c r="D415" s="642"/>
      <c r="E415" s="574" t="s">
        <v>218</v>
      </c>
      <c r="F415" s="696"/>
      <c r="G415" s="621"/>
      <c r="H415" s="577"/>
      <c r="I415" s="577"/>
      <c r="J415" s="613"/>
      <c r="K415" s="581"/>
      <c r="L415" s="581"/>
      <c r="M415" s="613">
        <f>-83.7839+0.06418</f>
        <v>-83.71972</v>
      </c>
      <c r="N415" s="604"/>
      <c r="O415" s="613"/>
      <c r="P415" s="580"/>
      <c r="Q415" s="580"/>
      <c r="R415" s="581"/>
      <c r="S415" s="581"/>
      <c r="T415" s="581"/>
      <c r="U415" s="582"/>
      <c r="V415" s="614"/>
      <c r="W415" s="581"/>
      <c r="X415" s="615"/>
      <c r="Y415" s="613"/>
      <c r="Z415" s="686">
        <v>83.7197</v>
      </c>
      <c r="AA415" s="634"/>
      <c r="AB415" s="577"/>
      <c r="AC415" s="673"/>
      <c r="AD415" s="634"/>
      <c r="AE415" s="587"/>
      <c r="AF415" s="587"/>
      <c r="AG415" s="582"/>
      <c r="AH415" s="582"/>
      <c r="AI415" s="582"/>
      <c r="AJ415" s="582"/>
      <c r="AK415" s="588"/>
      <c r="AL415" s="582"/>
      <c r="AM415" s="587"/>
      <c r="AN415" s="589"/>
      <c r="AO415" s="616"/>
      <c r="AP415" s="592"/>
      <c r="AQ415" s="358"/>
      <c r="AR415" s="592"/>
      <c r="AS415" s="592"/>
      <c r="AT415" s="592"/>
      <c r="AU415" s="592"/>
      <c r="AV415" s="592"/>
      <c r="AW415" s="592"/>
      <c r="AX415" s="592"/>
      <c r="AY415" s="592"/>
      <c r="AZ415" s="592"/>
      <c r="BA415" s="617"/>
      <c r="BB415" s="592"/>
      <c r="BC415" s="592"/>
      <c r="BD415" s="592"/>
      <c r="BE415" s="592"/>
      <c r="BF415" s="592"/>
      <c r="BG415" s="358"/>
      <c r="BH415" s="592"/>
      <c r="BI415" s="592"/>
      <c r="BJ415" s="592"/>
      <c r="BK415" s="592"/>
      <c r="BL415" s="592"/>
      <c r="BM415" s="592"/>
      <c r="BN415" s="592"/>
      <c r="BO415" s="592"/>
      <c r="BP415" s="592"/>
      <c r="BQ415" s="594"/>
      <c r="BR415" s="594"/>
      <c r="BS415" s="394"/>
      <c r="BT415" s="594"/>
      <c r="BU415" s="594"/>
      <c r="BV415" s="594"/>
      <c r="BW415" s="618"/>
      <c r="BX415" s="644"/>
      <c r="BY415" s="608" t="s">
        <v>568</v>
      </c>
      <c r="BZ415" s="53"/>
    </row>
    <row r="416" ht="25.5" customHeight="1">
      <c r="A416" s="635"/>
      <c r="B416" s="695">
        <v>45632.936071909724</v>
      </c>
      <c r="C416" s="642"/>
      <c r="D416" s="642"/>
      <c r="E416" s="574" t="s">
        <v>218</v>
      </c>
      <c r="F416" s="696"/>
      <c r="G416" s="621"/>
      <c r="H416" s="577"/>
      <c r="I416" s="577"/>
      <c r="J416" s="613"/>
      <c r="K416" s="579">
        <v>40000.0</v>
      </c>
      <c r="L416" s="579">
        <v>-40000.0</v>
      </c>
      <c r="M416" s="613"/>
      <c r="N416" s="604"/>
      <c r="O416" s="613"/>
      <c r="P416" s="580"/>
      <c r="Q416" s="580"/>
      <c r="R416" s="581"/>
      <c r="S416" s="581"/>
      <c r="T416" s="581"/>
      <c r="U416" s="582"/>
      <c r="V416" s="614"/>
      <c r="W416" s="581"/>
      <c r="X416" s="615"/>
      <c r="Y416" s="613"/>
      <c r="Z416" s="580"/>
      <c r="AA416" s="634"/>
      <c r="AB416" s="577"/>
      <c r="AC416" s="673"/>
      <c r="AD416" s="634"/>
      <c r="AE416" s="587"/>
      <c r="AF416" s="587"/>
      <c r="AG416" s="582"/>
      <c r="AH416" s="582"/>
      <c r="AI416" s="582"/>
      <c r="AJ416" s="582"/>
      <c r="AK416" s="588"/>
      <c r="AL416" s="582"/>
      <c r="AM416" s="587"/>
      <c r="AN416" s="589"/>
      <c r="AO416" s="616"/>
      <c r="AP416" s="592"/>
      <c r="AQ416" s="358"/>
      <c r="AR416" s="592"/>
      <c r="AS416" s="592"/>
      <c r="AT416" s="592"/>
      <c r="AU416" s="592"/>
      <c r="AV416" s="592"/>
      <c r="AW416" s="592"/>
      <c r="AX416" s="592"/>
      <c r="AY416" s="592"/>
      <c r="AZ416" s="592"/>
      <c r="BA416" s="617"/>
      <c r="BB416" s="592"/>
      <c r="BC416" s="592"/>
      <c r="BD416" s="592"/>
      <c r="BE416" s="592"/>
      <c r="BF416" s="592"/>
      <c r="BG416" s="358"/>
      <c r="BH416" s="592"/>
      <c r="BI416" s="592"/>
      <c r="BJ416" s="592"/>
      <c r="BK416" s="592"/>
      <c r="BL416" s="592"/>
      <c r="BM416" s="592"/>
      <c r="BN416" s="592"/>
      <c r="BO416" s="592"/>
      <c r="BP416" s="592"/>
      <c r="BQ416" s="594"/>
      <c r="BR416" s="594"/>
      <c r="BS416" s="394"/>
      <c r="BT416" s="594"/>
      <c r="BU416" s="594"/>
      <c r="BV416" s="594"/>
      <c r="BW416" s="618"/>
      <c r="BX416" s="644"/>
      <c r="BY416" s="608"/>
      <c r="BZ416" s="609" t="s">
        <v>569</v>
      </c>
    </row>
    <row r="417" ht="25.5" customHeight="1">
      <c r="A417" s="635"/>
      <c r="B417" s="695">
        <v>45633.17741121528</v>
      </c>
      <c r="C417" s="642"/>
      <c r="D417" s="642"/>
      <c r="E417" s="574" t="s">
        <v>231</v>
      </c>
      <c r="F417" s="696"/>
      <c r="G417" s="621"/>
      <c r="H417" s="577"/>
      <c r="I417" s="577"/>
      <c r="J417" s="613"/>
      <c r="K417" s="579">
        <v>-2500.0</v>
      </c>
      <c r="L417" s="581"/>
      <c r="M417" s="613"/>
      <c r="N417" s="604"/>
      <c r="O417" s="613"/>
      <c r="P417" s="580"/>
      <c r="Q417" s="580"/>
      <c r="R417" s="581"/>
      <c r="S417" s="581"/>
      <c r="T417" s="581"/>
      <c r="U417" s="582"/>
      <c r="V417" s="614"/>
      <c r="W417" s="581"/>
      <c r="X417" s="615"/>
      <c r="Y417" s="613"/>
      <c r="Z417" s="580"/>
      <c r="AA417" s="634"/>
      <c r="AB417" s="577"/>
      <c r="AC417" s="673"/>
      <c r="AD417" s="634"/>
      <c r="AE417" s="587"/>
      <c r="AF417" s="587"/>
      <c r="AG417" s="582"/>
      <c r="AH417" s="582"/>
      <c r="AI417" s="582"/>
      <c r="AJ417" s="582"/>
      <c r="AK417" s="588"/>
      <c r="AL417" s="582"/>
      <c r="AM417" s="587"/>
      <c r="AN417" s="589"/>
      <c r="AO417" s="616"/>
      <c r="AP417" s="592"/>
      <c r="AQ417" s="358"/>
      <c r="AR417" s="592"/>
      <c r="AS417" s="592"/>
      <c r="AT417" s="592">
        <f>332.6589-189.54</f>
        <v>143.1189</v>
      </c>
      <c r="AU417" s="592"/>
      <c r="AV417" s="592"/>
      <c r="AW417" s="592"/>
      <c r="AX417" s="592"/>
      <c r="AY417" s="592"/>
      <c r="AZ417" s="592"/>
      <c r="BA417" s="617"/>
      <c r="BB417" s="592"/>
      <c r="BC417" s="592"/>
      <c r="BD417" s="592"/>
      <c r="BE417" s="592"/>
      <c r="BF417" s="592"/>
      <c r="BG417" s="358"/>
      <c r="BH417" s="592"/>
      <c r="BI417" s="592"/>
      <c r="BJ417" s="592"/>
      <c r="BK417" s="592"/>
      <c r="BL417" s="592"/>
      <c r="BM417" s="592"/>
      <c r="BN417" s="592"/>
      <c r="BO417" s="592"/>
      <c r="BP417" s="592"/>
      <c r="BQ417" s="594"/>
      <c r="BR417" s="594"/>
      <c r="BS417" s="394"/>
      <c r="BT417" s="594"/>
      <c r="BU417" s="594"/>
      <c r="BV417" s="594"/>
      <c r="BW417" s="618"/>
      <c r="BX417" s="644"/>
      <c r="BY417" s="608"/>
      <c r="BZ417" s="53"/>
    </row>
    <row r="418" ht="25.5" customHeight="1">
      <c r="A418" s="635"/>
      <c r="B418" s="695">
        <f>now()</f>
        <v>45664.89611</v>
      </c>
      <c r="C418" s="642"/>
      <c r="D418" s="642"/>
      <c r="E418" s="574" t="s">
        <v>231</v>
      </c>
      <c r="F418" s="696"/>
      <c r="G418" s="621"/>
      <c r="H418" s="577"/>
      <c r="I418" s="577"/>
      <c r="J418" s="613"/>
      <c r="K418" s="579">
        <v>-2500.0</v>
      </c>
      <c r="L418" s="581"/>
      <c r="M418" s="613"/>
      <c r="N418" s="604"/>
      <c r="O418" s="613"/>
      <c r="P418" s="580"/>
      <c r="Q418" s="580"/>
      <c r="R418" s="581"/>
      <c r="S418" s="581"/>
      <c r="T418" s="581"/>
      <c r="U418" s="582"/>
      <c r="V418" s="614"/>
      <c r="W418" s="581"/>
      <c r="X418" s="615"/>
      <c r="Y418" s="613"/>
      <c r="Z418" s="580"/>
      <c r="AA418" s="634"/>
      <c r="AB418" s="577"/>
      <c r="AC418" s="673"/>
      <c r="AD418" s="634"/>
      <c r="AE418" s="587"/>
      <c r="AF418" s="587"/>
      <c r="AG418" s="582"/>
      <c r="AH418" s="582"/>
      <c r="AI418" s="582"/>
      <c r="AJ418" s="582"/>
      <c r="AK418" s="588"/>
      <c r="AL418" s="582"/>
      <c r="AM418" s="587"/>
      <c r="AN418" s="589"/>
      <c r="AO418" s="616"/>
      <c r="AP418" s="592"/>
      <c r="AQ418" s="358"/>
      <c r="AR418" s="592"/>
      <c r="AS418" s="592">
        <f>1797.784246-1017.32</f>
        <v>780.464246</v>
      </c>
      <c r="AT418" s="592"/>
      <c r="AU418" s="592"/>
      <c r="AV418" s="592"/>
      <c r="AW418" s="592"/>
      <c r="AX418" s="592"/>
      <c r="AY418" s="592"/>
      <c r="AZ418" s="592"/>
      <c r="BA418" s="617"/>
      <c r="BB418" s="592"/>
      <c r="BC418" s="592"/>
      <c r="BD418" s="592"/>
      <c r="BE418" s="592"/>
      <c r="BF418" s="592"/>
      <c r="BG418" s="358"/>
      <c r="BH418" s="592"/>
      <c r="BI418" s="592"/>
      <c r="BJ418" s="592"/>
      <c r="BK418" s="592"/>
      <c r="BL418" s="592"/>
      <c r="BM418" s="592"/>
      <c r="BN418" s="592"/>
      <c r="BO418" s="592"/>
      <c r="BP418" s="592"/>
      <c r="BQ418" s="594"/>
      <c r="BR418" s="594"/>
      <c r="BS418" s="394"/>
      <c r="BT418" s="594"/>
      <c r="BU418" s="594"/>
      <c r="BV418" s="594"/>
      <c r="BW418" s="618"/>
      <c r="BX418" s="644"/>
      <c r="BY418" s="608"/>
      <c r="BZ418" s="53"/>
    </row>
    <row r="419" ht="25.5" customHeight="1">
      <c r="A419" s="635"/>
      <c r="B419" s="695">
        <v>45634.65734041667</v>
      </c>
      <c r="C419" s="642"/>
      <c r="D419" s="642"/>
      <c r="E419" s="574" t="s">
        <v>231</v>
      </c>
      <c r="F419" s="696"/>
      <c r="G419" s="621"/>
      <c r="H419" s="577"/>
      <c r="I419" s="577"/>
      <c r="J419" s="613"/>
      <c r="K419" s="579">
        <v>-2500.0</v>
      </c>
      <c r="L419" s="581"/>
      <c r="M419" s="613"/>
      <c r="N419" s="604"/>
      <c r="O419" s="613"/>
      <c r="P419" s="580"/>
      <c r="Q419" s="580"/>
      <c r="R419" s="581"/>
      <c r="S419" s="581"/>
      <c r="T419" s="581"/>
      <c r="U419" s="582"/>
      <c r="V419" s="614"/>
      <c r="W419" s="581"/>
      <c r="X419" s="615"/>
      <c r="Y419" s="613"/>
      <c r="Z419" s="580"/>
      <c r="AA419" s="634"/>
      <c r="AB419" s="577"/>
      <c r="AC419" s="673"/>
      <c r="AD419" s="634"/>
      <c r="AE419" s="587"/>
      <c r="AF419" s="587"/>
      <c r="AG419" s="582"/>
      <c r="AH419" s="582"/>
      <c r="AI419" s="582"/>
      <c r="AJ419" s="582"/>
      <c r="AK419" s="588"/>
      <c r="AL419" s="582"/>
      <c r="AM419" s="587"/>
      <c r="AN419" s="589"/>
      <c r="AO419" s="616"/>
      <c r="AP419" s="592"/>
      <c r="AQ419" s="656"/>
      <c r="AR419" s="592">
        <f>761.46-412.16</f>
        <v>349.3</v>
      </c>
      <c r="AS419" s="592"/>
      <c r="AT419" s="592"/>
      <c r="AU419" s="592"/>
      <c r="AV419" s="592"/>
      <c r="AW419" s="592"/>
      <c r="AX419" s="592"/>
      <c r="AY419" s="592"/>
      <c r="AZ419" s="592"/>
      <c r="BA419" s="617"/>
      <c r="BB419" s="592"/>
      <c r="BC419" s="592"/>
      <c r="BD419" s="592"/>
      <c r="BE419" s="592"/>
      <c r="BF419" s="592"/>
      <c r="BG419" s="358"/>
      <c r="BH419" s="592"/>
      <c r="BI419" s="592"/>
      <c r="BJ419" s="592"/>
      <c r="BK419" s="592"/>
      <c r="BL419" s="592"/>
      <c r="BM419" s="592"/>
      <c r="BN419" s="592"/>
      <c r="BO419" s="592"/>
      <c r="BP419" s="592"/>
      <c r="BQ419" s="594"/>
      <c r="BR419" s="594"/>
      <c r="BS419" s="394"/>
      <c r="BT419" s="594"/>
      <c r="BU419" s="594"/>
      <c r="BV419" s="594"/>
      <c r="BW419" s="618"/>
      <c r="BX419" s="644"/>
      <c r="BY419" s="608"/>
      <c r="BZ419" s="53"/>
    </row>
    <row r="420" ht="25.5" customHeight="1">
      <c r="A420" s="635"/>
      <c r="B420" s="695">
        <v>45634.65734041667</v>
      </c>
      <c r="C420" s="642"/>
      <c r="D420" s="642"/>
      <c r="E420" s="574" t="s">
        <v>231</v>
      </c>
      <c r="F420" s="696"/>
      <c r="G420" s="621"/>
      <c r="H420" s="577"/>
      <c r="I420" s="577"/>
      <c r="J420" s="613"/>
      <c r="K420" s="579">
        <v>-2500.0</v>
      </c>
      <c r="L420" s="581"/>
      <c r="M420" s="613"/>
      <c r="N420" s="604"/>
      <c r="O420" s="613"/>
      <c r="P420" s="580"/>
      <c r="Q420" s="580"/>
      <c r="R420" s="581"/>
      <c r="S420" s="581"/>
      <c r="T420" s="581"/>
      <c r="U420" s="582"/>
      <c r="V420" s="614"/>
      <c r="W420" s="581"/>
      <c r="X420" s="615"/>
      <c r="Y420" s="613"/>
      <c r="Z420" s="580"/>
      <c r="AA420" s="634"/>
      <c r="AB420" s="577"/>
      <c r="AC420" s="673"/>
      <c r="AD420" s="634"/>
      <c r="AE420" s="587"/>
      <c r="AF420" s="587"/>
      <c r="AG420" s="582"/>
      <c r="AH420" s="582"/>
      <c r="AI420" s="582"/>
      <c r="AJ420" s="582"/>
      <c r="AK420" s="588"/>
      <c r="AL420" s="582"/>
      <c r="AM420" s="587"/>
      <c r="AN420" s="589"/>
      <c r="AO420" s="616"/>
      <c r="AP420" s="591">
        <f>21.2751-12.19</f>
        <v>9.0851</v>
      </c>
      <c r="AQ420" s="358"/>
      <c r="AR420" s="592"/>
      <c r="AS420" s="592"/>
      <c r="AT420" s="592"/>
      <c r="AU420" s="592"/>
      <c r="AV420" s="592"/>
      <c r="AW420" s="592"/>
      <c r="AX420" s="592"/>
      <c r="AY420" s="592"/>
      <c r="AZ420" s="592"/>
      <c r="BA420" s="617"/>
      <c r="BB420" s="592"/>
      <c r="BC420" s="592"/>
      <c r="BD420" s="592"/>
      <c r="BE420" s="592"/>
      <c r="BF420" s="592"/>
      <c r="BG420" s="358"/>
      <c r="BH420" s="592"/>
      <c r="BI420" s="592"/>
      <c r="BJ420" s="592"/>
      <c r="BK420" s="592"/>
      <c r="BL420" s="592"/>
      <c r="BM420" s="592"/>
      <c r="BN420" s="592"/>
      <c r="BO420" s="592"/>
      <c r="BP420" s="592"/>
      <c r="BQ420" s="594"/>
      <c r="BR420" s="594"/>
      <c r="BS420" s="394"/>
      <c r="BT420" s="594"/>
      <c r="BU420" s="594"/>
      <c r="BV420" s="594"/>
      <c r="BW420" s="618"/>
      <c r="BX420" s="644"/>
      <c r="BY420" s="608"/>
      <c r="BZ420" s="53"/>
    </row>
    <row r="421" ht="25.5" customHeight="1">
      <c r="A421" s="635"/>
      <c r="B421" s="695">
        <f t="shared" ref="B421:B422" si="31">now()</f>
        <v>45664.89611</v>
      </c>
      <c r="C421" s="642"/>
      <c r="D421" s="642"/>
      <c r="E421" s="574" t="s">
        <v>231</v>
      </c>
      <c r="F421" s="696"/>
      <c r="G421" s="621"/>
      <c r="H421" s="577"/>
      <c r="I421" s="577"/>
      <c r="J421" s="613"/>
      <c r="K421" s="579">
        <v>-2500.0</v>
      </c>
      <c r="L421" s="581"/>
      <c r="M421" s="613"/>
      <c r="N421" s="604"/>
      <c r="O421" s="613"/>
      <c r="P421" s="580"/>
      <c r="Q421" s="580"/>
      <c r="R421" s="581"/>
      <c r="S421" s="581"/>
      <c r="T421" s="581"/>
      <c r="U421" s="582"/>
      <c r="V421" s="614"/>
      <c r="W421" s="581"/>
      <c r="X421" s="615"/>
      <c r="Y421" s="613"/>
      <c r="Z421" s="580"/>
      <c r="AA421" s="634"/>
      <c r="AB421" s="577"/>
      <c r="AC421" s="673"/>
      <c r="AD421" s="634"/>
      <c r="AE421" s="587"/>
      <c r="AF421" s="587"/>
      <c r="AG421" s="582"/>
      <c r="AH421" s="582"/>
      <c r="AI421" s="582"/>
      <c r="AJ421" s="582"/>
      <c r="AK421" s="588"/>
      <c r="AL421" s="582"/>
      <c r="AM421" s="587"/>
      <c r="AN421" s="589"/>
      <c r="AO421" s="616"/>
      <c r="AP421" s="592"/>
      <c r="AQ421" s="358"/>
      <c r="AR421" s="592"/>
      <c r="AS421" s="592">
        <f>2590.64-1797.78</f>
        <v>792.86</v>
      </c>
      <c r="AT421" s="592"/>
      <c r="AU421" s="592"/>
      <c r="AV421" s="592"/>
      <c r="AW421" s="592"/>
      <c r="AX421" s="592"/>
      <c r="AY421" s="592"/>
      <c r="AZ421" s="592"/>
      <c r="BA421" s="617"/>
      <c r="BB421" s="592"/>
      <c r="BC421" s="592"/>
      <c r="BD421" s="592"/>
      <c r="BE421" s="592"/>
      <c r="BF421" s="592"/>
      <c r="BG421" s="358"/>
      <c r="BH421" s="592"/>
      <c r="BI421" s="592"/>
      <c r="BJ421" s="592"/>
      <c r="BK421" s="592"/>
      <c r="BL421" s="592"/>
      <c r="BM421" s="592"/>
      <c r="BN421" s="592"/>
      <c r="BO421" s="592"/>
      <c r="BP421" s="592"/>
      <c r="BQ421" s="594"/>
      <c r="BR421" s="594"/>
      <c r="BS421" s="394"/>
      <c r="BT421" s="594"/>
      <c r="BU421" s="594"/>
      <c r="BV421" s="594"/>
      <c r="BW421" s="618"/>
      <c r="BX421" s="644"/>
      <c r="BY421" s="608"/>
      <c r="BZ421" s="53"/>
    </row>
    <row r="422" ht="25.5" customHeight="1">
      <c r="A422" s="635"/>
      <c r="B422" s="695">
        <f t="shared" si="31"/>
        <v>45664.89611</v>
      </c>
      <c r="C422" s="642"/>
      <c r="D422" s="642"/>
      <c r="E422" s="574" t="s">
        <v>231</v>
      </c>
      <c r="F422" s="696"/>
      <c r="G422" s="621"/>
      <c r="H422" s="577"/>
      <c r="I422" s="577"/>
      <c r="J422" s="613"/>
      <c r="K422" s="579">
        <v>-2500.0</v>
      </c>
      <c r="L422" s="581"/>
      <c r="M422" s="613"/>
      <c r="N422" s="604"/>
      <c r="O422" s="613"/>
      <c r="P422" s="580"/>
      <c r="Q422" s="580"/>
      <c r="R422" s="581"/>
      <c r="S422" s="581"/>
      <c r="T422" s="581"/>
      <c r="U422" s="582"/>
      <c r="V422" s="614"/>
      <c r="W422" s="581"/>
      <c r="X422" s="615"/>
      <c r="Y422" s="613"/>
      <c r="Z422" s="580"/>
      <c r="AA422" s="634"/>
      <c r="AB422" s="577"/>
      <c r="AC422" s="673"/>
      <c r="AD422" s="634"/>
      <c r="AE422" s="587"/>
      <c r="AF422" s="587"/>
      <c r="AG422" s="582"/>
      <c r="AH422" s="582"/>
      <c r="AI422" s="582"/>
      <c r="AJ422" s="582"/>
      <c r="AK422" s="588"/>
      <c r="AL422" s="582"/>
      <c r="AM422" s="587"/>
      <c r="AN422" s="589"/>
      <c r="AO422" s="616"/>
      <c r="AP422" s="592"/>
      <c r="AQ422" s="656"/>
      <c r="AR422" s="592">
        <f>1117.22-761.46</f>
        <v>355.76</v>
      </c>
      <c r="AS422" s="592"/>
      <c r="AT422" s="592"/>
      <c r="AU422" s="592"/>
      <c r="AV422" s="592"/>
      <c r="AW422" s="592"/>
      <c r="AX422" s="592"/>
      <c r="AY422" s="592"/>
      <c r="AZ422" s="592"/>
      <c r="BA422" s="617"/>
      <c r="BB422" s="592"/>
      <c r="BC422" s="592"/>
      <c r="BD422" s="592"/>
      <c r="BE422" s="592"/>
      <c r="BF422" s="592"/>
      <c r="BG422" s="358"/>
      <c r="BH422" s="592"/>
      <c r="BI422" s="592"/>
      <c r="BJ422" s="592"/>
      <c r="BK422" s="592"/>
      <c r="BL422" s="592"/>
      <c r="BM422" s="592"/>
      <c r="BN422" s="592"/>
      <c r="BO422" s="592"/>
      <c r="BP422" s="592"/>
      <c r="BQ422" s="594"/>
      <c r="BR422" s="594"/>
      <c r="BS422" s="394"/>
      <c r="BT422" s="594"/>
      <c r="BU422" s="594"/>
      <c r="BV422" s="594"/>
      <c r="BW422" s="618"/>
      <c r="BX422" s="644"/>
      <c r="BY422" s="608"/>
      <c r="BZ422" s="53"/>
    </row>
    <row r="423" ht="25.5" customHeight="1">
      <c r="A423" s="635"/>
      <c r="B423" s="695">
        <f>NOW()</f>
        <v>45664.89611</v>
      </c>
      <c r="C423" s="642"/>
      <c r="D423" s="642"/>
      <c r="E423" s="574" t="s">
        <v>231</v>
      </c>
      <c r="F423" s="696"/>
      <c r="G423" s="621"/>
      <c r="H423" s="577"/>
      <c r="I423" s="577"/>
      <c r="J423" s="613"/>
      <c r="K423" s="579">
        <v>-2500.0</v>
      </c>
      <c r="L423" s="581"/>
      <c r="M423" s="613"/>
      <c r="N423" s="604"/>
      <c r="O423" s="613"/>
      <c r="P423" s="580"/>
      <c r="Q423" s="580"/>
      <c r="R423" s="581"/>
      <c r="S423" s="581"/>
      <c r="T423" s="581"/>
      <c r="U423" s="582"/>
      <c r="V423" s="614"/>
      <c r="W423" s="581"/>
      <c r="X423" s="615"/>
      <c r="Y423" s="613"/>
      <c r="Z423" s="580"/>
      <c r="AA423" s="634"/>
      <c r="AB423" s="577"/>
      <c r="AC423" s="673"/>
      <c r="AD423" s="634"/>
      <c r="AE423" s="587"/>
      <c r="AF423" s="587"/>
      <c r="AG423" s="582"/>
      <c r="AH423" s="582"/>
      <c r="AI423" s="582"/>
      <c r="AJ423" s="582"/>
      <c r="AK423" s="588"/>
      <c r="AL423" s="582"/>
      <c r="AM423" s="587"/>
      <c r="AN423" s="589"/>
      <c r="AO423" s="616"/>
      <c r="AP423" s="592">
        <f>30.69-21.28</f>
        <v>9.41</v>
      </c>
      <c r="AQ423" s="358"/>
      <c r="AR423" s="592"/>
      <c r="AS423" s="592"/>
      <c r="AT423" s="592"/>
      <c r="AU423" s="592"/>
      <c r="AV423" s="592"/>
      <c r="AW423" s="592"/>
      <c r="AX423" s="592"/>
      <c r="AY423" s="592"/>
      <c r="AZ423" s="592"/>
      <c r="BA423" s="617"/>
      <c r="BB423" s="592"/>
      <c r="BC423" s="592"/>
      <c r="BD423" s="592"/>
      <c r="BE423" s="592"/>
      <c r="BF423" s="592"/>
      <c r="BG423" s="358"/>
      <c r="BH423" s="592"/>
      <c r="BI423" s="592"/>
      <c r="BJ423" s="592"/>
      <c r="BK423" s="592"/>
      <c r="BL423" s="592"/>
      <c r="BM423" s="592"/>
      <c r="BN423" s="592"/>
      <c r="BO423" s="592"/>
      <c r="BP423" s="592"/>
      <c r="BQ423" s="594"/>
      <c r="BR423" s="594"/>
      <c r="BS423" s="394"/>
      <c r="BT423" s="594"/>
      <c r="BU423" s="594"/>
      <c r="BV423" s="594"/>
      <c r="BW423" s="618"/>
      <c r="BX423" s="644"/>
      <c r="BY423" s="608"/>
      <c r="BZ423" s="53"/>
    </row>
    <row r="424" ht="25.5" customHeight="1">
      <c r="A424" s="635"/>
      <c r="B424" s="695">
        <v>45636.796047094904</v>
      </c>
      <c r="C424" s="642"/>
      <c r="D424" s="642"/>
      <c r="E424" s="574" t="s">
        <v>231</v>
      </c>
      <c r="F424" s="696"/>
      <c r="G424" s="621"/>
      <c r="H424" s="577"/>
      <c r="I424" s="577"/>
      <c r="J424" s="613"/>
      <c r="K424" s="579">
        <v>-2500.0</v>
      </c>
      <c r="L424" s="581"/>
      <c r="M424" s="613"/>
      <c r="N424" s="613"/>
      <c r="O424" s="613"/>
      <c r="P424" s="580"/>
      <c r="Q424" s="580"/>
      <c r="R424" s="581"/>
      <c r="S424" s="581"/>
      <c r="T424" s="581"/>
      <c r="U424" s="582"/>
      <c r="V424" s="614"/>
      <c r="W424" s="581"/>
      <c r="X424" s="615"/>
      <c r="Y424" s="613"/>
      <c r="Z424" s="580"/>
      <c r="AA424" s="634"/>
      <c r="AB424" s="577"/>
      <c r="AC424" s="673"/>
      <c r="AD424" s="634"/>
      <c r="AE424" s="587"/>
      <c r="AF424" s="587"/>
      <c r="AG424" s="582"/>
      <c r="AH424" s="582"/>
      <c r="AI424" s="582"/>
      <c r="AJ424" s="582"/>
      <c r="AK424" s="588"/>
      <c r="AL424" s="582"/>
      <c r="AM424" s="587"/>
      <c r="AN424" s="589"/>
      <c r="AO424" s="616"/>
      <c r="AP424" s="592"/>
      <c r="AQ424" s="358"/>
      <c r="AR424" s="592"/>
      <c r="AS424" s="592">
        <f>3585.65-2590.64</f>
        <v>995.01</v>
      </c>
      <c r="AT424" s="592"/>
      <c r="AU424" s="592"/>
      <c r="AV424" s="592"/>
      <c r="AW424" s="592"/>
      <c r="AX424" s="592"/>
      <c r="AY424" s="592"/>
      <c r="AZ424" s="592"/>
      <c r="BA424" s="617"/>
      <c r="BB424" s="592"/>
      <c r="BC424" s="592"/>
      <c r="BD424" s="592"/>
      <c r="BE424" s="592"/>
      <c r="BF424" s="592"/>
      <c r="BG424" s="358"/>
      <c r="BH424" s="592"/>
      <c r="BI424" s="592"/>
      <c r="BJ424" s="592"/>
      <c r="BK424" s="592"/>
      <c r="BL424" s="592"/>
      <c r="BM424" s="592"/>
      <c r="BN424" s="592"/>
      <c r="BO424" s="592"/>
      <c r="BP424" s="592"/>
      <c r="BQ424" s="594"/>
      <c r="BR424" s="594"/>
      <c r="BS424" s="394"/>
      <c r="BT424" s="594"/>
      <c r="BU424" s="594"/>
      <c r="BV424" s="594"/>
      <c r="BW424" s="618"/>
      <c r="BX424" s="644"/>
      <c r="BY424" s="644"/>
    </row>
    <row r="425" ht="25.5" customHeight="1">
      <c r="A425" s="635"/>
      <c r="B425" s="695">
        <v>45636.79840534722</v>
      </c>
      <c r="C425" s="642"/>
      <c r="D425" s="642"/>
      <c r="E425" s="574" t="s">
        <v>231</v>
      </c>
      <c r="F425" s="696"/>
      <c r="G425" s="621"/>
      <c r="H425" s="577"/>
      <c r="I425" s="577"/>
      <c r="J425" s="613"/>
      <c r="K425" s="579">
        <v>-2500.0</v>
      </c>
      <c r="L425" s="581"/>
      <c r="M425" s="613"/>
      <c r="N425" s="613"/>
      <c r="O425" s="613"/>
      <c r="P425" s="580"/>
      <c r="Q425" s="580"/>
      <c r="R425" s="581"/>
      <c r="S425" s="581"/>
      <c r="T425" s="581"/>
      <c r="U425" s="582"/>
      <c r="V425" s="614"/>
      <c r="W425" s="581"/>
      <c r="X425" s="615"/>
      <c r="Y425" s="613"/>
      <c r="Z425" s="580"/>
      <c r="AA425" s="634"/>
      <c r="AB425" s="577"/>
      <c r="AC425" s="673"/>
      <c r="AD425" s="634"/>
      <c r="AE425" s="587"/>
      <c r="AF425" s="587"/>
      <c r="AG425" s="582"/>
      <c r="AH425" s="582"/>
      <c r="AI425" s="582"/>
      <c r="AJ425" s="582"/>
      <c r="AK425" s="588"/>
      <c r="AL425" s="582"/>
      <c r="AM425" s="587"/>
      <c r="AN425" s="589"/>
      <c r="AO425" s="616"/>
      <c r="AP425" s="592"/>
      <c r="AQ425" s="358"/>
      <c r="AR425" s="592"/>
      <c r="AS425" s="592"/>
      <c r="AT425" s="592">
        <f>482.65-332.65</f>
        <v>150</v>
      </c>
      <c r="AU425" s="592"/>
      <c r="AV425" s="592"/>
      <c r="AW425" s="592"/>
      <c r="AX425" s="592"/>
      <c r="AY425" s="592"/>
      <c r="AZ425" s="592"/>
      <c r="BA425" s="617"/>
      <c r="BB425" s="592"/>
      <c r="BC425" s="592"/>
      <c r="BD425" s="592"/>
      <c r="BE425" s="592"/>
      <c r="BF425" s="592"/>
      <c r="BG425" s="358"/>
      <c r="BH425" s="592"/>
      <c r="BI425" s="592"/>
      <c r="BJ425" s="592"/>
      <c r="BK425" s="592"/>
      <c r="BL425" s="592"/>
      <c r="BM425" s="592"/>
      <c r="BN425" s="592"/>
      <c r="BO425" s="592"/>
      <c r="BP425" s="592"/>
      <c r="BQ425" s="594"/>
      <c r="BR425" s="594"/>
      <c r="BS425" s="394"/>
      <c r="BT425" s="594"/>
      <c r="BU425" s="594"/>
      <c r="BV425" s="594"/>
      <c r="BW425" s="618"/>
      <c r="BX425" s="644"/>
      <c r="BY425" s="644"/>
    </row>
    <row r="426" ht="25.5" customHeight="1">
      <c r="A426" s="635"/>
      <c r="B426" s="695">
        <v>45638.45871228009</v>
      </c>
      <c r="C426" s="642"/>
      <c r="D426" s="642"/>
      <c r="E426" s="574" t="s">
        <v>231</v>
      </c>
      <c r="F426" s="696"/>
      <c r="G426" s="621"/>
      <c r="H426" s="577"/>
      <c r="I426" s="577"/>
      <c r="J426" s="613"/>
      <c r="K426" s="581">
        <f>24745.35-17500</f>
        <v>7245.35</v>
      </c>
      <c r="L426" s="581"/>
      <c r="M426" s="613"/>
      <c r="N426" s="613"/>
      <c r="O426" s="613"/>
      <c r="P426" s="580"/>
      <c r="Q426" s="580"/>
      <c r="R426" s="581"/>
      <c r="S426" s="581"/>
      <c r="T426" s="581"/>
      <c r="U426" s="582"/>
      <c r="V426" s="614"/>
      <c r="W426" s="581"/>
      <c r="X426" s="615"/>
      <c r="Y426" s="613"/>
      <c r="Z426" s="580"/>
      <c r="AA426" s="634"/>
      <c r="AB426" s="577"/>
      <c r="AC426" s="673"/>
      <c r="AD426" s="634"/>
      <c r="AE426" s="587"/>
      <c r="AF426" s="587"/>
      <c r="AG426" s="582"/>
      <c r="AH426" s="582"/>
      <c r="AI426" s="582"/>
      <c r="AJ426" s="582"/>
      <c r="AK426" s="588"/>
      <c r="AL426" s="582"/>
      <c r="AM426" s="587"/>
      <c r="AN426" s="589"/>
      <c r="AO426" s="616"/>
      <c r="AP426" s="592"/>
      <c r="AQ426" s="656"/>
      <c r="AR426" s="591">
        <v>-1117.22</v>
      </c>
      <c r="AS426" s="592"/>
      <c r="AT426" s="592"/>
      <c r="AU426" s="592"/>
      <c r="AV426" s="592"/>
      <c r="AW426" s="592"/>
      <c r="AX426" s="592"/>
      <c r="AY426" s="592"/>
      <c r="AZ426" s="592"/>
      <c r="BA426" s="617"/>
      <c r="BB426" s="592"/>
      <c r="BC426" s="592"/>
      <c r="BD426" s="592"/>
      <c r="BE426" s="592"/>
      <c r="BF426" s="592"/>
      <c r="BG426" s="358"/>
      <c r="BH426" s="592"/>
      <c r="BI426" s="592"/>
      <c r="BJ426" s="592"/>
      <c r="BK426" s="592"/>
      <c r="BL426" s="592"/>
      <c r="BM426" s="592"/>
      <c r="BN426" s="592"/>
      <c r="BO426" s="592"/>
      <c r="BP426" s="592"/>
      <c r="BQ426" s="594"/>
      <c r="BR426" s="594"/>
      <c r="BS426" s="394"/>
      <c r="BT426" s="594"/>
      <c r="BU426" s="594"/>
      <c r="BV426" s="594"/>
      <c r="BW426" s="618"/>
      <c r="BX426" s="644"/>
      <c r="BY426" s="644"/>
    </row>
    <row r="427" ht="25.5" customHeight="1">
      <c r="A427" s="635"/>
      <c r="B427" s="695">
        <v>45638.50114298611</v>
      </c>
      <c r="C427" s="642"/>
      <c r="D427" s="642"/>
      <c r="E427" s="574" t="s">
        <v>231</v>
      </c>
      <c r="F427" s="696"/>
      <c r="G427" s="621"/>
      <c r="H427" s="577"/>
      <c r="I427" s="577"/>
      <c r="J427" s="613"/>
      <c r="K427" s="579">
        <v>-4830.0</v>
      </c>
      <c r="L427" s="581"/>
      <c r="M427" s="613"/>
      <c r="N427" s="613"/>
      <c r="O427" s="613"/>
      <c r="P427" s="580"/>
      <c r="Q427" s="580"/>
      <c r="R427" s="581"/>
      <c r="S427" s="581"/>
      <c r="T427" s="581"/>
      <c r="U427" s="582"/>
      <c r="V427" s="614"/>
      <c r="W427" s="581"/>
      <c r="X427" s="615"/>
      <c r="Y427" s="613"/>
      <c r="Z427" s="580"/>
      <c r="AA427" s="634"/>
      <c r="AB427" s="577"/>
      <c r="AC427" s="673"/>
      <c r="AD427" s="634"/>
      <c r="AE427" s="587"/>
      <c r="AF427" s="587"/>
      <c r="AG427" s="582"/>
      <c r="AH427" s="582"/>
      <c r="AI427" s="582"/>
      <c r="AJ427" s="582"/>
      <c r="AK427" s="588"/>
      <c r="AL427" s="582"/>
      <c r="AM427" s="587"/>
      <c r="AN427" s="589"/>
      <c r="AO427" s="616"/>
      <c r="AP427" s="592">
        <v>13.169999999999998</v>
      </c>
      <c r="AQ427" s="358"/>
      <c r="AR427" s="592"/>
      <c r="AS427" s="592"/>
      <c r="AT427" s="592"/>
      <c r="AU427" s="592"/>
      <c r="AV427" s="592"/>
      <c r="AW427" s="592"/>
      <c r="AX427" s="592"/>
      <c r="AY427" s="592"/>
      <c r="AZ427" s="592"/>
      <c r="BA427" s="617"/>
      <c r="BB427" s="592"/>
      <c r="BC427" s="592"/>
      <c r="BD427" s="592"/>
      <c r="BE427" s="592"/>
      <c r="BF427" s="592"/>
      <c r="BG427" s="358"/>
      <c r="BH427" s="592"/>
      <c r="BI427" s="592"/>
      <c r="BJ427" s="592"/>
      <c r="BK427" s="592"/>
      <c r="BL427" s="592"/>
      <c r="BM427" s="592"/>
      <c r="BN427" s="592"/>
      <c r="BO427" s="592"/>
      <c r="BP427" s="592"/>
      <c r="BQ427" s="594"/>
      <c r="BR427" s="594"/>
      <c r="BS427" s="394"/>
      <c r="BT427" s="594"/>
      <c r="BU427" s="594"/>
      <c r="BV427" s="594"/>
      <c r="BW427" s="618"/>
      <c r="BX427" s="644"/>
      <c r="BY427" s="644"/>
    </row>
    <row r="428" ht="25.5" customHeight="1">
      <c r="A428" s="635"/>
      <c r="B428" s="695">
        <f>now()</f>
        <v>45664.89611</v>
      </c>
      <c r="C428" s="642"/>
      <c r="D428" s="642"/>
      <c r="E428" s="574" t="s">
        <v>231</v>
      </c>
      <c r="F428" s="696"/>
      <c r="G428" s="621"/>
      <c r="H428" s="577"/>
      <c r="I428" s="577"/>
      <c r="J428" s="613"/>
      <c r="K428" s="579">
        <v>-2415.0</v>
      </c>
      <c r="L428" s="581"/>
      <c r="M428" s="613"/>
      <c r="N428" s="613"/>
      <c r="O428" s="613"/>
      <c r="P428" s="580"/>
      <c r="Q428" s="580"/>
      <c r="R428" s="581"/>
      <c r="S428" s="581"/>
      <c r="T428" s="581"/>
      <c r="U428" s="582"/>
      <c r="V428" s="614"/>
      <c r="W428" s="581"/>
      <c r="X428" s="615"/>
      <c r="Y428" s="613"/>
      <c r="Z428" s="580"/>
      <c r="AA428" s="634"/>
      <c r="AB428" s="577"/>
      <c r="AC428" s="673"/>
      <c r="AD428" s="634"/>
      <c r="AE428" s="587"/>
      <c r="AF428" s="587"/>
      <c r="AG428" s="582"/>
      <c r="AH428" s="582"/>
      <c r="AI428" s="582"/>
      <c r="AJ428" s="582"/>
      <c r="AK428" s="588"/>
      <c r="AL428" s="582"/>
      <c r="AM428" s="587"/>
      <c r="AN428" s="589"/>
      <c r="AO428" s="616"/>
      <c r="AP428" s="592"/>
      <c r="AQ428" s="358"/>
      <c r="AR428" s="592"/>
      <c r="AS428" s="592"/>
      <c r="AT428" s="592">
        <f>611.755-482.65</f>
        <v>129.105</v>
      </c>
      <c r="AU428" s="592"/>
      <c r="AV428" s="592"/>
      <c r="AW428" s="592"/>
      <c r="AX428" s="592"/>
      <c r="AY428" s="592"/>
      <c r="AZ428" s="592"/>
      <c r="BA428" s="617"/>
      <c r="BB428" s="592"/>
      <c r="BC428" s="592"/>
      <c r="BD428" s="592"/>
      <c r="BE428" s="592"/>
      <c r="BF428" s="592"/>
      <c r="BG428" s="358"/>
      <c r="BH428" s="592"/>
      <c r="BI428" s="592"/>
      <c r="BJ428" s="592"/>
      <c r="BK428" s="592"/>
      <c r="BL428" s="592"/>
      <c r="BM428" s="592"/>
      <c r="BN428" s="592"/>
      <c r="BO428" s="592"/>
      <c r="BP428" s="592"/>
      <c r="BQ428" s="594"/>
      <c r="BR428" s="594"/>
      <c r="BS428" s="394"/>
      <c r="BT428" s="594"/>
      <c r="BU428" s="594"/>
      <c r="BV428" s="594"/>
      <c r="BW428" s="618"/>
      <c r="BX428" s="644"/>
      <c r="BY428" s="644"/>
    </row>
    <row r="429" ht="25.5" customHeight="1">
      <c r="A429" s="635"/>
      <c r="B429" s="695">
        <v>45639.3867178125</v>
      </c>
      <c r="C429" s="675">
        <f>K429/AT429</f>
        <v>-17.31200033</v>
      </c>
      <c r="D429" s="642"/>
      <c r="E429" s="574" t="s">
        <v>231</v>
      </c>
      <c r="F429" s="696"/>
      <c r="G429" s="621"/>
      <c r="H429" s="577"/>
      <c r="I429" s="577"/>
      <c r="J429" s="613"/>
      <c r="K429" s="579">
        <v>-5000.0</v>
      </c>
      <c r="L429" s="581"/>
      <c r="M429" s="613"/>
      <c r="N429" s="613"/>
      <c r="O429" s="613"/>
      <c r="P429" s="580"/>
      <c r="Q429" s="580"/>
      <c r="R429" s="581"/>
      <c r="S429" s="581"/>
      <c r="T429" s="581"/>
      <c r="U429" s="582"/>
      <c r="V429" s="614"/>
      <c r="W429" s="581"/>
      <c r="X429" s="615"/>
      <c r="Y429" s="613"/>
      <c r="Z429" s="580"/>
      <c r="AA429" s="634"/>
      <c r="AB429" s="577"/>
      <c r="AC429" s="673"/>
      <c r="AD429" s="634"/>
      <c r="AE429" s="587"/>
      <c r="AF429" s="587"/>
      <c r="AG429" s="582"/>
      <c r="AH429" s="582"/>
      <c r="AI429" s="582"/>
      <c r="AJ429" s="582"/>
      <c r="AK429" s="588"/>
      <c r="AL429" s="582"/>
      <c r="AM429" s="587"/>
      <c r="AN429" s="589"/>
      <c r="AO429" s="616"/>
      <c r="AP429" s="592"/>
      <c r="AQ429" s="358"/>
      <c r="AR429" s="592"/>
      <c r="AS429" s="592"/>
      <c r="AT429" s="592">
        <f>900.577-611.76</f>
        <v>288.817</v>
      </c>
      <c r="AU429" s="592"/>
      <c r="AV429" s="592"/>
      <c r="AW429" s="592"/>
      <c r="AX429" s="592"/>
      <c r="AY429" s="592"/>
      <c r="AZ429" s="592"/>
      <c r="BA429" s="617"/>
      <c r="BB429" s="592"/>
      <c r="BC429" s="592"/>
      <c r="BD429" s="592"/>
      <c r="BE429" s="592"/>
      <c r="BF429" s="592"/>
      <c r="BG429" s="358"/>
      <c r="BH429" s="592"/>
      <c r="BI429" s="592"/>
      <c r="BJ429" s="592"/>
      <c r="BK429" s="592"/>
      <c r="BL429" s="592"/>
      <c r="BM429" s="592"/>
      <c r="BN429" s="592"/>
      <c r="BO429" s="592"/>
      <c r="BP429" s="592"/>
      <c r="BQ429" s="594"/>
      <c r="BR429" s="594"/>
      <c r="BS429" s="394"/>
      <c r="BT429" s="594"/>
      <c r="BU429" s="594"/>
      <c r="BV429" s="594"/>
      <c r="BW429" s="618"/>
      <c r="BX429" s="644"/>
      <c r="BY429" s="644"/>
    </row>
    <row r="430" ht="25.5" customHeight="1">
      <c r="A430" s="635"/>
      <c r="B430" s="695">
        <v>45640.24927164352</v>
      </c>
      <c r="C430" s="675">
        <f>K430/AQ430</f>
        <v>-40.53834928</v>
      </c>
      <c r="D430" s="642"/>
      <c r="E430" s="574" t="s">
        <v>231</v>
      </c>
      <c r="F430" s="696"/>
      <c r="G430" s="621"/>
      <c r="H430" s="577"/>
      <c r="I430" s="577"/>
      <c r="J430" s="613"/>
      <c r="K430" s="579">
        <v>-5000.0</v>
      </c>
      <c r="L430" s="581"/>
      <c r="M430" s="613"/>
      <c r="N430" s="613"/>
      <c r="O430" s="613"/>
      <c r="P430" s="580"/>
      <c r="Q430" s="580"/>
      <c r="R430" s="581"/>
      <c r="S430" s="581"/>
      <c r="T430" s="581"/>
      <c r="U430" s="582"/>
      <c r="V430" s="614"/>
      <c r="W430" s="581"/>
      <c r="X430" s="615"/>
      <c r="Y430" s="613"/>
      <c r="Z430" s="580"/>
      <c r="AA430" s="634"/>
      <c r="AB430" s="577"/>
      <c r="AC430" s="673"/>
      <c r="AD430" s="634"/>
      <c r="AE430" s="587"/>
      <c r="AF430" s="587"/>
      <c r="AG430" s="582"/>
      <c r="AH430" s="582"/>
      <c r="AI430" s="582"/>
      <c r="AJ430" s="582"/>
      <c r="AK430" s="588"/>
      <c r="AL430" s="582"/>
      <c r="AM430" s="587"/>
      <c r="AN430" s="589"/>
      <c r="AO430" s="616"/>
      <c r="AP430" s="592"/>
      <c r="AQ430" s="684">
        <v>123.34</v>
      </c>
      <c r="AR430" s="592"/>
      <c r="AS430" s="592"/>
      <c r="AT430" s="592"/>
      <c r="AU430" s="592"/>
      <c r="AV430" s="592"/>
      <c r="AW430" s="592"/>
      <c r="AX430" s="592"/>
      <c r="AY430" s="592"/>
      <c r="AZ430" s="592"/>
      <c r="BA430" s="617"/>
      <c r="BB430" s="592"/>
      <c r="BC430" s="592"/>
      <c r="BD430" s="592"/>
      <c r="BE430" s="592"/>
      <c r="BF430" s="592"/>
      <c r="BG430" s="358"/>
      <c r="BH430" s="592"/>
      <c r="BI430" s="592"/>
      <c r="BJ430" s="592"/>
      <c r="BK430" s="592"/>
      <c r="BL430" s="592"/>
      <c r="BM430" s="592"/>
      <c r="BN430" s="592"/>
      <c r="BO430" s="592"/>
      <c r="BP430" s="592"/>
      <c r="BQ430" s="594"/>
      <c r="BR430" s="594"/>
      <c r="BS430" s="394"/>
      <c r="BT430" s="594"/>
      <c r="BU430" s="594"/>
      <c r="BV430" s="594"/>
      <c r="BW430" s="618"/>
      <c r="BX430" s="644"/>
      <c r="BY430" s="644"/>
    </row>
    <row r="431" ht="25.5" customHeight="1">
      <c r="A431" s="635"/>
      <c r="B431" s="695">
        <v>45640.59151746528</v>
      </c>
      <c r="C431" s="642"/>
      <c r="D431" s="642"/>
      <c r="E431" s="574" t="s">
        <v>231</v>
      </c>
      <c r="F431" s="696"/>
      <c r="G431" s="621"/>
      <c r="H431" s="577"/>
      <c r="I431" s="577"/>
      <c r="J431" s="613"/>
      <c r="K431" s="579">
        <v>-5000.0</v>
      </c>
      <c r="L431" s="581"/>
      <c r="M431" s="613"/>
      <c r="N431" s="613"/>
      <c r="O431" s="613"/>
      <c r="P431" s="580"/>
      <c r="Q431" s="580"/>
      <c r="R431" s="581"/>
      <c r="S431" s="581"/>
      <c r="T431" s="581"/>
      <c r="U431" s="582"/>
      <c r="V431" s="614"/>
      <c r="W431" s="581"/>
      <c r="X431" s="615"/>
      <c r="Y431" s="613"/>
      <c r="Z431" s="580"/>
      <c r="AA431" s="634"/>
      <c r="AB431" s="577"/>
      <c r="AC431" s="673"/>
      <c r="AD431" s="634"/>
      <c r="AE431" s="587"/>
      <c r="AF431" s="587"/>
      <c r="AG431" s="582"/>
      <c r="AH431" s="582"/>
      <c r="AI431" s="582"/>
      <c r="AJ431" s="582"/>
      <c r="AK431" s="588"/>
      <c r="AL431" s="582"/>
      <c r="AM431" s="587"/>
      <c r="AN431" s="589"/>
      <c r="AO431" s="616"/>
      <c r="AP431" s="592"/>
      <c r="AQ431" s="358">
        <f>257.106-123.34</f>
        <v>133.766</v>
      </c>
      <c r="AR431" s="592"/>
      <c r="AS431" s="592"/>
      <c r="AT431" s="592"/>
      <c r="AU431" s="592"/>
      <c r="AV431" s="592"/>
      <c r="AW431" s="592"/>
      <c r="AX431" s="592"/>
      <c r="AY431" s="592"/>
      <c r="AZ431" s="592"/>
      <c r="BA431" s="617"/>
      <c r="BB431" s="592"/>
      <c r="BC431" s="592"/>
      <c r="BD431" s="592"/>
      <c r="BE431" s="592"/>
      <c r="BF431" s="592"/>
      <c r="BG431" s="358"/>
      <c r="BH431" s="592"/>
      <c r="BI431" s="592"/>
      <c r="BJ431" s="592"/>
      <c r="BK431" s="592"/>
      <c r="BL431" s="592"/>
      <c r="BM431" s="592"/>
      <c r="BN431" s="592"/>
      <c r="BO431" s="592"/>
      <c r="BP431" s="592"/>
      <c r="BQ431" s="594"/>
      <c r="BR431" s="594"/>
      <c r="BS431" s="394"/>
      <c r="BT431" s="594"/>
      <c r="BU431" s="594"/>
      <c r="BV431" s="594"/>
      <c r="BW431" s="618"/>
      <c r="BX431" s="644"/>
      <c r="BY431" s="644"/>
    </row>
    <row r="432" ht="25.5" customHeight="1">
      <c r="A432" s="635"/>
      <c r="B432" s="695">
        <v>45646.476341435184</v>
      </c>
      <c r="C432" s="642"/>
      <c r="D432" s="642"/>
      <c r="E432" s="574" t="s">
        <v>218</v>
      </c>
      <c r="F432" s="696"/>
      <c r="G432" s="621"/>
      <c r="H432" s="577"/>
      <c r="I432" s="577"/>
      <c r="J432" s="613"/>
      <c r="K432" s="579">
        <v>20000.0</v>
      </c>
      <c r="L432" s="579">
        <v>-20000.0</v>
      </c>
      <c r="M432" s="613"/>
      <c r="N432" s="613"/>
      <c r="O432" s="613"/>
      <c r="P432" s="580"/>
      <c r="Q432" s="580"/>
      <c r="R432" s="581"/>
      <c r="S432" s="581"/>
      <c r="T432" s="581"/>
      <c r="U432" s="582"/>
      <c r="V432" s="614"/>
      <c r="W432" s="581"/>
      <c r="X432" s="615"/>
      <c r="Y432" s="613"/>
      <c r="Z432" s="580"/>
      <c r="AA432" s="634"/>
      <c r="AB432" s="577"/>
      <c r="AC432" s="673"/>
      <c r="AD432" s="634"/>
      <c r="AE432" s="587"/>
      <c r="AF432" s="587"/>
      <c r="AG432" s="582"/>
      <c r="AH432" s="582"/>
      <c r="AI432" s="582"/>
      <c r="AJ432" s="582"/>
      <c r="AK432" s="588"/>
      <c r="AL432" s="582"/>
      <c r="AM432" s="587"/>
      <c r="AN432" s="589"/>
      <c r="AO432" s="616"/>
      <c r="AP432" s="592"/>
      <c r="AQ432" s="358"/>
      <c r="AR432" s="592"/>
      <c r="AS432" s="592"/>
      <c r="AT432" s="592"/>
      <c r="AU432" s="592"/>
      <c r="AV432" s="592"/>
      <c r="AW432" s="592"/>
      <c r="AX432" s="592"/>
      <c r="AY432" s="592"/>
      <c r="AZ432" s="592"/>
      <c r="BA432" s="617"/>
      <c r="BB432" s="592"/>
      <c r="BC432" s="592"/>
      <c r="BD432" s="592"/>
      <c r="BE432" s="592"/>
      <c r="BF432" s="592"/>
      <c r="BG432" s="358"/>
      <c r="BH432" s="592"/>
      <c r="BI432" s="592"/>
      <c r="BJ432" s="592"/>
      <c r="BK432" s="592"/>
      <c r="BL432" s="592"/>
      <c r="BM432" s="592"/>
      <c r="BN432" s="592"/>
      <c r="BO432" s="592"/>
      <c r="BP432" s="592"/>
      <c r="BQ432" s="594"/>
      <c r="BR432" s="594"/>
      <c r="BS432" s="394"/>
      <c r="BT432" s="594"/>
      <c r="BU432" s="594"/>
      <c r="BV432" s="594"/>
      <c r="BW432" s="618"/>
      <c r="BX432" s="644"/>
      <c r="BY432" s="644"/>
    </row>
    <row r="433" ht="25.5" customHeight="1">
      <c r="A433" s="635"/>
      <c r="B433" s="695">
        <v>45646.476341435184</v>
      </c>
      <c r="C433" s="642"/>
      <c r="D433" s="642"/>
      <c r="E433" s="574" t="s">
        <v>231</v>
      </c>
      <c r="F433" s="696"/>
      <c r="G433" s="621"/>
      <c r="H433" s="577"/>
      <c r="I433" s="577"/>
      <c r="J433" s="613"/>
      <c r="K433" s="579">
        <v>-5000.0</v>
      </c>
      <c r="L433" s="581"/>
      <c r="M433" s="613"/>
      <c r="N433" s="613"/>
      <c r="O433" s="613"/>
      <c r="P433" s="580"/>
      <c r="Q433" s="580"/>
      <c r="R433" s="581"/>
      <c r="S433" s="581"/>
      <c r="T433" s="581"/>
      <c r="U433" s="582"/>
      <c r="V433" s="614"/>
      <c r="W433" s="581"/>
      <c r="X433" s="615"/>
      <c r="Y433" s="613"/>
      <c r="Z433" s="580"/>
      <c r="AA433" s="634"/>
      <c r="AB433" s="577"/>
      <c r="AC433" s="673"/>
      <c r="AD433" s="634"/>
      <c r="AE433" s="587"/>
      <c r="AF433" s="587"/>
      <c r="AG433" s="582"/>
      <c r="AH433" s="582"/>
      <c r="AI433" s="582"/>
      <c r="AJ433" s="582"/>
      <c r="AK433" s="588"/>
      <c r="AL433" s="582"/>
      <c r="AM433" s="587"/>
      <c r="AN433" s="589"/>
      <c r="AO433" s="616"/>
      <c r="AP433" s="592"/>
      <c r="AQ433" s="358"/>
      <c r="AR433" s="592"/>
      <c r="AS433" s="592"/>
      <c r="AT433" s="592">
        <f>1324.86-900.58</f>
        <v>424.28</v>
      </c>
      <c r="AU433" s="592"/>
      <c r="AV433" s="592"/>
      <c r="AW433" s="592"/>
      <c r="AX433" s="592"/>
      <c r="AY433" s="592"/>
      <c r="AZ433" s="592"/>
      <c r="BA433" s="617"/>
      <c r="BB433" s="592"/>
      <c r="BC433" s="592"/>
      <c r="BD433" s="592"/>
      <c r="BE433" s="592"/>
      <c r="BF433" s="592"/>
      <c r="BG433" s="358"/>
      <c r="BH433" s="592"/>
      <c r="BI433" s="592"/>
      <c r="BJ433" s="592"/>
      <c r="BK433" s="592"/>
      <c r="BL433" s="592"/>
      <c r="BM433" s="592"/>
      <c r="BN433" s="592"/>
      <c r="BO433" s="592"/>
      <c r="BP433" s="592"/>
      <c r="BQ433" s="594"/>
      <c r="BR433" s="594"/>
      <c r="BS433" s="394"/>
      <c r="BT433" s="594"/>
      <c r="BU433" s="594"/>
      <c r="BV433" s="594"/>
      <c r="BW433" s="618"/>
      <c r="BX433" s="644"/>
      <c r="BY433" s="644"/>
    </row>
    <row r="434" ht="25.5" customHeight="1">
      <c r="A434" s="635"/>
      <c r="B434" s="695">
        <v>45646.476341435184</v>
      </c>
      <c r="C434" s="642"/>
      <c r="D434" s="642"/>
      <c r="E434" s="574" t="s">
        <v>231</v>
      </c>
      <c r="F434" s="696"/>
      <c r="G434" s="621"/>
      <c r="H434" s="577"/>
      <c r="I434" s="577"/>
      <c r="J434" s="613"/>
      <c r="K434" s="579">
        <v>-5000.0</v>
      </c>
      <c r="L434" s="581"/>
      <c r="M434" s="613"/>
      <c r="N434" s="613"/>
      <c r="O434" s="613"/>
      <c r="P434" s="580"/>
      <c r="Q434" s="580"/>
      <c r="R434" s="581"/>
      <c r="S434" s="581"/>
      <c r="T434" s="581"/>
      <c r="U434" s="582"/>
      <c r="V434" s="614"/>
      <c r="W434" s="581"/>
      <c r="X434" s="615"/>
      <c r="Y434" s="613"/>
      <c r="Z434" s="580"/>
      <c r="AA434" s="634"/>
      <c r="AB434" s="577"/>
      <c r="AC434" s="673"/>
      <c r="AD434" s="634"/>
      <c r="AE434" s="587"/>
      <c r="AF434" s="587"/>
      <c r="AG434" s="582"/>
      <c r="AH434" s="582"/>
      <c r="AI434" s="582"/>
      <c r="AJ434" s="582"/>
      <c r="AK434" s="588"/>
      <c r="AL434" s="582"/>
      <c r="AM434" s="587"/>
      <c r="AN434" s="589"/>
      <c r="AO434" s="616"/>
      <c r="AP434" s="592"/>
      <c r="AQ434" s="358"/>
      <c r="AR434" s="592"/>
      <c r="AS434" s="592">
        <f>6155.19-3585.65</f>
        <v>2569.54</v>
      </c>
      <c r="AT434" s="592"/>
      <c r="AU434" s="592"/>
      <c r="AV434" s="592"/>
      <c r="AW434" s="592"/>
      <c r="AX434" s="592"/>
      <c r="AY434" s="592"/>
      <c r="AZ434" s="592"/>
      <c r="BA434" s="617"/>
      <c r="BB434" s="592"/>
      <c r="BC434" s="592"/>
      <c r="BD434" s="592"/>
      <c r="BE434" s="592"/>
      <c r="BF434" s="592"/>
      <c r="BG434" s="358"/>
      <c r="BH434" s="592"/>
      <c r="BI434" s="592"/>
      <c r="BJ434" s="592"/>
      <c r="BK434" s="592"/>
      <c r="BL434" s="592"/>
      <c r="BM434" s="592"/>
      <c r="BN434" s="592"/>
      <c r="BO434" s="592"/>
      <c r="BP434" s="592"/>
      <c r="BQ434" s="594"/>
      <c r="BR434" s="594"/>
      <c r="BS434" s="394"/>
      <c r="BT434" s="594"/>
      <c r="BU434" s="594"/>
      <c r="BV434" s="594"/>
      <c r="BW434" s="618"/>
      <c r="BX434" s="644"/>
      <c r="BY434" s="644"/>
    </row>
    <row r="435" ht="25.5" customHeight="1">
      <c r="A435" s="635"/>
      <c r="B435" s="695">
        <v>45646.476341435184</v>
      </c>
      <c r="C435" s="642"/>
      <c r="D435" s="642"/>
      <c r="E435" s="574" t="s">
        <v>231</v>
      </c>
      <c r="F435" s="696"/>
      <c r="G435" s="621"/>
      <c r="H435" s="577"/>
      <c r="I435" s="577"/>
      <c r="J435" s="613"/>
      <c r="K435" s="579">
        <v>-5000.0</v>
      </c>
      <c r="L435" s="581"/>
      <c r="M435" s="613"/>
      <c r="N435" s="613"/>
      <c r="O435" s="613"/>
      <c r="P435" s="580"/>
      <c r="Q435" s="580"/>
      <c r="R435" s="581"/>
      <c r="S435" s="581"/>
      <c r="T435" s="581"/>
      <c r="U435" s="582"/>
      <c r="V435" s="614"/>
      <c r="W435" s="581"/>
      <c r="X435" s="615"/>
      <c r="Y435" s="613"/>
      <c r="Z435" s="580"/>
      <c r="AA435" s="634"/>
      <c r="AB435" s="577"/>
      <c r="AC435" s="673"/>
      <c r="AD435" s="634"/>
      <c r="AE435" s="587"/>
      <c r="AF435" s="587"/>
      <c r="AG435" s="582"/>
      <c r="AH435" s="582"/>
      <c r="AI435" s="582"/>
      <c r="AJ435" s="582"/>
      <c r="AK435" s="588"/>
      <c r="AL435" s="582"/>
      <c r="AM435" s="587"/>
      <c r="AN435" s="589"/>
      <c r="AO435" s="616"/>
      <c r="AP435" s="592"/>
      <c r="AQ435" s="358">
        <f>451.7-257.11</f>
        <v>194.59</v>
      </c>
      <c r="AR435" s="592"/>
      <c r="AS435" s="592"/>
      <c r="AT435" s="592"/>
      <c r="AU435" s="592"/>
      <c r="AV435" s="592"/>
      <c r="AW435" s="592"/>
      <c r="AX435" s="592"/>
      <c r="AY435" s="592"/>
      <c r="AZ435" s="592"/>
      <c r="BA435" s="617"/>
      <c r="BB435" s="592"/>
      <c r="BC435" s="592"/>
      <c r="BD435" s="592"/>
      <c r="BE435" s="592"/>
      <c r="BF435" s="592"/>
      <c r="BG435" s="358"/>
      <c r="BH435" s="592"/>
      <c r="BI435" s="592"/>
      <c r="BJ435" s="592"/>
      <c r="BK435" s="592"/>
      <c r="BL435" s="592"/>
      <c r="BM435" s="592"/>
      <c r="BN435" s="592"/>
      <c r="BO435" s="592"/>
      <c r="BP435" s="592"/>
      <c r="BQ435" s="594"/>
      <c r="BR435" s="594"/>
      <c r="BS435" s="394"/>
      <c r="BT435" s="594"/>
      <c r="BU435" s="594"/>
      <c r="BV435" s="594"/>
      <c r="BW435" s="618"/>
      <c r="BX435" s="644"/>
      <c r="BY435" s="644"/>
    </row>
    <row r="436" ht="25.5" customHeight="1">
      <c r="A436" s="635"/>
      <c r="B436" s="695">
        <v>45646.476341435184</v>
      </c>
      <c r="C436" s="642"/>
      <c r="D436" s="642"/>
      <c r="E436" s="574" t="s">
        <v>231</v>
      </c>
      <c r="F436" s="696"/>
      <c r="G436" s="621"/>
      <c r="H436" s="577"/>
      <c r="I436" s="577"/>
      <c r="J436" s="613"/>
      <c r="K436" s="579">
        <v>-7500.0</v>
      </c>
      <c r="L436" s="581"/>
      <c r="M436" s="613"/>
      <c r="N436" s="613"/>
      <c r="O436" s="613"/>
      <c r="P436" s="580"/>
      <c r="Q436" s="580"/>
      <c r="R436" s="581"/>
      <c r="S436" s="581"/>
      <c r="T436" s="581"/>
      <c r="U436" s="582"/>
      <c r="V436" s="614"/>
      <c r="W436" s="581"/>
      <c r="X436" s="615"/>
      <c r="Y436" s="613"/>
      <c r="Z436" s="580"/>
      <c r="AA436" s="634"/>
      <c r="AB436" s="577"/>
      <c r="AC436" s="673"/>
      <c r="AD436" s="634"/>
      <c r="AE436" s="587"/>
      <c r="AF436" s="587"/>
      <c r="AG436" s="582"/>
      <c r="AH436" s="582"/>
      <c r="AI436" s="582"/>
      <c r="AJ436" s="582"/>
      <c r="AK436" s="588"/>
      <c r="AL436" s="582"/>
      <c r="AM436" s="587"/>
      <c r="AN436" s="589"/>
      <c r="AO436" s="616"/>
      <c r="AP436" s="592">
        <f>69.873-43.86</f>
        <v>26.013</v>
      </c>
      <c r="AQ436" s="358"/>
      <c r="AR436" s="592"/>
      <c r="AS436" s="592"/>
      <c r="AT436" s="592"/>
      <c r="AU436" s="592"/>
      <c r="AV436" s="592"/>
      <c r="AW436" s="592"/>
      <c r="AX436" s="592"/>
      <c r="AY436" s="592"/>
      <c r="AZ436" s="592"/>
      <c r="BA436" s="617"/>
      <c r="BB436" s="592"/>
      <c r="BC436" s="592"/>
      <c r="BD436" s="592"/>
      <c r="BE436" s="592"/>
      <c r="BF436" s="592"/>
      <c r="BG436" s="358"/>
      <c r="BH436" s="592"/>
      <c r="BI436" s="592"/>
      <c r="BJ436" s="592"/>
      <c r="BK436" s="592"/>
      <c r="BL436" s="592"/>
      <c r="BM436" s="592"/>
      <c r="BN436" s="592"/>
      <c r="BO436" s="592"/>
      <c r="BP436" s="592"/>
      <c r="BQ436" s="594"/>
      <c r="BR436" s="594"/>
      <c r="BS436" s="394"/>
      <c r="BT436" s="594"/>
      <c r="BU436" s="594"/>
      <c r="BV436" s="594"/>
      <c r="BW436" s="618"/>
      <c r="BX436" s="644"/>
      <c r="BY436" s="644"/>
    </row>
    <row r="437" ht="25.5" customHeight="1">
      <c r="A437" s="635"/>
      <c r="B437" s="695"/>
      <c r="C437" s="642"/>
      <c r="D437" s="642"/>
      <c r="E437" s="696"/>
      <c r="F437" s="696"/>
      <c r="G437" s="621"/>
      <c r="H437" s="577"/>
      <c r="I437" s="577"/>
      <c r="J437" s="613"/>
      <c r="K437" s="581"/>
      <c r="L437" s="581"/>
      <c r="M437" s="613"/>
      <c r="N437" s="613"/>
      <c r="O437" s="613"/>
      <c r="P437" s="580"/>
      <c r="Q437" s="580"/>
      <c r="R437" s="581"/>
      <c r="S437" s="581"/>
      <c r="T437" s="581"/>
      <c r="U437" s="582"/>
      <c r="V437" s="614"/>
      <c r="W437" s="581"/>
      <c r="X437" s="615"/>
      <c r="Y437" s="613"/>
      <c r="Z437" s="580"/>
      <c r="AA437" s="634"/>
      <c r="AB437" s="577"/>
      <c r="AC437" s="673"/>
      <c r="AD437" s="634"/>
      <c r="AE437" s="587"/>
      <c r="AF437" s="587"/>
      <c r="AG437" s="582"/>
      <c r="AH437" s="582"/>
      <c r="AI437" s="582"/>
      <c r="AJ437" s="582"/>
      <c r="AK437" s="588"/>
      <c r="AL437" s="582"/>
      <c r="AM437" s="587"/>
      <c r="AN437" s="589"/>
      <c r="AO437" s="616"/>
      <c r="AP437" s="592"/>
      <c r="AQ437" s="358"/>
      <c r="AR437" s="592"/>
      <c r="AS437" s="592"/>
      <c r="AT437" s="592"/>
      <c r="AU437" s="592"/>
      <c r="AV437" s="592"/>
      <c r="AW437" s="592"/>
      <c r="AX437" s="592"/>
      <c r="AY437" s="592"/>
      <c r="AZ437" s="592"/>
      <c r="BA437" s="617"/>
      <c r="BB437" s="592"/>
      <c r="BC437" s="592"/>
      <c r="BD437" s="592"/>
      <c r="BE437" s="592"/>
      <c r="BF437" s="592"/>
      <c r="BG437" s="358"/>
      <c r="BH437" s="592"/>
      <c r="BI437" s="592"/>
      <c r="BJ437" s="592"/>
      <c r="BK437" s="592"/>
      <c r="BL437" s="592"/>
      <c r="BM437" s="592"/>
      <c r="BN437" s="592"/>
      <c r="BO437" s="592"/>
      <c r="BP437" s="592"/>
      <c r="BQ437" s="594"/>
      <c r="BR437" s="594"/>
      <c r="BS437" s="394"/>
      <c r="BT437" s="594"/>
      <c r="BU437" s="594"/>
      <c r="BV437" s="594"/>
      <c r="BW437" s="618"/>
      <c r="BX437" s="644"/>
      <c r="BY437" s="644"/>
    </row>
    <row r="438" ht="25.5" customHeight="1">
      <c r="A438" s="635"/>
      <c r="B438" s="695"/>
      <c r="C438" s="642"/>
      <c r="D438" s="642"/>
      <c r="E438" s="696"/>
      <c r="F438" s="696"/>
      <c r="G438" s="621"/>
      <c r="H438" s="577"/>
      <c r="I438" s="577"/>
      <c r="J438" s="613"/>
      <c r="K438" s="581"/>
      <c r="L438" s="581"/>
      <c r="M438" s="613"/>
      <c r="N438" s="613"/>
      <c r="O438" s="613"/>
      <c r="P438" s="580"/>
      <c r="Q438" s="580"/>
      <c r="R438" s="581"/>
      <c r="S438" s="581"/>
      <c r="T438" s="581"/>
      <c r="U438" s="582"/>
      <c r="V438" s="614"/>
      <c r="W438" s="581"/>
      <c r="X438" s="615"/>
      <c r="Y438" s="613"/>
      <c r="Z438" s="580"/>
      <c r="AA438" s="634"/>
      <c r="AB438" s="577"/>
      <c r="AC438" s="673"/>
      <c r="AD438" s="634"/>
      <c r="AE438" s="587"/>
      <c r="AF438" s="587"/>
      <c r="AG438" s="582"/>
      <c r="AH438" s="582"/>
      <c r="AI438" s="582"/>
      <c r="AJ438" s="582"/>
      <c r="AK438" s="588"/>
      <c r="AL438" s="582"/>
      <c r="AM438" s="587"/>
      <c r="AN438" s="589"/>
      <c r="AO438" s="616"/>
      <c r="AP438" s="592"/>
      <c r="AQ438" s="358"/>
      <c r="AR438" s="592"/>
      <c r="AS438" s="592"/>
      <c r="AT438" s="592"/>
      <c r="AU438" s="592"/>
      <c r="AV438" s="592"/>
      <c r="AW438" s="592"/>
      <c r="AX438" s="592"/>
      <c r="AY438" s="592"/>
      <c r="AZ438" s="592"/>
      <c r="BA438" s="617"/>
      <c r="BB438" s="592"/>
      <c r="BC438" s="592"/>
      <c r="BD438" s="592"/>
      <c r="BE438" s="592"/>
      <c r="BF438" s="592"/>
      <c r="BG438" s="358"/>
      <c r="BH438" s="592"/>
      <c r="BI438" s="592"/>
      <c r="BJ438" s="592"/>
      <c r="BK438" s="592"/>
      <c r="BL438" s="592"/>
      <c r="BM438" s="592"/>
      <c r="BN438" s="592"/>
      <c r="BO438" s="592"/>
      <c r="BP438" s="592"/>
      <c r="BQ438" s="594"/>
      <c r="BR438" s="594"/>
      <c r="BS438" s="394"/>
      <c r="BT438" s="594"/>
      <c r="BU438" s="594"/>
      <c r="BV438" s="594"/>
      <c r="BW438" s="618"/>
      <c r="BX438" s="644"/>
      <c r="BY438" s="644"/>
    </row>
    <row r="439" ht="25.5" customHeight="1">
      <c r="A439" s="635"/>
      <c r="B439" s="695"/>
      <c r="C439" s="642"/>
      <c r="D439" s="642"/>
      <c r="E439" s="696"/>
      <c r="F439" s="696"/>
      <c r="G439" s="621"/>
      <c r="H439" s="577"/>
      <c r="I439" s="577"/>
      <c r="J439" s="613"/>
      <c r="K439" s="581"/>
      <c r="L439" s="581"/>
      <c r="M439" s="613"/>
      <c r="N439" s="613"/>
      <c r="O439" s="613"/>
      <c r="P439" s="580"/>
      <c r="Q439" s="580"/>
      <c r="R439" s="581"/>
      <c r="S439" s="581"/>
      <c r="T439" s="581"/>
      <c r="U439" s="582"/>
      <c r="V439" s="614"/>
      <c r="W439" s="581"/>
      <c r="X439" s="615"/>
      <c r="Y439" s="613"/>
      <c r="Z439" s="580"/>
      <c r="AA439" s="634"/>
      <c r="AB439" s="577"/>
      <c r="AC439" s="673"/>
      <c r="AD439" s="634"/>
      <c r="AE439" s="587"/>
      <c r="AF439" s="587"/>
      <c r="AG439" s="582"/>
      <c r="AH439" s="582"/>
      <c r="AI439" s="582"/>
      <c r="AJ439" s="582"/>
      <c r="AK439" s="588"/>
      <c r="AL439" s="582"/>
      <c r="AM439" s="587"/>
      <c r="AN439" s="589"/>
      <c r="AO439" s="616"/>
      <c r="AP439" s="592"/>
      <c r="AQ439" s="358"/>
      <c r="AR439" s="592"/>
      <c r="AS439" s="592"/>
      <c r="AT439" s="592"/>
      <c r="AU439" s="592"/>
      <c r="AV439" s="592"/>
      <c r="AW439" s="592"/>
      <c r="AX439" s="592"/>
      <c r="AY439" s="592"/>
      <c r="AZ439" s="592"/>
      <c r="BA439" s="617"/>
      <c r="BB439" s="592"/>
      <c r="BC439" s="592"/>
      <c r="BD439" s="592"/>
      <c r="BE439" s="592"/>
      <c r="BF439" s="592"/>
      <c r="BG439" s="358"/>
      <c r="BH439" s="592"/>
      <c r="BI439" s="592"/>
      <c r="BJ439" s="592"/>
      <c r="BK439" s="592"/>
      <c r="BL439" s="592"/>
      <c r="BM439" s="592"/>
      <c r="BN439" s="592"/>
      <c r="BO439" s="592"/>
      <c r="BP439" s="592"/>
      <c r="BQ439" s="594"/>
      <c r="BR439" s="594"/>
      <c r="BS439" s="394"/>
      <c r="BT439" s="594"/>
      <c r="BU439" s="594"/>
      <c r="BV439" s="594"/>
      <c r="BW439" s="618"/>
      <c r="BX439" s="644"/>
      <c r="BY439" s="644"/>
    </row>
    <row r="440" ht="25.5" customHeight="1">
      <c r="A440" s="635"/>
      <c r="B440" s="695"/>
      <c r="C440" s="642"/>
      <c r="D440" s="642"/>
      <c r="E440" s="696"/>
      <c r="F440" s="696"/>
      <c r="G440" s="621"/>
      <c r="H440" s="577"/>
      <c r="I440" s="577"/>
      <c r="J440" s="613"/>
      <c r="K440" s="581"/>
      <c r="L440" s="581"/>
      <c r="M440" s="613"/>
      <c r="N440" s="613"/>
      <c r="O440" s="613"/>
      <c r="P440" s="580"/>
      <c r="Q440" s="580"/>
      <c r="R440" s="581"/>
      <c r="S440" s="581"/>
      <c r="T440" s="581"/>
      <c r="U440" s="582"/>
      <c r="V440" s="614"/>
      <c r="W440" s="581"/>
      <c r="X440" s="615"/>
      <c r="Y440" s="613"/>
      <c r="Z440" s="580"/>
      <c r="AA440" s="634"/>
      <c r="AB440" s="577"/>
      <c r="AC440" s="673"/>
      <c r="AD440" s="634"/>
      <c r="AE440" s="587"/>
      <c r="AF440" s="587"/>
      <c r="AG440" s="582"/>
      <c r="AH440" s="582"/>
      <c r="AI440" s="582"/>
      <c r="AJ440" s="582"/>
      <c r="AK440" s="588"/>
      <c r="AL440" s="582"/>
      <c r="AM440" s="587"/>
      <c r="AN440" s="589"/>
      <c r="AO440" s="616"/>
      <c r="AP440" s="592"/>
      <c r="AQ440" s="358"/>
      <c r="AR440" s="592"/>
      <c r="AS440" s="592"/>
      <c r="AT440" s="592"/>
      <c r="AU440" s="592"/>
      <c r="AV440" s="592"/>
      <c r="AW440" s="592"/>
      <c r="AX440" s="592"/>
      <c r="AY440" s="592"/>
      <c r="AZ440" s="592"/>
      <c r="BA440" s="617"/>
      <c r="BB440" s="592"/>
      <c r="BC440" s="592"/>
      <c r="BD440" s="592"/>
      <c r="BE440" s="592"/>
      <c r="BF440" s="592"/>
      <c r="BG440" s="358"/>
      <c r="BH440" s="592"/>
      <c r="BI440" s="592"/>
      <c r="BJ440" s="592"/>
      <c r="BK440" s="592"/>
      <c r="BL440" s="592"/>
      <c r="BM440" s="592"/>
      <c r="BN440" s="592"/>
      <c r="BO440" s="592"/>
      <c r="BP440" s="592"/>
      <c r="BQ440" s="594"/>
      <c r="BR440" s="594"/>
      <c r="BS440" s="394"/>
      <c r="BT440" s="594"/>
      <c r="BU440" s="594"/>
      <c r="BV440" s="594"/>
      <c r="BW440" s="618"/>
      <c r="BX440" s="644"/>
      <c r="BY440" s="644"/>
    </row>
    <row r="441" ht="25.5" customHeight="1">
      <c r="A441" s="635"/>
      <c r="B441" s="695"/>
      <c r="C441" s="642"/>
      <c r="D441" s="642"/>
      <c r="E441" s="696"/>
      <c r="F441" s="696"/>
      <c r="G441" s="621"/>
      <c r="H441" s="577"/>
      <c r="I441" s="577"/>
      <c r="J441" s="613"/>
      <c r="K441" s="581"/>
      <c r="L441" s="581"/>
      <c r="M441" s="613"/>
      <c r="N441" s="613"/>
      <c r="O441" s="613"/>
      <c r="P441" s="580"/>
      <c r="Q441" s="580"/>
      <c r="R441" s="581"/>
      <c r="S441" s="581"/>
      <c r="T441" s="581"/>
      <c r="U441" s="582"/>
      <c r="V441" s="614"/>
      <c r="W441" s="581"/>
      <c r="X441" s="615"/>
      <c r="Y441" s="613"/>
      <c r="Z441" s="580"/>
      <c r="AA441" s="634"/>
      <c r="AB441" s="577"/>
      <c r="AC441" s="673"/>
      <c r="AD441" s="634"/>
      <c r="AE441" s="587"/>
      <c r="AF441" s="587"/>
      <c r="AG441" s="582"/>
      <c r="AH441" s="582"/>
      <c r="AI441" s="582"/>
      <c r="AJ441" s="582"/>
      <c r="AK441" s="588"/>
      <c r="AL441" s="582"/>
      <c r="AM441" s="587"/>
      <c r="AN441" s="589"/>
      <c r="AO441" s="616"/>
      <c r="AP441" s="592"/>
      <c r="AQ441" s="358"/>
      <c r="AR441" s="592"/>
      <c r="AS441" s="592"/>
      <c r="AT441" s="592"/>
      <c r="AU441" s="592"/>
      <c r="AV441" s="592"/>
      <c r="AW441" s="592"/>
      <c r="AX441" s="592"/>
      <c r="AY441" s="592"/>
      <c r="AZ441" s="592"/>
      <c r="BA441" s="617"/>
      <c r="BB441" s="592"/>
      <c r="BC441" s="592"/>
      <c r="BD441" s="592"/>
      <c r="BE441" s="592"/>
      <c r="BF441" s="592"/>
      <c r="BG441" s="358"/>
      <c r="BH441" s="592"/>
      <c r="BI441" s="592"/>
      <c r="BJ441" s="592"/>
      <c r="BK441" s="592"/>
      <c r="BL441" s="592"/>
      <c r="BM441" s="592"/>
      <c r="BN441" s="592"/>
      <c r="BO441" s="592"/>
      <c r="BP441" s="592"/>
      <c r="BQ441" s="594"/>
      <c r="BR441" s="594"/>
      <c r="BS441" s="394"/>
      <c r="BT441" s="594"/>
      <c r="BU441" s="594"/>
      <c r="BV441" s="594"/>
      <c r="BW441" s="618"/>
      <c r="BX441" s="644"/>
      <c r="BY441" s="644"/>
    </row>
    <row r="442" ht="25.5" customHeight="1">
      <c r="A442" s="635"/>
      <c r="B442" s="695"/>
      <c r="C442" s="642"/>
      <c r="D442" s="642"/>
      <c r="E442" s="696"/>
      <c r="F442" s="696"/>
      <c r="G442" s="621"/>
      <c r="H442" s="577"/>
      <c r="I442" s="577"/>
      <c r="J442" s="613"/>
      <c r="K442" s="581"/>
      <c r="L442" s="581"/>
      <c r="M442" s="613"/>
      <c r="N442" s="613"/>
      <c r="O442" s="613"/>
      <c r="P442" s="580"/>
      <c r="Q442" s="580"/>
      <c r="R442" s="581"/>
      <c r="S442" s="581"/>
      <c r="T442" s="581"/>
      <c r="U442" s="582"/>
      <c r="V442" s="614"/>
      <c r="W442" s="581"/>
      <c r="X442" s="615"/>
      <c r="Y442" s="613"/>
      <c r="Z442" s="580"/>
      <c r="AA442" s="634"/>
      <c r="AB442" s="577"/>
      <c r="AC442" s="673"/>
      <c r="AD442" s="634"/>
      <c r="AE442" s="587"/>
      <c r="AF442" s="587"/>
      <c r="AG442" s="582"/>
      <c r="AH442" s="582"/>
      <c r="AI442" s="582"/>
      <c r="AJ442" s="582"/>
      <c r="AK442" s="588"/>
      <c r="AL442" s="582"/>
      <c r="AM442" s="587"/>
      <c r="AN442" s="589"/>
      <c r="AO442" s="616"/>
      <c r="AP442" s="592"/>
      <c r="AQ442" s="358"/>
      <c r="AR442" s="592"/>
      <c r="AS442" s="592"/>
      <c r="AT442" s="592"/>
      <c r="AU442" s="592"/>
      <c r="AV442" s="592"/>
      <c r="AW442" s="592"/>
      <c r="AX442" s="592"/>
      <c r="AY442" s="592"/>
      <c r="AZ442" s="592"/>
      <c r="BA442" s="617"/>
      <c r="BB442" s="592"/>
      <c r="BC442" s="592"/>
      <c r="BD442" s="592"/>
      <c r="BE442" s="592"/>
      <c r="BF442" s="592"/>
      <c r="BG442" s="358"/>
      <c r="BH442" s="592"/>
      <c r="BI442" s="592"/>
      <c r="BJ442" s="592"/>
      <c r="BK442" s="592"/>
      <c r="BL442" s="592"/>
      <c r="BM442" s="592"/>
      <c r="BN442" s="592"/>
      <c r="BO442" s="592"/>
      <c r="BP442" s="592"/>
      <c r="BQ442" s="594"/>
      <c r="BR442" s="594"/>
      <c r="BS442" s="394"/>
      <c r="BT442" s="594"/>
      <c r="BU442" s="594"/>
      <c r="BV442" s="594"/>
      <c r="BW442" s="618"/>
      <c r="BX442" s="644"/>
      <c r="BY442" s="644"/>
    </row>
    <row r="443" ht="25.5" customHeight="1">
      <c r="A443" s="635"/>
      <c r="B443" s="695"/>
      <c r="C443" s="642"/>
      <c r="D443" s="642"/>
      <c r="E443" s="696"/>
      <c r="F443" s="696"/>
      <c r="G443" s="621"/>
      <c r="H443" s="577"/>
      <c r="I443" s="577"/>
      <c r="J443" s="613"/>
      <c r="K443" s="581"/>
      <c r="L443" s="581"/>
      <c r="M443" s="613"/>
      <c r="N443" s="613"/>
      <c r="O443" s="613"/>
      <c r="P443" s="580"/>
      <c r="Q443" s="580"/>
      <c r="R443" s="581"/>
      <c r="S443" s="581"/>
      <c r="T443" s="581"/>
      <c r="U443" s="582"/>
      <c r="V443" s="614"/>
      <c r="W443" s="581"/>
      <c r="X443" s="615"/>
      <c r="Y443" s="613"/>
      <c r="Z443" s="580"/>
      <c r="AA443" s="634"/>
      <c r="AB443" s="577"/>
      <c r="AC443" s="673"/>
      <c r="AD443" s="634"/>
      <c r="AE443" s="587"/>
      <c r="AF443" s="587"/>
      <c r="AG443" s="582"/>
      <c r="AH443" s="582"/>
      <c r="AI443" s="582"/>
      <c r="AJ443" s="582"/>
      <c r="AK443" s="588"/>
      <c r="AL443" s="582"/>
      <c r="AM443" s="587"/>
      <c r="AN443" s="589"/>
      <c r="AO443" s="616"/>
      <c r="AP443" s="592"/>
      <c r="AQ443" s="358"/>
      <c r="AR443" s="592"/>
      <c r="AS443" s="592"/>
      <c r="AT443" s="592"/>
      <c r="AU443" s="592"/>
      <c r="AV443" s="592"/>
      <c r="AW443" s="592"/>
      <c r="AX443" s="592"/>
      <c r="AY443" s="592"/>
      <c r="AZ443" s="592"/>
      <c r="BA443" s="617"/>
      <c r="BB443" s="592"/>
      <c r="BC443" s="592"/>
      <c r="BD443" s="592"/>
      <c r="BE443" s="592"/>
      <c r="BF443" s="592"/>
      <c r="BG443" s="358"/>
      <c r="BH443" s="592"/>
      <c r="BI443" s="592"/>
      <c r="BJ443" s="592"/>
      <c r="BK443" s="592"/>
      <c r="BL443" s="592"/>
      <c r="BM443" s="592"/>
      <c r="BN443" s="592"/>
      <c r="BO443" s="592"/>
      <c r="BP443" s="592"/>
      <c r="BQ443" s="594"/>
      <c r="BR443" s="594"/>
      <c r="BS443" s="394"/>
      <c r="BT443" s="594"/>
      <c r="BU443" s="594"/>
      <c r="BV443" s="594"/>
      <c r="BW443" s="618"/>
      <c r="BX443" s="644"/>
      <c r="BY443" s="644"/>
    </row>
    <row r="444" ht="25.5" customHeight="1">
      <c r="A444" s="635"/>
      <c r="B444" s="695"/>
      <c r="C444" s="642"/>
      <c r="D444" s="642"/>
      <c r="E444" s="696"/>
      <c r="F444" s="696"/>
      <c r="G444" s="621"/>
      <c r="H444" s="577"/>
      <c r="I444" s="577"/>
      <c r="J444" s="613"/>
      <c r="K444" s="581"/>
      <c r="L444" s="581"/>
      <c r="M444" s="613"/>
      <c r="N444" s="613"/>
      <c r="O444" s="613"/>
      <c r="P444" s="580"/>
      <c r="Q444" s="580"/>
      <c r="R444" s="581"/>
      <c r="S444" s="581"/>
      <c r="T444" s="581"/>
      <c r="U444" s="582"/>
      <c r="V444" s="614"/>
      <c r="W444" s="581"/>
      <c r="X444" s="615"/>
      <c r="Y444" s="613"/>
      <c r="Z444" s="580"/>
      <c r="AA444" s="634"/>
      <c r="AB444" s="577"/>
      <c r="AC444" s="673"/>
      <c r="AD444" s="634"/>
      <c r="AE444" s="587"/>
      <c r="AF444" s="587"/>
      <c r="AG444" s="582"/>
      <c r="AH444" s="582"/>
      <c r="AI444" s="582"/>
      <c r="AJ444" s="582"/>
      <c r="AK444" s="588"/>
      <c r="AL444" s="582"/>
      <c r="AM444" s="587"/>
      <c r="AN444" s="589"/>
      <c r="AO444" s="616"/>
      <c r="AP444" s="592"/>
      <c r="AQ444" s="358"/>
      <c r="AR444" s="592"/>
      <c r="AS444" s="592"/>
      <c r="AT444" s="592"/>
      <c r="AU444" s="592"/>
      <c r="AV444" s="592"/>
      <c r="AW444" s="592"/>
      <c r="AX444" s="592"/>
      <c r="AY444" s="592"/>
      <c r="AZ444" s="592"/>
      <c r="BA444" s="617"/>
      <c r="BB444" s="592"/>
      <c r="BC444" s="592"/>
      <c r="BD444" s="592"/>
      <c r="BE444" s="592"/>
      <c r="BF444" s="592"/>
      <c r="BG444" s="358"/>
      <c r="BH444" s="592"/>
      <c r="BI444" s="592"/>
      <c r="BJ444" s="592"/>
      <c r="BK444" s="592"/>
      <c r="BL444" s="592"/>
      <c r="BM444" s="592"/>
      <c r="BN444" s="592"/>
      <c r="BO444" s="592"/>
      <c r="BP444" s="592"/>
      <c r="BQ444" s="594"/>
      <c r="BR444" s="594"/>
      <c r="BS444" s="394"/>
      <c r="BT444" s="594"/>
      <c r="BU444" s="594"/>
      <c r="BV444" s="594"/>
      <c r="BW444" s="618"/>
      <c r="BX444" s="644"/>
      <c r="BY444" s="644"/>
    </row>
    <row r="445" ht="25.5" customHeight="1">
      <c r="A445" s="635"/>
      <c r="B445" s="695"/>
      <c r="C445" s="642"/>
      <c r="D445" s="642"/>
      <c r="E445" s="696"/>
      <c r="F445" s="696"/>
      <c r="G445" s="621"/>
      <c r="H445" s="577"/>
      <c r="I445" s="577"/>
      <c r="J445" s="613"/>
      <c r="K445" s="581"/>
      <c r="L445" s="581"/>
      <c r="M445" s="613"/>
      <c r="N445" s="613"/>
      <c r="O445" s="613"/>
      <c r="P445" s="580"/>
      <c r="Q445" s="580"/>
      <c r="R445" s="581"/>
      <c r="S445" s="581"/>
      <c r="T445" s="581"/>
      <c r="U445" s="582"/>
      <c r="V445" s="614"/>
      <c r="W445" s="581"/>
      <c r="X445" s="615"/>
      <c r="Y445" s="613"/>
      <c r="Z445" s="580"/>
      <c r="AA445" s="634"/>
      <c r="AB445" s="577"/>
      <c r="AC445" s="673"/>
      <c r="AD445" s="634"/>
      <c r="AE445" s="587"/>
      <c r="AF445" s="587"/>
      <c r="AG445" s="582"/>
      <c r="AH445" s="582"/>
      <c r="AI445" s="582"/>
      <c r="AJ445" s="582"/>
      <c r="AK445" s="588"/>
      <c r="AL445" s="582"/>
      <c r="AM445" s="587"/>
      <c r="AN445" s="589"/>
      <c r="AO445" s="616"/>
      <c r="AP445" s="592"/>
      <c r="AQ445" s="358"/>
      <c r="AR445" s="592"/>
      <c r="AS445" s="592"/>
      <c r="AT445" s="592"/>
      <c r="AU445" s="592"/>
      <c r="AV445" s="592"/>
      <c r="AW445" s="592"/>
      <c r="AX445" s="592"/>
      <c r="AY445" s="592"/>
      <c r="AZ445" s="592"/>
      <c r="BA445" s="617"/>
      <c r="BB445" s="592"/>
      <c r="BC445" s="592"/>
      <c r="BD445" s="592"/>
      <c r="BE445" s="592"/>
      <c r="BF445" s="592"/>
      <c r="BG445" s="358"/>
      <c r="BH445" s="592"/>
      <c r="BI445" s="592"/>
      <c r="BJ445" s="592"/>
      <c r="BK445" s="592"/>
      <c r="BL445" s="592"/>
      <c r="BM445" s="592"/>
      <c r="BN445" s="592"/>
      <c r="BO445" s="592"/>
      <c r="BP445" s="592"/>
      <c r="BQ445" s="594"/>
      <c r="BR445" s="594"/>
      <c r="BS445" s="394"/>
      <c r="BT445" s="594"/>
      <c r="BU445" s="594"/>
      <c r="BV445" s="594"/>
      <c r="BW445" s="618"/>
      <c r="BX445" s="644"/>
      <c r="BY445" s="644"/>
    </row>
    <row r="446" ht="25.5" customHeight="1">
      <c r="A446" s="635"/>
      <c r="B446" s="695"/>
      <c r="C446" s="642"/>
      <c r="D446" s="642"/>
      <c r="E446" s="696"/>
      <c r="F446" s="696"/>
      <c r="G446" s="621"/>
      <c r="H446" s="577"/>
      <c r="I446" s="577"/>
      <c r="J446" s="613"/>
      <c r="K446" s="581"/>
      <c r="L446" s="581"/>
      <c r="M446" s="613"/>
      <c r="N446" s="613"/>
      <c r="O446" s="613"/>
      <c r="P446" s="580"/>
      <c r="Q446" s="580"/>
      <c r="R446" s="581"/>
      <c r="S446" s="581"/>
      <c r="T446" s="581"/>
      <c r="U446" s="582"/>
      <c r="V446" s="614"/>
      <c r="W446" s="581"/>
      <c r="X446" s="615"/>
      <c r="Y446" s="613"/>
      <c r="Z446" s="580"/>
      <c r="AA446" s="634"/>
      <c r="AB446" s="577"/>
      <c r="AC446" s="673"/>
      <c r="AD446" s="634"/>
      <c r="AE446" s="587"/>
      <c r="AF446" s="587"/>
      <c r="AG446" s="582"/>
      <c r="AH446" s="582"/>
      <c r="AI446" s="582"/>
      <c r="AJ446" s="582"/>
      <c r="AK446" s="588"/>
      <c r="AL446" s="582"/>
      <c r="AM446" s="587"/>
      <c r="AN446" s="589"/>
      <c r="AO446" s="616"/>
      <c r="AP446" s="592"/>
      <c r="AQ446" s="358"/>
      <c r="AR446" s="592"/>
      <c r="AS446" s="592"/>
      <c r="AT446" s="592"/>
      <c r="AU446" s="592"/>
      <c r="AV446" s="592"/>
      <c r="AW446" s="592"/>
      <c r="AX446" s="592"/>
      <c r="AY446" s="592"/>
      <c r="AZ446" s="592"/>
      <c r="BA446" s="617"/>
      <c r="BB446" s="592"/>
      <c r="BC446" s="592"/>
      <c r="BD446" s="592"/>
      <c r="BE446" s="592"/>
      <c r="BF446" s="592"/>
      <c r="BG446" s="358"/>
      <c r="BH446" s="592"/>
      <c r="BI446" s="592"/>
      <c r="BJ446" s="592"/>
      <c r="BK446" s="592"/>
      <c r="BL446" s="592"/>
      <c r="BM446" s="592"/>
      <c r="BN446" s="592"/>
      <c r="BO446" s="592"/>
      <c r="BP446" s="592"/>
      <c r="BQ446" s="594"/>
      <c r="BR446" s="594"/>
      <c r="BS446" s="394"/>
      <c r="BT446" s="594"/>
      <c r="BU446" s="594"/>
      <c r="BV446" s="594"/>
      <c r="BW446" s="618"/>
      <c r="BX446" s="644"/>
      <c r="BY446" s="644"/>
    </row>
    <row r="447" ht="25.5" customHeight="1">
      <c r="A447" s="635"/>
      <c r="B447" s="695"/>
      <c r="C447" s="642"/>
      <c r="D447" s="642"/>
      <c r="E447" s="696"/>
      <c r="F447" s="696"/>
      <c r="G447" s="621"/>
      <c r="H447" s="577"/>
      <c r="I447" s="577"/>
      <c r="J447" s="613"/>
      <c r="K447" s="581"/>
      <c r="L447" s="581"/>
      <c r="M447" s="613"/>
      <c r="N447" s="613"/>
      <c r="O447" s="613"/>
      <c r="P447" s="580"/>
      <c r="Q447" s="580"/>
      <c r="R447" s="581"/>
      <c r="S447" s="581"/>
      <c r="T447" s="581"/>
      <c r="U447" s="582"/>
      <c r="V447" s="614"/>
      <c r="W447" s="581"/>
      <c r="X447" s="615"/>
      <c r="Y447" s="613"/>
      <c r="Z447" s="580"/>
      <c r="AA447" s="634"/>
      <c r="AB447" s="577"/>
      <c r="AC447" s="673"/>
      <c r="AD447" s="634"/>
      <c r="AE447" s="587"/>
      <c r="AF447" s="587"/>
      <c r="AG447" s="582"/>
      <c r="AH447" s="582"/>
      <c r="AI447" s="582"/>
      <c r="AJ447" s="582"/>
      <c r="AK447" s="588"/>
      <c r="AL447" s="582"/>
      <c r="AM447" s="587"/>
      <c r="AN447" s="589"/>
      <c r="AO447" s="616"/>
      <c r="AP447" s="592"/>
      <c r="AQ447" s="358"/>
      <c r="AR447" s="592"/>
      <c r="AS447" s="592"/>
      <c r="AT447" s="592"/>
      <c r="AU447" s="592"/>
      <c r="AV447" s="592"/>
      <c r="AW447" s="592"/>
      <c r="AX447" s="592"/>
      <c r="AY447" s="592"/>
      <c r="AZ447" s="592"/>
      <c r="BA447" s="617"/>
      <c r="BB447" s="592"/>
      <c r="BC447" s="592"/>
      <c r="BD447" s="592"/>
      <c r="BE447" s="592"/>
      <c r="BF447" s="592"/>
      <c r="BG447" s="358"/>
      <c r="BH447" s="592"/>
      <c r="BI447" s="592"/>
      <c r="BJ447" s="592"/>
      <c r="BK447" s="592"/>
      <c r="BL447" s="592"/>
      <c r="BM447" s="592"/>
      <c r="BN447" s="592"/>
      <c r="BO447" s="592"/>
      <c r="BP447" s="592"/>
      <c r="BQ447" s="594"/>
      <c r="BR447" s="594"/>
      <c r="BS447" s="394"/>
      <c r="BT447" s="594"/>
      <c r="BU447" s="594"/>
      <c r="BV447" s="594"/>
      <c r="BW447" s="618"/>
      <c r="BX447" s="644"/>
      <c r="BY447" s="644"/>
    </row>
    <row r="448" ht="25.5" customHeight="1">
      <c r="A448" s="635"/>
      <c r="B448" s="695"/>
      <c r="C448" s="642"/>
      <c r="D448" s="642"/>
      <c r="E448" s="696"/>
      <c r="F448" s="696"/>
      <c r="G448" s="621"/>
      <c r="H448" s="577"/>
      <c r="I448" s="577"/>
      <c r="J448" s="613"/>
      <c r="K448" s="581"/>
      <c r="L448" s="581"/>
      <c r="M448" s="613"/>
      <c r="N448" s="613"/>
      <c r="O448" s="613"/>
      <c r="P448" s="580"/>
      <c r="Q448" s="580"/>
      <c r="R448" s="581"/>
      <c r="S448" s="581"/>
      <c r="T448" s="581"/>
      <c r="U448" s="582"/>
      <c r="V448" s="614"/>
      <c r="W448" s="581"/>
      <c r="X448" s="615"/>
      <c r="Y448" s="613"/>
      <c r="Z448" s="580"/>
      <c r="AA448" s="634"/>
      <c r="AB448" s="577"/>
      <c r="AC448" s="673"/>
      <c r="AD448" s="634"/>
      <c r="AE448" s="587"/>
      <c r="AF448" s="587"/>
      <c r="AG448" s="582"/>
      <c r="AH448" s="582"/>
      <c r="AI448" s="582"/>
      <c r="AJ448" s="582"/>
      <c r="AK448" s="588"/>
      <c r="AL448" s="582"/>
      <c r="AM448" s="587"/>
      <c r="AN448" s="589"/>
      <c r="AO448" s="616"/>
      <c r="AP448" s="592"/>
      <c r="AQ448" s="358"/>
      <c r="AR448" s="592"/>
      <c r="AS448" s="592"/>
      <c r="AT448" s="592"/>
      <c r="AU448" s="592"/>
      <c r="AV448" s="592"/>
      <c r="AW448" s="592"/>
      <c r="AX448" s="592"/>
      <c r="AY448" s="592"/>
      <c r="AZ448" s="592"/>
      <c r="BA448" s="617"/>
      <c r="BB448" s="592"/>
      <c r="BC448" s="592"/>
      <c r="BD448" s="592"/>
      <c r="BE448" s="592"/>
      <c r="BF448" s="592"/>
      <c r="BG448" s="358"/>
      <c r="BH448" s="592"/>
      <c r="BI448" s="592"/>
      <c r="BJ448" s="592"/>
      <c r="BK448" s="592"/>
      <c r="BL448" s="592"/>
      <c r="BM448" s="592"/>
      <c r="BN448" s="592"/>
      <c r="BO448" s="592"/>
      <c r="BP448" s="592"/>
      <c r="BQ448" s="594"/>
      <c r="BR448" s="594"/>
      <c r="BS448" s="394"/>
      <c r="BT448" s="594"/>
      <c r="BU448" s="594"/>
      <c r="BV448" s="594"/>
      <c r="BW448" s="618"/>
      <c r="BX448" s="644"/>
      <c r="BY448" s="644"/>
    </row>
    <row r="449" ht="25.5" customHeight="1">
      <c r="A449" s="635"/>
      <c r="B449" s="695"/>
      <c r="C449" s="642"/>
      <c r="D449" s="642"/>
      <c r="E449" s="696"/>
      <c r="F449" s="696"/>
      <c r="G449" s="621"/>
      <c r="H449" s="577"/>
      <c r="I449" s="577"/>
      <c r="J449" s="613"/>
      <c r="K449" s="581"/>
      <c r="L449" s="581"/>
      <c r="M449" s="613"/>
      <c r="N449" s="613"/>
      <c r="O449" s="613"/>
      <c r="P449" s="580"/>
      <c r="Q449" s="580"/>
      <c r="R449" s="581"/>
      <c r="S449" s="581"/>
      <c r="T449" s="581"/>
      <c r="U449" s="582"/>
      <c r="V449" s="614"/>
      <c r="W449" s="581"/>
      <c r="X449" s="615"/>
      <c r="Y449" s="613"/>
      <c r="Z449" s="580"/>
      <c r="AA449" s="634"/>
      <c r="AB449" s="577"/>
      <c r="AC449" s="673"/>
      <c r="AD449" s="634"/>
      <c r="AE449" s="587"/>
      <c r="AF449" s="587"/>
      <c r="AG449" s="582"/>
      <c r="AH449" s="582"/>
      <c r="AI449" s="582"/>
      <c r="AJ449" s="582"/>
      <c r="AK449" s="588"/>
      <c r="AL449" s="582"/>
      <c r="AM449" s="587"/>
      <c r="AN449" s="589"/>
      <c r="AO449" s="616"/>
      <c r="AP449" s="592"/>
      <c r="AQ449" s="358"/>
      <c r="AR449" s="592"/>
      <c r="AS449" s="592"/>
      <c r="AT449" s="592"/>
      <c r="AU449" s="592"/>
      <c r="AV449" s="592"/>
      <c r="AW449" s="592"/>
      <c r="AX449" s="592"/>
      <c r="AY449" s="592"/>
      <c r="AZ449" s="592"/>
      <c r="BA449" s="617"/>
      <c r="BB449" s="592"/>
      <c r="BC449" s="592"/>
      <c r="BD449" s="592"/>
      <c r="BE449" s="592"/>
      <c r="BF449" s="592"/>
      <c r="BG449" s="358"/>
      <c r="BH449" s="592"/>
      <c r="BI449" s="592"/>
      <c r="BJ449" s="592"/>
      <c r="BK449" s="592"/>
      <c r="BL449" s="592"/>
      <c r="BM449" s="592"/>
      <c r="BN449" s="592"/>
      <c r="BO449" s="592"/>
      <c r="BP449" s="592"/>
      <c r="BQ449" s="594"/>
      <c r="BR449" s="594"/>
      <c r="BS449" s="394"/>
      <c r="BT449" s="594"/>
      <c r="BU449" s="594"/>
      <c r="BV449" s="594"/>
      <c r="BW449" s="618"/>
      <c r="BX449" s="644"/>
      <c r="BY449" s="644"/>
    </row>
    <row r="450" ht="25.5" customHeight="1">
      <c r="A450" s="635"/>
      <c r="B450" s="695"/>
      <c r="C450" s="642"/>
      <c r="D450" s="642"/>
      <c r="E450" s="696"/>
      <c r="F450" s="696"/>
      <c r="G450" s="621"/>
      <c r="H450" s="577"/>
      <c r="I450" s="577"/>
      <c r="J450" s="613"/>
      <c r="K450" s="581"/>
      <c r="L450" s="581"/>
      <c r="M450" s="613"/>
      <c r="N450" s="613"/>
      <c r="O450" s="613"/>
      <c r="P450" s="580"/>
      <c r="Q450" s="580"/>
      <c r="R450" s="581"/>
      <c r="S450" s="581"/>
      <c r="T450" s="581"/>
      <c r="U450" s="582"/>
      <c r="V450" s="614"/>
      <c r="W450" s="581"/>
      <c r="X450" s="615"/>
      <c r="Y450" s="613"/>
      <c r="Z450" s="580"/>
      <c r="AA450" s="634"/>
      <c r="AB450" s="577"/>
      <c r="AC450" s="673"/>
      <c r="AD450" s="634"/>
      <c r="AE450" s="587"/>
      <c r="AF450" s="587"/>
      <c r="AG450" s="582"/>
      <c r="AH450" s="582"/>
      <c r="AI450" s="582"/>
      <c r="AJ450" s="582"/>
      <c r="AK450" s="588"/>
      <c r="AL450" s="582"/>
      <c r="AM450" s="587"/>
      <c r="AN450" s="589"/>
      <c r="AO450" s="616"/>
      <c r="AP450" s="592"/>
      <c r="AQ450" s="358"/>
      <c r="AR450" s="592"/>
      <c r="AS450" s="592"/>
      <c r="AT450" s="592"/>
      <c r="AU450" s="592"/>
      <c r="AV450" s="592"/>
      <c r="AW450" s="592"/>
      <c r="AX450" s="592"/>
      <c r="AY450" s="592"/>
      <c r="AZ450" s="592"/>
      <c r="BA450" s="617"/>
      <c r="BB450" s="592"/>
      <c r="BC450" s="592"/>
      <c r="BD450" s="592"/>
      <c r="BE450" s="592"/>
      <c r="BF450" s="592"/>
      <c r="BG450" s="358"/>
      <c r="BH450" s="592"/>
      <c r="BI450" s="592"/>
      <c r="BJ450" s="592"/>
      <c r="BK450" s="592"/>
      <c r="BL450" s="592"/>
      <c r="BM450" s="592"/>
      <c r="BN450" s="592"/>
      <c r="BO450" s="592"/>
      <c r="BP450" s="592"/>
      <c r="BQ450" s="594"/>
      <c r="BR450" s="594"/>
      <c r="BS450" s="394"/>
      <c r="BT450" s="594"/>
      <c r="BU450" s="594"/>
      <c r="BV450" s="594"/>
      <c r="BW450" s="618"/>
      <c r="BX450" s="644"/>
      <c r="BY450" s="644"/>
    </row>
    <row r="451" ht="25.5" customHeight="1">
      <c r="A451" s="635"/>
      <c r="B451" s="695"/>
      <c r="C451" s="642"/>
      <c r="D451" s="642"/>
      <c r="E451" s="696"/>
      <c r="F451" s="696"/>
      <c r="G451" s="621"/>
      <c r="H451" s="577"/>
      <c r="I451" s="577"/>
      <c r="J451" s="613"/>
      <c r="K451" s="581"/>
      <c r="L451" s="581"/>
      <c r="M451" s="613"/>
      <c r="N451" s="613"/>
      <c r="O451" s="613"/>
      <c r="P451" s="580"/>
      <c r="Q451" s="580"/>
      <c r="R451" s="581"/>
      <c r="S451" s="581"/>
      <c r="T451" s="581"/>
      <c r="U451" s="582"/>
      <c r="V451" s="614"/>
      <c r="W451" s="581"/>
      <c r="X451" s="615"/>
      <c r="Y451" s="613"/>
      <c r="Z451" s="580"/>
      <c r="AA451" s="634"/>
      <c r="AB451" s="577"/>
      <c r="AC451" s="673"/>
      <c r="AD451" s="634"/>
      <c r="AE451" s="587"/>
      <c r="AF451" s="587"/>
      <c r="AG451" s="582"/>
      <c r="AH451" s="582"/>
      <c r="AI451" s="582"/>
      <c r="AJ451" s="582"/>
      <c r="AK451" s="588"/>
      <c r="AL451" s="582"/>
      <c r="AM451" s="587"/>
      <c r="AN451" s="589"/>
      <c r="AO451" s="616"/>
      <c r="AP451" s="592"/>
      <c r="AQ451" s="358"/>
      <c r="AR451" s="592"/>
      <c r="AS451" s="592"/>
      <c r="AT451" s="592"/>
      <c r="AU451" s="592"/>
      <c r="AV451" s="592"/>
      <c r="AW451" s="592"/>
      <c r="AX451" s="592"/>
      <c r="AY451" s="592"/>
      <c r="AZ451" s="592"/>
      <c r="BA451" s="617"/>
      <c r="BB451" s="592"/>
      <c r="BC451" s="592"/>
      <c r="BD451" s="592"/>
      <c r="BE451" s="592"/>
      <c r="BF451" s="592"/>
      <c r="BG451" s="358"/>
      <c r="BH451" s="592"/>
      <c r="BI451" s="592"/>
      <c r="BJ451" s="592"/>
      <c r="BK451" s="592"/>
      <c r="BL451" s="592"/>
      <c r="BM451" s="592"/>
      <c r="BN451" s="592"/>
      <c r="BO451" s="592"/>
      <c r="BP451" s="592"/>
      <c r="BQ451" s="594"/>
      <c r="BR451" s="594"/>
      <c r="BS451" s="394"/>
      <c r="BT451" s="594"/>
      <c r="BU451" s="594"/>
      <c r="BV451" s="594"/>
      <c r="BW451" s="618"/>
      <c r="BX451" s="644"/>
      <c r="BY451" s="644"/>
    </row>
    <row r="452" ht="25.5" customHeight="1">
      <c r="A452" s="635"/>
      <c r="B452" s="695"/>
      <c r="C452" s="642"/>
      <c r="D452" s="642"/>
      <c r="E452" s="696"/>
      <c r="F452" s="696"/>
      <c r="G452" s="621"/>
      <c r="H452" s="577"/>
      <c r="I452" s="577"/>
      <c r="J452" s="613"/>
      <c r="K452" s="581"/>
      <c r="L452" s="581"/>
      <c r="M452" s="613"/>
      <c r="N452" s="613"/>
      <c r="O452" s="613"/>
      <c r="P452" s="580"/>
      <c r="Q452" s="580"/>
      <c r="R452" s="581"/>
      <c r="S452" s="581"/>
      <c r="T452" s="581"/>
      <c r="U452" s="582"/>
      <c r="V452" s="614"/>
      <c r="W452" s="581"/>
      <c r="X452" s="615"/>
      <c r="Y452" s="613"/>
      <c r="Z452" s="580"/>
      <c r="AA452" s="634"/>
      <c r="AB452" s="577"/>
      <c r="AC452" s="673"/>
      <c r="AD452" s="634"/>
      <c r="AE452" s="587"/>
      <c r="AF452" s="587"/>
      <c r="AG452" s="582"/>
      <c r="AH452" s="582"/>
      <c r="AI452" s="582"/>
      <c r="AJ452" s="582"/>
      <c r="AK452" s="588"/>
      <c r="AL452" s="582"/>
      <c r="AM452" s="587"/>
      <c r="AN452" s="589"/>
      <c r="AO452" s="616"/>
      <c r="AP452" s="592"/>
      <c r="AQ452" s="358"/>
      <c r="AR452" s="592"/>
      <c r="AS452" s="592"/>
      <c r="AT452" s="592"/>
      <c r="AU452" s="592"/>
      <c r="AV452" s="592"/>
      <c r="AW452" s="592"/>
      <c r="AX452" s="592"/>
      <c r="AY452" s="592"/>
      <c r="AZ452" s="592"/>
      <c r="BA452" s="617"/>
      <c r="BB452" s="592"/>
      <c r="BC452" s="592"/>
      <c r="BD452" s="592"/>
      <c r="BE452" s="592"/>
      <c r="BF452" s="592"/>
      <c r="BG452" s="358"/>
      <c r="BH452" s="592"/>
      <c r="BI452" s="592"/>
      <c r="BJ452" s="592"/>
      <c r="BK452" s="592"/>
      <c r="BL452" s="592"/>
      <c r="BM452" s="592"/>
      <c r="BN452" s="592"/>
      <c r="BO452" s="592"/>
      <c r="BP452" s="592"/>
      <c r="BQ452" s="594"/>
      <c r="BR452" s="594"/>
      <c r="BS452" s="394"/>
      <c r="BT452" s="594"/>
      <c r="BU452" s="594"/>
      <c r="BV452" s="594"/>
      <c r="BW452" s="618"/>
      <c r="BX452" s="644"/>
      <c r="BY452" s="644"/>
    </row>
    <row r="453" ht="25.5" customHeight="1">
      <c r="A453" s="635"/>
      <c r="B453" s="695"/>
      <c r="C453" s="642"/>
      <c r="D453" s="642"/>
      <c r="E453" s="696"/>
      <c r="F453" s="696"/>
      <c r="G453" s="621"/>
      <c r="H453" s="577"/>
      <c r="I453" s="577"/>
      <c r="J453" s="613"/>
      <c r="K453" s="581"/>
      <c r="L453" s="581"/>
      <c r="M453" s="613"/>
      <c r="N453" s="613"/>
      <c r="O453" s="613"/>
      <c r="P453" s="580"/>
      <c r="Q453" s="580"/>
      <c r="R453" s="581"/>
      <c r="S453" s="581"/>
      <c r="T453" s="581"/>
      <c r="U453" s="582"/>
      <c r="V453" s="614"/>
      <c r="W453" s="581"/>
      <c r="X453" s="615"/>
      <c r="Y453" s="613"/>
      <c r="Z453" s="580"/>
      <c r="AA453" s="634"/>
      <c r="AB453" s="577"/>
      <c r="AC453" s="673"/>
      <c r="AD453" s="634"/>
      <c r="AE453" s="587"/>
      <c r="AF453" s="587"/>
      <c r="AG453" s="582"/>
      <c r="AH453" s="582"/>
      <c r="AI453" s="582"/>
      <c r="AJ453" s="582"/>
      <c r="AK453" s="588"/>
      <c r="AL453" s="582"/>
      <c r="AM453" s="587"/>
      <c r="AN453" s="589"/>
      <c r="AO453" s="616"/>
      <c r="AP453" s="592"/>
      <c r="AQ453" s="358"/>
      <c r="AR453" s="592"/>
      <c r="AS453" s="592"/>
      <c r="AT453" s="592"/>
      <c r="AU453" s="592"/>
      <c r="AV453" s="592"/>
      <c r="AW453" s="592"/>
      <c r="AX453" s="592"/>
      <c r="AY453" s="592"/>
      <c r="AZ453" s="592"/>
      <c r="BA453" s="617"/>
      <c r="BB453" s="592"/>
      <c r="BC453" s="592"/>
      <c r="BD453" s="592"/>
      <c r="BE453" s="592"/>
      <c r="BF453" s="592"/>
      <c r="BG453" s="358"/>
      <c r="BH453" s="592"/>
      <c r="BI453" s="592"/>
      <c r="BJ453" s="592"/>
      <c r="BK453" s="592"/>
      <c r="BL453" s="592"/>
      <c r="BM453" s="592"/>
      <c r="BN453" s="592"/>
      <c r="BO453" s="592"/>
      <c r="BP453" s="592"/>
      <c r="BQ453" s="594"/>
      <c r="BR453" s="594"/>
      <c r="BS453" s="394"/>
      <c r="BT453" s="594"/>
      <c r="BU453" s="594"/>
      <c r="BV453" s="594"/>
      <c r="BW453" s="618"/>
      <c r="BX453" s="644"/>
      <c r="BY453" s="644"/>
    </row>
    <row r="454" ht="25.5" customHeight="1">
      <c r="A454" s="635"/>
      <c r="B454" s="695"/>
      <c r="C454" s="642"/>
      <c r="D454" s="642"/>
      <c r="E454" s="696"/>
      <c r="F454" s="696"/>
      <c r="G454" s="621"/>
      <c r="H454" s="577"/>
      <c r="I454" s="577"/>
      <c r="J454" s="613"/>
      <c r="K454" s="581"/>
      <c r="L454" s="581"/>
      <c r="M454" s="613"/>
      <c r="N454" s="613"/>
      <c r="O454" s="613"/>
      <c r="P454" s="580"/>
      <c r="Q454" s="580"/>
      <c r="R454" s="581"/>
      <c r="S454" s="581"/>
      <c r="T454" s="581"/>
      <c r="U454" s="582"/>
      <c r="V454" s="614"/>
      <c r="W454" s="581"/>
      <c r="X454" s="615"/>
      <c r="Y454" s="613"/>
      <c r="Z454" s="580"/>
      <c r="AA454" s="634"/>
      <c r="AB454" s="577"/>
      <c r="AC454" s="673"/>
      <c r="AD454" s="634"/>
      <c r="AE454" s="587"/>
      <c r="AF454" s="587"/>
      <c r="AG454" s="582"/>
      <c r="AH454" s="582"/>
      <c r="AI454" s="582"/>
      <c r="AJ454" s="582"/>
      <c r="AK454" s="588"/>
      <c r="AL454" s="582"/>
      <c r="AM454" s="587"/>
      <c r="AN454" s="589"/>
      <c r="AO454" s="616"/>
      <c r="AP454" s="592"/>
      <c r="AQ454" s="358"/>
      <c r="AR454" s="592"/>
      <c r="AS454" s="592"/>
      <c r="AT454" s="592"/>
      <c r="AU454" s="592"/>
      <c r="AV454" s="592"/>
      <c r="AW454" s="592"/>
      <c r="AX454" s="592"/>
      <c r="AY454" s="592"/>
      <c r="AZ454" s="592"/>
      <c r="BA454" s="617"/>
      <c r="BB454" s="592"/>
      <c r="BC454" s="592"/>
      <c r="BD454" s="592"/>
      <c r="BE454" s="592"/>
      <c r="BF454" s="592"/>
      <c r="BG454" s="358"/>
      <c r="BH454" s="592"/>
      <c r="BI454" s="592"/>
      <c r="BJ454" s="592"/>
      <c r="BK454" s="592"/>
      <c r="BL454" s="592"/>
      <c r="BM454" s="592"/>
      <c r="BN454" s="592"/>
      <c r="BO454" s="592"/>
      <c r="BP454" s="592"/>
      <c r="BQ454" s="594"/>
      <c r="BR454" s="594"/>
      <c r="BS454" s="394"/>
      <c r="BT454" s="594"/>
      <c r="BU454" s="594"/>
      <c r="BV454" s="594"/>
      <c r="BW454" s="618"/>
      <c r="BX454" s="644"/>
      <c r="BY454" s="644"/>
    </row>
    <row r="455" ht="25.5" customHeight="1">
      <c r="A455" s="635"/>
      <c r="B455" s="695"/>
      <c r="C455" s="642"/>
      <c r="D455" s="642"/>
      <c r="E455" s="696"/>
      <c r="F455" s="696"/>
      <c r="G455" s="621"/>
      <c r="H455" s="577"/>
      <c r="I455" s="577"/>
      <c r="J455" s="613"/>
      <c r="K455" s="581"/>
      <c r="L455" s="581"/>
      <c r="M455" s="613"/>
      <c r="N455" s="613"/>
      <c r="O455" s="613"/>
      <c r="P455" s="580"/>
      <c r="Q455" s="580"/>
      <c r="R455" s="581"/>
      <c r="S455" s="581"/>
      <c r="T455" s="581"/>
      <c r="U455" s="582"/>
      <c r="V455" s="614"/>
      <c r="W455" s="581"/>
      <c r="X455" s="615"/>
      <c r="Y455" s="613"/>
      <c r="Z455" s="580"/>
      <c r="AA455" s="634"/>
      <c r="AB455" s="577"/>
      <c r="AC455" s="673"/>
      <c r="AD455" s="634"/>
      <c r="AE455" s="587"/>
      <c r="AF455" s="587"/>
      <c r="AG455" s="582"/>
      <c r="AH455" s="582"/>
      <c r="AI455" s="582"/>
      <c r="AJ455" s="582"/>
      <c r="AK455" s="588"/>
      <c r="AL455" s="582"/>
      <c r="AM455" s="587"/>
      <c r="AN455" s="589"/>
      <c r="AO455" s="616"/>
      <c r="AP455" s="592"/>
      <c r="AQ455" s="358"/>
      <c r="AR455" s="592"/>
      <c r="AS455" s="592"/>
      <c r="AT455" s="592"/>
      <c r="AU455" s="592"/>
      <c r="AV455" s="592"/>
      <c r="AW455" s="592"/>
      <c r="AX455" s="592"/>
      <c r="AY455" s="592"/>
      <c r="AZ455" s="592"/>
      <c r="BA455" s="617"/>
      <c r="BB455" s="592"/>
      <c r="BC455" s="592"/>
      <c r="BD455" s="592"/>
      <c r="BE455" s="592"/>
      <c r="BF455" s="592"/>
      <c r="BG455" s="358"/>
      <c r="BH455" s="592"/>
      <c r="BI455" s="592"/>
      <c r="BJ455" s="592"/>
      <c r="BK455" s="592"/>
      <c r="BL455" s="592"/>
      <c r="BM455" s="592"/>
      <c r="BN455" s="592"/>
      <c r="BO455" s="592"/>
      <c r="BP455" s="592"/>
      <c r="BQ455" s="594"/>
      <c r="BR455" s="594"/>
      <c r="BS455" s="394"/>
      <c r="BT455" s="594"/>
      <c r="BU455" s="594"/>
      <c r="BV455" s="594"/>
      <c r="BW455" s="618"/>
      <c r="BX455" s="644"/>
      <c r="BY455" s="644"/>
    </row>
    <row r="456" ht="25.5" customHeight="1">
      <c r="A456" s="635"/>
      <c r="B456" s="695"/>
      <c r="C456" s="642"/>
      <c r="D456" s="642"/>
      <c r="E456" s="696"/>
      <c r="F456" s="696"/>
      <c r="G456" s="621"/>
      <c r="H456" s="577"/>
      <c r="I456" s="577"/>
      <c r="J456" s="613"/>
      <c r="K456" s="581"/>
      <c r="L456" s="581"/>
      <c r="M456" s="613"/>
      <c r="N456" s="613"/>
      <c r="O456" s="613"/>
      <c r="P456" s="580"/>
      <c r="Q456" s="580"/>
      <c r="R456" s="581"/>
      <c r="S456" s="581"/>
      <c r="T456" s="581"/>
      <c r="U456" s="582"/>
      <c r="V456" s="614"/>
      <c r="W456" s="581"/>
      <c r="X456" s="615"/>
      <c r="Y456" s="613"/>
      <c r="Z456" s="580"/>
      <c r="AA456" s="634"/>
      <c r="AB456" s="577"/>
      <c r="AC456" s="673"/>
      <c r="AD456" s="634"/>
      <c r="AE456" s="587"/>
      <c r="AF456" s="587"/>
      <c r="AG456" s="582"/>
      <c r="AH456" s="582"/>
      <c r="AI456" s="582"/>
      <c r="AJ456" s="582"/>
      <c r="AK456" s="588"/>
      <c r="AL456" s="582"/>
      <c r="AM456" s="587"/>
      <c r="AN456" s="589"/>
      <c r="AO456" s="616"/>
      <c r="AP456" s="592"/>
      <c r="AQ456" s="358"/>
      <c r="AR456" s="592"/>
      <c r="AS456" s="592"/>
      <c r="AT456" s="592"/>
      <c r="AU456" s="592"/>
      <c r="AV456" s="592"/>
      <c r="AW456" s="592"/>
      <c r="AX456" s="592"/>
      <c r="AY456" s="592"/>
      <c r="AZ456" s="592"/>
      <c r="BA456" s="617"/>
      <c r="BB456" s="592"/>
      <c r="BC456" s="592"/>
      <c r="BD456" s="592"/>
      <c r="BE456" s="592"/>
      <c r="BF456" s="592"/>
      <c r="BG456" s="358"/>
      <c r="BH456" s="592"/>
      <c r="BI456" s="592"/>
      <c r="BJ456" s="592"/>
      <c r="BK456" s="592"/>
      <c r="BL456" s="592"/>
      <c r="BM456" s="592"/>
      <c r="BN456" s="592"/>
      <c r="BO456" s="592"/>
      <c r="BP456" s="592"/>
      <c r="BQ456" s="594"/>
      <c r="BR456" s="594"/>
      <c r="BS456" s="394"/>
      <c r="BT456" s="594"/>
      <c r="BU456" s="594"/>
      <c r="BV456" s="594"/>
      <c r="BW456" s="618"/>
      <c r="BX456" s="644"/>
      <c r="BY456" s="644"/>
    </row>
    <row r="457" ht="25.5" customHeight="1">
      <c r="A457" s="635"/>
      <c r="B457" s="695"/>
      <c r="C457" s="642"/>
      <c r="D457" s="642"/>
      <c r="E457" s="696"/>
      <c r="F457" s="696"/>
      <c r="G457" s="621"/>
      <c r="H457" s="577"/>
      <c r="I457" s="577"/>
      <c r="J457" s="613"/>
      <c r="K457" s="581"/>
      <c r="L457" s="581"/>
      <c r="M457" s="613"/>
      <c r="N457" s="613"/>
      <c r="O457" s="613"/>
      <c r="P457" s="580"/>
      <c r="Q457" s="580"/>
      <c r="R457" s="581"/>
      <c r="S457" s="581"/>
      <c r="T457" s="581"/>
      <c r="U457" s="582"/>
      <c r="V457" s="614"/>
      <c r="W457" s="581"/>
      <c r="X457" s="615"/>
      <c r="Y457" s="613"/>
      <c r="Z457" s="580"/>
      <c r="AA457" s="634"/>
      <c r="AB457" s="577"/>
      <c r="AC457" s="673"/>
      <c r="AD457" s="634"/>
      <c r="AE457" s="587"/>
      <c r="AF457" s="587"/>
      <c r="AG457" s="582"/>
      <c r="AH457" s="582"/>
      <c r="AI457" s="582"/>
      <c r="AJ457" s="582"/>
      <c r="AK457" s="588"/>
      <c r="AL457" s="582"/>
      <c r="AM457" s="587"/>
      <c r="AN457" s="589"/>
      <c r="AO457" s="616"/>
      <c r="AP457" s="592"/>
      <c r="AQ457" s="358"/>
      <c r="AR457" s="592"/>
      <c r="AS457" s="592"/>
      <c r="AT457" s="592"/>
      <c r="AU457" s="592"/>
      <c r="AV457" s="592"/>
      <c r="AW457" s="592"/>
      <c r="AX457" s="592"/>
      <c r="AY457" s="592"/>
      <c r="AZ457" s="592"/>
      <c r="BA457" s="617"/>
      <c r="BB457" s="592"/>
      <c r="BC457" s="592"/>
      <c r="BD457" s="592"/>
      <c r="BE457" s="592"/>
      <c r="BF457" s="592"/>
      <c r="BG457" s="358"/>
      <c r="BH457" s="592"/>
      <c r="BI457" s="592"/>
      <c r="BJ457" s="592"/>
      <c r="BK457" s="592"/>
      <c r="BL457" s="592"/>
      <c r="BM457" s="592"/>
      <c r="BN457" s="592"/>
      <c r="BO457" s="592"/>
      <c r="BP457" s="592"/>
      <c r="BQ457" s="594"/>
      <c r="BR457" s="594"/>
      <c r="BS457" s="394"/>
      <c r="BT457" s="594"/>
      <c r="BU457" s="594"/>
      <c r="BV457" s="594"/>
      <c r="BW457" s="618"/>
      <c r="BX457" s="644"/>
      <c r="BY457" s="644"/>
    </row>
    <row r="458" ht="25.5" customHeight="1">
      <c r="A458" s="635"/>
      <c r="B458" s="695"/>
      <c r="C458" s="642"/>
      <c r="D458" s="642"/>
      <c r="E458" s="696"/>
      <c r="F458" s="696"/>
      <c r="G458" s="621"/>
      <c r="H458" s="577"/>
      <c r="I458" s="577"/>
      <c r="J458" s="613"/>
      <c r="K458" s="581"/>
      <c r="L458" s="581"/>
      <c r="M458" s="613"/>
      <c r="N458" s="613"/>
      <c r="O458" s="613"/>
      <c r="P458" s="580"/>
      <c r="Q458" s="580"/>
      <c r="R458" s="581"/>
      <c r="S458" s="581"/>
      <c r="T458" s="581"/>
      <c r="U458" s="582"/>
      <c r="V458" s="614"/>
      <c r="W458" s="581"/>
      <c r="X458" s="615"/>
      <c r="Y458" s="613"/>
      <c r="Z458" s="580"/>
      <c r="AA458" s="634"/>
      <c r="AB458" s="577"/>
      <c r="AC458" s="673"/>
      <c r="AD458" s="634"/>
      <c r="AE458" s="587"/>
      <c r="AF458" s="587"/>
      <c r="AG458" s="582"/>
      <c r="AH458" s="582"/>
      <c r="AI458" s="582"/>
      <c r="AJ458" s="582"/>
      <c r="AK458" s="588"/>
      <c r="AL458" s="582"/>
      <c r="AM458" s="587"/>
      <c r="AN458" s="589"/>
      <c r="AO458" s="616"/>
      <c r="AP458" s="592"/>
      <c r="AQ458" s="358"/>
      <c r="AR458" s="592"/>
      <c r="AS458" s="592"/>
      <c r="AT458" s="592"/>
      <c r="AU458" s="592"/>
      <c r="AV458" s="592"/>
      <c r="AW458" s="592"/>
      <c r="AX458" s="592"/>
      <c r="AY458" s="592"/>
      <c r="AZ458" s="592"/>
      <c r="BA458" s="617"/>
      <c r="BB458" s="592"/>
      <c r="BC458" s="592"/>
      <c r="BD458" s="592"/>
      <c r="BE458" s="592"/>
      <c r="BF458" s="592"/>
      <c r="BG458" s="358"/>
      <c r="BH458" s="592"/>
      <c r="BI458" s="592"/>
      <c r="BJ458" s="592"/>
      <c r="BK458" s="592"/>
      <c r="BL458" s="592"/>
      <c r="BM458" s="592"/>
      <c r="BN458" s="592"/>
      <c r="BO458" s="592"/>
      <c r="BP458" s="592"/>
      <c r="BQ458" s="594"/>
      <c r="BR458" s="594"/>
      <c r="BS458" s="394"/>
      <c r="BT458" s="594"/>
      <c r="BU458" s="594"/>
      <c r="BV458" s="594"/>
      <c r="BW458" s="618"/>
      <c r="BX458" s="644"/>
      <c r="BY458" s="644"/>
    </row>
    <row r="459" ht="25.5" customHeight="1">
      <c r="A459" s="635"/>
      <c r="B459" s="695"/>
      <c r="C459" s="642"/>
      <c r="D459" s="642"/>
      <c r="E459" s="696"/>
      <c r="F459" s="696"/>
      <c r="G459" s="621"/>
      <c r="H459" s="577"/>
      <c r="I459" s="577"/>
      <c r="J459" s="613"/>
      <c r="K459" s="581"/>
      <c r="L459" s="581"/>
      <c r="M459" s="613"/>
      <c r="N459" s="613"/>
      <c r="O459" s="613"/>
      <c r="P459" s="580"/>
      <c r="Q459" s="580"/>
      <c r="R459" s="581"/>
      <c r="S459" s="581"/>
      <c r="T459" s="581"/>
      <c r="U459" s="582"/>
      <c r="V459" s="614"/>
      <c r="W459" s="581"/>
      <c r="X459" s="615"/>
      <c r="Y459" s="613"/>
      <c r="Z459" s="580"/>
      <c r="AA459" s="634"/>
      <c r="AB459" s="577"/>
      <c r="AC459" s="673"/>
      <c r="AD459" s="634"/>
      <c r="AE459" s="587"/>
      <c r="AF459" s="587"/>
      <c r="AG459" s="582"/>
      <c r="AH459" s="582"/>
      <c r="AI459" s="582"/>
      <c r="AJ459" s="582"/>
      <c r="AK459" s="588"/>
      <c r="AL459" s="582"/>
      <c r="AM459" s="587"/>
      <c r="AN459" s="589"/>
      <c r="AO459" s="616"/>
      <c r="AP459" s="592"/>
      <c r="AQ459" s="358"/>
      <c r="AR459" s="592"/>
      <c r="AS459" s="592"/>
      <c r="AT459" s="592"/>
      <c r="AU459" s="592"/>
      <c r="AV459" s="592"/>
      <c r="AW459" s="592"/>
      <c r="AX459" s="592"/>
      <c r="AY459" s="592"/>
      <c r="AZ459" s="592"/>
      <c r="BA459" s="617"/>
      <c r="BB459" s="592"/>
      <c r="BC459" s="592"/>
      <c r="BD459" s="592"/>
      <c r="BE459" s="592"/>
      <c r="BF459" s="592"/>
      <c r="BG459" s="358"/>
      <c r="BH459" s="592"/>
      <c r="BI459" s="592"/>
      <c r="BJ459" s="592"/>
      <c r="BK459" s="592"/>
      <c r="BL459" s="592"/>
      <c r="BM459" s="592"/>
      <c r="BN459" s="592"/>
      <c r="BO459" s="592"/>
      <c r="BP459" s="592"/>
      <c r="BQ459" s="594"/>
      <c r="BR459" s="594"/>
      <c r="BS459" s="394"/>
      <c r="BT459" s="594"/>
      <c r="BU459" s="594"/>
      <c r="BV459" s="594"/>
      <c r="BW459" s="618"/>
      <c r="BX459" s="644"/>
      <c r="BY459" s="644"/>
    </row>
    <row r="460" ht="25.5" customHeight="1">
      <c r="A460" s="635"/>
      <c r="B460" s="695"/>
      <c r="C460" s="642"/>
      <c r="D460" s="642"/>
      <c r="E460" s="696"/>
      <c r="F460" s="696"/>
      <c r="G460" s="621"/>
      <c r="H460" s="577"/>
      <c r="I460" s="577"/>
      <c r="J460" s="613"/>
      <c r="K460" s="581"/>
      <c r="L460" s="581"/>
      <c r="M460" s="613"/>
      <c r="N460" s="613"/>
      <c r="O460" s="613"/>
      <c r="P460" s="580"/>
      <c r="Q460" s="580"/>
      <c r="R460" s="581"/>
      <c r="S460" s="581"/>
      <c r="T460" s="581"/>
      <c r="U460" s="582"/>
      <c r="V460" s="614"/>
      <c r="W460" s="581"/>
      <c r="X460" s="615"/>
      <c r="Y460" s="613"/>
      <c r="Z460" s="580"/>
      <c r="AA460" s="634"/>
      <c r="AB460" s="577"/>
      <c r="AC460" s="673"/>
      <c r="AD460" s="634"/>
      <c r="AE460" s="587"/>
      <c r="AF460" s="587"/>
      <c r="AG460" s="582"/>
      <c r="AH460" s="582"/>
      <c r="AI460" s="582"/>
      <c r="AJ460" s="582"/>
      <c r="AK460" s="588"/>
      <c r="AL460" s="582"/>
      <c r="AM460" s="587"/>
      <c r="AN460" s="589"/>
      <c r="AO460" s="616"/>
      <c r="AP460" s="592"/>
      <c r="AQ460" s="358"/>
      <c r="AR460" s="592"/>
      <c r="AS460" s="592"/>
      <c r="AT460" s="592"/>
      <c r="AU460" s="592"/>
      <c r="AV460" s="592"/>
      <c r="AW460" s="592"/>
      <c r="AX460" s="592"/>
      <c r="AY460" s="592"/>
      <c r="AZ460" s="592"/>
      <c r="BA460" s="617"/>
      <c r="BB460" s="592"/>
      <c r="BC460" s="592"/>
      <c r="BD460" s="592"/>
      <c r="BE460" s="592"/>
      <c r="BF460" s="592"/>
      <c r="BG460" s="358"/>
      <c r="BH460" s="592"/>
      <c r="BI460" s="592"/>
      <c r="BJ460" s="592"/>
      <c r="BK460" s="592"/>
      <c r="BL460" s="592"/>
      <c r="BM460" s="592"/>
      <c r="BN460" s="592"/>
      <c r="BO460" s="592"/>
      <c r="BP460" s="592"/>
      <c r="BQ460" s="594"/>
      <c r="BR460" s="594"/>
      <c r="BS460" s="394"/>
      <c r="BT460" s="594"/>
      <c r="BU460" s="594"/>
      <c r="BV460" s="594"/>
      <c r="BW460" s="618"/>
      <c r="BX460" s="644"/>
      <c r="BY460" s="644"/>
    </row>
    <row r="461" ht="25.5" customHeight="1">
      <c r="A461" s="635"/>
      <c r="B461" s="695"/>
      <c r="C461" s="642"/>
      <c r="D461" s="642"/>
      <c r="E461" s="696"/>
      <c r="F461" s="696"/>
      <c r="G461" s="621"/>
      <c r="H461" s="577"/>
      <c r="I461" s="577"/>
      <c r="J461" s="613"/>
      <c r="K461" s="581"/>
      <c r="L461" s="581"/>
      <c r="M461" s="613"/>
      <c r="N461" s="613"/>
      <c r="O461" s="613"/>
      <c r="P461" s="580"/>
      <c r="Q461" s="580"/>
      <c r="R461" s="581"/>
      <c r="S461" s="581"/>
      <c r="T461" s="581"/>
      <c r="U461" s="582"/>
      <c r="V461" s="614"/>
      <c r="W461" s="581"/>
      <c r="X461" s="615"/>
      <c r="Y461" s="613"/>
      <c r="Z461" s="580"/>
      <c r="AA461" s="634"/>
      <c r="AB461" s="577"/>
      <c r="AC461" s="673"/>
      <c r="AD461" s="634"/>
      <c r="AE461" s="587"/>
      <c r="AF461" s="587"/>
      <c r="AG461" s="582"/>
      <c r="AH461" s="582"/>
      <c r="AI461" s="582"/>
      <c r="AJ461" s="582"/>
      <c r="AK461" s="588"/>
      <c r="AL461" s="582"/>
      <c r="AM461" s="587"/>
      <c r="AN461" s="589"/>
      <c r="AO461" s="616"/>
      <c r="AP461" s="592"/>
      <c r="AQ461" s="358"/>
      <c r="AR461" s="592"/>
      <c r="AS461" s="592"/>
      <c r="AT461" s="592"/>
      <c r="AU461" s="592"/>
      <c r="AV461" s="592"/>
      <c r="AW461" s="592"/>
      <c r="AX461" s="592"/>
      <c r="AY461" s="592"/>
      <c r="AZ461" s="592"/>
      <c r="BA461" s="617"/>
      <c r="BB461" s="592"/>
      <c r="BC461" s="592"/>
      <c r="BD461" s="592"/>
      <c r="BE461" s="592"/>
      <c r="BF461" s="592"/>
      <c r="BG461" s="358"/>
      <c r="BH461" s="592"/>
      <c r="BI461" s="592"/>
      <c r="BJ461" s="592"/>
      <c r="BK461" s="592"/>
      <c r="BL461" s="592"/>
      <c r="BM461" s="592"/>
      <c r="BN461" s="592"/>
      <c r="BO461" s="592"/>
      <c r="BP461" s="592"/>
      <c r="BQ461" s="594"/>
      <c r="BR461" s="594"/>
      <c r="BS461" s="394"/>
      <c r="BT461" s="594"/>
      <c r="BU461" s="594"/>
      <c r="BV461" s="594"/>
      <c r="BW461" s="618"/>
      <c r="BX461" s="644"/>
      <c r="BY461" s="644"/>
    </row>
    <row r="462" ht="25.5" customHeight="1">
      <c r="A462" s="635"/>
      <c r="B462" s="695"/>
      <c r="C462" s="642"/>
      <c r="D462" s="642"/>
      <c r="E462" s="696"/>
      <c r="F462" s="696"/>
      <c r="G462" s="621"/>
      <c r="H462" s="577"/>
      <c r="I462" s="577"/>
      <c r="J462" s="613"/>
      <c r="K462" s="581"/>
      <c r="L462" s="581"/>
      <c r="M462" s="613"/>
      <c r="N462" s="613"/>
      <c r="O462" s="613"/>
      <c r="P462" s="580"/>
      <c r="Q462" s="580"/>
      <c r="R462" s="581"/>
      <c r="S462" s="581"/>
      <c r="T462" s="581"/>
      <c r="U462" s="582"/>
      <c r="V462" s="614"/>
      <c r="W462" s="581"/>
      <c r="X462" s="615"/>
      <c r="Y462" s="613"/>
      <c r="Z462" s="580"/>
      <c r="AA462" s="634"/>
      <c r="AB462" s="577"/>
      <c r="AC462" s="673"/>
      <c r="AD462" s="634"/>
      <c r="AE462" s="587"/>
      <c r="AF462" s="587"/>
      <c r="AG462" s="582"/>
      <c r="AH462" s="582"/>
      <c r="AI462" s="582"/>
      <c r="AJ462" s="582"/>
      <c r="AK462" s="588"/>
      <c r="AL462" s="582"/>
      <c r="AM462" s="587"/>
      <c r="AN462" s="589"/>
      <c r="AO462" s="616"/>
      <c r="AP462" s="592"/>
      <c r="AQ462" s="358"/>
      <c r="AR462" s="592"/>
      <c r="AS462" s="592"/>
      <c r="AT462" s="592"/>
      <c r="AU462" s="592"/>
      <c r="AV462" s="592"/>
      <c r="AW462" s="592"/>
      <c r="AX462" s="592"/>
      <c r="AY462" s="592"/>
      <c r="AZ462" s="592"/>
      <c r="BA462" s="617"/>
      <c r="BB462" s="592"/>
      <c r="BC462" s="592"/>
      <c r="BD462" s="592"/>
      <c r="BE462" s="592"/>
      <c r="BF462" s="592"/>
      <c r="BG462" s="358"/>
      <c r="BH462" s="592"/>
      <c r="BI462" s="592"/>
      <c r="BJ462" s="592"/>
      <c r="BK462" s="592"/>
      <c r="BL462" s="592"/>
      <c r="BM462" s="592"/>
      <c r="BN462" s="592"/>
      <c r="BO462" s="592"/>
      <c r="BP462" s="592"/>
      <c r="BQ462" s="594"/>
      <c r="BR462" s="594"/>
      <c r="BS462" s="394"/>
      <c r="BT462" s="594"/>
      <c r="BU462" s="594"/>
      <c r="BV462" s="594"/>
      <c r="BW462" s="618"/>
      <c r="BX462" s="644"/>
      <c r="BY462" s="644"/>
    </row>
    <row r="463" ht="25.5" customHeight="1">
      <c r="A463" s="635"/>
      <c r="B463" s="695"/>
      <c r="C463" s="642"/>
      <c r="D463" s="642"/>
      <c r="E463" s="696"/>
      <c r="F463" s="696"/>
      <c r="G463" s="621"/>
      <c r="H463" s="577"/>
      <c r="I463" s="577"/>
      <c r="J463" s="613"/>
      <c r="K463" s="581"/>
      <c r="L463" s="581"/>
      <c r="M463" s="613"/>
      <c r="N463" s="613"/>
      <c r="O463" s="613"/>
      <c r="P463" s="580"/>
      <c r="Q463" s="580"/>
      <c r="R463" s="581"/>
      <c r="S463" s="581"/>
      <c r="T463" s="581"/>
      <c r="U463" s="582"/>
      <c r="V463" s="614"/>
      <c r="W463" s="581"/>
      <c r="X463" s="615"/>
      <c r="Y463" s="613"/>
      <c r="Z463" s="580"/>
      <c r="AA463" s="634"/>
      <c r="AB463" s="577"/>
      <c r="AC463" s="673"/>
      <c r="AD463" s="634"/>
      <c r="AE463" s="587"/>
      <c r="AF463" s="587"/>
      <c r="AG463" s="582"/>
      <c r="AH463" s="582"/>
      <c r="AI463" s="582"/>
      <c r="AJ463" s="582"/>
      <c r="AK463" s="588"/>
      <c r="AL463" s="582"/>
      <c r="AM463" s="587"/>
      <c r="AN463" s="589"/>
      <c r="AO463" s="616"/>
      <c r="AP463" s="592"/>
      <c r="AQ463" s="358"/>
      <c r="AR463" s="592"/>
      <c r="AS463" s="592"/>
      <c r="AT463" s="592"/>
      <c r="AU463" s="592"/>
      <c r="AV463" s="592"/>
      <c r="AW463" s="592"/>
      <c r="AX463" s="592"/>
      <c r="AY463" s="592"/>
      <c r="AZ463" s="592"/>
      <c r="BA463" s="617"/>
      <c r="BB463" s="592"/>
      <c r="BC463" s="592"/>
      <c r="BD463" s="592"/>
      <c r="BE463" s="592"/>
      <c r="BF463" s="592"/>
      <c r="BG463" s="358"/>
      <c r="BH463" s="592"/>
      <c r="BI463" s="592"/>
      <c r="BJ463" s="592"/>
      <c r="BK463" s="592"/>
      <c r="BL463" s="592"/>
      <c r="BM463" s="592"/>
      <c r="BN463" s="592"/>
      <c r="BO463" s="592"/>
      <c r="BP463" s="592"/>
      <c r="BQ463" s="594"/>
      <c r="BR463" s="594"/>
      <c r="BS463" s="394"/>
      <c r="BT463" s="594"/>
      <c r="BU463" s="594"/>
      <c r="BV463" s="594"/>
      <c r="BW463" s="618"/>
      <c r="BX463" s="644"/>
      <c r="BY463" s="644"/>
    </row>
    <row r="464" ht="25.5" customHeight="1">
      <c r="A464" s="635"/>
      <c r="B464" s="695"/>
      <c r="C464" s="642"/>
      <c r="D464" s="642"/>
      <c r="E464" s="696"/>
      <c r="F464" s="696"/>
      <c r="G464" s="621"/>
      <c r="H464" s="577"/>
      <c r="I464" s="577"/>
      <c r="J464" s="613"/>
      <c r="K464" s="581"/>
      <c r="L464" s="581"/>
      <c r="M464" s="613"/>
      <c r="N464" s="613"/>
      <c r="O464" s="613"/>
      <c r="P464" s="580"/>
      <c r="Q464" s="580"/>
      <c r="R464" s="581"/>
      <c r="S464" s="581"/>
      <c r="T464" s="581"/>
      <c r="U464" s="582"/>
      <c r="V464" s="614"/>
      <c r="W464" s="581"/>
      <c r="X464" s="615"/>
      <c r="Y464" s="613"/>
      <c r="Z464" s="580"/>
      <c r="AA464" s="634"/>
      <c r="AB464" s="577"/>
      <c r="AC464" s="673"/>
      <c r="AD464" s="634"/>
      <c r="AE464" s="587"/>
      <c r="AF464" s="587"/>
      <c r="AG464" s="582"/>
      <c r="AH464" s="582"/>
      <c r="AI464" s="582"/>
      <c r="AJ464" s="582"/>
      <c r="AK464" s="588"/>
      <c r="AL464" s="582"/>
      <c r="AM464" s="587"/>
      <c r="AN464" s="589"/>
      <c r="AO464" s="616"/>
      <c r="AP464" s="592"/>
      <c r="AQ464" s="358"/>
      <c r="AR464" s="592"/>
      <c r="AS464" s="592"/>
      <c r="AT464" s="592"/>
      <c r="AU464" s="592"/>
      <c r="AV464" s="592"/>
      <c r="AW464" s="592"/>
      <c r="AX464" s="592"/>
      <c r="AY464" s="592"/>
      <c r="AZ464" s="592"/>
      <c r="BA464" s="617"/>
      <c r="BB464" s="592"/>
      <c r="BC464" s="592"/>
      <c r="BD464" s="592"/>
      <c r="BE464" s="592"/>
      <c r="BF464" s="592"/>
      <c r="BG464" s="358"/>
      <c r="BH464" s="592"/>
      <c r="BI464" s="592"/>
      <c r="BJ464" s="592"/>
      <c r="BK464" s="592"/>
      <c r="BL464" s="592"/>
      <c r="BM464" s="592"/>
      <c r="BN464" s="592"/>
      <c r="BO464" s="592"/>
      <c r="BP464" s="592"/>
      <c r="BQ464" s="594"/>
      <c r="BR464" s="594"/>
      <c r="BS464" s="394"/>
      <c r="BT464" s="594"/>
      <c r="BU464" s="594"/>
      <c r="BV464" s="594"/>
      <c r="BW464" s="618"/>
      <c r="BX464" s="644"/>
      <c r="BY464" s="644"/>
    </row>
    <row r="465" ht="25.5" customHeight="1">
      <c r="A465" s="635"/>
      <c r="B465" s="695"/>
      <c r="C465" s="642"/>
      <c r="D465" s="642"/>
      <c r="E465" s="696"/>
      <c r="F465" s="696"/>
      <c r="G465" s="621"/>
      <c r="H465" s="577"/>
      <c r="I465" s="577"/>
      <c r="J465" s="613"/>
      <c r="K465" s="581"/>
      <c r="L465" s="581"/>
      <c r="M465" s="613"/>
      <c r="N465" s="613"/>
      <c r="O465" s="613"/>
      <c r="P465" s="580"/>
      <c r="Q465" s="580"/>
      <c r="R465" s="581"/>
      <c r="S465" s="581"/>
      <c r="T465" s="581"/>
      <c r="U465" s="582"/>
      <c r="V465" s="614"/>
      <c r="W465" s="581"/>
      <c r="X465" s="615"/>
      <c r="Y465" s="613"/>
      <c r="Z465" s="580"/>
      <c r="AA465" s="634"/>
      <c r="AB465" s="577"/>
      <c r="AC465" s="673"/>
      <c r="AD465" s="634"/>
      <c r="AE465" s="587"/>
      <c r="AF465" s="587"/>
      <c r="AG465" s="582"/>
      <c r="AH465" s="582"/>
      <c r="AI465" s="582"/>
      <c r="AJ465" s="582"/>
      <c r="AK465" s="588"/>
      <c r="AL465" s="582"/>
      <c r="AM465" s="587"/>
      <c r="AN465" s="589"/>
      <c r="AO465" s="616"/>
      <c r="AP465" s="592"/>
      <c r="AQ465" s="358"/>
      <c r="AR465" s="592"/>
      <c r="AS465" s="592"/>
      <c r="AT465" s="592"/>
      <c r="AU465" s="592"/>
      <c r="AV465" s="592"/>
      <c r="AW465" s="592"/>
      <c r="AX465" s="592"/>
      <c r="AY465" s="592"/>
      <c r="AZ465" s="592"/>
      <c r="BA465" s="617"/>
      <c r="BB465" s="592"/>
      <c r="BC465" s="592"/>
      <c r="BD465" s="592"/>
      <c r="BE465" s="592"/>
      <c r="BF465" s="592"/>
      <c r="BG465" s="358"/>
      <c r="BH465" s="592"/>
      <c r="BI465" s="592"/>
      <c r="BJ465" s="592"/>
      <c r="BK465" s="592"/>
      <c r="BL465" s="592"/>
      <c r="BM465" s="592"/>
      <c r="BN465" s="592"/>
      <c r="BO465" s="592"/>
      <c r="BP465" s="592"/>
      <c r="BQ465" s="594"/>
      <c r="BR465" s="594"/>
      <c r="BS465" s="394"/>
      <c r="BT465" s="594"/>
      <c r="BU465" s="594"/>
      <c r="BV465" s="594"/>
      <c r="BW465" s="618"/>
      <c r="BX465" s="644"/>
      <c r="BY465" s="644"/>
    </row>
    <row r="466" ht="25.5" customHeight="1">
      <c r="A466" s="635"/>
      <c r="B466" s="695"/>
      <c r="C466" s="642"/>
      <c r="D466" s="642"/>
      <c r="E466" s="696"/>
      <c r="F466" s="696"/>
      <c r="G466" s="621"/>
      <c r="H466" s="577"/>
      <c r="I466" s="577"/>
      <c r="J466" s="613"/>
      <c r="K466" s="581"/>
      <c r="L466" s="581"/>
      <c r="M466" s="613"/>
      <c r="N466" s="613"/>
      <c r="O466" s="613"/>
      <c r="P466" s="580"/>
      <c r="Q466" s="580"/>
      <c r="R466" s="581"/>
      <c r="S466" s="581"/>
      <c r="T466" s="581"/>
      <c r="U466" s="582"/>
      <c r="V466" s="614"/>
      <c r="W466" s="581"/>
      <c r="X466" s="615"/>
      <c r="Y466" s="613"/>
      <c r="Z466" s="580"/>
      <c r="AA466" s="634"/>
      <c r="AB466" s="577"/>
      <c r="AC466" s="673"/>
      <c r="AD466" s="634"/>
      <c r="AE466" s="587"/>
      <c r="AF466" s="587"/>
      <c r="AG466" s="582"/>
      <c r="AH466" s="582"/>
      <c r="AI466" s="582"/>
      <c r="AJ466" s="582"/>
      <c r="AK466" s="588"/>
      <c r="AL466" s="582"/>
      <c r="AM466" s="587"/>
      <c r="AN466" s="589"/>
      <c r="AO466" s="616"/>
      <c r="AP466" s="592"/>
      <c r="AQ466" s="358"/>
      <c r="AR466" s="592"/>
      <c r="AS466" s="592"/>
      <c r="AT466" s="592"/>
      <c r="AU466" s="592"/>
      <c r="AV466" s="592"/>
      <c r="AW466" s="592"/>
      <c r="AX466" s="592"/>
      <c r="AY466" s="592"/>
      <c r="AZ466" s="592"/>
      <c r="BA466" s="617"/>
      <c r="BB466" s="592"/>
      <c r="BC466" s="592"/>
      <c r="BD466" s="592"/>
      <c r="BE466" s="592"/>
      <c r="BF466" s="592"/>
      <c r="BG466" s="358"/>
      <c r="BH466" s="592"/>
      <c r="BI466" s="592"/>
      <c r="BJ466" s="592"/>
      <c r="BK466" s="592"/>
      <c r="BL466" s="592"/>
      <c r="BM466" s="592"/>
      <c r="BN466" s="592"/>
      <c r="BO466" s="592"/>
      <c r="BP466" s="592"/>
      <c r="BQ466" s="594"/>
      <c r="BR466" s="594"/>
      <c r="BS466" s="394"/>
      <c r="BT466" s="594"/>
      <c r="BU466" s="594"/>
      <c r="BV466" s="594"/>
      <c r="BW466" s="618"/>
      <c r="BX466" s="644"/>
      <c r="BY466" s="644"/>
    </row>
    <row r="467" ht="25.5" customHeight="1">
      <c r="A467" s="635"/>
      <c r="B467" s="695"/>
      <c r="C467" s="642"/>
      <c r="D467" s="642"/>
      <c r="E467" s="696"/>
      <c r="F467" s="696"/>
      <c r="G467" s="621"/>
      <c r="H467" s="577"/>
      <c r="I467" s="577"/>
      <c r="J467" s="613"/>
      <c r="K467" s="581"/>
      <c r="L467" s="581"/>
      <c r="M467" s="613"/>
      <c r="N467" s="613"/>
      <c r="O467" s="613"/>
      <c r="P467" s="580"/>
      <c r="Q467" s="580"/>
      <c r="R467" s="581"/>
      <c r="S467" s="581"/>
      <c r="T467" s="581"/>
      <c r="U467" s="582"/>
      <c r="V467" s="614"/>
      <c r="W467" s="581"/>
      <c r="X467" s="615"/>
      <c r="Y467" s="613"/>
      <c r="Z467" s="580"/>
      <c r="AA467" s="634"/>
      <c r="AB467" s="577"/>
      <c r="AC467" s="673"/>
      <c r="AD467" s="634"/>
      <c r="AE467" s="587"/>
      <c r="AF467" s="587"/>
      <c r="AG467" s="582"/>
      <c r="AH467" s="582"/>
      <c r="AI467" s="582"/>
      <c r="AJ467" s="582"/>
      <c r="AK467" s="588"/>
      <c r="AL467" s="582"/>
      <c r="AM467" s="587"/>
      <c r="AN467" s="589"/>
      <c r="AO467" s="616"/>
      <c r="AP467" s="592"/>
      <c r="AQ467" s="358"/>
      <c r="AR467" s="592"/>
      <c r="AS467" s="592"/>
      <c r="AT467" s="592"/>
      <c r="AU467" s="592"/>
      <c r="AV467" s="592"/>
      <c r="AW467" s="592"/>
      <c r="AX467" s="592"/>
      <c r="AY467" s="592"/>
      <c r="AZ467" s="592"/>
      <c r="BA467" s="617"/>
      <c r="BB467" s="592"/>
      <c r="BC467" s="592"/>
      <c r="BD467" s="592"/>
      <c r="BE467" s="592"/>
      <c r="BF467" s="592"/>
      <c r="BG467" s="358"/>
      <c r="BH467" s="592"/>
      <c r="BI467" s="592"/>
      <c r="BJ467" s="592"/>
      <c r="BK467" s="592"/>
      <c r="BL467" s="592"/>
      <c r="BM467" s="592"/>
      <c r="BN467" s="592"/>
      <c r="BO467" s="592"/>
      <c r="BP467" s="592"/>
      <c r="BQ467" s="594"/>
      <c r="BR467" s="594"/>
      <c r="BS467" s="394"/>
      <c r="BT467" s="594"/>
      <c r="BU467" s="594"/>
      <c r="BV467" s="594"/>
      <c r="BW467" s="618"/>
      <c r="BX467" s="644"/>
      <c r="BY467" s="644"/>
    </row>
    <row r="468" ht="25.5" customHeight="1">
      <c r="A468" s="635"/>
      <c r="B468" s="695"/>
      <c r="C468" s="642"/>
      <c r="D468" s="642"/>
      <c r="E468" s="696"/>
      <c r="F468" s="696"/>
      <c r="G468" s="621"/>
      <c r="H468" s="577"/>
      <c r="I468" s="577"/>
      <c r="J468" s="613"/>
      <c r="K468" s="581"/>
      <c r="L468" s="581"/>
      <c r="M468" s="613"/>
      <c r="N468" s="613"/>
      <c r="O468" s="613"/>
      <c r="P468" s="580"/>
      <c r="Q468" s="580"/>
      <c r="R468" s="581"/>
      <c r="S468" s="581"/>
      <c r="T468" s="581"/>
      <c r="U468" s="582"/>
      <c r="V468" s="614"/>
      <c r="W468" s="581"/>
      <c r="X468" s="615"/>
      <c r="Y468" s="613"/>
      <c r="Z468" s="580"/>
      <c r="AA468" s="634"/>
      <c r="AB468" s="577"/>
      <c r="AC468" s="673"/>
      <c r="AD468" s="634"/>
      <c r="AE468" s="587"/>
      <c r="AF468" s="587"/>
      <c r="AG468" s="582"/>
      <c r="AH468" s="582"/>
      <c r="AI468" s="582"/>
      <c r="AJ468" s="582"/>
      <c r="AK468" s="588"/>
      <c r="AL468" s="582"/>
      <c r="AM468" s="587"/>
      <c r="AN468" s="589"/>
      <c r="AO468" s="616"/>
      <c r="AP468" s="592"/>
      <c r="AQ468" s="358"/>
      <c r="AR468" s="592"/>
      <c r="AS468" s="592"/>
      <c r="AT468" s="592"/>
      <c r="AU468" s="592"/>
      <c r="AV468" s="592"/>
      <c r="AW468" s="592"/>
      <c r="AX468" s="592"/>
      <c r="AY468" s="592"/>
      <c r="AZ468" s="592"/>
      <c r="BA468" s="617"/>
      <c r="BB468" s="592"/>
      <c r="BC468" s="592"/>
      <c r="BD468" s="592"/>
      <c r="BE468" s="592"/>
      <c r="BF468" s="592"/>
      <c r="BG468" s="358"/>
      <c r="BH468" s="592"/>
      <c r="BI468" s="592"/>
      <c r="BJ468" s="592"/>
      <c r="BK468" s="592"/>
      <c r="BL468" s="592"/>
      <c r="BM468" s="592"/>
      <c r="BN468" s="592"/>
      <c r="BO468" s="592"/>
      <c r="BP468" s="592"/>
      <c r="BQ468" s="594"/>
      <c r="BR468" s="594"/>
      <c r="BS468" s="394"/>
      <c r="BT468" s="594"/>
      <c r="BU468" s="594"/>
      <c r="BV468" s="594"/>
      <c r="BW468" s="618"/>
      <c r="BX468" s="644"/>
      <c r="BY468" s="644"/>
    </row>
    <row r="469" ht="25.5" customHeight="1">
      <c r="A469" s="635"/>
      <c r="B469" s="695"/>
      <c r="C469" s="642"/>
      <c r="D469" s="642"/>
      <c r="E469" s="696"/>
      <c r="F469" s="696"/>
      <c r="G469" s="621"/>
      <c r="H469" s="577"/>
      <c r="I469" s="577"/>
      <c r="J469" s="613"/>
      <c r="K469" s="581"/>
      <c r="L469" s="581"/>
      <c r="M469" s="613"/>
      <c r="N469" s="613"/>
      <c r="O469" s="613"/>
      <c r="P469" s="580"/>
      <c r="Q469" s="580"/>
      <c r="R469" s="581"/>
      <c r="S469" s="581"/>
      <c r="T469" s="581"/>
      <c r="U469" s="582"/>
      <c r="V469" s="614"/>
      <c r="W469" s="581"/>
      <c r="X469" s="615"/>
      <c r="Y469" s="613"/>
      <c r="Z469" s="580"/>
      <c r="AA469" s="634"/>
      <c r="AB469" s="577"/>
      <c r="AC469" s="673"/>
      <c r="AD469" s="634"/>
      <c r="AE469" s="587"/>
      <c r="AF469" s="587"/>
      <c r="AG469" s="582"/>
      <c r="AH469" s="582"/>
      <c r="AI469" s="582"/>
      <c r="AJ469" s="582"/>
      <c r="AK469" s="588"/>
      <c r="AL469" s="582"/>
      <c r="AM469" s="587"/>
      <c r="AN469" s="589"/>
      <c r="AO469" s="616"/>
      <c r="AP469" s="592"/>
      <c r="AQ469" s="358"/>
      <c r="AR469" s="592"/>
      <c r="AS469" s="592"/>
      <c r="AT469" s="592"/>
      <c r="AU469" s="592"/>
      <c r="AV469" s="592"/>
      <c r="AW469" s="592"/>
      <c r="AX469" s="592"/>
      <c r="AY469" s="592"/>
      <c r="AZ469" s="592"/>
      <c r="BA469" s="617"/>
      <c r="BB469" s="592"/>
      <c r="BC469" s="592"/>
      <c r="BD469" s="592"/>
      <c r="BE469" s="592"/>
      <c r="BF469" s="592"/>
      <c r="BG469" s="358"/>
      <c r="BH469" s="592"/>
      <c r="BI469" s="592"/>
      <c r="BJ469" s="592"/>
      <c r="BK469" s="592"/>
      <c r="BL469" s="592"/>
      <c r="BM469" s="592"/>
      <c r="BN469" s="592"/>
      <c r="BO469" s="592"/>
      <c r="BP469" s="592"/>
      <c r="BQ469" s="594"/>
      <c r="BR469" s="594"/>
      <c r="BS469" s="394"/>
      <c r="BT469" s="594"/>
      <c r="BU469" s="594"/>
      <c r="BV469" s="594"/>
      <c r="BW469" s="618"/>
      <c r="BX469" s="644"/>
      <c r="BY469" s="644"/>
    </row>
    <row r="470" ht="25.5" customHeight="1">
      <c r="A470" s="635"/>
      <c r="B470" s="695"/>
      <c r="C470" s="642"/>
      <c r="D470" s="642"/>
      <c r="E470" s="696"/>
      <c r="F470" s="696"/>
      <c r="G470" s="621"/>
      <c r="H470" s="577"/>
      <c r="I470" s="577"/>
      <c r="J470" s="613"/>
      <c r="K470" s="581"/>
      <c r="L470" s="581"/>
      <c r="M470" s="613"/>
      <c r="N470" s="613"/>
      <c r="O470" s="613"/>
      <c r="P470" s="580"/>
      <c r="Q470" s="580"/>
      <c r="R470" s="581"/>
      <c r="S470" s="581"/>
      <c r="T470" s="581"/>
      <c r="U470" s="582"/>
      <c r="V470" s="614"/>
      <c r="W470" s="581"/>
      <c r="X470" s="615"/>
      <c r="Y470" s="613"/>
      <c r="Z470" s="580"/>
      <c r="AA470" s="634"/>
      <c r="AB470" s="577"/>
      <c r="AC470" s="673"/>
      <c r="AD470" s="634"/>
      <c r="AE470" s="587"/>
      <c r="AF470" s="587"/>
      <c r="AG470" s="582"/>
      <c r="AH470" s="582"/>
      <c r="AI470" s="582"/>
      <c r="AJ470" s="582"/>
      <c r="AK470" s="588"/>
      <c r="AL470" s="582"/>
      <c r="AM470" s="587"/>
      <c r="AN470" s="589"/>
      <c r="AO470" s="616"/>
      <c r="AP470" s="592"/>
      <c r="AQ470" s="358"/>
      <c r="AR470" s="592"/>
      <c r="AS470" s="592"/>
      <c r="AT470" s="592"/>
      <c r="AU470" s="592"/>
      <c r="AV470" s="592"/>
      <c r="AW470" s="592"/>
      <c r="AX470" s="592"/>
      <c r="AY470" s="592"/>
      <c r="AZ470" s="592"/>
      <c r="BA470" s="617"/>
      <c r="BB470" s="592"/>
      <c r="BC470" s="592"/>
      <c r="BD470" s="592"/>
      <c r="BE470" s="592"/>
      <c r="BF470" s="592"/>
      <c r="BG470" s="358"/>
      <c r="BH470" s="592"/>
      <c r="BI470" s="592"/>
      <c r="BJ470" s="592"/>
      <c r="BK470" s="592"/>
      <c r="BL470" s="592"/>
      <c r="BM470" s="592"/>
      <c r="BN470" s="592"/>
      <c r="BO470" s="592"/>
      <c r="BP470" s="592"/>
      <c r="BQ470" s="594"/>
      <c r="BR470" s="594"/>
      <c r="BS470" s="394"/>
      <c r="BT470" s="594"/>
      <c r="BU470" s="594"/>
      <c r="BV470" s="594"/>
      <c r="BW470" s="618"/>
      <c r="BX470" s="644"/>
      <c r="BY470" s="644"/>
    </row>
    <row r="471" ht="25.5" customHeight="1">
      <c r="A471" s="635"/>
      <c r="B471" s="695"/>
      <c r="C471" s="642"/>
      <c r="D471" s="642"/>
      <c r="E471" s="696"/>
      <c r="F471" s="696"/>
      <c r="G471" s="621"/>
      <c r="H471" s="577"/>
      <c r="I471" s="577"/>
      <c r="J471" s="613"/>
      <c r="K471" s="581"/>
      <c r="L471" s="581"/>
      <c r="M471" s="613"/>
      <c r="N471" s="613"/>
      <c r="O471" s="613"/>
      <c r="P471" s="580"/>
      <c r="Q471" s="580"/>
      <c r="R471" s="581"/>
      <c r="S471" s="581"/>
      <c r="T471" s="581"/>
      <c r="U471" s="582"/>
      <c r="V471" s="614"/>
      <c r="W471" s="581"/>
      <c r="X471" s="615"/>
      <c r="Y471" s="613"/>
      <c r="Z471" s="580"/>
      <c r="AA471" s="634"/>
      <c r="AB471" s="577"/>
      <c r="AC471" s="673"/>
      <c r="AD471" s="634"/>
      <c r="AE471" s="587"/>
      <c r="AF471" s="587"/>
      <c r="AG471" s="582"/>
      <c r="AH471" s="582"/>
      <c r="AI471" s="582"/>
      <c r="AJ471" s="582"/>
      <c r="AK471" s="588"/>
      <c r="AL471" s="582"/>
      <c r="AM471" s="587"/>
      <c r="AN471" s="589"/>
      <c r="AO471" s="616"/>
      <c r="AP471" s="592"/>
      <c r="AQ471" s="358"/>
      <c r="AR471" s="592"/>
      <c r="AS471" s="592"/>
      <c r="AT471" s="592"/>
      <c r="AU471" s="592"/>
      <c r="AV471" s="592"/>
      <c r="AW471" s="592"/>
      <c r="AX471" s="592"/>
      <c r="AY471" s="592"/>
      <c r="AZ471" s="592"/>
      <c r="BA471" s="617"/>
      <c r="BB471" s="592"/>
      <c r="BC471" s="592"/>
      <c r="BD471" s="592"/>
      <c r="BE471" s="592"/>
      <c r="BF471" s="592"/>
      <c r="BG471" s="358"/>
      <c r="BH471" s="592"/>
      <c r="BI471" s="592"/>
      <c r="BJ471" s="592"/>
      <c r="BK471" s="592"/>
      <c r="BL471" s="592"/>
      <c r="BM471" s="592"/>
      <c r="BN471" s="592"/>
      <c r="BO471" s="592"/>
      <c r="BP471" s="592"/>
      <c r="BQ471" s="594"/>
      <c r="BR471" s="594"/>
      <c r="BS471" s="394"/>
      <c r="BT471" s="594"/>
      <c r="BU471" s="594"/>
      <c r="BV471" s="594"/>
      <c r="BW471" s="618"/>
      <c r="BX471" s="644"/>
      <c r="BY471" s="644"/>
    </row>
    <row r="472" ht="25.5" customHeight="1">
      <c r="A472" s="635"/>
      <c r="B472" s="695"/>
      <c r="C472" s="642"/>
      <c r="D472" s="642"/>
      <c r="E472" s="696"/>
      <c r="F472" s="696"/>
      <c r="G472" s="621"/>
      <c r="H472" s="577"/>
      <c r="I472" s="577"/>
      <c r="J472" s="613"/>
      <c r="K472" s="581"/>
      <c r="L472" s="581"/>
      <c r="M472" s="613"/>
      <c r="N472" s="613"/>
      <c r="O472" s="613"/>
      <c r="P472" s="580"/>
      <c r="Q472" s="580"/>
      <c r="R472" s="581"/>
      <c r="S472" s="581"/>
      <c r="T472" s="581"/>
      <c r="U472" s="582"/>
      <c r="V472" s="614"/>
      <c r="W472" s="581"/>
      <c r="X472" s="615"/>
      <c r="Y472" s="613"/>
      <c r="Z472" s="580"/>
      <c r="AA472" s="634"/>
      <c r="AB472" s="577"/>
      <c r="AC472" s="673"/>
      <c r="AD472" s="634"/>
      <c r="AE472" s="587"/>
      <c r="AF472" s="587"/>
      <c r="AG472" s="582"/>
      <c r="AH472" s="582"/>
      <c r="AI472" s="582"/>
      <c r="AJ472" s="582"/>
      <c r="AK472" s="588"/>
      <c r="AL472" s="582"/>
      <c r="AM472" s="587"/>
      <c r="AN472" s="589"/>
      <c r="AO472" s="616"/>
      <c r="AP472" s="592"/>
      <c r="AQ472" s="358"/>
      <c r="AR472" s="592"/>
      <c r="AS472" s="592"/>
      <c r="AT472" s="592"/>
      <c r="AU472" s="592"/>
      <c r="AV472" s="592"/>
      <c r="AW472" s="592"/>
      <c r="AX472" s="592"/>
      <c r="AY472" s="592"/>
      <c r="AZ472" s="592"/>
      <c r="BA472" s="617"/>
      <c r="BB472" s="592"/>
      <c r="BC472" s="592"/>
      <c r="BD472" s="592"/>
      <c r="BE472" s="592"/>
      <c r="BF472" s="592"/>
      <c r="BG472" s="358"/>
      <c r="BH472" s="592"/>
      <c r="BI472" s="592"/>
      <c r="BJ472" s="592"/>
      <c r="BK472" s="592"/>
      <c r="BL472" s="592"/>
      <c r="BM472" s="592"/>
      <c r="BN472" s="592"/>
      <c r="BO472" s="592"/>
      <c r="BP472" s="592"/>
      <c r="BQ472" s="594"/>
      <c r="BR472" s="594"/>
      <c r="BS472" s="394"/>
      <c r="BT472" s="594"/>
      <c r="BU472" s="594"/>
      <c r="BV472" s="594"/>
      <c r="BW472" s="618"/>
      <c r="BX472" s="644"/>
      <c r="BY472" s="644"/>
    </row>
    <row r="473" ht="25.5" customHeight="1">
      <c r="A473" s="635"/>
      <c r="B473" s="695"/>
      <c r="C473" s="642"/>
      <c r="D473" s="642"/>
      <c r="E473" s="696"/>
      <c r="F473" s="696"/>
      <c r="G473" s="621"/>
      <c r="H473" s="577"/>
      <c r="I473" s="577"/>
      <c r="J473" s="613"/>
      <c r="K473" s="581"/>
      <c r="L473" s="581"/>
      <c r="M473" s="613"/>
      <c r="N473" s="613"/>
      <c r="O473" s="613"/>
      <c r="P473" s="580"/>
      <c r="Q473" s="580"/>
      <c r="R473" s="581"/>
      <c r="S473" s="581"/>
      <c r="T473" s="581"/>
      <c r="U473" s="582"/>
      <c r="V473" s="614"/>
      <c r="W473" s="581"/>
      <c r="X473" s="615"/>
      <c r="Y473" s="613"/>
      <c r="Z473" s="580"/>
      <c r="AA473" s="634"/>
      <c r="AB473" s="577"/>
      <c r="AC473" s="673"/>
      <c r="AD473" s="634"/>
      <c r="AE473" s="587"/>
      <c r="AF473" s="587"/>
      <c r="AG473" s="582"/>
      <c r="AH473" s="582"/>
      <c r="AI473" s="582"/>
      <c r="AJ473" s="582"/>
      <c r="AK473" s="588"/>
      <c r="AL473" s="582"/>
      <c r="AM473" s="587"/>
      <c r="AN473" s="589"/>
      <c r="AO473" s="616"/>
      <c r="AP473" s="592"/>
      <c r="AQ473" s="358"/>
      <c r="AR473" s="592"/>
      <c r="AS473" s="592"/>
      <c r="AT473" s="592"/>
      <c r="AU473" s="592"/>
      <c r="AV473" s="592"/>
      <c r="AW473" s="592"/>
      <c r="AX473" s="592"/>
      <c r="AY473" s="592"/>
      <c r="AZ473" s="592"/>
      <c r="BA473" s="617"/>
      <c r="BB473" s="592"/>
      <c r="BC473" s="592"/>
      <c r="BD473" s="592"/>
      <c r="BE473" s="592"/>
      <c r="BF473" s="592"/>
      <c r="BG473" s="358"/>
      <c r="BH473" s="592"/>
      <c r="BI473" s="592"/>
      <c r="BJ473" s="592"/>
      <c r="BK473" s="592"/>
      <c r="BL473" s="592"/>
      <c r="BM473" s="592"/>
      <c r="BN473" s="592"/>
      <c r="BO473" s="592"/>
      <c r="BP473" s="592"/>
      <c r="BQ473" s="594"/>
      <c r="BR473" s="594"/>
      <c r="BS473" s="394"/>
      <c r="BT473" s="594"/>
      <c r="BU473" s="594"/>
      <c r="BV473" s="594"/>
      <c r="BW473" s="618"/>
      <c r="BX473" s="644"/>
      <c r="BY473" s="644"/>
    </row>
    <row r="474" ht="25.5" customHeight="1">
      <c r="A474" s="635"/>
      <c r="B474" s="695"/>
      <c r="C474" s="642"/>
      <c r="D474" s="642"/>
      <c r="E474" s="696"/>
      <c r="F474" s="696"/>
      <c r="G474" s="621"/>
      <c r="H474" s="577"/>
      <c r="I474" s="577"/>
      <c r="J474" s="613"/>
      <c r="K474" s="581"/>
      <c r="L474" s="581"/>
      <c r="M474" s="613"/>
      <c r="N474" s="613"/>
      <c r="O474" s="613"/>
      <c r="P474" s="580"/>
      <c r="Q474" s="580"/>
      <c r="R474" s="581"/>
      <c r="S474" s="581"/>
      <c r="T474" s="581"/>
      <c r="U474" s="582"/>
      <c r="V474" s="614"/>
      <c r="W474" s="581"/>
      <c r="X474" s="615"/>
      <c r="Y474" s="613"/>
      <c r="Z474" s="580"/>
      <c r="AA474" s="634"/>
      <c r="AB474" s="577"/>
      <c r="AC474" s="673"/>
      <c r="AD474" s="634"/>
      <c r="AE474" s="587"/>
      <c r="AF474" s="587"/>
      <c r="AG474" s="582"/>
      <c r="AH474" s="582"/>
      <c r="AI474" s="582"/>
      <c r="AJ474" s="582"/>
      <c r="AK474" s="588"/>
      <c r="AL474" s="582"/>
      <c r="AM474" s="587"/>
      <c r="AN474" s="589"/>
      <c r="AO474" s="616"/>
      <c r="AP474" s="592"/>
      <c r="AQ474" s="358"/>
      <c r="AR474" s="592"/>
      <c r="AS474" s="592"/>
      <c r="AT474" s="592"/>
      <c r="AU474" s="592"/>
      <c r="AV474" s="592"/>
      <c r="AW474" s="592"/>
      <c r="AX474" s="592"/>
      <c r="AY474" s="592"/>
      <c r="AZ474" s="592"/>
      <c r="BA474" s="617"/>
      <c r="BB474" s="592"/>
      <c r="BC474" s="592"/>
      <c r="BD474" s="592"/>
      <c r="BE474" s="592"/>
      <c r="BF474" s="592"/>
      <c r="BG474" s="358"/>
      <c r="BH474" s="592"/>
      <c r="BI474" s="592"/>
      <c r="BJ474" s="592"/>
      <c r="BK474" s="592"/>
      <c r="BL474" s="592"/>
      <c r="BM474" s="592"/>
      <c r="BN474" s="592"/>
      <c r="BO474" s="592"/>
      <c r="BP474" s="592"/>
      <c r="BQ474" s="594"/>
      <c r="BR474" s="594"/>
      <c r="BS474" s="394"/>
      <c r="BT474" s="594"/>
      <c r="BU474" s="594"/>
      <c r="BV474" s="594"/>
      <c r="BW474" s="618"/>
      <c r="BX474" s="644"/>
      <c r="BY474" s="644"/>
    </row>
    <row r="475" ht="25.5" customHeight="1">
      <c r="A475" s="635"/>
      <c r="B475" s="695"/>
      <c r="C475" s="642"/>
      <c r="D475" s="642"/>
      <c r="E475" s="696"/>
      <c r="F475" s="696"/>
      <c r="G475" s="621"/>
      <c r="H475" s="577"/>
      <c r="I475" s="577"/>
      <c r="J475" s="613"/>
      <c r="K475" s="581"/>
      <c r="L475" s="581"/>
      <c r="M475" s="613"/>
      <c r="N475" s="613"/>
      <c r="O475" s="613"/>
      <c r="P475" s="580"/>
      <c r="Q475" s="580"/>
      <c r="R475" s="581"/>
      <c r="S475" s="581"/>
      <c r="T475" s="581"/>
      <c r="U475" s="582"/>
      <c r="V475" s="614"/>
      <c r="W475" s="581"/>
      <c r="X475" s="615"/>
      <c r="Y475" s="613"/>
      <c r="Z475" s="580"/>
      <c r="AA475" s="634"/>
      <c r="AB475" s="577"/>
      <c r="AC475" s="673"/>
      <c r="AD475" s="634"/>
      <c r="AE475" s="587"/>
      <c r="AF475" s="587"/>
      <c r="AG475" s="582"/>
      <c r="AH475" s="582"/>
      <c r="AI475" s="582"/>
      <c r="AJ475" s="582"/>
      <c r="AK475" s="588"/>
      <c r="AL475" s="582"/>
      <c r="AM475" s="587"/>
      <c r="AN475" s="589"/>
      <c r="AO475" s="616"/>
      <c r="AP475" s="592"/>
      <c r="AQ475" s="358"/>
      <c r="AR475" s="592"/>
      <c r="AS475" s="592"/>
      <c r="AT475" s="592"/>
      <c r="AU475" s="592"/>
      <c r="AV475" s="592"/>
      <c r="AW475" s="592"/>
      <c r="AX475" s="592"/>
      <c r="AY475" s="592"/>
      <c r="AZ475" s="592"/>
      <c r="BA475" s="617"/>
      <c r="BB475" s="592"/>
      <c r="BC475" s="592"/>
      <c r="BD475" s="592"/>
      <c r="BE475" s="592"/>
      <c r="BF475" s="592"/>
      <c r="BG475" s="358"/>
      <c r="BH475" s="592"/>
      <c r="BI475" s="592"/>
      <c r="BJ475" s="592"/>
      <c r="BK475" s="592"/>
      <c r="BL475" s="592"/>
      <c r="BM475" s="592"/>
      <c r="BN475" s="592"/>
      <c r="BO475" s="592"/>
      <c r="BP475" s="592"/>
      <c r="BQ475" s="594"/>
      <c r="BR475" s="594"/>
      <c r="BS475" s="394"/>
      <c r="BT475" s="594"/>
      <c r="BU475" s="594"/>
      <c r="BV475" s="594"/>
      <c r="BW475" s="618"/>
      <c r="BX475" s="644"/>
      <c r="BY475" s="644"/>
    </row>
    <row r="476" ht="25.5" customHeight="1">
      <c r="A476" s="635"/>
      <c r="B476" s="695"/>
      <c r="C476" s="642"/>
      <c r="D476" s="642"/>
      <c r="E476" s="696"/>
      <c r="F476" s="696"/>
      <c r="G476" s="621"/>
      <c r="H476" s="577"/>
      <c r="I476" s="577"/>
      <c r="J476" s="613"/>
      <c r="K476" s="581"/>
      <c r="L476" s="581"/>
      <c r="M476" s="613"/>
      <c r="N476" s="613"/>
      <c r="O476" s="613"/>
      <c r="P476" s="580"/>
      <c r="Q476" s="580"/>
      <c r="R476" s="581"/>
      <c r="S476" s="581"/>
      <c r="T476" s="581"/>
      <c r="U476" s="582"/>
      <c r="V476" s="614"/>
      <c r="W476" s="581"/>
      <c r="X476" s="615"/>
      <c r="Y476" s="613"/>
      <c r="Z476" s="580"/>
      <c r="AA476" s="634"/>
      <c r="AB476" s="577"/>
      <c r="AC476" s="673"/>
      <c r="AD476" s="634"/>
      <c r="AE476" s="587"/>
      <c r="AF476" s="587"/>
      <c r="AG476" s="582"/>
      <c r="AH476" s="582"/>
      <c r="AI476" s="582"/>
      <c r="AJ476" s="582"/>
      <c r="AK476" s="588"/>
      <c r="AL476" s="582"/>
      <c r="AM476" s="587"/>
      <c r="AN476" s="589"/>
      <c r="AO476" s="616"/>
      <c r="AP476" s="592"/>
      <c r="AQ476" s="358"/>
      <c r="AR476" s="592"/>
      <c r="AS476" s="592"/>
      <c r="AT476" s="592"/>
      <c r="AU476" s="592"/>
      <c r="AV476" s="592"/>
      <c r="AW476" s="592"/>
      <c r="AX476" s="592"/>
      <c r="AY476" s="592"/>
      <c r="AZ476" s="592"/>
      <c r="BA476" s="617"/>
      <c r="BB476" s="592"/>
      <c r="BC476" s="592"/>
      <c r="BD476" s="592"/>
      <c r="BE476" s="592"/>
      <c r="BF476" s="592"/>
      <c r="BG476" s="358"/>
      <c r="BH476" s="592"/>
      <c r="BI476" s="592"/>
      <c r="BJ476" s="592"/>
      <c r="BK476" s="592"/>
      <c r="BL476" s="592"/>
      <c r="BM476" s="592"/>
      <c r="BN476" s="592"/>
      <c r="BO476" s="592"/>
      <c r="BP476" s="592"/>
      <c r="BQ476" s="594"/>
      <c r="BR476" s="594"/>
      <c r="BS476" s="394"/>
      <c r="BT476" s="594"/>
      <c r="BU476" s="594"/>
      <c r="BV476" s="594"/>
      <c r="BW476" s="618"/>
      <c r="BX476" s="644"/>
      <c r="BY476" s="644"/>
    </row>
    <row r="477" ht="25.5" customHeight="1">
      <c r="A477" s="635"/>
      <c r="B477" s="695"/>
      <c r="C477" s="642"/>
      <c r="D477" s="642"/>
      <c r="E477" s="696"/>
      <c r="F477" s="696"/>
      <c r="G477" s="621"/>
      <c r="H477" s="577"/>
      <c r="I477" s="577"/>
      <c r="J477" s="613"/>
      <c r="K477" s="581"/>
      <c r="L477" s="581"/>
      <c r="M477" s="613"/>
      <c r="N477" s="613"/>
      <c r="O477" s="613"/>
      <c r="P477" s="580"/>
      <c r="Q477" s="580"/>
      <c r="R477" s="581"/>
      <c r="S477" s="581"/>
      <c r="T477" s="581"/>
      <c r="U477" s="582"/>
      <c r="V477" s="614"/>
      <c r="W477" s="581"/>
      <c r="X477" s="615"/>
      <c r="Y477" s="613"/>
      <c r="Z477" s="580"/>
      <c r="AA477" s="634"/>
      <c r="AB477" s="577"/>
      <c r="AC477" s="673"/>
      <c r="AD477" s="634"/>
      <c r="AE477" s="587"/>
      <c r="AF477" s="587"/>
      <c r="AG477" s="582"/>
      <c r="AH477" s="582"/>
      <c r="AI477" s="582"/>
      <c r="AJ477" s="582"/>
      <c r="AK477" s="588"/>
      <c r="AL477" s="582"/>
      <c r="AM477" s="587"/>
      <c r="AN477" s="589"/>
      <c r="AO477" s="616"/>
      <c r="AP477" s="592"/>
      <c r="AQ477" s="358"/>
      <c r="AR477" s="592"/>
      <c r="AS477" s="592"/>
      <c r="AT477" s="592"/>
      <c r="AU477" s="592"/>
      <c r="AV477" s="592"/>
      <c r="AW477" s="592"/>
      <c r="AX477" s="592"/>
      <c r="AY477" s="592"/>
      <c r="AZ477" s="592"/>
      <c r="BA477" s="617"/>
      <c r="BB477" s="592"/>
      <c r="BC477" s="592"/>
      <c r="BD477" s="592"/>
      <c r="BE477" s="592"/>
      <c r="BF477" s="592"/>
      <c r="BG477" s="358"/>
      <c r="BH477" s="592"/>
      <c r="BI477" s="592"/>
      <c r="BJ477" s="592"/>
      <c r="BK477" s="592"/>
      <c r="BL477" s="592"/>
      <c r="BM477" s="592"/>
      <c r="BN477" s="592"/>
      <c r="BO477" s="592"/>
      <c r="BP477" s="592"/>
      <c r="BQ477" s="594"/>
      <c r="BR477" s="594"/>
      <c r="BS477" s="394"/>
      <c r="BT477" s="594"/>
      <c r="BU477" s="594"/>
      <c r="BV477" s="594"/>
      <c r="BW477" s="618"/>
      <c r="BX477" s="644"/>
      <c r="BY477" s="644"/>
    </row>
    <row r="478" ht="25.5" customHeight="1">
      <c r="A478" s="635"/>
      <c r="B478" s="695"/>
      <c r="C478" s="642"/>
      <c r="D478" s="642"/>
      <c r="E478" s="696"/>
      <c r="F478" s="696"/>
      <c r="G478" s="621"/>
      <c r="H478" s="577"/>
      <c r="I478" s="577"/>
      <c r="J478" s="613"/>
      <c r="K478" s="581"/>
      <c r="L478" s="581"/>
      <c r="M478" s="613"/>
      <c r="N478" s="613"/>
      <c r="O478" s="613"/>
      <c r="P478" s="580"/>
      <c r="Q478" s="580"/>
      <c r="R478" s="581"/>
      <c r="S478" s="581"/>
      <c r="T478" s="581"/>
      <c r="U478" s="582"/>
      <c r="V478" s="614"/>
      <c r="W478" s="581"/>
      <c r="X478" s="615"/>
      <c r="Y478" s="613"/>
      <c r="Z478" s="580"/>
      <c r="AA478" s="634"/>
      <c r="AB478" s="577"/>
      <c r="AC478" s="673"/>
      <c r="AD478" s="634"/>
      <c r="AE478" s="587"/>
      <c r="AF478" s="587"/>
      <c r="AG478" s="582"/>
      <c r="AH478" s="582"/>
      <c r="AI478" s="582"/>
      <c r="AJ478" s="582"/>
      <c r="AK478" s="588"/>
      <c r="AL478" s="582"/>
      <c r="AM478" s="587"/>
      <c r="AN478" s="589"/>
      <c r="AO478" s="616"/>
      <c r="AP478" s="592"/>
      <c r="AQ478" s="358"/>
      <c r="AR478" s="592"/>
      <c r="AS478" s="592"/>
      <c r="AT478" s="592"/>
      <c r="AU478" s="592"/>
      <c r="AV478" s="592"/>
      <c r="AW478" s="592"/>
      <c r="AX478" s="592"/>
      <c r="AY478" s="592"/>
      <c r="AZ478" s="592"/>
      <c r="BA478" s="617"/>
      <c r="BB478" s="592"/>
      <c r="BC478" s="592"/>
      <c r="BD478" s="592"/>
      <c r="BE478" s="592"/>
      <c r="BF478" s="592"/>
      <c r="BG478" s="358"/>
      <c r="BH478" s="592"/>
      <c r="BI478" s="592"/>
      <c r="BJ478" s="592"/>
      <c r="BK478" s="592"/>
      <c r="BL478" s="592"/>
      <c r="BM478" s="592"/>
      <c r="BN478" s="592"/>
      <c r="BO478" s="592"/>
      <c r="BP478" s="592"/>
      <c r="BQ478" s="594"/>
      <c r="BR478" s="594"/>
      <c r="BS478" s="394"/>
      <c r="BT478" s="594"/>
      <c r="BU478" s="594"/>
      <c r="BV478" s="594"/>
      <c r="BW478" s="618"/>
      <c r="BX478" s="644"/>
      <c r="BY478" s="644"/>
    </row>
    <row r="479" ht="25.5" customHeight="1">
      <c r="A479" s="635"/>
      <c r="B479" s="695"/>
      <c r="C479" s="642"/>
      <c r="D479" s="642"/>
      <c r="E479" s="696"/>
      <c r="F479" s="696"/>
      <c r="G479" s="621"/>
      <c r="H479" s="577"/>
      <c r="I479" s="577"/>
      <c r="J479" s="613"/>
      <c r="K479" s="581"/>
      <c r="L479" s="581"/>
      <c r="M479" s="613"/>
      <c r="N479" s="613"/>
      <c r="O479" s="613"/>
      <c r="P479" s="580"/>
      <c r="Q479" s="580"/>
      <c r="R479" s="581"/>
      <c r="S479" s="581"/>
      <c r="T479" s="581"/>
      <c r="U479" s="582"/>
      <c r="V479" s="614"/>
      <c r="W479" s="581"/>
      <c r="X479" s="615"/>
      <c r="Y479" s="613"/>
      <c r="Z479" s="580"/>
      <c r="AA479" s="634"/>
      <c r="AB479" s="577"/>
      <c r="AC479" s="673"/>
      <c r="AD479" s="634"/>
      <c r="AE479" s="587"/>
      <c r="AF479" s="587"/>
      <c r="AG479" s="582"/>
      <c r="AH479" s="582"/>
      <c r="AI479" s="582"/>
      <c r="AJ479" s="582"/>
      <c r="AK479" s="588"/>
      <c r="AL479" s="582"/>
      <c r="AM479" s="587"/>
      <c r="AN479" s="589"/>
      <c r="AO479" s="616"/>
      <c r="AP479" s="592"/>
      <c r="AQ479" s="358"/>
      <c r="AR479" s="592"/>
      <c r="AS479" s="592"/>
      <c r="AT479" s="592"/>
      <c r="AU479" s="592"/>
      <c r="AV479" s="592"/>
      <c r="AW479" s="592"/>
      <c r="AX479" s="592"/>
      <c r="AY479" s="592"/>
      <c r="AZ479" s="592"/>
      <c r="BA479" s="617"/>
      <c r="BB479" s="592"/>
      <c r="BC479" s="592"/>
      <c r="BD479" s="592"/>
      <c r="BE479" s="592"/>
      <c r="BF479" s="592"/>
      <c r="BG479" s="358"/>
      <c r="BH479" s="592"/>
      <c r="BI479" s="592"/>
      <c r="BJ479" s="592"/>
      <c r="BK479" s="592"/>
      <c r="BL479" s="592"/>
      <c r="BM479" s="592"/>
      <c r="BN479" s="592"/>
      <c r="BO479" s="592"/>
      <c r="BP479" s="592"/>
      <c r="BQ479" s="594"/>
      <c r="BR479" s="594"/>
      <c r="BS479" s="394"/>
      <c r="BT479" s="594"/>
      <c r="BU479" s="594"/>
      <c r="BV479" s="594"/>
      <c r="BW479" s="618"/>
      <c r="BX479" s="644"/>
      <c r="BY479" s="644"/>
    </row>
    <row r="480" ht="25.5" customHeight="1">
      <c r="A480" s="635"/>
      <c r="B480" s="695"/>
      <c r="C480" s="642"/>
      <c r="D480" s="642"/>
      <c r="E480" s="696"/>
      <c r="F480" s="696"/>
      <c r="G480" s="621"/>
      <c r="H480" s="577"/>
      <c r="I480" s="577"/>
      <c r="J480" s="613"/>
      <c r="K480" s="581"/>
      <c r="L480" s="581"/>
      <c r="M480" s="613"/>
      <c r="N480" s="613"/>
      <c r="O480" s="613"/>
      <c r="P480" s="580"/>
      <c r="Q480" s="580"/>
      <c r="R480" s="581"/>
      <c r="S480" s="581"/>
      <c r="T480" s="581"/>
      <c r="U480" s="582"/>
      <c r="V480" s="614"/>
      <c r="W480" s="581"/>
      <c r="X480" s="615"/>
      <c r="Y480" s="613"/>
      <c r="Z480" s="580"/>
      <c r="AA480" s="634"/>
      <c r="AB480" s="577"/>
      <c r="AC480" s="673"/>
      <c r="AD480" s="634"/>
      <c r="AE480" s="587"/>
      <c r="AF480" s="587"/>
      <c r="AG480" s="582"/>
      <c r="AH480" s="582"/>
      <c r="AI480" s="582"/>
      <c r="AJ480" s="582"/>
      <c r="AK480" s="588"/>
      <c r="AL480" s="582"/>
      <c r="AM480" s="587"/>
      <c r="AN480" s="589"/>
      <c r="AO480" s="616"/>
      <c r="AP480" s="592"/>
      <c r="AQ480" s="358"/>
      <c r="AR480" s="592"/>
      <c r="AS480" s="592"/>
      <c r="AT480" s="592"/>
      <c r="AU480" s="592"/>
      <c r="AV480" s="592"/>
      <c r="AW480" s="592"/>
      <c r="AX480" s="592"/>
      <c r="AY480" s="592"/>
      <c r="AZ480" s="592"/>
      <c r="BA480" s="617"/>
      <c r="BB480" s="592"/>
      <c r="BC480" s="592"/>
      <c r="BD480" s="592"/>
      <c r="BE480" s="592"/>
      <c r="BF480" s="592"/>
      <c r="BG480" s="358"/>
      <c r="BH480" s="592"/>
      <c r="BI480" s="592"/>
      <c r="BJ480" s="592"/>
      <c r="BK480" s="592"/>
      <c r="BL480" s="592"/>
      <c r="BM480" s="592"/>
      <c r="BN480" s="592"/>
      <c r="BO480" s="592"/>
      <c r="BP480" s="592"/>
      <c r="BQ480" s="594"/>
      <c r="BR480" s="594"/>
      <c r="BS480" s="394"/>
      <c r="BT480" s="594"/>
      <c r="BU480" s="594"/>
      <c r="BV480" s="594"/>
      <c r="BW480" s="618"/>
      <c r="BX480" s="644"/>
      <c r="BY480" s="644"/>
    </row>
    <row r="481" ht="25.5" customHeight="1">
      <c r="A481" s="635"/>
      <c r="B481" s="695"/>
      <c r="C481" s="642"/>
      <c r="D481" s="642"/>
      <c r="E481" s="696"/>
      <c r="F481" s="696"/>
      <c r="G481" s="621"/>
      <c r="H481" s="577"/>
      <c r="I481" s="577"/>
      <c r="J481" s="613"/>
      <c r="K481" s="581"/>
      <c r="L481" s="581"/>
      <c r="M481" s="613"/>
      <c r="N481" s="613"/>
      <c r="O481" s="613"/>
      <c r="P481" s="580"/>
      <c r="Q481" s="580"/>
      <c r="R481" s="581"/>
      <c r="S481" s="581"/>
      <c r="T481" s="581"/>
      <c r="U481" s="582"/>
      <c r="V481" s="614"/>
      <c r="W481" s="581"/>
      <c r="X481" s="615"/>
      <c r="Y481" s="613"/>
      <c r="Z481" s="580"/>
      <c r="AA481" s="634"/>
      <c r="AB481" s="577"/>
      <c r="AC481" s="673"/>
      <c r="AD481" s="634"/>
      <c r="AE481" s="587"/>
      <c r="AF481" s="587"/>
      <c r="AG481" s="582"/>
      <c r="AH481" s="582"/>
      <c r="AI481" s="582"/>
      <c r="AJ481" s="582"/>
      <c r="AK481" s="588"/>
      <c r="AL481" s="582"/>
      <c r="AM481" s="587"/>
      <c r="AN481" s="589"/>
      <c r="AO481" s="616"/>
      <c r="AP481" s="592"/>
      <c r="AQ481" s="358"/>
      <c r="AR481" s="592"/>
      <c r="AS481" s="592"/>
      <c r="AT481" s="592"/>
      <c r="AU481" s="592"/>
      <c r="AV481" s="592"/>
      <c r="AW481" s="592"/>
      <c r="AX481" s="592"/>
      <c r="AY481" s="592"/>
      <c r="AZ481" s="592"/>
      <c r="BA481" s="617"/>
      <c r="BB481" s="592"/>
      <c r="BC481" s="592"/>
      <c r="BD481" s="592"/>
      <c r="BE481" s="592"/>
      <c r="BF481" s="592"/>
      <c r="BG481" s="358"/>
      <c r="BH481" s="592"/>
      <c r="BI481" s="592"/>
      <c r="BJ481" s="592"/>
      <c r="BK481" s="592"/>
      <c r="BL481" s="592"/>
      <c r="BM481" s="592"/>
      <c r="BN481" s="592"/>
      <c r="BO481" s="592"/>
      <c r="BP481" s="592"/>
      <c r="BQ481" s="594"/>
      <c r="BR481" s="594"/>
      <c r="BS481" s="394"/>
      <c r="BT481" s="594"/>
      <c r="BU481" s="594"/>
      <c r="BV481" s="594"/>
      <c r="BW481" s="618"/>
      <c r="BX481" s="644"/>
      <c r="BY481" s="644"/>
    </row>
    <row r="482" ht="25.5" customHeight="1">
      <c r="A482" s="635"/>
      <c r="B482" s="695"/>
      <c r="C482" s="642"/>
      <c r="D482" s="642"/>
      <c r="E482" s="696"/>
      <c r="F482" s="696"/>
      <c r="G482" s="621"/>
      <c r="H482" s="577"/>
      <c r="I482" s="577"/>
      <c r="J482" s="613"/>
      <c r="K482" s="581"/>
      <c r="L482" s="581"/>
      <c r="M482" s="613"/>
      <c r="N482" s="613"/>
      <c r="O482" s="613"/>
      <c r="P482" s="580"/>
      <c r="Q482" s="580"/>
      <c r="R482" s="581"/>
      <c r="S482" s="581"/>
      <c r="T482" s="581"/>
      <c r="U482" s="582"/>
      <c r="V482" s="614"/>
      <c r="W482" s="581"/>
      <c r="X482" s="615"/>
      <c r="Y482" s="613"/>
      <c r="Z482" s="580"/>
      <c r="AA482" s="634"/>
      <c r="AB482" s="577"/>
      <c r="AC482" s="673"/>
      <c r="AD482" s="634"/>
      <c r="AE482" s="587"/>
      <c r="AF482" s="587"/>
      <c r="AG482" s="582"/>
      <c r="AH482" s="582"/>
      <c r="AI482" s="582"/>
      <c r="AJ482" s="582"/>
      <c r="AK482" s="588"/>
      <c r="AL482" s="582"/>
      <c r="AM482" s="587"/>
      <c r="AN482" s="589"/>
      <c r="AO482" s="616"/>
      <c r="AP482" s="592"/>
      <c r="AQ482" s="358"/>
      <c r="AR482" s="592"/>
      <c r="AS482" s="592"/>
      <c r="AT482" s="592"/>
      <c r="AU482" s="592"/>
      <c r="AV482" s="592"/>
      <c r="AW482" s="592"/>
      <c r="AX482" s="592"/>
      <c r="AY482" s="592"/>
      <c r="AZ482" s="592"/>
      <c r="BA482" s="617"/>
      <c r="BB482" s="592"/>
      <c r="BC482" s="592"/>
      <c r="BD482" s="592"/>
      <c r="BE482" s="592"/>
      <c r="BF482" s="592"/>
      <c r="BG482" s="358"/>
      <c r="BH482" s="592"/>
      <c r="BI482" s="592"/>
      <c r="BJ482" s="592"/>
      <c r="BK482" s="592"/>
      <c r="BL482" s="592"/>
      <c r="BM482" s="592"/>
      <c r="BN482" s="592"/>
      <c r="BO482" s="592"/>
      <c r="BP482" s="592"/>
      <c r="BQ482" s="594"/>
      <c r="BR482" s="594"/>
      <c r="BS482" s="394"/>
      <c r="BT482" s="594"/>
      <c r="BU482" s="594"/>
      <c r="BV482" s="594"/>
      <c r="BW482" s="618"/>
      <c r="BX482" s="644"/>
      <c r="BY482" s="644"/>
    </row>
    <row r="483" ht="25.5" customHeight="1">
      <c r="A483" s="635"/>
      <c r="B483" s="695"/>
      <c r="C483" s="642"/>
      <c r="D483" s="642"/>
      <c r="E483" s="696"/>
      <c r="F483" s="696"/>
      <c r="G483" s="621"/>
      <c r="H483" s="577"/>
      <c r="I483" s="577"/>
      <c r="J483" s="613"/>
      <c r="K483" s="581"/>
      <c r="L483" s="581"/>
      <c r="M483" s="613"/>
      <c r="N483" s="613"/>
      <c r="O483" s="613"/>
      <c r="P483" s="580"/>
      <c r="Q483" s="580"/>
      <c r="R483" s="581"/>
      <c r="S483" s="581"/>
      <c r="T483" s="581"/>
      <c r="U483" s="582"/>
      <c r="V483" s="614"/>
      <c r="W483" s="581"/>
      <c r="X483" s="615"/>
      <c r="Y483" s="613"/>
      <c r="Z483" s="580"/>
      <c r="AA483" s="634"/>
      <c r="AB483" s="577"/>
      <c r="AC483" s="673"/>
      <c r="AD483" s="634"/>
      <c r="AE483" s="587"/>
      <c r="AF483" s="587"/>
      <c r="AG483" s="582"/>
      <c r="AH483" s="582"/>
      <c r="AI483" s="582"/>
      <c r="AJ483" s="582"/>
      <c r="AK483" s="588"/>
      <c r="AL483" s="582"/>
      <c r="AM483" s="587"/>
      <c r="AN483" s="589"/>
      <c r="AO483" s="616"/>
      <c r="AP483" s="592"/>
      <c r="AQ483" s="358"/>
      <c r="AR483" s="592"/>
      <c r="AS483" s="592"/>
      <c r="AT483" s="592"/>
      <c r="AU483" s="592"/>
      <c r="AV483" s="592"/>
      <c r="AW483" s="592"/>
      <c r="AX483" s="592"/>
      <c r="AY483" s="592"/>
      <c r="AZ483" s="592"/>
      <c r="BA483" s="617"/>
      <c r="BB483" s="592"/>
      <c r="BC483" s="592"/>
      <c r="BD483" s="592"/>
      <c r="BE483" s="592"/>
      <c r="BF483" s="592"/>
      <c r="BG483" s="358"/>
      <c r="BH483" s="592"/>
      <c r="BI483" s="592"/>
      <c r="BJ483" s="592"/>
      <c r="BK483" s="592"/>
      <c r="BL483" s="592"/>
      <c r="BM483" s="592"/>
      <c r="BN483" s="592"/>
      <c r="BO483" s="592"/>
      <c r="BP483" s="592"/>
      <c r="BQ483" s="594"/>
      <c r="BR483" s="594"/>
      <c r="BS483" s="394"/>
      <c r="BT483" s="594"/>
      <c r="BU483" s="594"/>
      <c r="BV483" s="594"/>
      <c r="BW483" s="618"/>
      <c r="BX483" s="644"/>
      <c r="BY483" s="644"/>
    </row>
    <row r="484" ht="25.5" customHeight="1">
      <c r="A484" s="635"/>
      <c r="B484" s="695"/>
      <c r="C484" s="642"/>
      <c r="D484" s="642"/>
      <c r="E484" s="696"/>
      <c r="F484" s="696"/>
      <c r="G484" s="621"/>
      <c r="H484" s="577"/>
      <c r="I484" s="577"/>
      <c r="J484" s="613"/>
      <c r="K484" s="581"/>
      <c r="L484" s="581"/>
      <c r="M484" s="613"/>
      <c r="N484" s="613"/>
      <c r="O484" s="613"/>
      <c r="P484" s="580"/>
      <c r="Q484" s="580"/>
      <c r="R484" s="581"/>
      <c r="S484" s="581"/>
      <c r="T484" s="581"/>
      <c r="U484" s="582"/>
      <c r="V484" s="614"/>
      <c r="W484" s="581"/>
      <c r="X484" s="615"/>
      <c r="Y484" s="613"/>
      <c r="Z484" s="580"/>
      <c r="AA484" s="634"/>
      <c r="AB484" s="577"/>
      <c r="AC484" s="673"/>
      <c r="AD484" s="634"/>
      <c r="AE484" s="587"/>
      <c r="AF484" s="587"/>
      <c r="AG484" s="582"/>
      <c r="AH484" s="582"/>
      <c r="AI484" s="582"/>
      <c r="AJ484" s="582"/>
      <c r="AK484" s="588"/>
      <c r="AL484" s="582"/>
      <c r="AM484" s="587"/>
      <c r="AN484" s="589"/>
      <c r="AO484" s="616"/>
      <c r="AP484" s="592"/>
      <c r="AQ484" s="358"/>
      <c r="AR484" s="592"/>
      <c r="AS484" s="592"/>
      <c r="AT484" s="592"/>
      <c r="AU484" s="592"/>
      <c r="AV484" s="592"/>
      <c r="AW484" s="592"/>
      <c r="AX484" s="592"/>
      <c r="AY484" s="592"/>
      <c r="AZ484" s="592"/>
      <c r="BA484" s="617"/>
      <c r="BB484" s="592"/>
      <c r="BC484" s="592"/>
      <c r="BD484" s="592"/>
      <c r="BE484" s="592"/>
      <c r="BF484" s="592"/>
      <c r="BG484" s="358"/>
      <c r="BH484" s="592"/>
      <c r="BI484" s="592"/>
      <c r="BJ484" s="592"/>
      <c r="BK484" s="592"/>
      <c r="BL484" s="592"/>
      <c r="BM484" s="592"/>
      <c r="BN484" s="592"/>
      <c r="BO484" s="592"/>
      <c r="BP484" s="592"/>
      <c r="BQ484" s="594"/>
      <c r="BR484" s="594"/>
      <c r="BS484" s="394"/>
      <c r="BT484" s="594"/>
      <c r="BU484" s="594"/>
      <c r="BV484" s="594"/>
      <c r="BW484" s="618"/>
      <c r="BX484" s="644"/>
      <c r="BY484" s="644"/>
    </row>
    <row r="485" ht="25.5" customHeight="1">
      <c r="A485" s="635"/>
      <c r="B485" s="695"/>
      <c r="C485" s="642"/>
      <c r="D485" s="642"/>
      <c r="E485" s="696"/>
      <c r="F485" s="696"/>
      <c r="G485" s="621"/>
      <c r="H485" s="577"/>
      <c r="I485" s="577"/>
      <c r="J485" s="613"/>
      <c r="K485" s="581"/>
      <c r="L485" s="581"/>
      <c r="M485" s="613"/>
      <c r="N485" s="613"/>
      <c r="O485" s="613"/>
      <c r="P485" s="580"/>
      <c r="Q485" s="580"/>
      <c r="R485" s="581"/>
      <c r="S485" s="581"/>
      <c r="T485" s="581"/>
      <c r="U485" s="582"/>
      <c r="V485" s="614"/>
      <c r="W485" s="581"/>
      <c r="X485" s="615"/>
      <c r="Y485" s="613"/>
      <c r="Z485" s="580"/>
      <c r="AA485" s="634"/>
      <c r="AB485" s="577"/>
      <c r="AC485" s="673"/>
      <c r="AD485" s="634"/>
      <c r="AE485" s="587"/>
      <c r="AF485" s="587"/>
      <c r="AG485" s="582"/>
      <c r="AH485" s="582"/>
      <c r="AI485" s="582"/>
      <c r="AJ485" s="582"/>
      <c r="AK485" s="588"/>
      <c r="AL485" s="582"/>
      <c r="AM485" s="587"/>
      <c r="AN485" s="589"/>
      <c r="AO485" s="616"/>
      <c r="AP485" s="592"/>
      <c r="AQ485" s="358"/>
      <c r="AR485" s="592"/>
      <c r="AS485" s="592"/>
      <c r="AT485" s="592"/>
      <c r="AU485" s="592"/>
      <c r="AV485" s="592"/>
      <c r="AW485" s="592"/>
      <c r="AX485" s="592"/>
      <c r="AY485" s="592"/>
      <c r="AZ485" s="592"/>
      <c r="BA485" s="617"/>
      <c r="BB485" s="592"/>
      <c r="BC485" s="592"/>
      <c r="BD485" s="592"/>
      <c r="BE485" s="592"/>
      <c r="BF485" s="592"/>
      <c r="BG485" s="358"/>
      <c r="BH485" s="592"/>
      <c r="BI485" s="592"/>
      <c r="BJ485" s="592"/>
      <c r="BK485" s="592"/>
      <c r="BL485" s="592"/>
      <c r="BM485" s="592"/>
      <c r="BN485" s="592"/>
      <c r="BO485" s="592"/>
      <c r="BP485" s="592"/>
      <c r="BQ485" s="594"/>
      <c r="BR485" s="594"/>
      <c r="BS485" s="394"/>
      <c r="BT485" s="594"/>
      <c r="BU485" s="594"/>
      <c r="BV485" s="594"/>
      <c r="BW485" s="618"/>
      <c r="BX485" s="644"/>
      <c r="BY485" s="644"/>
    </row>
    <row r="486" ht="25.5" customHeight="1">
      <c r="A486" s="635"/>
      <c r="B486" s="695"/>
      <c r="C486" s="642"/>
      <c r="D486" s="642"/>
      <c r="E486" s="696"/>
      <c r="F486" s="696"/>
      <c r="G486" s="621"/>
      <c r="H486" s="577"/>
      <c r="I486" s="577"/>
      <c r="J486" s="613"/>
      <c r="K486" s="581"/>
      <c r="L486" s="581"/>
      <c r="M486" s="613"/>
      <c r="N486" s="613"/>
      <c r="O486" s="613"/>
      <c r="P486" s="580"/>
      <c r="Q486" s="580"/>
      <c r="R486" s="581"/>
      <c r="S486" s="581"/>
      <c r="T486" s="581"/>
      <c r="U486" s="582"/>
      <c r="V486" s="614"/>
      <c r="W486" s="581"/>
      <c r="X486" s="615"/>
      <c r="Y486" s="613"/>
      <c r="Z486" s="580"/>
      <c r="AA486" s="634"/>
      <c r="AB486" s="577"/>
      <c r="AC486" s="673"/>
      <c r="AD486" s="634"/>
      <c r="AE486" s="587"/>
      <c r="AF486" s="587"/>
      <c r="AG486" s="582"/>
      <c r="AH486" s="582"/>
      <c r="AI486" s="582"/>
      <c r="AJ486" s="582"/>
      <c r="AK486" s="588"/>
      <c r="AL486" s="582"/>
      <c r="AM486" s="587"/>
      <c r="AN486" s="589"/>
      <c r="AO486" s="616"/>
      <c r="AP486" s="592"/>
      <c r="AQ486" s="358"/>
      <c r="AR486" s="592"/>
      <c r="AS486" s="592"/>
      <c r="AT486" s="592"/>
      <c r="AU486" s="592"/>
      <c r="AV486" s="592"/>
      <c r="AW486" s="592"/>
      <c r="AX486" s="592"/>
      <c r="AY486" s="592"/>
      <c r="AZ486" s="592"/>
      <c r="BA486" s="617"/>
      <c r="BB486" s="592"/>
      <c r="BC486" s="592"/>
      <c r="BD486" s="592"/>
      <c r="BE486" s="592"/>
      <c r="BF486" s="592"/>
      <c r="BG486" s="358"/>
      <c r="BH486" s="592"/>
      <c r="BI486" s="592"/>
      <c r="BJ486" s="592"/>
      <c r="BK486" s="592"/>
      <c r="BL486" s="592"/>
      <c r="BM486" s="592"/>
      <c r="BN486" s="592"/>
      <c r="BO486" s="592"/>
      <c r="BP486" s="592"/>
      <c r="BQ486" s="594"/>
      <c r="BR486" s="594"/>
      <c r="BS486" s="394"/>
      <c r="BT486" s="594"/>
      <c r="BU486" s="594"/>
      <c r="BV486" s="594"/>
      <c r="BW486" s="618"/>
      <c r="BX486" s="644"/>
      <c r="BY486" s="644"/>
    </row>
    <row r="487" ht="25.5" customHeight="1">
      <c r="A487" s="635"/>
      <c r="B487" s="695"/>
      <c r="C487" s="642"/>
      <c r="D487" s="642"/>
      <c r="E487" s="696"/>
      <c r="F487" s="696"/>
      <c r="G487" s="621"/>
      <c r="H487" s="577"/>
      <c r="I487" s="577"/>
      <c r="J487" s="613"/>
      <c r="K487" s="581"/>
      <c r="L487" s="581"/>
      <c r="M487" s="613"/>
      <c r="N487" s="613"/>
      <c r="O487" s="613"/>
      <c r="P487" s="580"/>
      <c r="Q487" s="580"/>
      <c r="R487" s="581"/>
      <c r="S487" s="581"/>
      <c r="T487" s="581"/>
      <c r="U487" s="582"/>
      <c r="V487" s="614"/>
      <c r="W487" s="581"/>
      <c r="X487" s="615"/>
      <c r="Y487" s="613"/>
      <c r="Z487" s="580"/>
      <c r="AA487" s="634"/>
      <c r="AB487" s="577"/>
      <c r="AC487" s="673"/>
      <c r="AD487" s="634"/>
      <c r="AE487" s="587"/>
      <c r="AF487" s="587"/>
      <c r="AG487" s="582"/>
      <c r="AH487" s="582"/>
      <c r="AI487" s="582"/>
      <c r="AJ487" s="582"/>
      <c r="AK487" s="588"/>
      <c r="AL487" s="582"/>
      <c r="AM487" s="587"/>
      <c r="AN487" s="589"/>
      <c r="AO487" s="616"/>
      <c r="AP487" s="592"/>
      <c r="AQ487" s="358"/>
      <c r="AR487" s="592"/>
      <c r="AS487" s="592"/>
      <c r="AT487" s="592"/>
      <c r="AU487" s="592"/>
      <c r="AV487" s="592"/>
      <c r="AW487" s="592"/>
      <c r="AX487" s="592"/>
      <c r="AY487" s="592"/>
      <c r="AZ487" s="592"/>
      <c r="BA487" s="617"/>
      <c r="BB487" s="592"/>
      <c r="BC487" s="592"/>
      <c r="BD487" s="592"/>
      <c r="BE487" s="592"/>
      <c r="BF487" s="592"/>
      <c r="BG487" s="358"/>
      <c r="BH487" s="592"/>
      <c r="BI487" s="592"/>
      <c r="BJ487" s="592"/>
      <c r="BK487" s="592"/>
      <c r="BL487" s="592"/>
      <c r="BM487" s="592"/>
      <c r="BN487" s="592"/>
      <c r="BO487" s="592"/>
      <c r="BP487" s="592"/>
      <c r="BQ487" s="594"/>
      <c r="BR487" s="594"/>
      <c r="BS487" s="394"/>
      <c r="BT487" s="594"/>
      <c r="BU487" s="594"/>
      <c r="BV487" s="594"/>
      <c r="BW487" s="618"/>
      <c r="BX487" s="644"/>
      <c r="BY487" s="644"/>
    </row>
    <row r="488" ht="25.5" customHeight="1">
      <c r="A488" s="635"/>
      <c r="B488" s="695"/>
      <c r="C488" s="642"/>
      <c r="D488" s="642"/>
      <c r="E488" s="696"/>
      <c r="F488" s="696"/>
      <c r="G488" s="621"/>
      <c r="H488" s="577"/>
      <c r="I488" s="577"/>
      <c r="J488" s="613"/>
      <c r="K488" s="581"/>
      <c r="L488" s="581"/>
      <c r="M488" s="613"/>
      <c r="N488" s="613"/>
      <c r="O488" s="613"/>
      <c r="P488" s="580"/>
      <c r="Q488" s="580"/>
      <c r="R488" s="581"/>
      <c r="S488" s="581"/>
      <c r="T488" s="581"/>
      <c r="U488" s="582"/>
      <c r="V488" s="614"/>
      <c r="W488" s="581"/>
      <c r="X488" s="615"/>
      <c r="Y488" s="613"/>
      <c r="Z488" s="580"/>
      <c r="AA488" s="634"/>
      <c r="AB488" s="577"/>
      <c r="AC488" s="673"/>
      <c r="AD488" s="634"/>
      <c r="AE488" s="587"/>
      <c r="AF488" s="587"/>
      <c r="AG488" s="582"/>
      <c r="AH488" s="582"/>
      <c r="AI488" s="582"/>
      <c r="AJ488" s="582"/>
      <c r="AK488" s="588"/>
      <c r="AL488" s="582"/>
      <c r="AM488" s="587"/>
      <c r="AN488" s="589"/>
      <c r="AO488" s="616"/>
      <c r="AP488" s="592"/>
      <c r="AQ488" s="358"/>
      <c r="AR488" s="592"/>
      <c r="AS488" s="592"/>
      <c r="AT488" s="592"/>
      <c r="AU488" s="592"/>
      <c r="AV488" s="592"/>
      <c r="AW488" s="592"/>
      <c r="AX488" s="592"/>
      <c r="AY488" s="592"/>
      <c r="AZ488" s="592"/>
      <c r="BA488" s="617"/>
      <c r="BB488" s="592"/>
      <c r="BC488" s="592"/>
      <c r="BD488" s="592"/>
      <c r="BE488" s="592"/>
      <c r="BF488" s="592"/>
      <c r="BG488" s="358"/>
      <c r="BH488" s="592"/>
      <c r="BI488" s="592"/>
      <c r="BJ488" s="592"/>
      <c r="BK488" s="592"/>
      <c r="BL488" s="592"/>
      <c r="BM488" s="592"/>
      <c r="BN488" s="592"/>
      <c r="BO488" s="592"/>
      <c r="BP488" s="592"/>
      <c r="BQ488" s="594"/>
      <c r="BR488" s="594"/>
      <c r="BS488" s="394"/>
      <c r="BT488" s="594"/>
      <c r="BU488" s="594"/>
      <c r="BV488" s="594"/>
      <c r="BW488" s="618"/>
      <c r="BX488" s="644"/>
      <c r="BY488" s="644"/>
    </row>
    <row r="489" ht="25.5" customHeight="1">
      <c r="A489" s="635"/>
      <c r="B489" s="695"/>
      <c r="C489" s="642"/>
      <c r="D489" s="642"/>
      <c r="E489" s="696"/>
      <c r="F489" s="696"/>
      <c r="G489" s="621"/>
      <c r="H489" s="577"/>
      <c r="I489" s="577"/>
      <c r="J489" s="613"/>
      <c r="K489" s="581"/>
      <c r="L489" s="581"/>
      <c r="M489" s="613"/>
      <c r="N489" s="613"/>
      <c r="O489" s="613"/>
      <c r="P489" s="580"/>
      <c r="Q489" s="580"/>
      <c r="R489" s="581"/>
      <c r="S489" s="581"/>
      <c r="T489" s="581"/>
      <c r="U489" s="582"/>
      <c r="V489" s="614"/>
      <c r="W489" s="581"/>
      <c r="X489" s="615"/>
      <c r="Y489" s="613"/>
      <c r="Z489" s="580"/>
      <c r="AA489" s="634"/>
      <c r="AB489" s="577"/>
      <c r="AC489" s="673"/>
      <c r="AD489" s="634"/>
      <c r="AE489" s="587"/>
      <c r="AF489" s="587"/>
      <c r="AG489" s="582"/>
      <c r="AH489" s="582"/>
      <c r="AI489" s="582"/>
      <c r="AJ489" s="582"/>
      <c r="AK489" s="588"/>
      <c r="AL489" s="582"/>
      <c r="AM489" s="587"/>
      <c r="AN489" s="589"/>
      <c r="AO489" s="616"/>
      <c r="AP489" s="592"/>
      <c r="AQ489" s="358"/>
      <c r="AR489" s="592"/>
      <c r="AS489" s="592"/>
      <c r="AT489" s="592"/>
      <c r="AU489" s="592"/>
      <c r="AV489" s="592"/>
      <c r="AW489" s="592"/>
      <c r="AX489" s="592"/>
      <c r="AY489" s="592"/>
      <c r="AZ489" s="592"/>
      <c r="BA489" s="617"/>
      <c r="BB489" s="592"/>
      <c r="BC489" s="592"/>
      <c r="BD489" s="592"/>
      <c r="BE489" s="592"/>
      <c r="BF489" s="592"/>
      <c r="BG489" s="358"/>
      <c r="BH489" s="592"/>
      <c r="BI489" s="592"/>
      <c r="BJ489" s="592"/>
      <c r="BK489" s="592"/>
      <c r="BL489" s="592"/>
      <c r="BM489" s="592"/>
      <c r="BN489" s="592"/>
      <c r="BO489" s="592"/>
      <c r="BP489" s="592"/>
      <c r="BQ489" s="594"/>
      <c r="BR489" s="594"/>
      <c r="BS489" s="394"/>
      <c r="BT489" s="594"/>
      <c r="BU489" s="594"/>
      <c r="BV489" s="594"/>
      <c r="BW489" s="618"/>
      <c r="BX489" s="644"/>
      <c r="BY489" s="644"/>
    </row>
    <row r="490" ht="25.5" customHeight="1">
      <c r="A490" s="635"/>
      <c r="B490" s="695"/>
      <c r="C490" s="642"/>
      <c r="D490" s="642"/>
      <c r="E490" s="696"/>
      <c r="F490" s="696"/>
      <c r="G490" s="621"/>
      <c r="H490" s="577"/>
      <c r="I490" s="577"/>
      <c r="J490" s="613"/>
      <c r="K490" s="581"/>
      <c r="L490" s="581"/>
      <c r="M490" s="613"/>
      <c r="N490" s="613"/>
      <c r="O490" s="613"/>
      <c r="P490" s="580"/>
      <c r="Q490" s="580"/>
      <c r="R490" s="581"/>
      <c r="S490" s="581"/>
      <c r="T490" s="581"/>
      <c r="U490" s="582"/>
      <c r="V490" s="614"/>
      <c r="W490" s="581"/>
      <c r="X490" s="615"/>
      <c r="Y490" s="613"/>
      <c r="Z490" s="580"/>
      <c r="AA490" s="634"/>
      <c r="AB490" s="577"/>
      <c r="AC490" s="673"/>
      <c r="AD490" s="634"/>
      <c r="AE490" s="587"/>
      <c r="AF490" s="587"/>
      <c r="AG490" s="582"/>
      <c r="AH490" s="582"/>
      <c r="AI490" s="582"/>
      <c r="AJ490" s="582"/>
      <c r="AK490" s="588"/>
      <c r="AL490" s="582"/>
      <c r="AM490" s="587"/>
      <c r="AN490" s="589"/>
      <c r="AO490" s="616"/>
      <c r="AP490" s="592"/>
      <c r="AQ490" s="358"/>
      <c r="AR490" s="592"/>
      <c r="AS490" s="592"/>
      <c r="AT490" s="592"/>
      <c r="AU490" s="592"/>
      <c r="AV490" s="592"/>
      <c r="AW490" s="592"/>
      <c r="AX490" s="592"/>
      <c r="AY490" s="592"/>
      <c r="AZ490" s="592"/>
      <c r="BA490" s="617"/>
      <c r="BB490" s="592"/>
      <c r="BC490" s="592"/>
      <c r="BD490" s="592"/>
      <c r="BE490" s="592"/>
      <c r="BF490" s="592"/>
      <c r="BG490" s="358"/>
      <c r="BH490" s="592"/>
      <c r="BI490" s="592"/>
      <c r="BJ490" s="592"/>
      <c r="BK490" s="592"/>
      <c r="BL490" s="592"/>
      <c r="BM490" s="592"/>
      <c r="BN490" s="592"/>
      <c r="BO490" s="592"/>
      <c r="BP490" s="592"/>
      <c r="BQ490" s="594"/>
      <c r="BR490" s="594"/>
      <c r="BS490" s="394"/>
      <c r="BT490" s="594"/>
      <c r="BU490" s="594"/>
      <c r="BV490" s="594"/>
      <c r="BW490" s="618"/>
      <c r="BX490" s="644"/>
      <c r="BY490" s="644"/>
    </row>
    <row r="491" ht="25.5" customHeight="1">
      <c r="A491" s="635"/>
      <c r="B491" s="695"/>
      <c r="C491" s="642"/>
      <c r="D491" s="642"/>
      <c r="E491" s="696"/>
      <c r="F491" s="696"/>
      <c r="G491" s="621"/>
      <c r="H491" s="577"/>
      <c r="I491" s="577"/>
      <c r="J491" s="613"/>
      <c r="K491" s="581"/>
      <c r="L491" s="581"/>
      <c r="M491" s="613"/>
      <c r="N491" s="613"/>
      <c r="O491" s="613"/>
      <c r="P491" s="580"/>
      <c r="Q491" s="580"/>
      <c r="R491" s="581"/>
      <c r="S491" s="581"/>
      <c r="T491" s="581"/>
      <c r="U491" s="582"/>
      <c r="V491" s="614"/>
      <c r="W491" s="581"/>
      <c r="X491" s="615"/>
      <c r="Y491" s="613"/>
      <c r="Z491" s="580"/>
      <c r="AA491" s="634"/>
      <c r="AB491" s="577"/>
      <c r="AC491" s="673"/>
      <c r="AD491" s="634"/>
      <c r="AE491" s="587"/>
      <c r="AF491" s="587"/>
      <c r="AG491" s="582"/>
      <c r="AH491" s="582"/>
      <c r="AI491" s="582"/>
      <c r="AJ491" s="582"/>
      <c r="AK491" s="588"/>
      <c r="AL491" s="582"/>
      <c r="AM491" s="587"/>
      <c r="AN491" s="589"/>
      <c r="AO491" s="616"/>
      <c r="AP491" s="592"/>
      <c r="AQ491" s="358"/>
      <c r="AR491" s="592"/>
      <c r="AS491" s="592"/>
      <c r="AT491" s="592"/>
      <c r="AU491" s="592"/>
      <c r="AV491" s="592"/>
      <c r="AW491" s="592"/>
      <c r="AX491" s="592"/>
      <c r="AY491" s="592"/>
      <c r="AZ491" s="592"/>
      <c r="BA491" s="617"/>
      <c r="BB491" s="592"/>
      <c r="BC491" s="592"/>
      <c r="BD491" s="592"/>
      <c r="BE491" s="592"/>
      <c r="BF491" s="592"/>
      <c r="BG491" s="358"/>
      <c r="BH491" s="592"/>
      <c r="BI491" s="592"/>
      <c r="BJ491" s="592"/>
      <c r="BK491" s="592"/>
      <c r="BL491" s="592"/>
      <c r="BM491" s="592"/>
      <c r="BN491" s="592"/>
      <c r="BO491" s="592"/>
      <c r="BP491" s="592"/>
      <c r="BQ491" s="594"/>
      <c r="BR491" s="594"/>
      <c r="BS491" s="394"/>
      <c r="BT491" s="594"/>
      <c r="BU491" s="594"/>
      <c r="BV491" s="594"/>
      <c r="BW491" s="618"/>
      <c r="BX491" s="644"/>
      <c r="BY491" s="644"/>
    </row>
    <row r="492" ht="25.5" customHeight="1">
      <c r="A492" s="635"/>
      <c r="B492" s="695"/>
      <c r="C492" s="642"/>
      <c r="D492" s="642"/>
      <c r="E492" s="696"/>
      <c r="F492" s="696"/>
      <c r="G492" s="621"/>
      <c r="H492" s="577"/>
      <c r="I492" s="577"/>
      <c r="J492" s="613"/>
      <c r="K492" s="581"/>
      <c r="L492" s="581"/>
      <c r="M492" s="613"/>
      <c r="N492" s="613"/>
      <c r="O492" s="613"/>
      <c r="P492" s="580"/>
      <c r="Q492" s="580"/>
      <c r="R492" s="581"/>
      <c r="S492" s="581"/>
      <c r="T492" s="581"/>
      <c r="U492" s="582"/>
      <c r="V492" s="614"/>
      <c r="W492" s="581"/>
      <c r="X492" s="615"/>
      <c r="Y492" s="613"/>
      <c r="Z492" s="580"/>
      <c r="AA492" s="634"/>
      <c r="AB492" s="577"/>
      <c r="AC492" s="673"/>
      <c r="AD492" s="634"/>
      <c r="AE492" s="587"/>
      <c r="AF492" s="587"/>
      <c r="AG492" s="582"/>
      <c r="AH492" s="582"/>
      <c r="AI492" s="582"/>
      <c r="AJ492" s="582"/>
      <c r="AK492" s="588"/>
      <c r="AL492" s="582"/>
      <c r="AM492" s="587"/>
      <c r="AN492" s="589"/>
      <c r="AO492" s="616"/>
      <c r="AP492" s="592"/>
      <c r="AQ492" s="358"/>
      <c r="AR492" s="592"/>
      <c r="AS492" s="592"/>
      <c r="AT492" s="592"/>
      <c r="AU492" s="592"/>
      <c r="AV492" s="592"/>
      <c r="AW492" s="592"/>
      <c r="AX492" s="592"/>
      <c r="AY492" s="592"/>
      <c r="AZ492" s="592"/>
      <c r="BA492" s="617"/>
      <c r="BB492" s="592"/>
      <c r="BC492" s="592"/>
      <c r="BD492" s="592"/>
      <c r="BE492" s="592"/>
      <c r="BF492" s="592"/>
      <c r="BG492" s="358"/>
      <c r="BH492" s="592"/>
      <c r="BI492" s="592"/>
      <c r="BJ492" s="592"/>
      <c r="BK492" s="592"/>
      <c r="BL492" s="592"/>
      <c r="BM492" s="592"/>
      <c r="BN492" s="592"/>
      <c r="BO492" s="592"/>
      <c r="BP492" s="592"/>
      <c r="BQ492" s="594"/>
      <c r="BR492" s="594"/>
      <c r="BS492" s="394"/>
      <c r="BT492" s="594"/>
      <c r="BU492" s="594"/>
      <c r="BV492" s="594"/>
      <c r="BW492" s="618"/>
      <c r="BX492" s="644"/>
      <c r="BY492" s="644"/>
    </row>
    <row r="493" ht="25.5" customHeight="1">
      <c r="A493" s="635"/>
      <c r="B493" s="695"/>
      <c r="C493" s="642"/>
      <c r="D493" s="642"/>
      <c r="E493" s="696"/>
      <c r="F493" s="696"/>
      <c r="G493" s="621"/>
      <c r="H493" s="577"/>
      <c r="I493" s="577"/>
      <c r="J493" s="613"/>
      <c r="K493" s="581"/>
      <c r="L493" s="581"/>
      <c r="M493" s="613"/>
      <c r="N493" s="613"/>
      <c r="O493" s="613"/>
      <c r="P493" s="580"/>
      <c r="Q493" s="580"/>
      <c r="R493" s="581"/>
      <c r="S493" s="581"/>
      <c r="T493" s="581"/>
      <c r="U493" s="582"/>
      <c r="V493" s="614"/>
      <c r="W493" s="581"/>
      <c r="X493" s="615"/>
      <c r="Y493" s="613"/>
      <c r="Z493" s="580"/>
      <c r="AA493" s="634"/>
      <c r="AB493" s="577"/>
      <c r="AC493" s="673"/>
      <c r="AD493" s="634"/>
      <c r="AE493" s="587"/>
      <c r="AF493" s="587"/>
      <c r="AG493" s="582"/>
      <c r="AH493" s="582"/>
      <c r="AI493" s="582"/>
      <c r="AJ493" s="582"/>
      <c r="AK493" s="588"/>
      <c r="AL493" s="582"/>
      <c r="AM493" s="587"/>
      <c r="AN493" s="589"/>
      <c r="AO493" s="616"/>
      <c r="AP493" s="592"/>
      <c r="AQ493" s="358"/>
      <c r="AR493" s="592"/>
      <c r="AS493" s="592"/>
      <c r="AT493" s="592"/>
      <c r="AU493" s="592"/>
      <c r="AV493" s="592"/>
      <c r="AW493" s="592"/>
      <c r="AX493" s="592"/>
      <c r="AY493" s="592"/>
      <c r="AZ493" s="592"/>
      <c r="BA493" s="617"/>
      <c r="BB493" s="592"/>
      <c r="BC493" s="592"/>
      <c r="BD493" s="592"/>
      <c r="BE493" s="592"/>
      <c r="BF493" s="592"/>
      <c r="BG493" s="358"/>
      <c r="BH493" s="592"/>
      <c r="BI493" s="592"/>
      <c r="BJ493" s="592"/>
      <c r="BK493" s="592"/>
      <c r="BL493" s="592"/>
      <c r="BM493" s="592"/>
      <c r="BN493" s="592"/>
      <c r="BO493" s="592"/>
      <c r="BP493" s="592"/>
      <c r="BQ493" s="594"/>
      <c r="BR493" s="594"/>
      <c r="BS493" s="394"/>
      <c r="BT493" s="594"/>
      <c r="BU493" s="594"/>
      <c r="BV493" s="594"/>
      <c r="BW493" s="618"/>
      <c r="BX493" s="644"/>
      <c r="BY493" s="644"/>
    </row>
    <row r="494" ht="25.5" customHeight="1">
      <c r="A494" s="635"/>
      <c r="B494" s="695"/>
      <c r="C494" s="642"/>
      <c r="D494" s="642"/>
      <c r="E494" s="696"/>
      <c r="F494" s="696"/>
      <c r="G494" s="621"/>
      <c r="H494" s="577"/>
      <c r="I494" s="577"/>
      <c r="J494" s="613"/>
      <c r="K494" s="581"/>
      <c r="L494" s="581"/>
      <c r="M494" s="613"/>
      <c r="N494" s="613"/>
      <c r="O494" s="613"/>
      <c r="P494" s="580"/>
      <c r="Q494" s="580"/>
      <c r="R494" s="581"/>
      <c r="S494" s="581"/>
      <c r="T494" s="581"/>
      <c r="U494" s="582"/>
      <c r="V494" s="614"/>
      <c r="W494" s="581"/>
      <c r="X494" s="615"/>
      <c r="Y494" s="613"/>
      <c r="Z494" s="580"/>
      <c r="AA494" s="634"/>
      <c r="AB494" s="577"/>
      <c r="AC494" s="673"/>
      <c r="AD494" s="634"/>
      <c r="AE494" s="587"/>
      <c r="AF494" s="587"/>
      <c r="AG494" s="582"/>
      <c r="AH494" s="582"/>
      <c r="AI494" s="582"/>
      <c r="AJ494" s="582"/>
      <c r="AK494" s="588"/>
      <c r="AL494" s="582"/>
      <c r="AM494" s="587"/>
      <c r="AN494" s="589"/>
      <c r="AO494" s="616"/>
      <c r="AP494" s="592"/>
      <c r="AQ494" s="358"/>
      <c r="AR494" s="592"/>
      <c r="AS494" s="592"/>
      <c r="AT494" s="592"/>
      <c r="AU494" s="592"/>
      <c r="AV494" s="592"/>
      <c r="AW494" s="592"/>
      <c r="AX494" s="592"/>
      <c r="AY494" s="592"/>
      <c r="AZ494" s="592"/>
      <c r="BA494" s="617"/>
      <c r="BB494" s="592"/>
      <c r="BC494" s="592"/>
      <c r="BD494" s="592"/>
      <c r="BE494" s="592"/>
      <c r="BF494" s="592"/>
      <c r="BG494" s="358"/>
      <c r="BH494" s="592"/>
      <c r="BI494" s="592"/>
      <c r="BJ494" s="592"/>
      <c r="BK494" s="592"/>
      <c r="BL494" s="592"/>
      <c r="BM494" s="592"/>
      <c r="BN494" s="592"/>
      <c r="BO494" s="592"/>
      <c r="BP494" s="592"/>
      <c r="BQ494" s="594"/>
      <c r="BR494" s="594"/>
      <c r="BS494" s="394"/>
      <c r="BT494" s="594"/>
      <c r="BU494" s="594"/>
      <c r="BV494" s="594"/>
      <c r="BW494" s="618"/>
      <c r="BX494" s="644"/>
      <c r="BY494" s="644"/>
    </row>
    <row r="495" ht="25.5" customHeight="1">
      <c r="A495" s="635"/>
      <c r="B495" s="695"/>
      <c r="C495" s="642"/>
      <c r="D495" s="642"/>
      <c r="E495" s="696"/>
      <c r="F495" s="696"/>
      <c r="G495" s="621"/>
      <c r="H495" s="577"/>
      <c r="I495" s="577"/>
      <c r="J495" s="613"/>
      <c r="K495" s="581"/>
      <c r="L495" s="581"/>
      <c r="M495" s="613"/>
      <c r="N495" s="613"/>
      <c r="O495" s="613"/>
      <c r="P495" s="580"/>
      <c r="Q495" s="580"/>
      <c r="R495" s="581"/>
      <c r="S495" s="581"/>
      <c r="T495" s="581"/>
      <c r="U495" s="582"/>
      <c r="V495" s="614"/>
      <c r="W495" s="581"/>
      <c r="X495" s="615"/>
      <c r="Y495" s="613"/>
      <c r="Z495" s="580"/>
      <c r="AA495" s="634"/>
      <c r="AB495" s="577"/>
      <c r="AC495" s="673"/>
      <c r="AD495" s="634"/>
      <c r="AE495" s="587"/>
      <c r="AF495" s="587"/>
      <c r="AG495" s="582"/>
      <c r="AH495" s="582"/>
      <c r="AI495" s="582"/>
      <c r="AJ495" s="582"/>
      <c r="AK495" s="588"/>
      <c r="AL495" s="582"/>
      <c r="AM495" s="587"/>
      <c r="AN495" s="589"/>
      <c r="AO495" s="616"/>
      <c r="AP495" s="592"/>
      <c r="AQ495" s="358"/>
      <c r="AR495" s="592"/>
      <c r="AS495" s="592"/>
      <c r="AT495" s="592"/>
      <c r="AU495" s="592"/>
      <c r="AV495" s="592"/>
      <c r="AW495" s="592"/>
      <c r="AX495" s="592"/>
      <c r="AY495" s="592"/>
      <c r="AZ495" s="592"/>
      <c r="BA495" s="617"/>
      <c r="BB495" s="592"/>
      <c r="BC495" s="592"/>
      <c r="BD495" s="592"/>
      <c r="BE495" s="592"/>
      <c r="BF495" s="592"/>
      <c r="BG495" s="358"/>
      <c r="BH495" s="592"/>
      <c r="BI495" s="592"/>
      <c r="BJ495" s="592"/>
      <c r="BK495" s="592"/>
      <c r="BL495" s="592"/>
      <c r="BM495" s="592"/>
      <c r="BN495" s="592"/>
      <c r="BO495" s="592"/>
      <c r="BP495" s="592"/>
      <c r="BQ495" s="594"/>
      <c r="BR495" s="594"/>
      <c r="BS495" s="394"/>
      <c r="BT495" s="594"/>
      <c r="BU495" s="594"/>
      <c r="BV495" s="594"/>
      <c r="BW495" s="618"/>
      <c r="BX495" s="644"/>
      <c r="BY495" s="644"/>
    </row>
    <row r="496" ht="25.5" customHeight="1">
      <c r="A496" s="635"/>
      <c r="B496" s="695"/>
      <c r="C496" s="642"/>
      <c r="D496" s="642"/>
      <c r="E496" s="696"/>
      <c r="F496" s="696"/>
      <c r="G496" s="621"/>
      <c r="H496" s="577"/>
      <c r="I496" s="577"/>
      <c r="J496" s="613"/>
      <c r="K496" s="581"/>
      <c r="L496" s="581"/>
      <c r="M496" s="613"/>
      <c r="N496" s="613"/>
      <c r="O496" s="613"/>
      <c r="P496" s="580"/>
      <c r="Q496" s="580"/>
      <c r="R496" s="581"/>
      <c r="S496" s="581"/>
      <c r="T496" s="581"/>
      <c r="U496" s="582"/>
      <c r="V496" s="614"/>
      <c r="W496" s="581"/>
      <c r="X496" s="615"/>
      <c r="Y496" s="613"/>
      <c r="Z496" s="580"/>
      <c r="AA496" s="634"/>
      <c r="AB496" s="577"/>
      <c r="AC496" s="673"/>
      <c r="AD496" s="634"/>
      <c r="AE496" s="587"/>
      <c r="AF496" s="587"/>
      <c r="AG496" s="582"/>
      <c r="AH496" s="582"/>
      <c r="AI496" s="582"/>
      <c r="AJ496" s="582"/>
      <c r="AK496" s="588"/>
      <c r="AL496" s="582"/>
      <c r="AM496" s="587"/>
      <c r="AN496" s="589"/>
      <c r="AO496" s="616"/>
      <c r="AP496" s="592"/>
      <c r="AQ496" s="358"/>
      <c r="AR496" s="592"/>
      <c r="AS496" s="592"/>
      <c r="AT496" s="592"/>
      <c r="AU496" s="592"/>
      <c r="AV496" s="592"/>
      <c r="AW496" s="592"/>
      <c r="AX496" s="592"/>
      <c r="AY496" s="592"/>
      <c r="AZ496" s="592"/>
      <c r="BA496" s="617"/>
      <c r="BB496" s="592"/>
      <c r="BC496" s="592"/>
      <c r="BD496" s="592"/>
      <c r="BE496" s="592"/>
      <c r="BF496" s="592"/>
      <c r="BG496" s="358"/>
      <c r="BH496" s="592"/>
      <c r="BI496" s="592"/>
      <c r="BJ496" s="592"/>
      <c r="BK496" s="592"/>
      <c r="BL496" s="592"/>
      <c r="BM496" s="592"/>
      <c r="BN496" s="592"/>
      <c r="BO496" s="592"/>
      <c r="BP496" s="592"/>
      <c r="BQ496" s="594"/>
      <c r="BR496" s="594"/>
      <c r="BS496" s="394"/>
      <c r="BT496" s="594"/>
      <c r="BU496" s="594"/>
      <c r="BV496" s="594"/>
      <c r="BW496" s="618"/>
      <c r="BX496" s="644"/>
      <c r="BY496" s="644"/>
    </row>
    <row r="497" ht="25.5" customHeight="1">
      <c r="A497" s="635"/>
      <c r="B497" s="695"/>
      <c r="C497" s="642"/>
      <c r="D497" s="642"/>
      <c r="E497" s="696"/>
      <c r="F497" s="696"/>
      <c r="G497" s="621"/>
      <c r="H497" s="577"/>
      <c r="I497" s="577"/>
      <c r="J497" s="613"/>
      <c r="K497" s="581"/>
      <c r="L497" s="581"/>
      <c r="M497" s="613"/>
      <c r="N497" s="613"/>
      <c r="O497" s="613"/>
      <c r="P497" s="580"/>
      <c r="Q497" s="580"/>
      <c r="R497" s="581"/>
      <c r="S497" s="581"/>
      <c r="T497" s="581"/>
      <c r="U497" s="582"/>
      <c r="V497" s="614"/>
      <c r="W497" s="581"/>
      <c r="X497" s="615"/>
      <c r="Y497" s="613"/>
      <c r="Z497" s="580"/>
      <c r="AA497" s="634"/>
      <c r="AB497" s="577"/>
      <c r="AC497" s="673"/>
      <c r="AD497" s="634"/>
      <c r="AE497" s="587"/>
      <c r="AF497" s="587"/>
      <c r="AG497" s="582"/>
      <c r="AH497" s="582"/>
      <c r="AI497" s="582"/>
      <c r="AJ497" s="582"/>
      <c r="AK497" s="588"/>
      <c r="AL497" s="582"/>
      <c r="AM497" s="587"/>
      <c r="AN497" s="589"/>
      <c r="AO497" s="616"/>
      <c r="AP497" s="592"/>
      <c r="AQ497" s="358"/>
      <c r="AR497" s="592"/>
      <c r="AS497" s="592"/>
      <c r="AT497" s="592"/>
      <c r="AU497" s="592"/>
      <c r="AV497" s="592"/>
      <c r="AW497" s="592"/>
      <c r="AX497" s="592"/>
      <c r="AY497" s="592"/>
      <c r="AZ497" s="592"/>
      <c r="BA497" s="617"/>
      <c r="BB497" s="592"/>
      <c r="BC497" s="592"/>
      <c r="BD497" s="592"/>
      <c r="BE497" s="592"/>
      <c r="BF497" s="592"/>
      <c r="BG497" s="358"/>
      <c r="BH497" s="592"/>
      <c r="BI497" s="592"/>
      <c r="BJ497" s="592"/>
      <c r="BK497" s="592"/>
      <c r="BL497" s="592"/>
      <c r="BM497" s="592"/>
      <c r="BN497" s="592"/>
      <c r="BO497" s="592"/>
      <c r="BP497" s="592"/>
      <c r="BQ497" s="594"/>
      <c r="BR497" s="594"/>
      <c r="BS497" s="394"/>
      <c r="BT497" s="594"/>
      <c r="BU497" s="594"/>
      <c r="BV497" s="594"/>
      <c r="BW497" s="618"/>
      <c r="BX497" s="644"/>
      <c r="BY497" s="644"/>
    </row>
    <row r="498" ht="25.5" customHeight="1">
      <c r="A498" s="635"/>
      <c r="B498" s="695"/>
      <c r="C498" s="642"/>
      <c r="D498" s="642"/>
      <c r="E498" s="696"/>
      <c r="F498" s="696"/>
      <c r="G498" s="621"/>
      <c r="H498" s="577"/>
      <c r="I498" s="577"/>
      <c r="J498" s="613"/>
      <c r="K498" s="581"/>
      <c r="L498" s="581"/>
      <c r="M498" s="613"/>
      <c r="N498" s="613"/>
      <c r="O498" s="613"/>
      <c r="P498" s="580"/>
      <c r="Q498" s="580"/>
      <c r="R498" s="581"/>
      <c r="S498" s="581"/>
      <c r="T498" s="581"/>
      <c r="U498" s="582"/>
      <c r="V498" s="614"/>
      <c r="W498" s="581"/>
      <c r="X498" s="615"/>
      <c r="Y498" s="613"/>
      <c r="Z498" s="580"/>
      <c r="AA498" s="634"/>
      <c r="AB498" s="577"/>
      <c r="AC498" s="673"/>
      <c r="AD498" s="634"/>
      <c r="AE498" s="587"/>
      <c r="AF498" s="587"/>
      <c r="AG498" s="582"/>
      <c r="AH498" s="582"/>
      <c r="AI498" s="582"/>
      <c r="AJ498" s="582"/>
      <c r="AK498" s="588"/>
      <c r="AL498" s="582"/>
      <c r="AM498" s="587"/>
      <c r="AN498" s="589"/>
      <c r="AO498" s="616"/>
      <c r="AP498" s="592"/>
      <c r="AQ498" s="358"/>
      <c r="AR498" s="592"/>
      <c r="AS498" s="592"/>
      <c r="AT498" s="592"/>
      <c r="AU498" s="592"/>
      <c r="AV498" s="592"/>
      <c r="AW498" s="592"/>
      <c r="AX498" s="592"/>
      <c r="AY498" s="592"/>
      <c r="AZ498" s="592"/>
      <c r="BA498" s="617"/>
      <c r="BB498" s="592"/>
      <c r="BC498" s="592"/>
      <c r="BD498" s="592"/>
      <c r="BE498" s="592"/>
      <c r="BF498" s="592"/>
      <c r="BG498" s="358"/>
      <c r="BH498" s="592"/>
      <c r="BI498" s="592"/>
      <c r="BJ498" s="592"/>
      <c r="BK498" s="592"/>
      <c r="BL498" s="592"/>
      <c r="BM498" s="592"/>
      <c r="BN498" s="592"/>
      <c r="BO498" s="592"/>
      <c r="BP498" s="592"/>
      <c r="BQ498" s="594"/>
      <c r="BR498" s="594"/>
      <c r="BS498" s="394"/>
      <c r="BT498" s="594"/>
      <c r="BU498" s="594"/>
      <c r="BV498" s="594"/>
      <c r="BW498" s="618"/>
      <c r="BX498" s="644"/>
      <c r="BY498" s="644"/>
    </row>
    <row r="499" ht="25.5" customHeight="1">
      <c r="A499" s="635"/>
      <c r="B499" s="695"/>
      <c r="C499" s="642"/>
      <c r="D499" s="642"/>
      <c r="E499" s="696"/>
      <c r="F499" s="696"/>
      <c r="G499" s="621"/>
      <c r="H499" s="577"/>
      <c r="I499" s="577"/>
      <c r="J499" s="613"/>
      <c r="K499" s="581"/>
      <c r="L499" s="581"/>
      <c r="M499" s="613"/>
      <c r="N499" s="613"/>
      <c r="O499" s="613"/>
      <c r="P499" s="580"/>
      <c r="Q499" s="580"/>
      <c r="R499" s="581"/>
      <c r="S499" s="581"/>
      <c r="T499" s="581"/>
      <c r="U499" s="582"/>
      <c r="V499" s="614"/>
      <c r="W499" s="581"/>
      <c r="X499" s="615"/>
      <c r="Y499" s="613"/>
      <c r="Z499" s="580"/>
      <c r="AA499" s="634"/>
      <c r="AB499" s="577"/>
      <c r="AC499" s="673"/>
      <c r="AD499" s="634"/>
      <c r="AE499" s="587"/>
      <c r="AF499" s="587"/>
      <c r="AG499" s="582"/>
      <c r="AH499" s="582"/>
      <c r="AI499" s="582"/>
      <c r="AJ499" s="582"/>
      <c r="AK499" s="588"/>
      <c r="AL499" s="582"/>
      <c r="AM499" s="587"/>
      <c r="AN499" s="589"/>
      <c r="AO499" s="616"/>
      <c r="AP499" s="592"/>
      <c r="AQ499" s="358"/>
      <c r="AR499" s="592"/>
      <c r="AS499" s="592"/>
      <c r="AT499" s="592"/>
      <c r="AU499" s="592"/>
      <c r="AV499" s="592"/>
      <c r="AW499" s="592"/>
      <c r="AX499" s="592"/>
      <c r="AY499" s="592"/>
      <c r="AZ499" s="592"/>
      <c r="BA499" s="617"/>
      <c r="BB499" s="592"/>
      <c r="BC499" s="592"/>
      <c r="BD499" s="592"/>
      <c r="BE499" s="592"/>
      <c r="BF499" s="592"/>
      <c r="BG499" s="358"/>
      <c r="BH499" s="592"/>
      <c r="BI499" s="592"/>
      <c r="BJ499" s="592"/>
      <c r="BK499" s="592"/>
      <c r="BL499" s="592"/>
      <c r="BM499" s="592"/>
      <c r="BN499" s="592"/>
      <c r="BO499" s="592"/>
      <c r="BP499" s="592"/>
      <c r="BQ499" s="594"/>
      <c r="BR499" s="594"/>
      <c r="BS499" s="394"/>
      <c r="BT499" s="594"/>
      <c r="BU499" s="594"/>
      <c r="BV499" s="594"/>
      <c r="BW499" s="618"/>
      <c r="BX499" s="644"/>
      <c r="BY499" s="644"/>
    </row>
    <row r="500" ht="25.5" customHeight="1">
      <c r="A500" s="635"/>
      <c r="B500" s="695"/>
      <c r="C500" s="642"/>
      <c r="D500" s="642"/>
      <c r="E500" s="696"/>
      <c r="F500" s="696"/>
      <c r="G500" s="621"/>
      <c r="H500" s="577"/>
      <c r="I500" s="577"/>
      <c r="J500" s="613"/>
      <c r="K500" s="581"/>
      <c r="L500" s="581"/>
      <c r="M500" s="613"/>
      <c r="N500" s="613"/>
      <c r="O500" s="613"/>
      <c r="P500" s="580"/>
      <c r="Q500" s="580"/>
      <c r="R500" s="581"/>
      <c r="S500" s="581"/>
      <c r="T500" s="581"/>
      <c r="U500" s="582"/>
      <c r="V500" s="614"/>
      <c r="W500" s="581"/>
      <c r="X500" s="615"/>
      <c r="Y500" s="613"/>
      <c r="Z500" s="580"/>
      <c r="AA500" s="634"/>
      <c r="AB500" s="577"/>
      <c r="AC500" s="673"/>
      <c r="AD500" s="634"/>
      <c r="AE500" s="587"/>
      <c r="AF500" s="587"/>
      <c r="AG500" s="582"/>
      <c r="AH500" s="582"/>
      <c r="AI500" s="582"/>
      <c r="AJ500" s="582"/>
      <c r="AK500" s="588"/>
      <c r="AL500" s="582"/>
      <c r="AM500" s="587"/>
      <c r="AN500" s="589"/>
      <c r="AO500" s="616"/>
      <c r="AP500" s="592"/>
      <c r="AQ500" s="358"/>
      <c r="AR500" s="592"/>
      <c r="AS500" s="592"/>
      <c r="AT500" s="592"/>
      <c r="AU500" s="592"/>
      <c r="AV500" s="592"/>
      <c r="AW500" s="592"/>
      <c r="AX500" s="592"/>
      <c r="AY500" s="592"/>
      <c r="AZ500" s="592"/>
      <c r="BA500" s="617"/>
      <c r="BB500" s="592"/>
      <c r="BC500" s="592"/>
      <c r="BD500" s="592"/>
      <c r="BE500" s="592"/>
      <c r="BF500" s="592"/>
      <c r="BG500" s="358"/>
      <c r="BH500" s="592"/>
      <c r="BI500" s="592"/>
      <c r="BJ500" s="592"/>
      <c r="BK500" s="592"/>
      <c r="BL500" s="592"/>
      <c r="BM500" s="592"/>
      <c r="BN500" s="592"/>
      <c r="BO500" s="592"/>
      <c r="BP500" s="592"/>
      <c r="BQ500" s="594"/>
      <c r="BR500" s="594"/>
      <c r="BS500" s="394"/>
      <c r="BT500" s="594"/>
      <c r="BU500" s="594"/>
      <c r="BV500" s="594"/>
      <c r="BW500" s="618"/>
      <c r="BX500" s="644"/>
      <c r="BY500" s="644"/>
    </row>
    <row r="501" ht="25.5" customHeight="1">
      <c r="A501" s="635"/>
      <c r="B501" s="695"/>
      <c r="C501" s="642"/>
      <c r="D501" s="642"/>
      <c r="E501" s="696"/>
      <c r="F501" s="696"/>
      <c r="G501" s="621"/>
      <c r="H501" s="577"/>
      <c r="I501" s="577"/>
      <c r="J501" s="613"/>
      <c r="K501" s="581"/>
      <c r="L501" s="581"/>
      <c r="M501" s="613"/>
      <c r="N501" s="613"/>
      <c r="O501" s="613"/>
      <c r="P501" s="580"/>
      <c r="Q501" s="580"/>
      <c r="R501" s="581"/>
      <c r="S501" s="581"/>
      <c r="T501" s="581"/>
      <c r="U501" s="582"/>
      <c r="V501" s="614"/>
      <c r="W501" s="581"/>
      <c r="X501" s="615"/>
      <c r="Y501" s="613"/>
      <c r="Z501" s="580"/>
      <c r="AA501" s="634"/>
      <c r="AB501" s="577"/>
      <c r="AC501" s="673"/>
      <c r="AD501" s="634"/>
      <c r="AE501" s="587"/>
      <c r="AF501" s="587"/>
      <c r="AG501" s="582"/>
      <c r="AH501" s="582"/>
      <c r="AI501" s="582"/>
      <c r="AJ501" s="582"/>
      <c r="AK501" s="588"/>
      <c r="AL501" s="582"/>
      <c r="AM501" s="587"/>
      <c r="AN501" s="589"/>
      <c r="AO501" s="616"/>
      <c r="AP501" s="592"/>
      <c r="AQ501" s="358"/>
      <c r="AR501" s="592"/>
      <c r="AS501" s="592"/>
      <c r="AT501" s="592"/>
      <c r="AU501" s="592"/>
      <c r="AV501" s="592"/>
      <c r="AW501" s="592"/>
      <c r="AX501" s="592"/>
      <c r="AY501" s="592"/>
      <c r="AZ501" s="592"/>
      <c r="BA501" s="617"/>
      <c r="BB501" s="592"/>
      <c r="BC501" s="592"/>
      <c r="BD501" s="592"/>
      <c r="BE501" s="592"/>
      <c r="BF501" s="592"/>
      <c r="BG501" s="358"/>
      <c r="BH501" s="592"/>
      <c r="BI501" s="592"/>
      <c r="BJ501" s="592"/>
      <c r="BK501" s="592"/>
      <c r="BL501" s="592"/>
      <c r="BM501" s="592"/>
      <c r="BN501" s="592"/>
      <c r="BO501" s="592"/>
      <c r="BP501" s="592"/>
      <c r="BQ501" s="594"/>
      <c r="BR501" s="594"/>
      <c r="BS501" s="394"/>
      <c r="BT501" s="594"/>
      <c r="BU501" s="594"/>
      <c r="BV501" s="594"/>
      <c r="BW501" s="618"/>
      <c r="BX501" s="644"/>
      <c r="BY501" s="644"/>
    </row>
    <row r="502" ht="25.5" customHeight="1">
      <c r="A502" s="635"/>
      <c r="B502" s="695"/>
      <c r="C502" s="642"/>
      <c r="D502" s="642"/>
      <c r="E502" s="696"/>
      <c r="F502" s="696"/>
      <c r="G502" s="621"/>
      <c r="H502" s="577"/>
      <c r="I502" s="577"/>
      <c r="J502" s="613"/>
      <c r="K502" s="581"/>
      <c r="L502" s="581"/>
      <c r="M502" s="613"/>
      <c r="N502" s="613"/>
      <c r="O502" s="613"/>
      <c r="P502" s="580"/>
      <c r="Q502" s="580"/>
      <c r="R502" s="581"/>
      <c r="S502" s="581"/>
      <c r="T502" s="581"/>
      <c r="U502" s="582"/>
      <c r="V502" s="614"/>
      <c r="W502" s="581"/>
      <c r="X502" s="615"/>
      <c r="Y502" s="613"/>
      <c r="Z502" s="580"/>
      <c r="AA502" s="634"/>
      <c r="AB502" s="577"/>
      <c r="AC502" s="673"/>
      <c r="AD502" s="634"/>
      <c r="AE502" s="587"/>
      <c r="AF502" s="587"/>
      <c r="AG502" s="582"/>
      <c r="AH502" s="582"/>
      <c r="AI502" s="582"/>
      <c r="AJ502" s="582"/>
      <c r="AK502" s="588"/>
      <c r="AL502" s="582"/>
      <c r="AM502" s="587"/>
      <c r="AN502" s="589"/>
      <c r="AO502" s="616"/>
      <c r="AP502" s="592"/>
      <c r="AQ502" s="358"/>
      <c r="AR502" s="592"/>
      <c r="AS502" s="592"/>
      <c r="AT502" s="592"/>
      <c r="AU502" s="592"/>
      <c r="AV502" s="592"/>
      <c r="AW502" s="592"/>
      <c r="AX502" s="592"/>
      <c r="AY502" s="592"/>
      <c r="AZ502" s="592"/>
      <c r="BA502" s="617"/>
      <c r="BB502" s="592"/>
      <c r="BC502" s="592"/>
      <c r="BD502" s="592"/>
      <c r="BE502" s="592"/>
      <c r="BF502" s="592"/>
      <c r="BG502" s="358"/>
      <c r="BH502" s="592"/>
      <c r="BI502" s="592"/>
      <c r="BJ502" s="592"/>
      <c r="BK502" s="592"/>
      <c r="BL502" s="592"/>
      <c r="BM502" s="592"/>
      <c r="BN502" s="592"/>
      <c r="BO502" s="592"/>
      <c r="BP502" s="592"/>
      <c r="BQ502" s="594"/>
      <c r="BR502" s="594"/>
      <c r="BS502" s="394"/>
      <c r="BT502" s="594"/>
      <c r="BU502" s="594"/>
      <c r="BV502" s="594"/>
      <c r="BW502" s="618"/>
      <c r="BX502" s="644"/>
      <c r="BY502" s="644"/>
    </row>
    <row r="503" ht="25.5" customHeight="1">
      <c r="A503" s="635"/>
      <c r="B503" s="695"/>
      <c r="C503" s="642"/>
      <c r="D503" s="642"/>
      <c r="E503" s="696"/>
      <c r="F503" s="696"/>
      <c r="G503" s="621"/>
      <c r="H503" s="577"/>
      <c r="I503" s="577"/>
      <c r="J503" s="613"/>
      <c r="K503" s="581"/>
      <c r="L503" s="581"/>
      <c r="M503" s="613"/>
      <c r="N503" s="613"/>
      <c r="O503" s="613"/>
      <c r="P503" s="580"/>
      <c r="Q503" s="580"/>
      <c r="R503" s="581"/>
      <c r="S503" s="581"/>
      <c r="T503" s="581"/>
      <c r="U503" s="582"/>
      <c r="V503" s="614"/>
      <c r="W503" s="581"/>
      <c r="X503" s="615"/>
      <c r="Y503" s="613"/>
      <c r="Z503" s="580"/>
      <c r="AA503" s="634"/>
      <c r="AB503" s="577"/>
      <c r="AC503" s="673"/>
      <c r="AD503" s="634"/>
      <c r="AE503" s="587"/>
      <c r="AF503" s="587"/>
      <c r="AG503" s="582"/>
      <c r="AH503" s="582"/>
      <c r="AI503" s="582"/>
      <c r="AJ503" s="582"/>
      <c r="AK503" s="588"/>
      <c r="AL503" s="582"/>
      <c r="AM503" s="587"/>
      <c r="AN503" s="589"/>
      <c r="AO503" s="616"/>
      <c r="AP503" s="592"/>
      <c r="AQ503" s="358"/>
      <c r="AR503" s="592"/>
      <c r="AS503" s="592"/>
      <c r="AT503" s="592"/>
      <c r="AU503" s="592"/>
      <c r="AV503" s="592"/>
      <c r="AW503" s="592"/>
      <c r="AX503" s="592"/>
      <c r="AY503" s="592"/>
      <c r="AZ503" s="592"/>
      <c r="BA503" s="617"/>
      <c r="BB503" s="592"/>
      <c r="BC503" s="592"/>
      <c r="BD503" s="592"/>
      <c r="BE503" s="592"/>
      <c r="BF503" s="592"/>
      <c r="BG503" s="358"/>
      <c r="BH503" s="592"/>
      <c r="BI503" s="592"/>
      <c r="BJ503" s="592"/>
      <c r="BK503" s="592"/>
      <c r="BL503" s="592"/>
      <c r="BM503" s="592"/>
      <c r="BN503" s="592"/>
      <c r="BO503" s="592"/>
      <c r="BP503" s="592"/>
      <c r="BQ503" s="594"/>
      <c r="BR503" s="594"/>
      <c r="BS503" s="394"/>
      <c r="BT503" s="594"/>
      <c r="BU503" s="594"/>
      <c r="BV503" s="594"/>
      <c r="BW503" s="618"/>
      <c r="BX503" s="644"/>
      <c r="BY503" s="644"/>
    </row>
    <row r="504" ht="25.5" customHeight="1">
      <c r="A504" s="635"/>
      <c r="B504" s="695"/>
      <c r="C504" s="642"/>
      <c r="D504" s="642"/>
      <c r="E504" s="696"/>
      <c r="F504" s="696"/>
      <c r="G504" s="621"/>
      <c r="H504" s="577"/>
      <c r="I504" s="577"/>
      <c r="J504" s="613"/>
      <c r="K504" s="581"/>
      <c r="L504" s="581"/>
      <c r="M504" s="613"/>
      <c r="N504" s="613"/>
      <c r="O504" s="613"/>
      <c r="P504" s="580"/>
      <c r="Q504" s="580"/>
      <c r="R504" s="581"/>
      <c r="S504" s="581"/>
      <c r="T504" s="581"/>
      <c r="U504" s="582"/>
      <c r="V504" s="614"/>
      <c r="W504" s="581"/>
      <c r="X504" s="615"/>
      <c r="Y504" s="613"/>
      <c r="Z504" s="580"/>
      <c r="AA504" s="634"/>
      <c r="AB504" s="577"/>
      <c r="AC504" s="673"/>
      <c r="AD504" s="634"/>
      <c r="AE504" s="587"/>
      <c r="AF504" s="587"/>
      <c r="AG504" s="582"/>
      <c r="AH504" s="582"/>
      <c r="AI504" s="582"/>
      <c r="AJ504" s="582"/>
      <c r="AK504" s="588"/>
      <c r="AL504" s="582"/>
      <c r="AM504" s="587"/>
      <c r="AN504" s="589"/>
      <c r="AO504" s="616"/>
      <c r="AP504" s="592"/>
      <c r="AQ504" s="358"/>
      <c r="AR504" s="592"/>
      <c r="AS504" s="592"/>
      <c r="AT504" s="592"/>
      <c r="AU504" s="592"/>
      <c r="AV504" s="592"/>
      <c r="AW504" s="592"/>
      <c r="AX504" s="592"/>
      <c r="AY504" s="592"/>
      <c r="AZ504" s="592"/>
      <c r="BA504" s="617"/>
      <c r="BB504" s="592"/>
      <c r="BC504" s="592"/>
      <c r="BD504" s="592"/>
      <c r="BE504" s="592"/>
      <c r="BF504" s="592"/>
      <c r="BG504" s="358"/>
      <c r="BH504" s="592"/>
      <c r="BI504" s="592"/>
      <c r="BJ504" s="592"/>
      <c r="BK504" s="592"/>
      <c r="BL504" s="592"/>
      <c r="BM504" s="592"/>
      <c r="BN504" s="592"/>
      <c r="BO504" s="592"/>
      <c r="BP504" s="592"/>
      <c r="BQ504" s="594"/>
      <c r="BR504" s="594"/>
      <c r="BS504" s="394"/>
      <c r="BT504" s="594"/>
      <c r="BU504" s="594"/>
      <c r="BV504" s="594"/>
      <c r="BW504" s="618"/>
      <c r="BX504" s="644"/>
      <c r="BY504" s="644"/>
    </row>
    <row r="505" ht="25.5" customHeight="1">
      <c r="A505" s="635"/>
      <c r="B505" s="695"/>
      <c r="C505" s="642"/>
      <c r="D505" s="642"/>
      <c r="E505" s="696"/>
      <c r="F505" s="696"/>
      <c r="G505" s="621"/>
      <c r="H505" s="577"/>
      <c r="I505" s="577"/>
      <c r="J505" s="613"/>
      <c r="K505" s="581"/>
      <c r="L505" s="581"/>
      <c r="M505" s="613"/>
      <c r="N505" s="613"/>
      <c r="O505" s="613"/>
      <c r="P505" s="580"/>
      <c r="Q505" s="580"/>
      <c r="R505" s="581"/>
      <c r="S505" s="581"/>
      <c r="T505" s="581"/>
      <c r="U505" s="582"/>
      <c r="V505" s="614"/>
      <c r="W505" s="581"/>
      <c r="X505" s="615"/>
      <c r="Y505" s="613"/>
      <c r="Z505" s="580"/>
      <c r="AA505" s="634"/>
      <c r="AB505" s="577"/>
      <c r="AC505" s="673"/>
      <c r="AD505" s="634"/>
      <c r="AE505" s="587"/>
      <c r="AF505" s="587"/>
      <c r="AG505" s="582"/>
      <c r="AH505" s="582"/>
      <c r="AI505" s="582"/>
      <c r="AJ505" s="582"/>
      <c r="AK505" s="588"/>
      <c r="AL505" s="582"/>
      <c r="AM505" s="587"/>
      <c r="AN505" s="589"/>
      <c r="AO505" s="616"/>
      <c r="AP505" s="592"/>
      <c r="AQ505" s="358"/>
      <c r="AR505" s="592"/>
      <c r="AS505" s="592"/>
      <c r="AT505" s="592"/>
      <c r="AU505" s="592"/>
      <c r="AV505" s="592"/>
      <c r="AW505" s="592"/>
      <c r="AX505" s="592"/>
      <c r="AY505" s="592"/>
      <c r="AZ505" s="592"/>
      <c r="BA505" s="617"/>
      <c r="BB505" s="592"/>
      <c r="BC505" s="592"/>
      <c r="BD505" s="592"/>
      <c r="BE505" s="592"/>
      <c r="BF505" s="592"/>
      <c r="BG505" s="358"/>
      <c r="BH505" s="592"/>
      <c r="BI505" s="592"/>
      <c r="BJ505" s="592"/>
      <c r="BK505" s="592"/>
      <c r="BL505" s="592"/>
      <c r="BM505" s="592"/>
      <c r="BN505" s="592"/>
      <c r="BO505" s="592"/>
      <c r="BP505" s="592"/>
      <c r="BQ505" s="594"/>
      <c r="BR505" s="594"/>
      <c r="BS505" s="394"/>
      <c r="BT505" s="594"/>
      <c r="BU505" s="594"/>
      <c r="BV505" s="594"/>
      <c r="BW505" s="618"/>
      <c r="BX505" s="644"/>
      <c r="BY505" s="644"/>
    </row>
    <row r="506" ht="25.5" customHeight="1">
      <c r="A506" s="635"/>
      <c r="B506" s="695"/>
      <c r="C506" s="642"/>
      <c r="D506" s="642"/>
      <c r="E506" s="696"/>
      <c r="F506" s="696"/>
      <c r="G506" s="621"/>
      <c r="H506" s="577"/>
      <c r="I506" s="577"/>
      <c r="J506" s="613"/>
      <c r="K506" s="581"/>
      <c r="L506" s="581"/>
      <c r="M506" s="613"/>
      <c r="N506" s="613"/>
      <c r="O506" s="613"/>
      <c r="P506" s="580"/>
      <c r="Q506" s="580"/>
      <c r="R506" s="581"/>
      <c r="S506" s="581"/>
      <c r="T506" s="581"/>
      <c r="U506" s="582"/>
      <c r="V506" s="614"/>
      <c r="W506" s="581"/>
      <c r="X506" s="615"/>
      <c r="Y506" s="613"/>
      <c r="Z506" s="580"/>
      <c r="AA506" s="634"/>
      <c r="AB506" s="577"/>
      <c r="AC506" s="673"/>
      <c r="AD506" s="634"/>
      <c r="AE506" s="587"/>
      <c r="AF506" s="587"/>
      <c r="AG506" s="582"/>
      <c r="AH506" s="582"/>
      <c r="AI506" s="582"/>
      <c r="AJ506" s="582"/>
      <c r="AK506" s="588"/>
      <c r="AL506" s="582"/>
      <c r="AM506" s="587"/>
      <c r="AN506" s="589"/>
      <c r="AO506" s="616"/>
      <c r="AP506" s="592"/>
      <c r="AQ506" s="358"/>
      <c r="AR506" s="592"/>
      <c r="AS506" s="592"/>
      <c r="AT506" s="592"/>
      <c r="AU506" s="592"/>
      <c r="AV506" s="592"/>
      <c r="AW506" s="592"/>
      <c r="AX506" s="592"/>
      <c r="AY506" s="592"/>
      <c r="AZ506" s="592"/>
      <c r="BA506" s="617"/>
      <c r="BB506" s="592"/>
      <c r="BC506" s="592"/>
      <c r="BD506" s="592"/>
      <c r="BE506" s="592"/>
      <c r="BF506" s="592"/>
      <c r="BG506" s="358"/>
      <c r="BH506" s="592"/>
      <c r="BI506" s="592"/>
      <c r="BJ506" s="592"/>
      <c r="BK506" s="592"/>
      <c r="BL506" s="592"/>
      <c r="BM506" s="592"/>
      <c r="BN506" s="592"/>
      <c r="BO506" s="592"/>
      <c r="BP506" s="592"/>
      <c r="BQ506" s="594"/>
      <c r="BR506" s="594"/>
      <c r="BS506" s="394"/>
      <c r="BT506" s="594"/>
      <c r="BU506" s="594"/>
      <c r="BV506" s="594"/>
      <c r="BW506" s="618"/>
      <c r="BX506" s="644"/>
      <c r="BY506" s="644"/>
    </row>
    <row r="507" ht="25.5" customHeight="1">
      <c r="A507" s="635"/>
      <c r="B507" s="695"/>
      <c r="C507" s="642"/>
      <c r="D507" s="642"/>
      <c r="E507" s="696"/>
      <c r="F507" s="696"/>
      <c r="G507" s="621"/>
      <c r="H507" s="577"/>
      <c r="I507" s="577"/>
      <c r="J507" s="613"/>
      <c r="K507" s="581"/>
      <c r="L507" s="581"/>
      <c r="M507" s="613"/>
      <c r="N507" s="613"/>
      <c r="O507" s="613"/>
      <c r="P507" s="580"/>
      <c r="Q507" s="580"/>
      <c r="R507" s="581"/>
      <c r="S507" s="581"/>
      <c r="T507" s="581"/>
      <c r="U507" s="582"/>
      <c r="V507" s="614"/>
      <c r="W507" s="581"/>
      <c r="X507" s="615"/>
      <c r="Y507" s="613"/>
      <c r="Z507" s="580"/>
      <c r="AA507" s="634"/>
      <c r="AB507" s="577"/>
      <c r="AC507" s="673"/>
      <c r="AD507" s="634"/>
      <c r="AE507" s="587"/>
      <c r="AF507" s="587"/>
      <c r="AG507" s="582"/>
      <c r="AH507" s="582"/>
      <c r="AI507" s="582"/>
      <c r="AJ507" s="582"/>
      <c r="AK507" s="588"/>
      <c r="AL507" s="582"/>
      <c r="AM507" s="587"/>
      <c r="AN507" s="589"/>
      <c r="AO507" s="616"/>
      <c r="AP507" s="592"/>
      <c r="AQ507" s="358"/>
      <c r="AR507" s="592"/>
      <c r="AS507" s="592"/>
      <c r="AT507" s="592"/>
      <c r="AU507" s="592"/>
      <c r="AV507" s="592"/>
      <c r="AW507" s="592"/>
      <c r="AX507" s="592"/>
      <c r="AY507" s="592"/>
      <c r="AZ507" s="592"/>
      <c r="BA507" s="617"/>
      <c r="BB507" s="592"/>
      <c r="BC507" s="592"/>
      <c r="BD507" s="592"/>
      <c r="BE507" s="592"/>
      <c r="BF507" s="592"/>
      <c r="BG507" s="358"/>
      <c r="BH507" s="592"/>
      <c r="BI507" s="592"/>
      <c r="BJ507" s="592"/>
      <c r="BK507" s="592"/>
      <c r="BL507" s="592"/>
      <c r="BM507" s="592"/>
      <c r="BN507" s="592"/>
      <c r="BO507" s="592"/>
      <c r="BP507" s="592"/>
      <c r="BQ507" s="594"/>
      <c r="BR507" s="594"/>
      <c r="BS507" s="394"/>
      <c r="BT507" s="594"/>
      <c r="BU507" s="594"/>
      <c r="BV507" s="594"/>
      <c r="BW507" s="618"/>
      <c r="BX507" s="644"/>
      <c r="BY507" s="644"/>
    </row>
    <row r="508" ht="25.5" customHeight="1">
      <c r="A508" s="635"/>
      <c r="B508" s="695"/>
      <c r="C508" s="642"/>
      <c r="D508" s="642"/>
      <c r="E508" s="696"/>
      <c r="F508" s="696"/>
      <c r="G508" s="621"/>
      <c r="H508" s="577"/>
      <c r="I508" s="577"/>
      <c r="J508" s="613"/>
      <c r="K508" s="581"/>
      <c r="L508" s="581"/>
      <c r="M508" s="613"/>
      <c r="N508" s="613"/>
      <c r="O508" s="613"/>
      <c r="P508" s="580"/>
      <c r="Q508" s="580"/>
      <c r="R508" s="581"/>
      <c r="S508" s="581"/>
      <c r="T508" s="581"/>
      <c r="U508" s="582"/>
      <c r="V508" s="614"/>
      <c r="W508" s="581"/>
      <c r="X508" s="615"/>
      <c r="Y508" s="613"/>
      <c r="Z508" s="580"/>
      <c r="AA508" s="634"/>
      <c r="AB508" s="577"/>
      <c r="AC508" s="673"/>
      <c r="AD508" s="634"/>
      <c r="AE508" s="587"/>
      <c r="AF508" s="587"/>
      <c r="AG508" s="582"/>
      <c r="AH508" s="582"/>
      <c r="AI508" s="582"/>
      <c r="AJ508" s="582"/>
      <c r="AK508" s="588"/>
      <c r="AL508" s="582"/>
      <c r="AM508" s="587"/>
      <c r="AN508" s="589"/>
      <c r="AO508" s="616"/>
      <c r="AP508" s="592"/>
      <c r="AQ508" s="358"/>
      <c r="AR508" s="592"/>
      <c r="AS508" s="592"/>
      <c r="AT508" s="592"/>
      <c r="AU508" s="592"/>
      <c r="AV508" s="592"/>
      <c r="AW508" s="592"/>
      <c r="AX508" s="592"/>
      <c r="AY508" s="592"/>
      <c r="AZ508" s="592"/>
      <c r="BA508" s="617"/>
      <c r="BB508" s="592"/>
      <c r="BC508" s="592"/>
      <c r="BD508" s="592"/>
      <c r="BE508" s="592"/>
      <c r="BF508" s="592"/>
      <c r="BG508" s="358"/>
      <c r="BH508" s="592"/>
      <c r="BI508" s="592"/>
      <c r="BJ508" s="592"/>
      <c r="BK508" s="592"/>
      <c r="BL508" s="592"/>
      <c r="BM508" s="592"/>
      <c r="BN508" s="592"/>
      <c r="BO508" s="592"/>
      <c r="BP508" s="592"/>
      <c r="BQ508" s="594"/>
      <c r="BR508" s="594"/>
      <c r="BS508" s="394"/>
      <c r="BT508" s="594"/>
      <c r="BU508" s="594"/>
      <c r="BV508" s="594"/>
      <c r="BW508" s="618"/>
      <c r="BX508" s="644"/>
      <c r="BY508" s="644"/>
    </row>
    <row r="509" ht="25.5" customHeight="1">
      <c r="A509" s="635"/>
      <c r="B509" s="695"/>
      <c r="C509" s="642"/>
      <c r="D509" s="642"/>
      <c r="E509" s="696"/>
      <c r="F509" s="696"/>
      <c r="G509" s="621"/>
      <c r="H509" s="577"/>
      <c r="I509" s="577"/>
      <c r="J509" s="613"/>
      <c r="K509" s="581"/>
      <c r="L509" s="581"/>
      <c r="M509" s="613"/>
      <c r="N509" s="613"/>
      <c r="O509" s="613"/>
      <c r="P509" s="580"/>
      <c r="Q509" s="580"/>
      <c r="R509" s="581"/>
      <c r="S509" s="581"/>
      <c r="T509" s="581"/>
      <c r="U509" s="582"/>
      <c r="V509" s="614"/>
      <c r="W509" s="581"/>
      <c r="X509" s="615"/>
      <c r="Y509" s="613"/>
      <c r="Z509" s="580"/>
      <c r="AA509" s="634"/>
      <c r="AB509" s="577"/>
      <c r="AC509" s="673"/>
      <c r="AD509" s="634"/>
      <c r="AE509" s="587"/>
      <c r="AF509" s="587"/>
      <c r="AG509" s="582"/>
      <c r="AH509" s="582"/>
      <c r="AI509" s="582"/>
      <c r="AJ509" s="582"/>
      <c r="AK509" s="588"/>
      <c r="AL509" s="582"/>
      <c r="AM509" s="587"/>
      <c r="AN509" s="589"/>
      <c r="AO509" s="616"/>
      <c r="AP509" s="592"/>
      <c r="AQ509" s="358"/>
      <c r="AR509" s="592"/>
      <c r="AS509" s="592"/>
      <c r="AT509" s="592"/>
      <c r="AU509" s="592"/>
      <c r="AV509" s="592"/>
      <c r="AW509" s="592"/>
      <c r="AX509" s="592"/>
      <c r="AY509" s="592"/>
      <c r="AZ509" s="592"/>
      <c r="BA509" s="617"/>
      <c r="BB509" s="592"/>
      <c r="BC509" s="592"/>
      <c r="BD509" s="592"/>
      <c r="BE509" s="592"/>
      <c r="BF509" s="592"/>
      <c r="BG509" s="358"/>
      <c r="BH509" s="592"/>
      <c r="BI509" s="592"/>
      <c r="BJ509" s="592"/>
      <c r="BK509" s="592"/>
      <c r="BL509" s="592"/>
      <c r="BM509" s="592"/>
      <c r="BN509" s="592"/>
      <c r="BO509" s="592"/>
      <c r="BP509" s="592"/>
      <c r="BQ509" s="594"/>
      <c r="BR509" s="594"/>
      <c r="BS509" s="394"/>
      <c r="BT509" s="594"/>
      <c r="BU509" s="594"/>
      <c r="BV509" s="594"/>
      <c r="BW509" s="618"/>
      <c r="BX509" s="644"/>
      <c r="BY509" s="644"/>
    </row>
    <row r="510" ht="25.5" customHeight="1">
      <c r="A510" s="635"/>
      <c r="B510" s="695"/>
      <c r="C510" s="642"/>
      <c r="D510" s="642"/>
      <c r="E510" s="696"/>
      <c r="F510" s="696"/>
      <c r="G510" s="621"/>
      <c r="H510" s="577"/>
      <c r="I510" s="577"/>
      <c r="J510" s="613"/>
      <c r="K510" s="581"/>
      <c r="L510" s="581"/>
      <c r="M510" s="613"/>
      <c r="N510" s="613"/>
      <c r="O510" s="613"/>
      <c r="P510" s="580"/>
      <c r="Q510" s="580"/>
      <c r="R510" s="581"/>
      <c r="S510" s="581"/>
      <c r="T510" s="581"/>
      <c r="U510" s="582"/>
      <c r="V510" s="614"/>
      <c r="W510" s="581"/>
      <c r="X510" s="615"/>
      <c r="Y510" s="613"/>
      <c r="Z510" s="580"/>
      <c r="AA510" s="634"/>
      <c r="AB510" s="577"/>
      <c r="AC510" s="673"/>
      <c r="AD510" s="634"/>
      <c r="AE510" s="587"/>
      <c r="AF510" s="587"/>
      <c r="AG510" s="582"/>
      <c r="AH510" s="582"/>
      <c r="AI510" s="582"/>
      <c r="AJ510" s="582"/>
      <c r="AK510" s="588"/>
      <c r="AL510" s="582"/>
      <c r="AM510" s="587"/>
      <c r="AN510" s="589"/>
      <c r="AO510" s="616"/>
      <c r="AP510" s="592"/>
      <c r="AQ510" s="358"/>
      <c r="AR510" s="592"/>
      <c r="AS510" s="592"/>
      <c r="AT510" s="592"/>
      <c r="AU510" s="592"/>
      <c r="AV510" s="592"/>
      <c r="AW510" s="592"/>
      <c r="AX510" s="592"/>
      <c r="AY510" s="592"/>
      <c r="AZ510" s="592"/>
      <c r="BA510" s="617"/>
      <c r="BB510" s="592"/>
      <c r="BC510" s="592"/>
      <c r="BD510" s="592"/>
      <c r="BE510" s="592"/>
      <c r="BF510" s="592"/>
      <c r="BG510" s="358"/>
      <c r="BH510" s="592"/>
      <c r="BI510" s="592"/>
      <c r="BJ510" s="592"/>
      <c r="BK510" s="592"/>
      <c r="BL510" s="592"/>
      <c r="BM510" s="592"/>
      <c r="BN510" s="592"/>
      <c r="BO510" s="592"/>
      <c r="BP510" s="592"/>
      <c r="BQ510" s="594"/>
      <c r="BR510" s="594"/>
      <c r="BS510" s="394"/>
      <c r="BT510" s="594"/>
      <c r="BU510" s="594"/>
      <c r="BV510" s="594"/>
      <c r="BW510" s="618"/>
      <c r="BX510" s="644"/>
      <c r="BY510" s="644"/>
    </row>
    <row r="511" ht="25.5" customHeight="1">
      <c r="A511" s="635"/>
      <c r="B511" s="695"/>
      <c r="C511" s="642"/>
      <c r="D511" s="642"/>
      <c r="E511" s="696"/>
      <c r="F511" s="696"/>
      <c r="G511" s="621"/>
      <c r="H511" s="577"/>
      <c r="I511" s="577"/>
      <c r="J511" s="613"/>
      <c r="K511" s="581"/>
      <c r="L511" s="581"/>
      <c r="M511" s="613"/>
      <c r="N511" s="613"/>
      <c r="O511" s="613"/>
      <c r="P511" s="580"/>
      <c r="Q511" s="580"/>
      <c r="R511" s="581"/>
      <c r="S511" s="581"/>
      <c r="T511" s="581"/>
      <c r="U511" s="582"/>
      <c r="V511" s="614"/>
      <c r="W511" s="581"/>
      <c r="X511" s="615"/>
      <c r="Y511" s="613"/>
      <c r="Z511" s="580"/>
      <c r="AA511" s="634"/>
      <c r="AB511" s="577"/>
      <c r="AC511" s="673"/>
      <c r="AD511" s="634"/>
      <c r="AE511" s="587"/>
      <c r="AF511" s="587"/>
      <c r="AG511" s="582"/>
      <c r="AH511" s="582"/>
      <c r="AI511" s="582"/>
      <c r="AJ511" s="582"/>
      <c r="AK511" s="588"/>
      <c r="AL511" s="582"/>
      <c r="AM511" s="587"/>
      <c r="AN511" s="589"/>
      <c r="AO511" s="616"/>
      <c r="AP511" s="592"/>
      <c r="AQ511" s="358"/>
      <c r="AR511" s="592"/>
      <c r="AS511" s="592"/>
      <c r="AT511" s="592"/>
      <c r="AU511" s="592"/>
      <c r="AV511" s="592"/>
      <c r="AW511" s="592"/>
      <c r="AX511" s="592"/>
      <c r="AY511" s="592"/>
      <c r="AZ511" s="592"/>
      <c r="BA511" s="617"/>
      <c r="BB511" s="592"/>
      <c r="BC511" s="592"/>
      <c r="BD511" s="592"/>
      <c r="BE511" s="592"/>
      <c r="BF511" s="592"/>
      <c r="BG511" s="358"/>
      <c r="BH511" s="592"/>
      <c r="BI511" s="592"/>
      <c r="BJ511" s="592"/>
      <c r="BK511" s="592"/>
      <c r="BL511" s="592"/>
      <c r="BM511" s="592"/>
      <c r="BN511" s="592"/>
      <c r="BO511" s="592"/>
      <c r="BP511" s="592"/>
      <c r="BQ511" s="594"/>
      <c r="BR511" s="594"/>
      <c r="BS511" s="394"/>
      <c r="BT511" s="594"/>
      <c r="BU511" s="594"/>
      <c r="BV511" s="594"/>
      <c r="BW511" s="618"/>
      <c r="BX511" s="644"/>
      <c r="BY511" s="644"/>
    </row>
    <row r="512" ht="25.5" customHeight="1">
      <c r="A512" s="635"/>
      <c r="B512" s="695"/>
      <c r="C512" s="642"/>
      <c r="D512" s="642"/>
      <c r="E512" s="696"/>
      <c r="F512" s="696"/>
      <c r="G512" s="621"/>
      <c r="H512" s="577"/>
      <c r="I512" s="577"/>
      <c r="J512" s="613"/>
      <c r="K512" s="581"/>
      <c r="L512" s="581"/>
      <c r="M512" s="613"/>
      <c r="N512" s="613"/>
      <c r="O512" s="613"/>
      <c r="P512" s="580"/>
      <c r="Q512" s="580"/>
      <c r="R512" s="581"/>
      <c r="S512" s="581"/>
      <c r="T512" s="581"/>
      <c r="U512" s="582"/>
      <c r="V512" s="614"/>
      <c r="W512" s="581"/>
      <c r="X512" s="615"/>
      <c r="Y512" s="613"/>
      <c r="Z512" s="580"/>
      <c r="AA512" s="634"/>
      <c r="AB512" s="577"/>
      <c r="AC512" s="673"/>
      <c r="AD512" s="634"/>
      <c r="AE512" s="587"/>
      <c r="AF512" s="587"/>
      <c r="AG512" s="582"/>
      <c r="AH512" s="582"/>
      <c r="AI512" s="582"/>
      <c r="AJ512" s="582"/>
      <c r="AK512" s="588"/>
      <c r="AL512" s="582"/>
      <c r="AM512" s="587"/>
      <c r="AN512" s="589"/>
      <c r="AO512" s="616"/>
      <c r="AP512" s="592"/>
      <c r="AQ512" s="358"/>
      <c r="AR512" s="592"/>
      <c r="AS512" s="592"/>
      <c r="AT512" s="592"/>
      <c r="AU512" s="592"/>
      <c r="AV512" s="592"/>
      <c r="AW512" s="592"/>
      <c r="AX512" s="592"/>
      <c r="AY512" s="592"/>
      <c r="AZ512" s="592"/>
      <c r="BA512" s="617"/>
      <c r="BB512" s="592"/>
      <c r="BC512" s="592"/>
      <c r="BD512" s="592"/>
      <c r="BE512" s="592"/>
      <c r="BF512" s="592"/>
      <c r="BG512" s="358"/>
      <c r="BH512" s="592"/>
      <c r="BI512" s="592"/>
      <c r="BJ512" s="592"/>
      <c r="BK512" s="592"/>
      <c r="BL512" s="592"/>
      <c r="BM512" s="592"/>
      <c r="BN512" s="592"/>
      <c r="BO512" s="592"/>
      <c r="BP512" s="592"/>
      <c r="BQ512" s="594"/>
      <c r="BR512" s="594"/>
      <c r="BS512" s="394"/>
      <c r="BT512" s="594"/>
      <c r="BU512" s="594"/>
      <c r="BV512" s="594"/>
      <c r="BW512" s="618"/>
      <c r="BX512" s="644"/>
      <c r="BY512" s="644"/>
    </row>
    <row r="513" ht="25.5" customHeight="1">
      <c r="A513" s="635"/>
      <c r="B513" s="695"/>
      <c r="C513" s="642"/>
      <c r="D513" s="642"/>
      <c r="E513" s="696"/>
      <c r="F513" s="696"/>
      <c r="G513" s="621"/>
      <c r="H513" s="577"/>
      <c r="I513" s="577"/>
      <c r="J513" s="613"/>
      <c r="K513" s="581"/>
      <c r="L513" s="581"/>
      <c r="M513" s="613"/>
      <c r="N513" s="613"/>
      <c r="O513" s="613"/>
      <c r="P513" s="580"/>
      <c r="Q513" s="580"/>
      <c r="R513" s="581"/>
      <c r="S513" s="581"/>
      <c r="T513" s="581"/>
      <c r="U513" s="582"/>
      <c r="V513" s="614"/>
      <c r="W513" s="581"/>
      <c r="X513" s="615"/>
      <c r="Y513" s="613"/>
      <c r="Z513" s="580"/>
      <c r="AA513" s="634"/>
      <c r="AB513" s="577"/>
      <c r="AC513" s="673"/>
      <c r="AD513" s="634"/>
      <c r="AE513" s="587"/>
      <c r="AF513" s="587"/>
      <c r="AG513" s="582"/>
      <c r="AH513" s="582"/>
      <c r="AI513" s="582"/>
      <c r="AJ513" s="582"/>
      <c r="AK513" s="588"/>
      <c r="AL513" s="582"/>
      <c r="AM513" s="587"/>
      <c r="AN513" s="589"/>
      <c r="AO513" s="616"/>
      <c r="AP513" s="592"/>
      <c r="AQ513" s="358"/>
      <c r="AR513" s="592"/>
      <c r="AS513" s="592"/>
      <c r="AT513" s="592"/>
      <c r="AU513" s="592"/>
      <c r="AV513" s="592"/>
      <c r="AW513" s="592"/>
      <c r="AX513" s="592"/>
      <c r="AY513" s="592"/>
      <c r="AZ513" s="592"/>
      <c r="BA513" s="617"/>
      <c r="BB513" s="592"/>
      <c r="BC513" s="592"/>
      <c r="BD513" s="592"/>
      <c r="BE513" s="592"/>
      <c r="BF513" s="592"/>
      <c r="BG513" s="358"/>
      <c r="BH513" s="592"/>
      <c r="BI513" s="592"/>
      <c r="BJ513" s="592"/>
      <c r="BK513" s="592"/>
      <c r="BL513" s="592"/>
      <c r="BM513" s="592"/>
      <c r="BN513" s="592"/>
      <c r="BO513" s="592"/>
      <c r="BP513" s="592"/>
      <c r="BQ513" s="594"/>
      <c r="BR513" s="594"/>
      <c r="BS513" s="394"/>
      <c r="BT513" s="594"/>
      <c r="BU513" s="594"/>
      <c r="BV513" s="594"/>
      <c r="BW513" s="618"/>
      <c r="BX513" s="644"/>
      <c r="BY513" s="644"/>
    </row>
    <row r="514" ht="25.5" customHeight="1">
      <c r="A514" s="635"/>
      <c r="B514" s="695"/>
      <c r="C514" s="642"/>
      <c r="D514" s="642"/>
      <c r="E514" s="696"/>
      <c r="F514" s="696"/>
      <c r="G514" s="621"/>
      <c r="H514" s="577"/>
      <c r="I514" s="577"/>
      <c r="J514" s="613"/>
      <c r="K514" s="581"/>
      <c r="L514" s="581"/>
      <c r="M514" s="613"/>
      <c r="N514" s="613"/>
      <c r="O514" s="613"/>
      <c r="P514" s="580"/>
      <c r="Q514" s="580"/>
      <c r="R514" s="581"/>
      <c r="S514" s="581"/>
      <c r="T514" s="581"/>
      <c r="U514" s="582"/>
      <c r="V514" s="614"/>
      <c r="W514" s="581"/>
      <c r="X514" s="615"/>
      <c r="Y514" s="613"/>
      <c r="Z514" s="580"/>
      <c r="AA514" s="634"/>
      <c r="AB514" s="577"/>
      <c r="AC514" s="673"/>
      <c r="AD514" s="634"/>
      <c r="AE514" s="587"/>
      <c r="AF514" s="587"/>
      <c r="AG514" s="582"/>
      <c r="AH514" s="582"/>
      <c r="AI514" s="582"/>
      <c r="AJ514" s="582"/>
      <c r="AK514" s="588"/>
      <c r="AL514" s="582"/>
      <c r="AM514" s="587"/>
      <c r="AN514" s="589"/>
      <c r="AO514" s="616"/>
      <c r="AP514" s="592"/>
      <c r="AQ514" s="358"/>
      <c r="AR514" s="592"/>
      <c r="AS514" s="592"/>
      <c r="AT514" s="592"/>
      <c r="AU514" s="592"/>
      <c r="AV514" s="592"/>
      <c r="AW514" s="592"/>
      <c r="AX514" s="592"/>
      <c r="AY514" s="592"/>
      <c r="AZ514" s="592"/>
      <c r="BA514" s="617"/>
      <c r="BB514" s="592"/>
      <c r="BC514" s="592"/>
      <c r="BD514" s="592"/>
      <c r="BE514" s="592"/>
      <c r="BF514" s="592"/>
      <c r="BG514" s="358"/>
      <c r="BH514" s="592"/>
      <c r="BI514" s="592"/>
      <c r="BJ514" s="592"/>
      <c r="BK514" s="592"/>
      <c r="BL514" s="592"/>
      <c r="BM514" s="592"/>
      <c r="BN514" s="592"/>
      <c r="BO514" s="592"/>
      <c r="BP514" s="592"/>
      <c r="BQ514" s="594"/>
      <c r="BR514" s="594"/>
      <c r="BS514" s="394"/>
      <c r="BT514" s="594"/>
      <c r="BU514" s="594"/>
      <c r="BV514" s="594"/>
      <c r="BW514" s="618"/>
      <c r="BX514" s="644"/>
      <c r="BY514" s="644"/>
    </row>
    <row r="515" ht="25.5" customHeight="1">
      <c r="A515" s="635"/>
      <c r="B515" s="695"/>
      <c r="C515" s="642"/>
      <c r="D515" s="642"/>
      <c r="E515" s="696"/>
      <c r="F515" s="696"/>
      <c r="G515" s="621"/>
      <c r="H515" s="577"/>
      <c r="I515" s="577"/>
      <c r="J515" s="613"/>
      <c r="K515" s="581"/>
      <c r="L515" s="581"/>
      <c r="M515" s="613"/>
      <c r="N515" s="613"/>
      <c r="O515" s="613"/>
      <c r="P515" s="580"/>
      <c r="Q515" s="580"/>
      <c r="R515" s="581"/>
      <c r="S515" s="581"/>
      <c r="T515" s="581"/>
      <c r="U515" s="582"/>
      <c r="V515" s="614"/>
      <c r="W515" s="581"/>
      <c r="X515" s="615"/>
      <c r="Y515" s="613"/>
      <c r="Z515" s="580"/>
      <c r="AA515" s="634"/>
      <c r="AB515" s="577"/>
      <c r="AC515" s="673"/>
      <c r="AD515" s="634"/>
      <c r="AE515" s="587"/>
      <c r="AF515" s="587"/>
      <c r="AG515" s="582"/>
      <c r="AH515" s="582"/>
      <c r="AI515" s="582"/>
      <c r="AJ515" s="582"/>
      <c r="AK515" s="588"/>
      <c r="AL515" s="582"/>
      <c r="AM515" s="587"/>
      <c r="AN515" s="589"/>
      <c r="AO515" s="616"/>
      <c r="AP515" s="592"/>
      <c r="AQ515" s="358"/>
      <c r="AR515" s="592"/>
      <c r="AS515" s="592"/>
      <c r="AT515" s="592"/>
      <c r="AU515" s="592"/>
      <c r="AV515" s="592"/>
      <c r="AW515" s="592"/>
      <c r="AX515" s="592"/>
      <c r="AY515" s="592"/>
      <c r="AZ515" s="592"/>
      <c r="BA515" s="617"/>
      <c r="BB515" s="592"/>
      <c r="BC515" s="592"/>
      <c r="BD515" s="592"/>
      <c r="BE515" s="592"/>
      <c r="BF515" s="592"/>
      <c r="BG515" s="358"/>
      <c r="BH515" s="592"/>
      <c r="BI515" s="592"/>
      <c r="BJ515" s="592"/>
      <c r="BK515" s="592"/>
      <c r="BL515" s="592"/>
      <c r="BM515" s="592"/>
      <c r="BN515" s="592"/>
      <c r="BO515" s="592"/>
      <c r="BP515" s="592"/>
      <c r="BQ515" s="594"/>
      <c r="BR515" s="594"/>
      <c r="BS515" s="394"/>
      <c r="BT515" s="594"/>
      <c r="BU515" s="594"/>
      <c r="BV515" s="594"/>
      <c r="BW515" s="618"/>
      <c r="BX515" s="644"/>
      <c r="BY515" s="644"/>
    </row>
    <row r="516" ht="25.5" customHeight="1">
      <c r="A516" s="635"/>
      <c r="B516" s="695"/>
      <c r="C516" s="642"/>
      <c r="D516" s="642"/>
      <c r="E516" s="696"/>
      <c r="F516" s="696"/>
      <c r="G516" s="621"/>
      <c r="H516" s="577"/>
      <c r="I516" s="577"/>
      <c r="J516" s="613"/>
      <c r="K516" s="581"/>
      <c r="L516" s="581"/>
      <c r="M516" s="613"/>
      <c r="N516" s="613"/>
      <c r="O516" s="613"/>
      <c r="P516" s="580"/>
      <c r="Q516" s="580"/>
      <c r="R516" s="581"/>
      <c r="S516" s="581"/>
      <c r="T516" s="581"/>
      <c r="U516" s="582"/>
      <c r="V516" s="614"/>
      <c r="W516" s="581"/>
      <c r="X516" s="615"/>
      <c r="Y516" s="613"/>
      <c r="Z516" s="580"/>
      <c r="AA516" s="634"/>
      <c r="AB516" s="577"/>
      <c r="AC516" s="673"/>
      <c r="AD516" s="634"/>
      <c r="AE516" s="587"/>
      <c r="AF516" s="587"/>
      <c r="AG516" s="582"/>
      <c r="AH516" s="582"/>
      <c r="AI516" s="582"/>
      <c r="AJ516" s="582"/>
      <c r="AK516" s="588"/>
      <c r="AL516" s="582"/>
      <c r="AM516" s="587"/>
      <c r="AN516" s="589"/>
      <c r="AO516" s="616"/>
      <c r="AP516" s="592"/>
      <c r="AQ516" s="358"/>
      <c r="AR516" s="592"/>
      <c r="AS516" s="592"/>
      <c r="AT516" s="592"/>
      <c r="AU516" s="592"/>
      <c r="AV516" s="592"/>
      <c r="AW516" s="592"/>
      <c r="AX516" s="592"/>
      <c r="AY516" s="592"/>
      <c r="AZ516" s="592"/>
      <c r="BA516" s="617"/>
      <c r="BB516" s="592"/>
      <c r="BC516" s="592"/>
      <c r="BD516" s="592"/>
      <c r="BE516" s="592"/>
      <c r="BF516" s="592"/>
      <c r="BG516" s="358"/>
      <c r="BH516" s="592"/>
      <c r="BI516" s="592"/>
      <c r="BJ516" s="592"/>
      <c r="BK516" s="592"/>
      <c r="BL516" s="592"/>
      <c r="BM516" s="592"/>
      <c r="BN516" s="592"/>
      <c r="BO516" s="592"/>
      <c r="BP516" s="592"/>
      <c r="BQ516" s="594"/>
      <c r="BR516" s="594"/>
      <c r="BS516" s="394"/>
      <c r="BT516" s="594"/>
      <c r="BU516" s="594"/>
      <c r="BV516" s="594"/>
      <c r="BW516" s="618"/>
      <c r="BX516" s="644"/>
      <c r="BY516" s="644"/>
    </row>
    <row r="517" ht="25.5" customHeight="1">
      <c r="A517" s="635"/>
      <c r="B517" s="695"/>
      <c r="C517" s="642"/>
      <c r="D517" s="642"/>
      <c r="E517" s="696"/>
      <c r="F517" s="696"/>
      <c r="G517" s="621"/>
      <c r="H517" s="577"/>
      <c r="I517" s="577"/>
      <c r="J517" s="613"/>
      <c r="K517" s="581"/>
      <c r="L517" s="581"/>
      <c r="M517" s="613"/>
      <c r="N517" s="613"/>
      <c r="O517" s="613"/>
      <c r="P517" s="580"/>
      <c r="Q517" s="580"/>
      <c r="R517" s="581"/>
      <c r="S517" s="581"/>
      <c r="T517" s="581"/>
      <c r="U517" s="582"/>
      <c r="V517" s="614"/>
      <c r="W517" s="581"/>
      <c r="X517" s="615"/>
      <c r="Y517" s="613"/>
      <c r="Z517" s="580"/>
      <c r="AA517" s="634"/>
      <c r="AB517" s="577"/>
      <c r="AC517" s="673"/>
      <c r="AD517" s="634"/>
      <c r="AE517" s="587"/>
      <c r="AF517" s="587"/>
      <c r="AG517" s="582"/>
      <c r="AH517" s="582"/>
      <c r="AI517" s="582"/>
      <c r="AJ517" s="582"/>
      <c r="AK517" s="588"/>
      <c r="AL517" s="582"/>
      <c r="AM517" s="587"/>
      <c r="AN517" s="589"/>
      <c r="AO517" s="616"/>
      <c r="AP517" s="592"/>
      <c r="AQ517" s="358"/>
      <c r="AR517" s="592"/>
      <c r="AS517" s="592"/>
      <c r="AT517" s="592"/>
      <c r="AU517" s="592"/>
      <c r="AV517" s="592"/>
      <c r="AW517" s="592"/>
      <c r="AX517" s="592"/>
      <c r="AY517" s="592"/>
      <c r="AZ517" s="592"/>
      <c r="BA517" s="617"/>
      <c r="BB517" s="592"/>
      <c r="BC517" s="592"/>
      <c r="BD517" s="592"/>
      <c r="BE517" s="592"/>
      <c r="BF517" s="592"/>
      <c r="BG517" s="358"/>
      <c r="BH517" s="592"/>
      <c r="BI517" s="592"/>
      <c r="BJ517" s="592"/>
      <c r="BK517" s="592"/>
      <c r="BL517" s="592"/>
      <c r="BM517" s="592"/>
      <c r="BN517" s="592"/>
      <c r="BO517" s="592"/>
      <c r="BP517" s="592"/>
      <c r="BQ517" s="594"/>
      <c r="BR517" s="594"/>
      <c r="BS517" s="394"/>
      <c r="BT517" s="594"/>
      <c r="BU517" s="594"/>
      <c r="BV517" s="594"/>
      <c r="BW517" s="618"/>
      <c r="BX517" s="644"/>
      <c r="BY517" s="644"/>
    </row>
    <row r="518" ht="25.5" customHeight="1">
      <c r="A518" s="635"/>
      <c r="B518" s="695"/>
      <c r="C518" s="642"/>
      <c r="D518" s="642"/>
      <c r="E518" s="696"/>
      <c r="F518" s="696"/>
      <c r="G518" s="621"/>
      <c r="H518" s="577"/>
      <c r="I518" s="577"/>
      <c r="J518" s="613"/>
      <c r="K518" s="581"/>
      <c r="L518" s="581"/>
      <c r="M518" s="613"/>
      <c r="N518" s="613"/>
      <c r="O518" s="613"/>
      <c r="P518" s="580"/>
      <c r="Q518" s="580"/>
      <c r="R518" s="581"/>
      <c r="S518" s="581"/>
      <c r="T518" s="581"/>
      <c r="U518" s="582"/>
      <c r="V518" s="614"/>
      <c r="W518" s="581"/>
      <c r="X518" s="615"/>
      <c r="Y518" s="613"/>
      <c r="Z518" s="580"/>
      <c r="AA518" s="634"/>
      <c r="AB518" s="577"/>
      <c r="AC518" s="673"/>
      <c r="AD518" s="634"/>
      <c r="AE518" s="587"/>
      <c r="AF518" s="587"/>
      <c r="AG518" s="582"/>
      <c r="AH518" s="582"/>
      <c r="AI518" s="582"/>
      <c r="AJ518" s="582"/>
      <c r="AK518" s="588"/>
      <c r="AL518" s="582"/>
      <c r="AM518" s="587"/>
      <c r="AN518" s="589"/>
      <c r="AO518" s="616"/>
      <c r="AP518" s="592"/>
      <c r="AQ518" s="358"/>
      <c r="AR518" s="592"/>
      <c r="AS518" s="592"/>
      <c r="AT518" s="592"/>
      <c r="AU518" s="592"/>
      <c r="AV518" s="592"/>
      <c r="AW518" s="592"/>
      <c r="AX518" s="592"/>
      <c r="AY518" s="592"/>
      <c r="AZ518" s="592"/>
      <c r="BA518" s="617"/>
      <c r="BB518" s="592"/>
      <c r="BC518" s="592"/>
      <c r="BD518" s="592"/>
      <c r="BE518" s="592"/>
      <c r="BF518" s="592"/>
      <c r="BG518" s="358"/>
      <c r="BH518" s="592"/>
      <c r="BI518" s="592"/>
      <c r="BJ518" s="592"/>
      <c r="BK518" s="592"/>
      <c r="BL518" s="592"/>
      <c r="BM518" s="592"/>
      <c r="BN518" s="592"/>
      <c r="BO518" s="592"/>
      <c r="BP518" s="592"/>
      <c r="BQ518" s="594"/>
      <c r="BR518" s="594"/>
      <c r="BS518" s="394"/>
      <c r="BT518" s="594"/>
      <c r="BU518" s="594"/>
      <c r="BV518" s="594"/>
      <c r="BW518" s="618"/>
      <c r="BX518" s="644"/>
      <c r="BY518" s="644"/>
    </row>
    <row r="519" ht="25.5" customHeight="1">
      <c r="A519" s="635"/>
      <c r="B519" s="695"/>
      <c r="C519" s="642"/>
      <c r="D519" s="642"/>
      <c r="E519" s="696"/>
      <c r="F519" s="696"/>
      <c r="G519" s="621"/>
      <c r="H519" s="577"/>
      <c r="I519" s="577"/>
      <c r="J519" s="613"/>
      <c r="K519" s="581"/>
      <c r="L519" s="581"/>
      <c r="M519" s="613"/>
      <c r="N519" s="613"/>
      <c r="O519" s="613"/>
      <c r="P519" s="580"/>
      <c r="Q519" s="580"/>
      <c r="R519" s="581"/>
      <c r="S519" s="581"/>
      <c r="T519" s="581"/>
      <c r="U519" s="582"/>
      <c r="V519" s="614"/>
      <c r="W519" s="581"/>
      <c r="X519" s="615"/>
      <c r="Y519" s="613"/>
      <c r="Z519" s="580"/>
      <c r="AA519" s="634"/>
      <c r="AB519" s="577"/>
      <c r="AC519" s="673"/>
      <c r="AD519" s="634"/>
      <c r="AE519" s="587"/>
      <c r="AF519" s="587"/>
      <c r="AG519" s="582"/>
      <c r="AH519" s="582"/>
      <c r="AI519" s="582"/>
      <c r="AJ519" s="582"/>
      <c r="AK519" s="588"/>
      <c r="AL519" s="582"/>
      <c r="AM519" s="587"/>
      <c r="AN519" s="589"/>
      <c r="AO519" s="616"/>
      <c r="AP519" s="592"/>
      <c r="AQ519" s="358"/>
      <c r="AR519" s="592"/>
      <c r="AS519" s="592"/>
      <c r="AT519" s="592"/>
      <c r="AU519" s="592"/>
      <c r="AV519" s="592"/>
      <c r="AW519" s="592"/>
      <c r="AX519" s="592"/>
      <c r="AY519" s="592"/>
      <c r="AZ519" s="592"/>
      <c r="BA519" s="617"/>
      <c r="BB519" s="592"/>
      <c r="BC519" s="592"/>
      <c r="BD519" s="592"/>
      <c r="BE519" s="592"/>
      <c r="BF519" s="592"/>
      <c r="BG519" s="358"/>
      <c r="BH519" s="592"/>
      <c r="BI519" s="592"/>
      <c r="BJ519" s="592"/>
      <c r="BK519" s="592"/>
      <c r="BL519" s="592"/>
      <c r="BM519" s="592"/>
      <c r="BN519" s="592"/>
      <c r="BO519" s="592"/>
      <c r="BP519" s="592"/>
      <c r="BQ519" s="594"/>
      <c r="BR519" s="594"/>
      <c r="BS519" s="394"/>
      <c r="BT519" s="594"/>
      <c r="BU519" s="594"/>
      <c r="BV519" s="594"/>
      <c r="BW519" s="618"/>
      <c r="BX519" s="644"/>
      <c r="BY519" s="644"/>
    </row>
    <row r="520" ht="25.5" customHeight="1">
      <c r="A520" s="635"/>
      <c r="B520" s="695"/>
      <c r="C520" s="642"/>
      <c r="D520" s="642"/>
      <c r="E520" s="696"/>
      <c r="F520" s="696"/>
      <c r="G520" s="621"/>
      <c r="H520" s="577"/>
      <c r="I520" s="577"/>
      <c r="J520" s="613"/>
      <c r="K520" s="581"/>
      <c r="L520" s="581"/>
      <c r="M520" s="613"/>
      <c r="N520" s="613"/>
      <c r="O520" s="613"/>
      <c r="P520" s="580"/>
      <c r="Q520" s="580"/>
      <c r="R520" s="581"/>
      <c r="S520" s="581"/>
      <c r="T520" s="581"/>
      <c r="U520" s="582"/>
      <c r="V520" s="614"/>
      <c r="W520" s="581"/>
      <c r="X520" s="615"/>
      <c r="Y520" s="613"/>
      <c r="Z520" s="580"/>
      <c r="AA520" s="634"/>
      <c r="AB520" s="577"/>
      <c r="AC520" s="673"/>
      <c r="AD520" s="634"/>
      <c r="AE520" s="587"/>
      <c r="AF520" s="587"/>
      <c r="AG520" s="582"/>
      <c r="AH520" s="582"/>
      <c r="AI520" s="582"/>
      <c r="AJ520" s="582"/>
      <c r="AK520" s="588"/>
      <c r="AL520" s="582"/>
      <c r="AM520" s="587"/>
      <c r="AN520" s="589"/>
      <c r="AO520" s="616"/>
      <c r="AP520" s="592"/>
      <c r="AQ520" s="358"/>
      <c r="AR520" s="592"/>
      <c r="AS520" s="592"/>
      <c r="AT520" s="592"/>
      <c r="AU520" s="592"/>
      <c r="AV520" s="592"/>
      <c r="AW520" s="592"/>
      <c r="AX520" s="592"/>
      <c r="AY520" s="592"/>
      <c r="AZ520" s="592"/>
      <c r="BA520" s="617"/>
      <c r="BB520" s="592"/>
      <c r="BC520" s="592"/>
      <c r="BD520" s="592"/>
      <c r="BE520" s="592"/>
      <c r="BF520" s="592"/>
      <c r="BG520" s="358"/>
      <c r="BH520" s="592"/>
      <c r="BI520" s="592"/>
      <c r="BJ520" s="592"/>
      <c r="BK520" s="592"/>
      <c r="BL520" s="592"/>
      <c r="BM520" s="592"/>
      <c r="BN520" s="592"/>
      <c r="BO520" s="592"/>
      <c r="BP520" s="592"/>
      <c r="BQ520" s="594"/>
      <c r="BR520" s="594"/>
      <c r="BS520" s="394"/>
      <c r="BT520" s="594"/>
      <c r="BU520" s="594"/>
      <c r="BV520" s="594"/>
      <c r="BW520" s="618"/>
      <c r="BX520" s="644"/>
      <c r="BY520" s="644"/>
    </row>
    <row r="521" ht="25.5" customHeight="1">
      <c r="A521" s="635"/>
      <c r="B521" s="695"/>
      <c r="C521" s="642"/>
      <c r="D521" s="642"/>
      <c r="E521" s="696"/>
      <c r="F521" s="696"/>
      <c r="G521" s="621"/>
      <c r="H521" s="577"/>
      <c r="I521" s="577"/>
      <c r="J521" s="613"/>
      <c r="K521" s="581"/>
      <c r="L521" s="581"/>
      <c r="M521" s="613"/>
      <c r="N521" s="613"/>
      <c r="O521" s="613"/>
      <c r="P521" s="580"/>
      <c r="Q521" s="580"/>
      <c r="R521" s="581"/>
      <c r="S521" s="581"/>
      <c r="T521" s="581"/>
      <c r="U521" s="582"/>
      <c r="V521" s="614"/>
      <c r="W521" s="581"/>
      <c r="X521" s="615"/>
      <c r="Y521" s="613"/>
      <c r="Z521" s="580"/>
      <c r="AA521" s="634"/>
      <c r="AB521" s="577"/>
      <c r="AC521" s="673"/>
      <c r="AD521" s="634"/>
      <c r="AE521" s="587"/>
      <c r="AF521" s="587"/>
      <c r="AG521" s="582"/>
      <c r="AH521" s="582"/>
      <c r="AI521" s="582"/>
      <c r="AJ521" s="582"/>
      <c r="AK521" s="588"/>
      <c r="AL521" s="582"/>
      <c r="AM521" s="587"/>
      <c r="AN521" s="589"/>
      <c r="AO521" s="616"/>
      <c r="AP521" s="592"/>
      <c r="AQ521" s="358"/>
      <c r="AR521" s="592"/>
      <c r="AS521" s="592"/>
      <c r="AT521" s="592"/>
      <c r="AU521" s="592"/>
      <c r="AV521" s="592"/>
      <c r="AW521" s="592"/>
      <c r="AX521" s="592"/>
      <c r="AY521" s="592"/>
      <c r="AZ521" s="592"/>
      <c r="BA521" s="617"/>
      <c r="BB521" s="592"/>
      <c r="BC521" s="592"/>
      <c r="BD521" s="592"/>
      <c r="BE521" s="592"/>
      <c r="BF521" s="592"/>
      <c r="BG521" s="358"/>
      <c r="BH521" s="592"/>
      <c r="BI521" s="592"/>
      <c r="BJ521" s="592"/>
      <c r="BK521" s="592"/>
      <c r="BL521" s="592"/>
      <c r="BM521" s="592"/>
      <c r="BN521" s="592"/>
      <c r="BO521" s="592"/>
      <c r="BP521" s="592"/>
      <c r="BQ521" s="594"/>
      <c r="BR521" s="594"/>
      <c r="BS521" s="394"/>
      <c r="BT521" s="594"/>
      <c r="BU521" s="594"/>
      <c r="BV521" s="594"/>
      <c r="BW521" s="618"/>
      <c r="BX521" s="644"/>
      <c r="BY521" s="644"/>
    </row>
    <row r="522" ht="25.5" customHeight="1">
      <c r="A522" s="635"/>
      <c r="B522" s="695"/>
      <c r="C522" s="642"/>
      <c r="D522" s="642"/>
      <c r="E522" s="696"/>
      <c r="F522" s="696"/>
      <c r="G522" s="621"/>
      <c r="H522" s="577"/>
      <c r="I522" s="577"/>
      <c r="J522" s="613"/>
      <c r="K522" s="581"/>
      <c r="L522" s="581"/>
      <c r="M522" s="613"/>
      <c r="N522" s="613"/>
      <c r="O522" s="613"/>
      <c r="P522" s="580"/>
      <c r="Q522" s="580"/>
      <c r="R522" s="581"/>
      <c r="S522" s="581"/>
      <c r="T522" s="581"/>
      <c r="U522" s="582"/>
      <c r="V522" s="614"/>
      <c r="W522" s="581"/>
      <c r="X522" s="615"/>
      <c r="Y522" s="613"/>
      <c r="Z522" s="580"/>
      <c r="AA522" s="634"/>
      <c r="AB522" s="577"/>
      <c r="AC522" s="673"/>
      <c r="AD522" s="634"/>
      <c r="AE522" s="587"/>
      <c r="AF522" s="587"/>
      <c r="AG522" s="582"/>
      <c r="AH522" s="582"/>
      <c r="AI522" s="582"/>
      <c r="AJ522" s="582"/>
      <c r="AK522" s="588"/>
      <c r="AL522" s="582"/>
      <c r="AM522" s="587"/>
      <c r="AN522" s="589"/>
      <c r="AO522" s="616"/>
      <c r="AP522" s="592"/>
      <c r="AQ522" s="358"/>
      <c r="AR522" s="592"/>
      <c r="AS522" s="592"/>
      <c r="AT522" s="592"/>
      <c r="AU522" s="592"/>
      <c r="AV522" s="592"/>
      <c r="AW522" s="592"/>
      <c r="AX522" s="592"/>
      <c r="AY522" s="592"/>
      <c r="AZ522" s="592"/>
      <c r="BA522" s="617"/>
      <c r="BB522" s="592"/>
      <c r="BC522" s="592"/>
      <c r="BD522" s="592"/>
      <c r="BE522" s="592"/>
      <c r="BF522" s="592"/>
      <c r="BG522" s="358"/>
      <c r="BH522" s="592"/>
      <c r="BI522" s="592"/>
      <c r="BJ522" s="592"/>
      <c r="BK522" s="592"/>
      <c r="BL522" s="592"/>
      <c r="BM522" s="592"/>
      <c r="BN522" s="592"/>
      <c r="BO522" s="592"/>
      <c r="BP522" s="592"/>
      <c r="BQ522" s="594"/>
      <c r="BR522" s="594"/>
      <c r="BS522" s="394"/>
      <c r="BT522" s="594"/>
      <c r="BU522" s="594"/>
      <c r="BV522" s="594"/>
      <c r="BW522" s="618"/>
      <c r="BX522" s="644"/>
      <c r="BY522" s="644"/>
    </row>
    <row r="523" ht="25.5" customHeight="1">
      <c r="A523" s="635"/>
      <c r="B523" s="695"/>
      <c r="C523" s="642"/>
      <c r="D523" s="642"/>
      <c r="E523" s="696"/>
      <c r="F523" s="696"/>
      <c r="G523" s="621"/>
      <c r="H523" s="577"/>
      <c r="I523" s="577"/>
      <c r="J523" s="613"/>
      <c r="K523" s="581"/>
      <c r="L523" s="581"/>
      <c r="M523" s="613"/>
      <c r="N523" s="613"/>
      <c r="O523" s="613"/>
      <c r="P523" s="580"/>
      <c r="Q523" s="580"/>
      <c r="R523" s="581"/>
      <c r="S523" s="581"/>
      <c r="T523" s="581"/>
      <c r="U523" s="582"/>
      <c r="V523" s="614"/>
      <c r="W523" s="581"/>
      <c r="X523" s="615"/>
      <c r="Y523" s="613"/>
      <c r="Z523" s="580"/>
      <c r="AA523" s="634"/>
      <c r="AB523" s="577"/>
      <c r="AC523" s="673"/>
      <c r="AD523" s="634"/>
      <c r="AE523" s="587"/>
      <c r="AF523" s="587"/>
      <c r="AG523" s="582"/>
      <c r="AH523" s="582"/>
      <c r="AI523" s="582"/>
      <c r="AJ523" s="582"/>
      <c r="AK523" s="588"/>
      <c r="AL523" s="582"/>
      <c r="AM523" s="587"/>
      <c r="AN523" s="589"/>
      <c r="AO523" s="616"/>
      <c r="AP523" s="592"/>
      <c r="AQ523" s="358"/>
      <c r="AR523" s="592"/>
      <c r="AS523" s="592"/>
      <c r="AT523" s="592"/>
      <c r="AU523" s="592"/>
      <c r="AV523" s="592"/>
      <c r="AW523" s="592"/>
      <c r="AX523" s="592"/>
      <c r="AY523" s="592"/>
      <c r="AZ523" s="592"/>
      <c r="BA523" s="617"/>
      <c r="BB523" s="592"/>
      <c r="BC523" s="592"/>
      <c r="BD523" s="592"/>
      <c r="BE523" s="592"/>
      <c r="BF523" s="592"/>
      <c r="BG523" s="358"/>
      <c r="BH523" s="592"/>
      <c r="BI523" s="592"/>
      <c r="BJ523" s="592"/>
      <c r="BK523" s="592"/>
      <c r="BL523" s="592"/>
      <c r="BM523" s="592"/>
      <c r="BN523" s="592"/>
      <c r="BO523" s="592"/>
      <c r="BP523" s="592"/>
      <c r="BQ523" s="594"/>
      <c r="BR523" s="594"/>
      <c r="BS523" s="394"/>
      <c r="BT523" s="594"/>
      <c r="BU523" s="594"/>
      <c r="BV523" s="594"/>
      <c r="BW523" s="618"/>
      <c r="BX523" s="644"/>
      <c r="BY523" s="644"/>
    </row>
    <row r="524" ht="25.5" customHeight="1">
      <c r="A524" s="635"/>
      <c r="B524" s="695"/>
      <c r="C524" s="642"/>
      <c r="D524" s="642"/>
      <c r="E524" s="696"/>
      <c r="F524" s="696"/>
      <c r="G524" s="621"/>
      <c r="H524" s="577"/>
      <c r="I524" s="577"/>
      <c r="J524" s="613"/>
      <c r="K524" s="581"/>
      <c r="L524" s="581"/>
      <c r="M524" s="613"/>
      <c r="N524" s="613"/>
      <c r="O524" s="613"/>
      <c r="P524" s="580"/>
      <c r="Q524" s="580"/>
      <c r="R524" s="581"/>
      <c r="S524" s="581"/>
      <c r="T524" s="581"/>
      <c r="U524" s="582"/>
      <c r="V524" s="614"/>
      <c r="W524" s="581"/>
      <c r="X524" s="615"/>
      <c r="Y524" s="613"/>
      <c r="Z524" s="580"/>
      <c r="AA524" s="634"/>
      <c r="AB524" s="577"/>
      <c r="AC524" s="673"/>
      <c r="AD524" s="634"/>
      <c r="AE524" s="587"/>
      <c r="AF524" s="587"/>
      <c r="AG524" s="582"/>
      <c r="AH524" s="582"/>
      <c r="AI524" s="582"/>
      <c r="AJ524" s="582"/>
      <c r="AK524" s="588"/>
      <c r="AL524" s="582"/>
      <c r="AM524" s="587"/>
      <c r="AN524" s="589"/>
      <c r="AO524" s="616"/>
      <c r="AP524" s="592"/>
      <c r="AQ524" s="358"/>
      <c r="AR524" s="592"/>
      <c r="AS524" s="592"/>
      <c r="AT524" s="592"/>
      <c r="AU524" s="592"/>
      <c r="AV524" s="592"/>
      <c r="AW524" s="592"/>
      <c r="AX524" s="592"/>
      <c r="AY524" s="592"/>
      <c r="AZ524" s="592"/>
      <c r="BA524" s="617"/>
      <c r="BB524" s="592"/>
      <c r="BC524" s="592"/>
      <c r="BD524" s="592"/>
      <c r="BE524" s="592"/>
      <c r="BF524" s="592"/>
      <c r="BG524" s="358"/>
      <c r="BH524" s="592"/>
      <c r="BI524" s="592"/>
      <c r="BJ524" s="592"/>
      <c r="BK524" s="592"/>
      <c r="BL524" s="592"/>
      <c r="BM524" s="592"/>
      <c r="BN524" s="592"/>
      <c r="BO524" s="592"/>
      <c r="BP524" s="592"/>
      <c r="BQ524" s="594"/>
      <c r="BR524" s="594"/>
      <c r="BS524" s="394"/>
      <c r="BT524" s="594"/>
      <c r="BU524" s="594"/>
      <c r="BV524" s="594"/>
      <c r="BW524" s="618"/>
      <c r="BX524" s="644"/>
      <c r="BY524" s="644"/>
    </row>
    <row r="525" ht="25.5" customHeight="1">
      <c r="A525" s="635"/>
      <c r="B525" s="695"/>
      <c r="C525" s="642"/>
      <c r="D525" s="642"/>
      <c r="E525" s="696"/>
      <c r="F525" s="696"/>
      <c r="G525" s="621"/>
      <c r="H525" s="577"/>
      <c r="I525" s="577"/>
      <c r="J525" s="613"/>
      <c r="K525" s="581"/>
      <c r="L525" s="581"/>
      <c r="M525" s="613"/>
      <c r="N525" s="613"/>
      <c r="O525" s="613"/>
      <c r="P525" s="580"/>
      <c r="Q525" s="580"/>
      <c r="R525" s="581"/>
      <c r="S525" s="581"/>
      <c r="T525" s="581"/>
      <c r="U525" s="582"/>
      <c r="V525" s="614"/>
      <c r="W525" s="581"/>
      <c r="X525" s="615"/>
      <c r="Y525" s="613"/>
      <c r="Z525" s="580"/>
      <c r="AA525" s="634"/>
      <c r="AB525" s="577"/>
      <c r="AC525" s="673"/>
      <c r="AD525" s="634"/>
      <c r="AE525" s="587"/>
      <c r="AF525" s="587"/>
      <c r="AG525" s="582"/>
      <c r="AH525" s="582"/>
      <c r="AI525" s="582"/>
      <c r="AJ525" s="582"/>
      <c r="AK525" s="588"/>
      <c r="AL525" s="582"/>
      <c r="AM525" s="587"/>
      <c r="AN525" s="589"/>
      <c r="AO525" s="616"/>
      <c r="AP525" s="592"/>
      <c r="AQ525" s="358"/>
      <c r="AR525" s="592"/>
      <c r="AS525" s="592"/>
      <c r="AT525" s="592"/>
      <c r="AU525" s="592"/>
      <c r="AV525" s="592"/>
      <c r="AW525" s="592"/>
      <c r="AX525" s="592"/>
      <c r="AY525" s="592"/>
      <c r="AZ525" s="592"/>
      <c r="BA525" s="617"/>
      <c r="BB525" s="592"/>
      <c r="BC525" s="592"/>
      <c r="BD525" s="592"/>
      <c r="BE525" s="592"/>
      <c r="BF525" s="592"/>
      <c r="BG525" s="358"/>
      <c r="BH525" s="592"/>
      <c r="BI525" s="592"/>
      <c r="BJ525" s="592"/>
      <c r="BK525" s="592"/>
      <c r="BL525" s="592"/>
      <c r="BM525" s="592"/>
      <c r="BN525" s="592"/>
      <c r="BO525" s="592"/>
      <c r="BP525" s="592"/>
      <c r="BQ525" s="594"/>
      <c r="BR525" s="594"/>
      <c r="BS525" s="394"/>
      <c r="BT525" s="594"/>
      <c r="BU525" s="594"/>
      <c r="BV525" s="594"/>
      <c r="BW525" s="618"/>
      <c r="BX525" s="644"/>
      <c r="BY525" s="644"/>
    </row>
    <row r="526" ht="25.5" customHeight="1">
      <c r="A526" s="635"/>
      <c r="B526" s="695"/>
      <c r="C526" s="642"/>
      <c r="D526" s="642"/>
      <c r="E526" s="696"/>
      <c r="F526" s="696"/>
      <c r="G526" s="621"/>
      <c r="H526" s="577"/>
      <c r="I526" s="577"/>
      <c r="J526" s="613"/>
      <c r="K526" s="581"/>
      <c r="L526" s="581"/>
      <c r="M526" s="613"/>
      <c r="N526" s="613"/>
      <c r="O526" s="613"/>
      <c r="P526" s="580"/>
      <c r="Q526" s="580"/>
      <c r="R526" s="581"/>
      <c r="S526" s="581"/>
      <c r="T526" s="581"/>
      <c r="U526" s="582"/>
      <c r="V526" s="614"/>
      <c r="W526" s="581"/>
      <c r="X526" s="615"/>
      <c r="Y526" s="613"/>
      <c r="Z526" s="580"/>
      <c r="AA526" s="634"/>
      <c r="AB526" s="577"/>
      <c r="AC526" s="673"/>
      <c r="AD526" s="634"/>
      <c r="AE526" s="587"/>
      <c r="AF526" s="587"/>
      <c r="AG526" s="582"/>
      <c r="AH526" s="582"/>
      <c r="AI526" s="582"/>
      <c r="AJ526" s="582"/>
      <c r="AK526" s="588"/>
      <c r="AL526" s="582"/>
      <c r="AM526" s="587"/>
      <c r="AN526" s="589"/>
      <c r="AO526" s="616"/>
      <c r="AP526" s="592"/>
      <c r="AQ526" s="358"/>
      <c r="AR526" s="592"/>
      <c r="AS526" s="592"/>
      <c r="AT526" s="592"/>
      <c r="AU526" s="592"/>
      <c r="AV526" s="592"/>
      <c r="AW526" s="592"/>
      <c r="AX526" s="592"/>
      <c r="AY526" s="592"/>
      <c r="AZ526" s="592"/>
      <c r="BA526" s="617"/>
      <c r="BB526" s="592"/>
      <c r="BC526" s="592"/>
      <c r="BD526" s="592"/>
      <c r="BE526" s="592"/>
      <c r="BF526" s="592"/>
      <c r="BG526" s="358"/>
      <c r="BH526" s="592"/>
      <c r="BI526" s="592"/>
      <c r="BJ526" s="592"/>
      <c r="BK526" s="592"/>
      <c r="BL526" s="592"/>
      <c r="BM526" s="592"/>
      <c r="BN526" s="592"/>
      <c r="BO526" s="592"/>
      <c r="BP526" s="592"/>
      <c r="BQ526" s="594"/>
      <c r="BR526" s="594"/>
      <c r="BS526" s="394"/>
      <c r="BT526" s="594"/>
      <c r="BU526" s="594"/>
      <c r="BV526" s="594"/>
      <c r="BW526" s="618"/>
      <c r="BX526" s="644"/>
      <c r="BY526" s="644"/>
    </row>
    <row r="527" ht="25.5" customHeight="1">
      <c r="A527" s="635"/>
      <c r="B527" s="695"/>
      <c r="C527" s="642"/>
      <c r="D527" s="642"/>
      <c r="E527" s="696"/>
      <c r="F527" s="696"/>
      <c r="G527" s="621"/>
      <c r="H527" s="577"/>
      <c r="I527" s="577"/>
      <c r="J527" s="613"/>
      <c r="K527" s="581"/>
      <c r="L527" s="581"/>
      <c r="M527" s="613"/>
      <c r="N527" s="613"/>
      <c r="O527" s="613"/>
      <c r="P527" s="580"/>
      <c r="Q527" s="580"/>
      <c r="R527" s="581"/>
      <c r="S527" s="581"/>
      <c r="T527" s="581"/>
      <c r="U527" s="582"/>
      <c r="V527" s="614"/>
      <c r="W527" s="581"/>
      <c r="X527" s="615"/>
      <c r="Y527" s="613"/>
      <c r="Z527" s="580"/>
      <c r="AA527" s="634"/>
      <c r="AB527" s="577"/>
      <c r="AC527" s="673"/>
      <c r="AD527" s="634"/>
      <c r="AE527" s="587"/>
      <c r="AF527" s="587"/>
      <c r="AG527" s="582"/>
      <c r="AH527" s="582"/>
      <c r="AI527" s="582"/>
      <c r="AJ527" s="582"/>
      <c r="AK527" s="588"/>
      <c r="AL527" s="582"/>
      <c r="AM527" s="587"/>
      <c r="AN527" s="589"/>
      <c r="AO527" s="616"/>
      <c r="AP527" s="592"/>
      <c r="AQ527" s="358"/>
      <c r="AR527" s="592"/>
      <c r="AS527" s="592"/>
      <c r="AT527" s="592"/>
      <c r="AU527" s="592"/>
      <c r="AV527" s="592"/>
      <c r="AW527" s="592"/>
      <c r="AX527" s="592"/>
      <c r="AY527" s="592"/>
      <c r="AZ527" s="592"/>
      <c r="BA527" s="617"/>
      <c r="BB527" s="592"/>
      <c r="BC527" s="592"/>
      <c r="BD527" s="592"/>
      <c r="BE527" s="592"/>
      <c r="BF527" s="592"/>
      <c r="BG527" s="358"/>
      <c r="BH527" s="592"/>
      <c r="BI527" s="592"/>
      <c r="BJ527" s="592"/>
      <c r="BK527" s="592"/>
      <c r="BL527" s="592"/>
      <c r="BM527" s="592"/>
      <c r="BN527" s="592"/>
      <c r="BO527" s="592"/>
      <c r="BP527" s="592"/>
      <c r="BQ527" s="594"/>
      <c r="BR527" s="594"/>
      <c r="BS527" s="394"/>
      <c r="BT527" s="594"/>
      <c r="BU527" s="594"/>
      <c r="BV527" s="594"/>
      <c r="BW527" s="618"/>
      <c r="BX527" s="644"/>
      <c r="BY527" s="644"/>
    </row>
    <row r="528" ht="25.5" customHeight="1">
      <c r="A528" s="635"/>
      <c r="B528" s="695"/>
      <c r="C528" s="642"/>
      <c r="D528" s="642"/>
      <c r="E528" s="696"/>
      <c r="F528" s="696"/>
      <c r="G528" s="621"/>
      <c r="H528" s="577"/>
      <c r="I528" s="577"/>
      <c r="J528" s="613"/>
      <c r="K528" s="581"/>
      <c r="L528" s="581"/>
      <c r="M528" s="613"/>
      <c r="N528" s="613"/>
      <c r="O528" s="613"/>
      <c r="P528" s="580"/>
      <c r="Q528" s="580"/>
      <c r="R528" s="581"/>
      <c r="S528" s="581"/>
      <c r="T528" s="581"/>
      <c r="U528" s="582"/>
      <c r="V528" s="614"/>
      <c r="W528" s="581"/>
      <c r="X528" s="615"/>
      <c r="Y528" s="613"/>
      <c r="Z528" s="580"/>
      <c r="AA528" s="634"/>
      <c r="AB528" s="577"/>
      <c r="AC528" s="673"/>
      <c r="AD528" s="634"/>
      <c r="AE528" s="587"/>
      <c r="AF528" s="587"/>
      <c r="AG528" s="582"/>
      <c r="AH528" s="582"/>
      <c r="AI528" s="582"/>
      <c r="AJ528" s="582"/>
      <c r="AK528" s="588"/>
      <c r="AL528" s="582"/>
      <c r="AM528" s="587"/>
      <c r="AN528" s="589"/>
      <c r="AO528" s="616"/>
      <c r="AP528" s="592"/>
      <c r="AQ528" s="358"/>
      <c r="AR528" s="592"/>
      <c r="AS528" s="592"/>
      <c r="AT528" s="592"/>
      <c r="AU528" s="592"/>
      <c r="AV528" s="592"/>
      <c r="AW528" s="592"/>
      <c r="AX528" s="592"/>
      <c r="AY528" s="592"/>
      <c r="AZ528" s="592"/>
      <c r="BA528" s="617"/>
      <c r="BB528" s="592"/>
      <c r="BC528" s="592"/>
      <c r="BD528" s="592"/>
      <c r="BE528" s="592"/>
      <c r="BF528" s="592"/>
      <c r="BG528" s="358"/>
      <c r="BH528" s="592"/>
      <c r="BI528" s="592"/>
      <c r="BJ528" s="592"/>
      <c r="BK528" s="592"/>
      <c r="BL528" s="592"/>
      <c r="BM528" s="592"/>
      <c r="BN528" s="592"/>
      <c r="BO528" s="592"/>
      <c r="BP528" s="592"/>
      <c r="BQ528" s="594"/>
      <c r="BR528" s="594"/>
      <c r="BS528" s="394"/>
      <c r="BT528" s="594"/>
      <c r="BU528" s="594"/>
      <c r="BV528" s="594"/>
      <c r="BW528" s="618"/>
      <c r="BX528" s="644"/>
      <c r="BY528" s="644"/>
    </row>
    <row r="529" ht="25.5" customHeight="1">
      <c r="A529" s="635"/>
      <c r="B529" s="695"/>
      <c r="C529" s="642"/>
      <c r="D529" s="642"/>
      <c r="E529" s="696"/>
      <c r="F529" s="696"/>
      <c r="G529" s="621"/>
      <c r="H529" s="577"/>
      <c r="I529" s="577"/>
      <c r="J529" s="613"/>
      <c r="K529" s="581"/>
      <c r="L529" s="581"/>
      <c r="M529" s="613"/>
      <c r="N529" s="613"/>
      <c r="O529" s="613"/>
      <c r="P529" s="580"/>
      <c r="Q529" s="580"/>
      <c r="R529" s="581"/>
      <c r="S529" s="581"/>
      <c r="T529" s="581"/>
      <c r="U529" s="582"/>
      <c r="V529" s="614"/>
      <c r="W529" s="581"/>
      <c r="X529" s="615"/>
      <c r="Y529" s="613"/>
      <c r="Z529" s="580"/>
      <c r="AA529" s="634"/>
      <c r="AB529" s="577"/>
      <c r="AC529" s="673"/>
      <c r="AD529" s="634"/>
      <c r="AE529" s="587"/>
      <c r="AF529" s="587"/>
      <c r="AG529" s="582"/>
      <c r="AH529" s="582"/>
      <c r="AI529" s="582"/>
      <c r="AJ529" s="582"/>
      <c r="AK529" s="588"/>
      <c r="AL529" s="582"/>
      <c r="AM529" s="587"/>
      <c r="AN529" s="589"/>
      <c r="AO529" s="616"/>
      <c r="AP529" s="592"/>
      <c r="AQ529" s="358"/>
      <c r="AR529" s="592"/>
      <c r="AS529" s="592"/>
      <c r="AT529" s="592"/>
      <c r="AU529" s="592"/>
      <c r="AV529" s="592"/>
      <c r="AW529" s="592"/>
      <c r="AX529" s="592"/>
      <c r="AY529" s="592"/>
      <c r="AZ529" s="592"/>
      <c r="BA529" s="617"/>
      <c r="BB529" s="592"/>
      <c r="BC529" s="592"/>
      <c r="BD529" s="592"/>
      <c r="BE529" s="592"/>
      <c r="BF529" s="592"/>
      <c r="BG529" s="358"/>
      <c r="BH529" s="592"/>
      <c r="BI529" s="592"/>
      <c r="BJ529" s="592"/>
      <c r="BK529" s="592"/>
      <c r="BL529" s="592"/>
      <c r="BM529" s="592"/>
      <c r="BN529" s="592"/>
      <c r="BO529" s="592"/>
      <c r="BP529" s="592"/>
      <c r="BQ529" s="594"/>
      <c r="BR529" s="594"/>
      <c r="BS529" s="394"/>
      <c r="BT529" s="594"/>
      <c r="BU529" s="594"/>
      <c r="BV529" s="594"/>
      <c r="BW529" s="618"/>
      <c r="BX529" s="644"/>
      <c r="BY529" s="644"/>
    </row>
    <row r="530" ht="25.5" customHeight="1">
      <c r="A530" s="635"/>
      <c r="B530" s="695"/>
      <c r="C530" s="642"/>
      <c r="D530" s="642"/>
      <c r="E530" s="696"/>
      <c r="F530" s="696"/>
      <c r="G530" s="621"/>
      <c r="H530" s="577"/>
      <c r="I530" s="577"/>
      <c r="J530" s="613"/>
      <c r="K530" s="581"/>
      <c r="L530" s="581"/>
      <c r="M530" s="613"/>
      <c r="N530" s="613"/>
      <c r="O530" s="613"/>
      <c r="P530" s="580"/>
      <c r="Q530" s="580"/>
      <c r="R530" s="581"/>
      <c r="S530" s="581"/>
      <c r="T530" s="581"/>
      <c r="U530" s="582"/>
      <c r="V530" s="614"/>
      <c r="W530" s="581"/>
      <c r="X530" s="615"/>
      <c r="Y530" s="613"/>
      <c r="Z530" s="580"/>
      <c r="AA530" s="634"/>
      <c r="AB530" s="577"/>
      <c r="AC530" s="673"/>
      <c r="AD530" s="634"/>
      <c r="AE530" s="587"/>
      <c r="AF530" s="587"/>
      <c r="AG530" s="582"/>
      <c r="AH530" s="582"/>
      <c r="AI530" s="582"/>
      <c r="AJ530" s="582"/>
      <c r="AK530" s="588"/>
      <c r="AL530" s="582"/>
      <c r="AM530" s="587"/>
      <c r="AN530" s="589"/>
      <c r="AO530" s="616"/>
      <c r="AP530" s="592"/>
      <c r="AQ530" s="358"/>
      <c r="AR530" s="592"/>
      <c r="AS530" s="592"/>
      <c r="AT530" s="592"/>
      <c r="AU530" s="592"/>
      <c r="AV530" s="592"/>
      <c r="AW530" s="592"/>
      <c r="AX530" s="592"/>
      <c r="AY530" s="592"/>
      <c r="AZ530" s="592"/>
      <c r="BA530" s="617"/>
      <c r="BB530" s="592"/>
      <c r="BC530" s="592"/>
      <c r="BD530" s="592"/>
      <c r="BE530" s="592"/>
      <c r="BF530" s="592"/>
      <c r="BG530" s="358"/>
      <c r="BH530" s="592"/>
      <c r="BI530" s="592"/>
      <c r="BJ530" s="592"/>
      <c r="BK530" s="592"/>
      <c r="BL530" s="592"/>
      <c r="BM530" s="592"/>
      <c r="BN530" s="592"/>
      <c r="BO530" s="592"/>
      <c r="BP530" s="592"/>
      <c r="BQ530" s="594"/>
      <c r="BR530" s="594"/>
      <c r="BS530" s="394"/>
      <c r="BT530" s="594"/>
      <c r="BU530" s="594"/>
      <c r="BV530" s="594"/>
      <c r="BW530" s="618"/>
      <c r="BX530" s="644"/>
      <c r="BY530" s="644"/>
    </row>
    <row r="531" ht="25.5" customHeight="1">
      <c r="A531" s="635"/>
      <c r="B531" s="695"/>
      <c r="C531" s="642"/>
      <c r="D531" s="642"/>
      <c r="E531" s="696"/>
      <c r="F531" s="696"/>
      <c r="G531" s="621"/>
      <c r="H531" s="577"/>
      <c r="I531" s="577"/>
      <c r="J531" s="613"/>
      <c r="K531" s="581"/>
      <c r="L531" s="581"/>
      <c r="M531" s="613"/>
      <c r="N531" s="613"/>
      <c r="O531" s="613"/>
      <c r="P531" s="580"/>
      <c r="Q531" s="580"/>
      <c r="R531" s="581"/>
      <c r="S531" s="581"/>
      <c r="T531" s="581"/>
      <c r="U531" s="582"/>
      <c r="V531" s="614"/>
      <c r="W531" s="581"/>
      <c r="X531" s="615"/>
      <c r="Y531" s="613"/>
      <c r="Z531" s="580"/>
      <c r="AA531" s="634"/>
      <c r="AB531" s="577"/>
      <c r="AC531" s="673"/>
      <c r="AD531" s="634"/>
      <c r="AE531" s="587"/>
      <c r="AF531" s="587"/>
      <c r="AG531" s="582"/>
      <c r="AH531" s="582"/>
      <c r="AI531" s="582"/>
      <c r="AJ531" s="582"/>
      <c r="AK531" s="588"/>
      <c r="AL531" s="582"/>
      <c r="AM531" s="587"/>
      <c r="AN531" s="589"/>
      <c r="AO531" s="616"/>
      <c r="AP531" s="592"/>
      <c r="AQ531" s="358"/>
      <c r="AR531" s="592"/>
      <c r="AS531" s="592"/>
      <c r="AT531" s="592"/>
      <c r="AU531" s="592"/>
      <c r="AV531" s="592"/>
      <c r="AW531" s="592"/>
      <c r="AX531" s="592"/>
      <c r="AY531" s="592"/>
      <c r="AZ531" s="592"/>
      <c r="BA531" s="617"/>
      <c r="BB531" s="592"/>
      <c r="BC531" s="592"/>
      <c r="BD531" s="592"/>
      <c r="BE531" s="592"/>
      <c r="BF531" s="592"/>
      <c r="BG531" s="358"/>
      <c r="BH531" s="592"/>
      <c r="BI531" s="592"/>
      <c r="BJ531" s="592"/>
      <c r="BK531" s="592"/>
      <c r="BL531" s="592"/>
      <c r="BM531" s="592"/>
      <c r="BN531" s="592"/>
      <c r="BO531" s="592"/>
      <c r="BP531" s="592"/>
      <c r="BQ531" s="594"/>
      <c r="BR531" s="594"/>
      <c r="BS531" s="394"/>
      <c r="BT531" s="594"/>
      <c r="BU531" s="594"/>
      <c r="BV531" s="594"/>
      <c r="BW531" s="618"/>
      <c r="BX531" s="644"/>
      <c r="BY531" s="644"/>
    </row>
    <row r="532" ht="25.5" customHeight="1">
      <c r="A532" s="635"/>
      <c r="B532" s="695"/>
      <c r="C532" s="642"/>
      <c r="D532" s="642"/>
      <c r="E532" s="696"/>
      <c r="F532" s="696"/>
      <c r="G532" s="621"/>
      <c r="H532" s="577"/>
      <c r="I532" s="577"/>
      <c r="J532" s="613"/>
      <c r="K532" s="581"/>
      <c r="L532" s="581"/>
      <c r="M532" s="613"/>
      <c r="N532" s="613"/>
      <c r="O532" s="613"/>
      <c r="P532" s="580"/>
      <c r="Q532" s="580"/>
      <c r="R532" s="581"/>
      <c r="S532" s="581"/>
      <c r="T532" s="581"/>
      <c r="U532" s="582"/>
      <c r="V532" s="614"/>
      <c r="W532" s="581"/>
      <c r="X532" s="615"/>
      <c r="Y532" s="613"/>
      <c r="Z532" s="580"/>
      <c r="AA532" s="634"/>
      <c r="AB532" s="577"/>
      <c r="AC532" s="673"/>
      <c r="AD532" s="634"/>
      <c r="AE532" s="587"/>
      <c r="AF532" s="587"/>
      <c r="AG532" s="582"/>
      <c r="AH532" s="582"/>
      <c r="AI532" s="582"/>
      <c r="AJ532" s="582"/>
      <c r="AK532" s="588"/>
      <c r="AL532" s="582"/>
      <c r="AM532" s="587"/>
      <c r="AN532" s="589"/>
      <c r="AO532" s="616"/>
      <c r="AP532" s="592"/>
      <c r="AQ532" s="358"/>
      <c r="AR532" s="592"/>
      <c r="AS532" s="592"/>
      <c r="AT532" s="592"/>
      <c r="AU532" s="592"/>
      <c r="AV532" s="592"/>
      <c r="AW532" s="592"/>
      <c r="AX532" s="592"/>
      <c r="AY532" s="592"/>
      <c r="AZ532" s="592"/>
      <c r="BA532" s="617"/>
      <c r="BB532" s="592"/>
      <c r="BC532" s="592"/>
      <c r="BD532" s="592"/>
      <c r="BE532" s="592"/>
      <c r="BF532" s="592"/>
      <c r="BG532" s="358"/>
      <c r="BH532" s="592"/>
      <c r="BI532" s="592"/>
      <c r="BJ532" s="592"/>
      <c r="BK532" s="592"/>
      <c r="BL532" s="592"/>
      <c r="BM532" s="592"/>
      <c r="BN532" s="592"/>
      <c r="BO532" s="592"/>
      <c r="BP532" s="592"/>
      <c r="BQ532" s="594"/>
      <c r="BR532" s="594"/>
      <c r="BS532" s="394"/>
      <c r="BT532" s="594"/>
      <c r="BU532" s="594"/>
      <c r="BV532" s="594"/>
      <c r="BW532" s="618"/>
      <c r="BX532" s="644"/>
      <c r="BY532" s="644"/>
    </row>
    <row r="533" ht="25.5" customHeight="1">
      <c r="A533" s="635"/>
      <c r="B533" s="695"/>
      <c r="C533" s="642"/>
      <c r="D533" s="642"/>
      <c r="E533" s="696"/>
      <c r="F533" s="696"/>
      <c r="G533" s="621"/>
      <c r="H533" s="577"/>
      <c r="I533" s="577"/>
      <c r="J533" s="613"/>
      <c r="K533" s="581"/>
      <c r="L533" s="581"/>
      <c r="M533" s="613"/>
      <c r="N533" s="613"/>
      <c r="O533" s="613"/>
      <c r="P533" s="580"/>
      <c r="Q533" s="580"/>
      <c r="R533" s="581"/>
      <c r="S533" s="581"/>
      <c r="T533" s="581"/>
      <c r="U533" s="582"/>
      <c r="V533" s="614"/>
      <c r="W533" s="581"/>
      <c r="X533" s="615"/>
      <c r="Y533" s="613"/>
      <c r="Z533" s="580"/>
      <c r="AA533" s="634"/>
      <c r="AB533" s="577"/>
      <c r="AC533" s="673"/>
      <c r="AD533" s="634"/>
      <c r="AE533" s="587"/>
      <c r="AF533" s="587"/>
      <c r="AG533" s="582"/>
      <c r="AH533" s="582"/>
      <c r="AI533" s="582"/>
      <c r="AJ533" s="582"/>
      <c r="AK533" s="588"/>
      <c r="AL533" s="582"/>
      <c r="AM533" s="587"/>
      <c r="AN533" s="589"/>
      <c r="AO533" s="616"/>
      <c r="AP533" s="592"/>
      <c r="AQ533" s="358"/>
      <c r="AR533" s="592"/>
      <c r="AS533" s="592"/>
      <c r="AT533" s="592"/>
      <c r="AU533" s="592"/>
      <c r="AV533" s="592"/>
      <c r="AW533" s="592"/>
      <c r="AX533" s="592"/>
      <c r="AY533" s="592"/>
      <c r="AZ533" s="592"/>
      <c r="BA533" s="617"/>
      <c r="BB533" s="592"/>
      <c r="BC533" s="592"/>
      <c r="BD533" s="592"/>
      <c r="BE533" s="592"/>
      <c r="BF533" s="592"/>
      <c r="BG533" s="358"/>
      <c r="BH533" s="592"/>
      <c r="BI533" s="592"/>
      <c r="BJ533" s="592"/>
      <c r="BK533" s="592"/>
      <c r="BL533" s="592"/>
      <c r="BM533" s="592"/>
      <c r="BN533" s="592"/>
      <c r="BO533" s="592"/>
      <c r="BP533" s="592"/>
      <c r="BQ533" s="594"/>
      <c r="BR533" s="594"/>
      <c r="BS533" s="394"/>
      <c r="BT533" s="594"/>
      <c r="BU533" s="594"/>
      <c r="BV533" s="594"/>
      <c r="BW533" s="618"/>
      <c r="BX533" s="644"/>
      <c r="BY533" s="644"/>
    </row>
    <row r="534" ht="25.5" customHeight="1">
      <c r="A534" s="635"/>
      <c r="B534" s="695"/>
      <c r="C534" s="642"/>
      <c r="D534" s="642"/>
      <c r="E534" s="696"/>
      <c r="F534" s="696"/>
      <c r="G534" s="621"/>
      <c r="H534" s="577"/>
      <c r="I534" s="577"/>
      <c r="J534" s="613"/>
      <c r="K534" s="581"/>
      <c r="L534" s="581"/>
      <c r="M534" s="613"/>
      <c r="N534" s="613"/>
      <c r="O534" s="613"/>
      <c r="P534" s="580"/>
      <c r="Q534" s="580"/>
      <c r="R534" s="581"/>
      <c r="S534" s="581"/>
      <c r="T534" s="581"/>
      <c r="U534" s="582"/>
      <c r="V534" s="614"/>
      <c r="W534" s="581"/>
      <c r="X534" s="615"/>
      <c r="Y534" s="613"/>
      <c r="Z534" s="580"/>
      <c r="AA534" s="634"/>
      <c r="AB534" s="577"/>
      <c r="AC534" s="673"/>
      <c r="AD534" s="634"/>
      <c r="AE534" s="587"/>
      <c r="AF534" s="587"/>
      <c r="AG534" s="582"/>
      <c r="AH534" s="582"/>
      <c r="AI534" s="582"/>
      <c r="AJ534" s="582"/>
      <c r="AK534" s="588"/>
      <c r="AL534" s="582"/>
      <c r="AM534" s="587"/>
      <c r="AN534" s="589"/>
      <c r="AO534" s="616"/>
      <c r="AP534" s="592"/>
      <c r="AQ534" s="358"/>
      <c r="AR534" s="592"/>
      <c r="AS534" s="592"/>
      <c r="AT534" s="592"/>
      <c r="AU534" s="592"/>
      <c r="AV534" s="592"/>
      <c r="AW534" s="592"/>
      <c r="AX534" s="592"/>
      <c r="AY534" s="592"/>
      <c r="AZ534" s="592"/>
      <c r="BA534" s="617"/>
      <c r="BB534" s="592"/>
      <c r="BC534" s="592"/>
      <c r="BD534" s="592"/>
      <c r="BE534" s="592"/>
      <c r="BF534" s="592"/>
      <c r="BG534" s="358"/>
      <c r="BH534" s="592"/>
      <c r="BI534" s="592"/>
      <c r="BJ534" s="592"/>
      <c r="BK534" s="592"/>
      <c r="BL534" s="592"/>
      <c r="BM534" s="592"/>
      <c r="BN534" s="592"/>
      <c r="BO534" s="592"/>
      <c r="BP534" s="592"/>
      <c r="BQ534" s="594"/>
      <c r="BR534" s="594"/>
      <c r="BS534" s="394"/>
      <c r="BT534" s="594"/>
      <c r="BU534" s="594"/>
      <c r="BV534" s="594"/>
      <c r="BW534" s="618"/>
      <c r="BX534" s="644"/>
      <c r="BY534" s="644"/>
    </row>
    <row r="535" ht="25.5" customHeight="1">
      <c r="A535" s="635"/>
      <c r="B535" s="695"/>
      <c r="C535" s="642"/>
      <c r="D535" s="642"/>
      <c r="E535" s="696"/>
      <c r="F535" s="696"/>
      <c r="G535" s="621"/>
      <c r="H535" s="577"/>
      <c r="I535" s="577"/>
      <c r="J535" s="613"/>
      <c r="K535" s="581"/>
      <c r="L535" s="581"/>
      <c r="M535" s="613"/>
      <c r="N535" s="613"/>
      <c r="O535" s="613"/>
      <c r="P535" s="580"/>
      <c r="Q535" s="580"/>
      <c r="R535" s="581"/>
      <c r="S535" s="581"/>
      <c r="T535" s="581"/>
      <c r="U535" s="582"/>
      <c r="V535" s="614"/>
      <c r="W535" s="581"/>
      <c r="X535" s="615"/>
      <c r="Y535" s="613"/>
      <c r="Z535" s="580"/>
      <c r="AA535" s="634"/>
      <c r="AB535" s="577"/>
      <c r="AC535" s="673"/>
      <c r="AD535" s="634"/>
      <c r="AE535" s="587"/>
      <c r="AF535" s="587"/>
      <c r="AG535" s="582"/>
      <c r="AH535" s="582"/>
      <c r="AI535" s="582"/>
      <c r="AJ535" s="582"/>
      <c r="AK535" s="588"/>
      <c r="AL535" s="582"/>
      <c r="AM535" s="587"/>
      <c r="AN535" s="589"/>
      <c r="AO535" s="616"/>
      <c r="AP535" s="592"/>
      <c r="AQ535" s="358"/>
      <c r="AR535" s="592"/>
      <c r="AS535" s="592"/>
      <c r="AT535" s="592"/>
      <c r="AU535" s="592"/>
      <c r="AV535" s="592"/>
      <c r="AW535" s="592"/>
      <c r="AX535" s="592"/>
      <c r="AY535" s="592"/>
      <c r="AZ535" s="592"/>
      <c r="BA535" s="617"/>
      <c r="BB535" s="592"/>
      <c r="BC535" s="592"/>
      <c r="BD535" s="592"/>
      <c r="BE535" s="592"/>
      <c r="BF535" s="592"/>
      <c r="BG535" s="358"/>
      <c r="BH535" s="592"/>
      <c r="BI535" s="592"/>
      <c r="BJ535" s="592"/>
      <c r="BK535" s="592"/>
      <c r="BL535" s="592"/>
      <c r="BM535" s="592"/>
      <c r="BN535" s="592"/>
      <c r="BO535" s="592"/>
      <c r="BP535" s="592"/>
      <c r="BQ535" s="594"/>
      <c r="BR535" s="594"/>
      <c r="BS535" s="394"/>
      <c r="BT535" s="594"/>
      <c r="BU535" s="594"/>
      <c r="BV535" s="594"/>
      <c r="BW535" s="618"/>
      <c r="BX535" s="644"/>
      <c r="BY535" s="644"/>
    </row>
    <row r="536" ht="25.5" customHeight="1">
      <c r="A536" s="635"/>
      <c r="B536" s="695"/>
      <c r="C536" s="642"/>
      <c r="D536" s="642"/>
      <c r="E536" s="696"/>
      <c r="F536" s="696"/>
      <c r="G536" s="621"/>
      <c r="H536" s="577"/>
      <c r="I536" s="577"/>
      <c r="J536" s="613"/>
      <c r="K536" s="581"/>
      <c r="L536" s="581"/>
      <c r="M536" s="613"/>
      <c r="N536" s="613"/>
      <c r="O536" s="613"/>
      <c r="P536" s="580"/>
      <c r="Q536" s="580"/>
      <c r="R536" s="581"/>
      <c r="S536" s="581"/>
      <c r="T536" s="581"/>
      <c r="U536" s="582"/>
      <c r="V536" s="614"/>
      <c r="W536" s="581"/>
      <c r="X536" s="615"/>
      <c r="Y536" s="613"/>
      <c r="Z536" s="580"/>
      <c r="AA536" s="634"/>
      <c r="AB536" s="577"/>
      <c r="AC536" s="673"/>
      <c r="AD536" s="634"/>
      <c r="AE536" s="587"/>
      <c r="AF536" s="587"/>
      <c r="AG536" s="582"/>
      <c r="AH536" s="582"/>
      <c r="AI536" s="582"/>
      <c r="AJ536" s="582"/>
      <c r="AK536" s="588"/>
      <c r="AL536" s="582"/>
      <c r="AM536" s="587"/>
      <c r="AN536" s="589"/>
      <c r="AO536" s="616"/>
      <c r="AP536" s="592"/>
      <c r="AQ536" s="358"/>
      <c r="AR536" s="592"/>
      <c r="AS536" s="592"/>
      <c r="AT536" s="592"/>
      <c r="AU536" s="592"/>
      <c r="AV536" s="592"/>
      <c r="AW536" s="592"/>
      <c r="AX536" s="592"/>
      <c r="AY536" s="592"/>
      <c r="AZ536" s="592"/>
      <c r="BA536" s="617"/>
      <c r="BB536" s="592"/>
      <c r="BC536" s="592"/>
      <c r="BD536" s="592"/>
      <c r="BE536" s="592"/>
      <c r="BF536" s="592"/>
      <c r="BG536" s="358"/>
      <c r="BH536" s="592"/>
      <c r="BI536" s="592"/>
      <c r="BJ536" s="592"/>
      <c r="BK536" s="592"/>
      <c r="BL536" s="592"/>
      <c r="BM536" s="592"/>
      <c r="BN536" s="592"/>
      <c r="BO536" s="592"/>
      <c r="BP536" s="592"/>
      <c r="BQ536" s="594"/>
      <c r="BR536" s="594"/>
      <c r="BS536" s="394"/>
      <c r="BT536" s="594"/>
      <c r="BU536" s="594"/>
      <c r="BV536" s="594"/>
      <c r="BW536" s="618"/>
      <c r="BX536" s="644"/>
      <c r="BY536" s="644"/>
    </row>
    <row r="537" ht="25.5" customHeight="1">
      <c r="A537" s="635"/>
      <c r="B537" s="695"/>
      <c r="C537" s="642"/>
      <c r="D537" s="642"/>
      <c r="E537" s="696"/>
      <c r="F537" s="696"/>
      <c r="G537" s="621"/>
      <c r="H537" s="577"/>
      <c r="I537" s="577"/>
      <c r="J537" s="613"/>
      <c r="K537" s="581"/>
      <c r="L537" s="581"/>
      <c r="M537" s="613"/>
      <c r="N537" s="613"/>
      <c r="O537" s="613"/>
      <c r="P537" s="580"/>
      <c r="Q537" s="580"/>
      <c r="R537" s="581"/>
      <c r="S537" s="581"/>
      <c r="T537" s="581"/>
      <c r="U537" s="582"/>
      <c r="V537" s="614"/>
      <c r="W537" s="581"/>
      <c r="X537" s="615"/>
      <c r="Y537" s="613"/>
      <c r="Z537" s="580"/>
      <c r="AA537" s="634"/>
      <c r="AB537" s="577"/>
      <c r="AC537" s="673"/>
      <c r="AD537" s="634"/>
      <c r="AE537" s="587"/>
      <c r="AF537" s="587"/>
      <c r="AG537" s="582"/>
      <c r="AH537" s="582"/>
      <c r="AI537" s="582"/>
      <c r="AJ537" s="582"/>
      <c r="AK537" s="588"/>
      <c r="AL537" s="582"/>
      <c r="AM537" s="587"/>
      <c r="AN537" s="589"/>
      <c r="AO537" s="616"/>
      <c r="AP537" s="592"/>
      <c r="AQ537" s="358"/>
      <c r="AR537" s="592"/>
      <c r="AS537" s="592"/>
      <c r="AT537" s="592"/>
      <c r="AU537" s="592"/>
      <c r="AV537" s="592"/>
      <c r="AW537" s="592"/>
      <c r="AX537" s="592"/>
      <c r="AY537" s="592"/>
      <c r="AZ537" s="592"/>
      <c r="BA537" s="617"/>
      <c r="BB537" s="592"/>
      <c r="BC537" s="592"/>
      <c r="BD537" s="592"/>
      <c r="BE537" s="592"/>
      <c r="BF537" s="592"/>
      <c r="BG537" s="358"/>
      <c r="BH537" s="592"/>
      <c r="BI537" s="592"/>
      <c r="BJ537" s="592"/>
      <c r="BK537" s="592"/>
      <c r="BL537" s="592"/>
      <c r="BM537" s="592"/>
      <c r="BN537" s="592"/>
      <c r="BO537" s="592"/>
      <c r="BP537" s="592"/>
      <c r="BQ537" s="594"/>
      <c r="BR537" s="594"/>
      <c r="BS537" s="394"/>
      <c r="BT537" s="594"/>
      <c r="BU537" s="594"/>
      <c r="BV537" s="594"/>
      <c r="BW537" s="618"/>
      <c r="BX537" s="644"/>
      <c r="BY537" s="644"/>
    </row>
    <row r="538" ht="25.5" customHeight="1">
      <c r="A538" s="635"/>
      <c r="B538" s="695"/>
      <c r="C538" s="642"/>
      <c r="D538" s="642"/>
      <c r="E538" s="696"/>
      <c r="F538" s="696"/>
      <c r="G538" s="621"/>
      <c r="H538" s="577"/>
      <c r="I538" s="577"/>
      <c r="J538" s="613"/>
      <c r="K538" s="581"/>
      <c r="L538" s="581"/>
      <c r="M538" s="613"/>
      <c r="N538" s="613"/>
      <c r="O538" s="613"/>
      <c r="P538" s="580"/>
      <c r="Q538" s="580"/>
      <c r="R538" s="581"/>
      <c r="S538" s="581"/>
      <c r="T538" s="581"/>
      <c r="U538" s="582"/>
      <c r="V538" s="614"/>
      <c r="W538" s="581"/>
      <c r="X538" s="615"/>
      <c r="Y538" s="613"/>
      <c r="Z538" s="580"/>
      <c r="AA538" s="634"/>
      <c r="AB538" s="577"/>
      <c r="AC538" s="673"/>
      <c r="AD538" s="634"/>
      <c r="AE538" s="587"/>
      <c r="AF538" s="587"/>
      <c r="AG538" s="582"/>
      <c r="AH538" s="582"/>
      <c r="AI538" s="582"/>
      <c r="AJ538" s="582"/>
      <c r="AK538" s="588"/>
      <c r="AL538" s="582"/>
      <c r="AM538" s="587"/>
      <c r="AN538" s="589"/>
      <c r="AO538" s="616"/>
      <c r="AP538" s="592"/>
      <c r="AQ538" s="358"/>
      <c r="AR538" s="592"/>
      <c r="AS538" s="592"/>
      <c r="AT538" s="592"/>
      <c r="AU538" s="592"/>
      <c r="AV538" s="592"/>
      <c r="AW538" s="592"/>
      <c r="AX538" s="592"/>
      <c r="AY538" s="592"/>
      <c r="AZ538" s="592"/>
      <c r="BA538" s="617"/>
      <c r="BB538" s="592"/>
      <c r="BC538" s="592"/>
      <c r="BD538" s="592"/>
      <c r="BE538" s="592"/>
      <c r="BF538" s="592"/>
      <c r="BG538" s="358"/>
      <c r="BH538" s="592"/>
      <c r="BI538" s="592"/>
      <c r="BJ538" s="592"/>
      <c r="BK538" s="592"/>
      <c r="BL538" s="592"/>
      <c r="BM538" s="592"/>
      <c r="BN538" s="592"/>
      <c r="BO538" s="592"/>
      <c r="BP538" s="592"/>
      <c r="BQ538" s="594"/>
      <c r="BR538" s="594"/>
      <c r="BS538" s="394"/>
      <c r="BT538" s="594"/>
      <c r="BU538" s="594"/>
      <c r="BV538" s="594"/>
      <c r="BW538" s="618"/>
      <c r="BX538" s="644"/>
      <c r="BY538" s="644"/>
    </row>
    <row r="539" ht="25.5" customHeight="1">
      <c r="A539" s="635"/>
      <c r="B539" s="695"/>
      <c r="C539" s="642"/>
      <c r="D539" s="642"/>
      <c r="E539" s="696"/>
      <c r="F539" s="696"/>
      <c r="G539" s="621"/>
      <c r="H539" s="577"/>
      <c r="I539" s="577"/>
      <c r="J539" s="613"/>
      <c r="K539" s="581"/>
      <c r="L539" s="581"/>
      <c r="M539" s="613"/>
      <c r="N539" s="613"/>
      <c r="O539" s="613"/>
      <c r="P539" s="580"/>
      <c r="Q539" s="580"/>
      <c r="R539" s="581"/>
      <c r="S539" s="581"/>
      <c r="T539" s="581"/>
      <c r="U539" s="582"/>
      <c r="V539" s="614"/>
      <c r="W539" s="581"/>
      <c r="X539" s="615"/>
      <c r="Y539" s="613"/>
      <c r="Z539" s="580"/>
      <c r="AA539" s="634"/>
      <c r="AB539" s="577"/>
      <c r="AC539" s="673"/>
      <c r="AD539" s="634"/>
      <c r="AE539" s="587"/>
      <c r="AF539" s="587"/>
      <c r="AG539" s="582"/>
      <c r="AH539" s="582"/>
      <c r="AI539" s="582"/>
      <c r="AJ539" s="582"/>
      <c r="AK539" s="588"/>
      <c r="AL539" s="582"/>
      <c r="AM539" s="587"/>
      <c r="AN539" s="589"/>
      <c r="AO539" s="616"/>
      <c r="AP539" s="592"/>
      <c r="AQ539" s="358"/>
      <c r="AR539" s="592"/>
      <c r="AS539" s="592"/>
      <c r="AT539" s="592"/>
      <c r="AU539" s="592"/>
      <c r="AV539" s="592"/>
      <c r="AW539" s="592"/>
      <c r="AX539" s="592"/>
      <c r="AY539" s="592"/>
      <c r="AZ539" s="592"/>
      <c r="BA539" s="617"/>
      <c r="BB539" s="592"/>
      <c r="BC539" s="592"/>
      <c r="BD539" s="592"/>
      <c r="BE539" s="592"/>
      <c r="BF539" s="592"/>
      <c r="BG539" s="358"/>
      <c r="BH539" s="592"/>
      <c r="BI539" s="592"/>
      <c r="BJ539" s="592"/>
      <c r="BK539" s="592"/>
      <c r="BL539" s="592"/>
      <c r="BM539" s="592"/>
      <c r="BN539" s="592"/>
      <c r="BO539" s="592"/>
      <c r="BP539" s="592"/>
      <c r="BQ539" s="594"/>
      <c r="BR539" s="594"/>
      <c r="BS539" s="394"/>
      <c r="BT539" s="594"/>
      <c r="BU539" s="594"/>
      <c r="BV539" s="594"/>
      <c r="BW539" s="618"/>
      <c r="BX539" s="644"/>
      <c r="BY539" s="644"/>
    </row>
    <row r="540" ht="25.5" customHeight="1">
      <c r="A540" s="635"/>
      <c r="B540" s="695"/>
      <c r="C540" s="642"/>
      <c r="D540" s="642"/>
      <c r="E540" s="696"/>
      <c r="F540" s="696"/>
      <c r="G540" s="621"/>
      <c r="H540" s="577"/>
      <c r="I540" s="577"/>
      <c r="J540" s="613"/>
      <c r="K540" s="581"/>
      <c r="L540" s="581"/>
      <c r="M540" s="613"/>
      <c r="N540" s="613"/>
      <c r="O540" s="613"/>
      <c r="P540" s="580"/>
      <c r="Q540" s="580"/>
      <c r="R540" s="581"/>
      <c r="S540" s="581"/>
      <c r="T540" s="581"/>
      <c r="U540" s="582"/>
      <c r="V540" s="614"/>
      <c r="W540" s="581"/>
      <c r="X540" s="615"/>
      <c r="Y540" s="613"/>
      <c r="Z540" s="580"/>
      <c r="AA540" s="634"/>
      <c r="AB540" s="577"/>
      <c r="AC540" s="673"/>
      <c r="AD540" s="634"/>
      <c r="AE540" s="587"/>
      <c r="AF540" s="587"/>
      <c r="AG540" s="582"/>
      <c r="AH540" s="582"/>
      <c r="AI540" s="582"/>
      <c r="AJ540" s="582"/>
      <c r="AK540" s="588"/>
      <c r="AL540" s="582"/>
      <c r="AM540" s="587"/>
      <c r="AN540" s="589"/>
      <c r="AO540" s="616"/>
      <c r="AP540" s="592"/>
      <c r="AQ540" s="358"/>
      <c r="AR540" s="592"/>
      <c r="AS540" s="592"/>
      <c r="AT540" s="592"/>
      <c r="AU540" s="592"/>
      <c r="AV540" s="592"/>
      <c r="AW540" s="592"/>
      <c r="AX540" s="592"/>
      <c r="AY540" s="592"/>
      <c r="AZ540" s="592"/>
      <c r="BA540" s="617"/>
      <c r="BB540" s="592"/>
      <c r="BC540" s="592"/>
      <c r="BD540" s="592"/>
      <c r="BE540" s="592"/>
      <c r="BF540" s="592"/>
      <c r="BG540" s="358"/>
      <c r="BH540" s="592"/>
      <c r="BI540" s="592"/>
      <c r="BJ540" s="592"/>
      <c r="BK540" s="592"/>
      <c r="BL540" s="592"/>
      <c r="BM540" s="592"/>
      <c r="BN540" s="592"/>
      <c r="BO540" s="592"/>
      <c r="BP540" s="592"/>
      <c r="BQ540" s="594"/>
      <c r="BR540" s="594"/>
      <c r="BS540" s="394"/>
      <c r="BT540" s="594"/>
      <c r="BU540" s="594"/>
      <c r="BV540" s="594"/>
      <c r="BW540" s="618"/>
      <c r="BX540" s="644"/>
      <c r="BY540" s="644"/>
    </row>
    <row r="541" ht="25.5" customHeight="1">
      <c r="A541" s="635"/>
      <c r="B541" s="695"/>
      <c r="C541" s="642"/>
      <c r="D541" s="642"/>
      <c r="E541" s="696"/>
      <c r="F541" s="696"/>
      <c r="G541" s="621"/>
      <c r="H541" s="577"/>
      <c r="I541" s="577"/>
      <c r="J541" s="613"/>
      <c r="K541" s="581"/>
      <c r="L541" s="581"/>
      <c r="M541" s="613"/>
      <c r="N541" s="613"/>
      <c r="O541" s="613"/>
      <c r="P541" s="580"/>
      <c r="Q541" s="580"/>
      <c r="R541" s="581"/>
      <c r="S541" s="581"/>
      <c r="T541" s="581"/>
      <c r="U541" s="582"/>
      <c r="V541" s="614"/>
      <c r="W541" s="581"/>
      <c r="X541" s="615"/>
      <c r="Y541" s="613"/>
      <c r="Z541" s="580"/>
      <c r="AA541" s="634"/>
      <c r="AB541" s="577"/>
      <c r="AC541" s="673"/>
      <c r="AD541" s="634"/>
      <c r="AE541" s="587"/>
      <c r="AF541" s="587"/>
      <c r="AG541" s="582"/>
      <c r="AH541" s="582"/>
      <c r="AI541" s="582"/>
      <c r="AJ541" s="582"/>
      <c r="AK541" s="588"/>
      <c r="AL541" s="582"/>
      <c r="AM541" s="587"/>
      <c r="AN541" s="589"/>
      <c r="AO541" s="616"/>
      <c r="AP541" s="592"/>
      <c r="AQ541" s="358"/>
      <c r="AR541" s="592"/>
      <c r="AS541" s="592"/>
      <c r="AT541" s="592"/>
      <c r="AU541" s="592"/>
      <c r="AV541" s="592"/>
      <c r="AW541" s="592"/>
      <c r="AX541" s="592"/>
      <c r="AY541" s="592"/>
      <c r="AZ541" s="592"/>
      <c r="BA541" s="617"/>
      <c r="BB541" s="592"/>
      <c r="BC541" s="592"/>
      <c r="BD541" s="592"/>
      <c r="BE541" s="592"/>
      <c r="BF541" s="592"/>
      <c r="BG541" s="358"/>
      <c r="BH541" s="592"/>
      <c r="BI541" s="592"/>
      <c r="BJ541" s="592"/>
      <c r="BK541" s="592"/>
      <c r="BL541" s="592"/>
      <c r="BM541" s="592"/>
      <c r="BN541" s="592"/>
      <c r="BO541" s="592"/>
      <c r="BP541" s="592"/>
      <c r="BQ541" s="594"/>
      <c r="BR541" s="594"/>
      <c r="BS541" s="394"/>
      <c r="BT541" s="594"/>
      <c r="BU541" s="594"/>
      <c r="BV541" s="594"/>
      <c r="BW541" s="618"/>
      <c r="BX541" s="644"/>
      <c r="BY541" s="644"/>
    </row>
    <row r="542" ht="25.5" customHeight="1">
      <c r="A542" s="635"/>
      <c r="B542" s="695"/>
      <c r="C542" s="642"/>
      <c r="D542" s="642"/>
      <c r="E542" s="696"/>
      <c r="F542" s="696"/>
      <c r="G542" s="621"/>
      <c r="H542" s="577"/>
      <c r="I542" s="577"/>
      <c r="J542" s="613"/>
      <c r="K542" s="581"/>
      <c r="L542" s="581"/>
      <c r="M542" s="613"/>
      <c r="N542" s="613"/>
      <c r="O542" s="613"/>
      <c r="P542" s="580"/>
      <c r="Q542" s="580"/>
      <c r="R542" s="581"/>
      <c r="S542" s="581"/>
      <c r="T542" s="581"/>
      <c r="U542" s="582"/>
      <c r="V542" s="614"/>
      <c r="W542" s="581"/>
      <c r="X542" s="615"/>
      <c r="Y542" s="613"/>
      <c r="Z542" s="580"/>
      <c r="AA542" s="634"/>
      <c r="AB542" s="577"/>
      <c r="AC542" s="673"/>
      <c r="AD542" s="634"/>
      <c r="AE542" s="587"/>
      <c r="AF542" s="587"/>
      <c r="AG542" s="582"/>
      <c r="AH542" s="582"/>
      <c r="AI542" s="582"/>
      <c r="AJ542" s="582"/>
      <c r="AK542" s="588"/>
      <c r="AL542" s="582"/>
      <c r="AM542" s="587"/>
      <c r="AN542" s="589"/>
      <c r="AO542" s="616"/>
      <c r="AP542" s="592"/>
      <c r="AQ542" s="358"/>
      <c r="AR542" s="592"/>
      <c r="AS542" s="592"/>
      <c r="AT542" s="592"/>
      <c r="AU542" s="592"/>
      <c r="AV542" s="592"/>
      <c r="AW542" s="592"/>
      <c r="AX542" s="592"/>
      <c r="AY542" s="592"/>
      <c r="AZ542" s="592"/>
      <c r="BA542" s="617"/>
      <c r="BB542" s="592"/>
      <c r="BC542" s="592"/>
      <c r="BD542" s="592"/>
      <c r="BE542" s="592"/>
      <c r="BF542" s="592"/>
      <c r="BG542" s="358"/>
      <c r="BH542" s="592"/>
      <c r="BI542" s="592"/>
      <c r="BJ542" s="592"/>
      <c r="BK542" s="592"/>
      <c r="BL542" s="592"/>
      <c r="BM542" s="592"/>
      <c r="BN542" s="592"/>
      <c r="BO542" s="592"/>
      <c r="BP542" s="592"/>
      <c r="BQ542" s="594"/>
      <c r="BR542" s="594"/>
      <c r="BS542" s="394"/>
      <c r="BT542" s="594"/>
      <c r="BU542" s="594"/>
      <c r="BV542" s="594"/>
      <c r="BW542" s="618"/>
      <c r="BX542" s="644"/>
      <c r="BY542" s="644"/>
    </row>
    <row r="543" ht="25.5" customHeight="1">
      <c r="A543" s="635"/>
      <c r="B543" s="695"/>
      <c r="C543" s="642"/>
      <c r="D543" s="642"/>
      <c r="E543" s="696"/>
      <c r="F543" s="696"/>
      <c r="G543" s="621"/>
      <c r="H543" s="577"/>
      <c r="I543" s="577"/>
      <c r="J543" s="613"/>
      <c r="K543" s="581"/>
      <c r="L543" s="581"/>
      <c r="M543" s="613"/>
      <c r="N543" s="613"/>
      <c r="O543" s="613"/>
      <c r="P543" s="580"/>
      <c r="Q543" s="580"/>
      <c r="R543" s="581"/>
      <c r="S543" s="581"/>
      <c r="T543" s="581"/>
      <c r="U543" s="582"/>
      <c r="V543" s="614"/>
      <c r="W543" s="581"/>
      <c r="X543" s="615"/>
      <c r="Y543" s="613"/>
      <c r="Z543" s="580"/>
      <c r="AA543" s="634"/>
      <c r="AB543" s="577"/>
      <c r="AC543" s="673"/>
      <c r="AD543" s="634"/>
      <c r="AE543" s="587"/>
      <c r="AF543" s="587"/>
      <c r="AG543" s="582"/>
      <c r="AH543" s="582"/>
      <c r="AI543" s="582"/>
      <c r="AJ543" s="582"/>
      <c r="AK543" s="588"/>
      <c r="AL543" s="582"/>
      <c r="AM543" s="587"/>
      <c r="AN543" s="589"/>
      <c r="AO543" s="616"/>
      <c r="AP543" s="592"/>
      <c r="AQ543" s="358"/>
      <c r="AR543" s="592"/>
      <c r="AS543" s="592"/>
      <c r="AT543" s="592"/>
      <c r="AU543" s="592"/>
      <c r="AV543" s="592"/>
      <c r="AW543" s="592"/>
      <c r="AX543" s="592"/>
      <c r="AY543" s="592"/>
      <c r="AZ543" s="592"/>
      <c r="BA543" s="617"/>
      <c r="BB543" s="592"/>
      <c r="BC543" s="592"/>
      <c r="BD543" s="592"/>
      <c r="BE543" s="592"/>
      <c r="BF543" s="592"/>
      <c r="BG543" s="358"/>
      <c r="BH543" s="592"/>
      <c r="BI543" s="592"/>
      <c r="BJ543" s="592"/>
      <c r="BK543" s="592"/>
      <c r="BL543" s="592"/>
      <c r="BM543" s="592"/>
      <c r="BN543" s="592"/>
      <c r="BO543" s="592"/>
      <c r="BP543" s="592"/>
      <c r="BQ543" s="594"/>
      <c r="BR543" s="594"/>
      <c r="BS543" s="394"/>
      <c r="BT543" s="594"/>
      <c r="BU543" s="594"/>
      <c r="BV543" s="594"/>
      <c r="BW543" s="618"/>
      <c r="BX543" s="644"/>
      <c r="BY543" s="644"/>
    </row>
    <row r="544" ht="25.5" customHeight="1">
      <c r="A544" s="635"/>
      <c r="B544" s="695"/>
      <c r="C544" s="642"/>
      <c r="D544" s="642"/>
      <c r="E544" s="696"/>
      <c r="F544" s="696"/>
      <c r="G544" s="621"/>
      <c r="H544" s="577"/>
      <c r="I544" s="577"/>
      <c r="J544" s="613"/>
      <c r="K544" s="581"/>
      <c r="L544" s="581"/>
      <c r="M544" s="613"/>
      <c r="N544" s="613"/>
      <c r="O544" s="613"/>
      <c r="P544" s="580"/>
      <c r="Q544" s="580"/>
      <c r="R544" s="581"/>
      <c r="S544" s="581"/>
      <c r="T544" s="581"/>
      <c r="U544" s="582"/>
      <c r="V544" s="614"/>
      <c r="W544" s="581"/>
      <c r="X544" s="615"/>
      <c r="Y544" s="613"/>
      <c r="Z544" s="580"/>
      <c r="AA544" s="634"/>
      <c r="AB544" s="577"/>
      <c r="AC544" s="673"/>
      <c r="AD544" s="634"/>
      <c r="AE544" s="587"/>
      <c r="AF544" s="587"/>
      <c r="AG544" s="582"/>
      <c r="AH544" s="582"/>
      <c r="AI544" s="582"/>
      <c r="AJ544" s="582"/>
      <c r="AK544" s="588"/>
      <c r="AL544" s="582"/>
      <c r="AM544" s="587"/>
      <c r="AN544" s="589"/>
      <c r="AO544" s="616"/>
      <c r="AP544" s="592"/>
      <c r="AQ544" s="358"/>
      <c r="AR544" s="592"/>
      <c r="AS544" s="592"/>
      <c r="AT544" s="592"/>
      <c r="AU544" s="592"/>
      <c r="AV544" s="592"/>
      <c r="AW544" s="592"/>
      <c r="AX544" s="592"/>
      <c r="AY544" s="592"/>
      <c r="AZ544" s="592"/>
      <c r="BA544" s="617"/>
      <c r="BB544" s="592"/>
      <c r="BC544" s="592"/>
      <c r="BD544" s="592"/>
      <c r="BE544" s="592"/>
      <c r="BF544" s="592"/>
      <c r="BG544" s="358"/>
      <c r="BH544" s="592"/>
      <c r="BI544" s="592"/>
      <c r="BJ544" s="592"/>
      <c r="BK544" s="592"/>
      <c r="BL544" s="592"/>
      <c r="BM544" s="592"/>
      <c r="BN544" s="592"/>
      <c r="BO544" s="592"/>
      <c r="BP544" s="592"/>
      <c r="BQ544" s="594"/>
      <c r="BR544" s="594"/>
      <c r="BS544" s="394"/>
      <c r="BT544" s="594"/>
      <c r="BU544" s="594"/>
      <c r="BV544" s="594"/>
      <c r="BW544" s="618"/>
      <c r="BX544" s="644"/>
      <c r="BY544" s="644"/>
    </row>
    <row r="545" ht="25.5" customHeight="1">
      <c r="A545" s="635"/>
      <c r="B545" s="695"/>
      <c r="C545" s="642"/>
      <c r="D545" s="642"/>
      <c r="E545" s="696"/>
      <c r="F545" s="696"/>
      <c r="G545" s="621"/>
      <c r="H545" s="577"/>
      <c r="I545" s="577"/>
      <c r="J545" s="613"/>
      <c r="K545" s="581"/>
      <c r="L545" s="581"/>
      <c r="M545" s="613"/>
      <c r="N545" s="613"/>
      <c r="O545" s="613"/>
      <c r="P545" s="580"/>
      <c r="Q545" s="580"/>
      <c r="R545" s="581"/>
      <c r="S545" s="581"/>
      <c r="T545" s="581"/>
      <c r="U545" s="582"/>
      <c r="V545" s="614"/>
      <c r="W545" s="581"/>
      <c r="X545" s="615"/>
      <c r="Y545" s="613"/>
      <c r="Z545" s="580"/>
      <c r="AA545" s="634"/>
      <c r="AB545" s="577"/>
      <c r="AC545" s="673"/>
      <c r="AD545" s="634"/>
      <c r="AE545" s="587"/>
      <c r="AF545" s="587"/>
      <c r="AG545" s="582"/>
      <c r="AH545" s="582"/>
      <c r="AI545" s="582"/>
      <c r="AJ545" s="582"/>
      <c r="AK545" s="588"/>
      <c r="AL545" s="582"/>
      <c r="AM545" s="587"/>
      <c r="AN545" s="589"/>
      <c r="AO545" s="616"/>
      <c r="AP545" s="592"/>
      <c r="AQ545" s="358"/>
      <c r="AR545" s="592"/>
      <c r="AS545" s="592"/>
      <c r="AT545" s="592"/>
      <c r="AU545" s="592"/>
      <c r="AV545" s="592"/>
      <c r="AW545" s="592"/>
      <c r="AX545" s="592"/>
      <c r="AY545" s="592"/>
      <c r="AZ545" s="592"/>
      <c r="BA545" s="617"/>
      <c r="BB545" s="592"/>
      <c r="BC545" s="592"/>
      <c r="BD545" s="592"/>
      <c r="BE545" s="592"/>
      <c r="BF545" s="592"/>
      <c r="BG545" s="358"/>
      <c r="BH545" s="592"/>
      <c r="BI545" s="592"/>
      <c r="BJ545" s="592"/>
      <c r="BK545" s="592"/>
      <c r="BL545" s="592"/>
      <c r="BM545" s="592"/>
      <c r="BN545" s="592"/>
      <c r="BO545" s="592"/>
      <c r="BP545" s="592"/>
      <c r="BQ545" s="594"/>
      <c r="BR545" s="594"/>
      <c r="BS545" s="394"/>
      <c r="BT545" s="594"/>
      <c r="BU545" s="594"/>
      <c r="BV545" s="594"/>
      <c r="BW545" s="618"/>
      <c r="BX545" s="644"/>
      <c r="BY545" s="644"/>
    </row>
    <row r="546" ht="25.5" customHeight="1">
      <c r="A546" s="635"/>
      <c r="B546" s="695"/>
      <c r="C546" s="642"/>
      <c r="D546" s="642"/>
      <c r="E546" s="696"/>
      <c r="F546" s="696"/>
      <c r="G546" s="621"/>
      <c r="H546" s="577"/>
      <c r="I546" s="577"/>
      <c r="J546" s="613"/>
      <c r="K546" s="581"/>
      <c r="L546" s="581"/>
      <c r="M546" s="613"/>
      <c r="N546" s="613"/>
      <c r="O546" s="613"/>
      <c r="P546" s="580"/>
      <c r="Q546" s="580"/>
      <c r="R546" s="581"/>
      <c r="S546" s="581"/>
      <c r="T546" s="581"/>
      <c r="U546" s="582"/>
      <c r="V546" s="614"/>
      <c r="W546" s="581"/>
      <c r="X546" s="615"/>
      <c r="Y546" s="613"/>
      <c r="Z546" s="580"/>
      <c r="AA546" s="634"/>
      <c r="AB546" s="577"/>
      <c r="AC546" s="673"/>
      <c r="AD546" s="634"/>
      <c r="AE546" s="587"/>
      <c r="AF546" s="587"/>
      <c r="AG546" s="582"/>
      <c r="AH546" s="582"/>
      <c r="AI546" s="582"/>
      <c r="AJ546" s="582"/>
      <c r="AK546" s="588"/>
      <c r="AL546" s="582"/>
      <c r="AM546" s="587"/>
      <c r="AN546" s="589"/>
      <c r="AO546" s="616"/>
      <c r="AP546" s="592"/>
      <c r="AQ546" s="358"/>
      <c r="AR546" s="592"/>
      <c r="AS546" s="592"/>
      <c r="AT546" s="592"/>
      <c r="AU546" s="592"/>
      <c r="AV546" s="592"/>
      <c r="AW546" s="592"/>
      <c r="AX546" s="592"/>
      <c r="AY546" s="592"/>
      <c r="AZ546" s="592"/>
      <c r="BA546" s="617"/>
      <c r="BB546" s="592"/>
      <c r="BC546" s="592"/>
      <c r="BD546" s="592"/>
      <c r="BE546" s="592"/>
      <c r="BF546" s="592"/>
      <c r="BG546" s="358"/>
      <c r="BH546" s="592"/>
      <c r="BI546" s="592"/>
      <c r="BJ546" s="592"/>
      <c r="BK546" s="592"/>
      <c r="BL546" s="592"/>
      <c r="BM546" s="592"/>
      <c r="BN546" s="592"/>
      <c r="BO546" s="592"/>
      <c r="BP546" s="592"/>
      <c r="BQ546" s="594"/>
      <c r="BR546" s="594"/>
      <c r="BS546" s="394"/>
      <c r="BT546" s="594"/>
      <c r="BU546" s="594"/>
      <c r="BV546" s="594"/>
      <c r="BW546" s="618"/>
      <c r="BX546" s="644"/>
      <c r="BY546" s="644"/>
    </row>
    <row r="547" ht="25.5" customHeight="1">
      <c r="A547" s="635"/>
      <c r="B547" s="695"/>
      <c r="C547" s="642"/>
      <c r="D547" s="642"/>
      <c r="E547" s="696"/>
      <c r="F547" s="696"/>
      <c r="G547" s="621"/>
      <c r="H547" s="577"/>
      <c r="I547" s="577"/>
      <c r="J547" s="613"/>
      <c r="K547" s="581"/>
      <c r="L547" s="581"/>
      <c r="M547" s="613"/>
      <c r="N547" s="613"/>
      <c r="O547" s="613"/>
      <c r="P547" s="580"/>
      <c r="Q547" s="580"/>
      <c r="R547" s="581"/>
      <c r="S547" s="581"/>
      <c r="T547" s="581"/>
      <c r="U547" s="582"/>
      <c r="V547" s="614"/>
      <c r="W547" s="581"/>
      <c r="X547" s="615"/>
      <c r="Y547" s="613"/>
      <c r="Z547" s="580"/>
      <c r="AA547" s="634"/>
      <c r="AB547" s="577"/>
      <c r="AC547" s="673"/>
      <c r="AD547" s="634"/>
      <c r="AE547" s="587"/>
      <c r="AF547" s="587"/>
      <c r="AG547" s="582"/>
      <c r="AH547" s="582"/>
      <c r="AI547" s="582"/>
      <c r="AJ547" s="582"/>
      <c r="AK547" s="588"/>
      <c r="AL547" s="582"/>
      <c r="AM547" s="587"/>
      <c r="AN547" s="589"/>
      <c r="AO547" s="616"/>
      <c r="AP547" s="592"/>
      <c r="AQ547" s="358"/>
      <c r="AR547" s="592"/>
      <c r="AS547" s="592"/>
      <c r="AT547" s="592"/>
      <c r="AU547" s="592"/>
      <c r="AV547" s="592"/>
      <c r="AW547" s="592"/>
      <c r="AX547" s="592"/>
      <c r="AY547" s="592"/>
      <c r="AZ547" s="592"/>
      <c r="BA547" s="617"/>
      <c r="BB547" s="592"/>
      <c r="BC547" s="592"/>
      <c r="BD547" s="592"/>
      <c r="BE547" s="592"/>
      <c r="BF547" s="592"/>
      <c r="BG547" s="358"/>
      <c r="BH547" s="592"/>
      <c r="BI547" s="592"/>
      <c r="BJ547" s="592"/>
      <c r="BK547" s="592"/>
      <c r="BL547" s="592"/>
      <c r="BM547" s="592"/>
      <c r="BN547" s="592"/>
      <c r="BO547" s="592"/>
      <c r="BP547" s="592"/>
      <c r="BQ547" s="594"/>
      <c r="BR547" s="594"/>
      <c r="BS547" s="394"/>
      <c r="BT547" s="594"/>
      <c r="BU547" s="594"/>
      <c r="BV547" s="594"/>
      <c r="BW547" s="618"/>
      <c r="BX547" s="644"/>
      <c r="BY547" s="644"/>
    </row>
    <row r="548" ht="25.5" customHeight="1">
      <c r="A548" s="635"/>
      <c r="B548" s="695"/>
      <c r="C548" s="642"/>
      <c r="D548" s="642"/>
      <c r="E548" s="696"/>
      <c r="F548" s="696"/>
      <c r="G548" s="621"/>
      <c r="H548" s="577"/>
      <c r="I548" s="577"/>
      <c r="J548" s="613"/>
      <c r="K548" s="581"/>
      <c r="L548" s="581"/>
      <c r="M548" s="613"/>
      <c r="N548" s="613"/>
      <c r="O548" s="613"/>
      <c r="P548" s="580"/>
      <c r="Q548" s="580"/>
      <c r="R548" s="581"/>
      <c r="S548" s="581"/>
      <c r="T548" s="581"/>
      <c r="U548" s="582"/>
      <c r="V548" s="614"/>
      <c r="W548" s="581"/>
      <c r="X548" s="615"/>
      <c r="Y548" s="613"/>
      <c r="Z548" s="580"/>
      <c r="AA548" s="634"/>
      <c r="AB548" s="577"/>
      <c r="AC548" s="673"/>
      <c r="AD548" s="634"/>
      <c r="AE548" s="587"/>
      <c r="AF548" s="587"/>
      <c r="AG548" s="582"/>
      <c r="AH548" s="582"/>
      <c r="AI548" s="582"/>
      <c r="AJ548" s="582"/>
      <c r="AK548" s="588"/>
      <c r="AL548" s="582"/>
      <c r="AM548" s="587"/>
      <c r="AN548" s="589"/>
      <c r="AO548" s="616"/>
      <c r="AP548" s="592"/>
      <c r="AQ548" s="358"/>
      <c r="AR548" s="592"/>
      <c r="AS548" s="592"/>
      <c r="AT548" s="592"/>
      <c r="AU548" s="592"/>
      <c r="AV548" s="592"/>
      <c r="AW548" s="592"/>
      <c r="AX548" s="592"/>
      <c r="AY548" s="592"/>
      <c r="AZ548" s="592"/>
      <c r="BA548" s="617"/>
      <c r="BB548" s="592"/>
      <c r="BC548" s="592"/>
      <c r="BD548" s="592"/>
      <c r="BE548" s="592"/>
      <c r="BF548" s="592"/>
      <c r="BG548" s="358"/>
      <c r="BH548" s="592"/>
      <c r="BI548" s="592"/>
      <c r="BJ548" s="592"/>
      <c r="BK548" s="592"/>
      <c r="BL548" s="592"/>
      <c r="BM548" s="592"/>
      <c r="BN548" s="592"/>
      <c r="BO548" s="592"/>
      <c r="BP548" s="592"/>
      <c r="BQ548" s="594"/>
      <c r="BR548" s="594"/>
      <c r="BS548" s="394"/>
      <c r="BT548" s="594"/>
      <c r="BU548" s="594"/>
      <c r="BV548" s="594"/>
      <c r="BW548" s="618"/>
      <c r="BX548" s="644"/>
      <c r="BY548" s="644"/>
    </row>
    <row r="549" ht="25.5" customHeight="1">
      <c r="A549" s="635"/>
      <c r="B549" s="695"/>
      <c r="C549" s="642"/>
      <c r="D549" s="642"/>
      <c r="E549" s="696"/>
      <c r="F549" s="696"/>
      <c r="G549" s="621"/>
      <c r="H549" s="577"/>
      <c r="I549" s="577"/>
      <c r="J549" s="613"/>
      <c r="K549" s="581"/>
      <c r="L549" s="581"/>
      <c r="M549" s="613"/>
      <c r="N549" s="613"/>
      <c r="O549" s="613"/>
      <c r="P549" s="580"/>
      <c r="Q549" s="580"/>
      <c r="R549" s="581"/>
      <c r="S549" s="581"/>
      <c r="T549" s="581"/>
      <c r="U549" s="582"/>
      <c r="V549" s="614"/>
      <c r="W549" s="581"/>
      <c r="X549" s="615"/>
      <c r="Y549" s="613"/>
      <c r="Z549" s="580"/>
      <c r="AA549" s="634"/>
      <c r="AB549" s="577"/>
      <c r="AC549" s="673"/>
      <c r="AD549" s="634"/>
      <c r="AE549" s="587"/>
      <c r="AF549" s="587"/>
      <c r="AG549" s="582"/>
      <c r="AH549" s="582"/>
      <c r="AI549" s="582"/>
      <c r="AJ549" s="582"/>
      <c r="AK549" s="588"/>
      <c r="AL549" s="582"/>
      <c r="AM549" s="587"/>
      <c r="AN549" s="589"/>
      <c r="AO549" s="616"/>
      <c r="AP549" s="592"/>
      <c r="AQ549" s="358"/>
      <c r="AR549" s="592"/>
      <c r="AS549" s="592"/>
      <c r="AT549" s="592"/>
      <c r="AU549" s="592"/>
      <c r="AV549" s="592"/>
      <c r="AW549" s="592"/>
      <c r="AX549" s="592"/>
      <c r="AY549" s="592"/>
      <c r="AZ549" s="592"/>
      <c r="BA549" s="617"/>
      <c r="BB549" s="592"/>
      <c r="BC549" s="592"/>
      <c r="BD549" s="592"/>
      <c r="BE549" s="592"/>
      <c r="BF549" s="592"/>
      <c r="BG549" s="358"/>
      <c r="BH549" s="592"/>
      <c r="BI549" s="592"/>
      <c r="BJ549" s="592"/>
      <c r="BK549" s="592"/>
      <c r="BL549" s="592"/>
      <c r="BM549" s="592"/>
      <c r="BN549" s="592"/>
      <c r="BO549" s="592"/>
      <c r="BP549" s="592"/>
      <c r="BQ549" s="594"/>
      <c r="BR549" s="594"/>
      <c r="BS549" s="394"/>
      <c r="BT549" s="594"/>
      <c r="BU549" s="594"/>
      <c r="BV549" s="594"/>
      <c r="BW549" s="618"/>
      <c r="BX549" s="644"/>
      <c r="BY549" s="644"/>
    </row>
    <row r="550" ht="25.5" customHeight="1">
      <c r="A550" s="635"/>
      <c r="B550" s="695"/>
      <c r="C550" s="642"/>
      <c r="D550" s="642"/>
      <c r="E550" s="696"/>
      <c r="F550" s="696"/>
      <c r="G550" s="621"/>
      <c r="H550" s="577"/>
      <c r="I550" s="577"/>
      <c r="J550" s="613"/>
      <c r="K550" s="581"/>
      <c r="L550" s="581"/>
      <c r="M550" s="613"/>
      <c r="N550" s="613"/>
      <c r="O550" s="613"/>
      <c r="P550" s="580"/>
      <c r="Q550" s="580"/>
      <c r="R550" s="581"/>
      <c r="S550" s="581"/>
      <c r="T550" s="581"/>
      <c r="U550" s="582"/>
      <c r="V550" s="614"/>
      <c r="W550" s="581"/>
      <c r="X550" s="615"/>
      <c r="Y550" s="613"/>
      <c r="Z550" s="580"/>
      <c r="AA550" s="634"/>
      <c r="AB550" s="577"/>
      <c r="AC550" s="673"/>
      <c r="AD550" s="634"/>
      <c r="AE550" s="587"/>
      <c r="AF550" s="587"/>
      <c r="AG550" s="582"/>
      <c r="AH550" s="582"/>
      <c r="AI550" s="582"/>
      <c r="AJ550" s="582"/>
      <c r="AK550" s="588"/>
      <c r="AL550" s="582"/>
      <c r="AM550" s="587"/>
      <c r="AN550" s="589"/>
      <c r="AO550" s="616"/>
      <c r="AP550" s="592"/>
      <c r="AQ550" s="358"/>
      <c r="AR550" s="592"/>
      <c r="AS550" s="592"/>
      <c r="AT550" s="592"/>
      <c r="AU550" s="592"/>
      <c r="AV550" s="592"/>
      <c r="AW550" s="592"/>
      <c r="AX550" s="592"/>
      <c r="AY550" s="592"/>
      <c r="AZ550" s="592"/>
      <c r="BA550" s="617"/>
      <c r="BB550" s="592"/>
      <c r="BC550" s="592"/>
      <c r="BD550" s="592"/>
      <c r="BE550" s="592"/>
      <c r="BF550" s="592"/>
      <c r="BG550" s="358"/>
      <c r="BH550" s="592"/>
      <c r="BI550" s="592"/>
      <c r="BJ550" s="592"/>
      <c r="BK550" s="592"/>
      <c r="BL550" s="592"/>
      <c r="BM550" s="592"/>
      <c r="BN550" s="592"/>
      <c r="BO550" s="592"/>
      <c r="BP550" s="592"/>
      <c r="BQ550" s="594"/>
      <c r="BR550" s="594"/>
      <c r="BS550" s="394"/>
      <c r="BT550" s="594"/>
      <c r="BU550" s="594"/>
      <c r="BV550" s="594"/>
      <c r="BW550" s="618"/>
      <c r="BX550" s="644"/>
      <c r="BY550" s="644"/>
    </row>
    <row r="551" ht="25.5" customHeight="1">
      <c r="A551" s="635"/>
      <c r="B551" s="695"/>
      <c r="C551" s="642"/>
      <c r="D551" s="642"/>
      <c r="E551" s="696"/>
      <c r="F551" s="696"/>
      <c r="G551" s="621"/>
      <c r="H551" s="577"/>
      <c r="I551" s="577"/>
      <c r="J551" s="613"/>
      <c r="K551" s="581"/>
      <c r="L551" s="581"/>
      <c r="M551" s="613"/>
      <c r="N551" s="613"/>
      <c r="O551" s="613"/>
      <c r="P551" s="580"/>
      <c r="Q551" s="580"/>
      <c r="R551" s="581"/>
      <c r="S551" s="581"/>
      <c r="T551" s="581"/>
      <c r="U551" s="582"/>
      <c r="V551" s="614"/>
      <c r="W551" s="581"/>
      <c r="X551" s="615"/>
      <c r="Y551" s="613"/>
      <c r="Z551" s="580"/>
      <c r="AA551" s="634"/>
      <c r="AB551" s="577"/>
      <c r="AC551" s="673"/>
      <c r="AD551" s="634"/>
      <c r="AE551" s="587"/>
      <c r="AF551" s="587"/>
      <c r="AG551" s="582"/>
      <c r="AH551" s="582"/>
      <c r="AI551" s="582"/>
      <c r="AJ551" s="582"/>
      <c r="AK551" s="588"/>
      <c r="AL551" s="582"/>
      <c r="AM551" s="587"/>
      <c r="AN551" s="589"/>
      <c r="AO551" s="616"/>
      <c r="AP551" s="592"/>
      <c r="AQ551" s="358"/>
      <c r="AR551" s="592"/>
      <c r="AS551" s="592"/>
      <c r="AT551" s="592"/>
      <c r="AU551" s="592"/>
      <c r="AV551" s="592"/>
      <c r="AW551" s="592"/>
      <c r="AX551" s="592"/>
      <c r="AY551" s="592"/>
      <c r="AZ551" s="592"/>
      <c r="BA551" s="617"/>
      <c r="BB551" s="592"/>
      <c r="BC551" s="592"/>
      <c r="BD551" s="592"/>
      <c r="BE551" s="592"/>
      <c r="BF551" s="592"/>
      <c r="BG551" s="358"/>
      <c r="BH551" s="592"/>
      <c r="BI551" s="592"/>
      <c r="BJ551" s="592"/>
      <c r="BK551" s="592"/>
      <c r="BL551" s="592"/>
      <c r="BM551" s="592"/>
      <c r="BN551" s="592"/>
      <c r="BO551" s="592"/>
      <c r="BP551" s="592"/>
      <c r="BQ551" s="594"/>
      <c r="BR551" s="594"/>
      <c r="BS551" s="394"/>
      <c r="BT551" s="594"/>
      <c r="BU551" s="594"/>
      <c r="BV551" s="594"/>
      <c r="BW551" s="618"/>
      <c r="BX551" s="644"/>
      <c r="BY551" s="644"/>
    </row>
    <row r="552" ht="25.5" customHeight="1">
      <c r="A552" s="635"/>
      <c r="B552" s="695"/>
      <c r="C552" s="642"/>
      <c r="D552" s="642"/>
      <c r="E552" s="696"/>
      <c r="F552" s="696"/>
      <c r="G552" s="621"/>
      <c r="H552" s="577"/>
      <c r="I552" s="577"/>
      <c r="J552" s="613"/>
      <c r="K552" s="581"/>
      <c r="L552" s="581"/>
      <c r="M552" s="613"/>
      <c r="N552" s="613"/>
      <c r="O552" s="613"/>
      <c r="P552" s="580"/>
      <c r="Q552" s="580"/>
      <c r="R552" s="581"/>
      <c r="S552" s="581"/>
      <c r="T552" s="581"/>
      <c r="U552" s="582"/>
      <c r="V552" s="614"/>
      <c r="W552" s="581"/>
      <c r="X552" s="615"/>
      <c r="Y552" s="613"/>
      <c r="Z552" s="580"/>
      <c r="AA552" s="634"/>
      <c r="AB552" s="577"/>
      <c r="AC552" s="673"/>
      <c r="AD552" s="634"/>
      <c r="AE552" s="587"/>
      <c r="AF552" s="587"/>
      <c r="AG552" s="582"/>
      <c r="AH552" s="582"/>
      <c r="AI552" s="582"/>
      <c r="AJ552" s="582"/>
      <c r="AK552" s="588"/>
      <c r="AL552" s="582"/>
      <c r="AM552" s="587"/>
      <c r="AN552" s="589"/>
      <c r="AO552" s="616"/>
      <c r="AP552" s="592"/>
      <c r="AQ552" s="358"/>
      <c r="AR552" s="592"/>
      <c r="AS552" s="592"/>
      <c r="AT552" s="592"/>
      <c r="AU552" s="592"/>
      <c r="AV552" s="592"/>
      <c r="AW552" s="592"/>
      <c r="AX552" s="592"/>
      <c r="AY552" s="592"/>
      <c r="AZ552" s="592"/>
      <c r="BA552" s="617"/>
      <c r="BB552" s="592"/>
      <c r="BC552" s="592"/>
      <c r="BD552" s="592"/>
      <c r="BE552" s="592"/>
      <c r="BF552" s="592"/>
      <c r="BG552" s="358"/>
      <c r="BH552" s="592"/>
      <c r="BI552" s="592"/>
      <c r="BJ552" s="592"/>
      <c r="BK552" s="592"/>
      <c r="BL552" s="592"/>
      <c r="BM552" s="592"/>
      <c r="BN552" s="592"/>
      <c r="BO552" s="592"/>
      <c r="BP552" s="592"/>
      <c r="BQ552" s="594"/>
      <c r="BR552" s="594"/>
      <c r="BS552" s="394"/>
      <c r="BT552" s="594"/>
      <c r="BU552" s="594"/>
      <c r="BV552" s="594"/>
      <c r="BW552" s="618"/>
      <c r="BX552" s="644"/>
      <c r="BY552" s="644"/>
    </row>
    <row r="553" ht="25.5" customHeight="1">
      <c r="A553" s="635"/>
      <c r="B553" s="695"/>
      <c r="C553" s="642"/>
      <c r="D553" s="642"/>
      <c r="E553" s="696"/>
      <c r="F553" s="696"/>
      <c r="G553" s="621"/>
      <c r="H553" s="577"/>
      <c r="I553" s="577"/>
      <c r="J553" s="613"/>
      <c r="K553" s="581"/>
      <c r="L553" s="581"/>
      <c r="M553" s="613"/>
      <c r="N553" s="613"/>
      <c r="O553" s="613"/>
      <c r="P553" s="580"/>
      <c r="Q553" s="580"/>
      <c r="R553" s="581"/>
      <c r="S553" s="581"/>
      <c r="T553" s="581"/>
      <c r="U553" s="582"/>
      <c r="V553" s="614"/>
      <c r="W553" s="581"/>
      <c r="X553" s="615"/>
      <c r="Y553" s="613"/>
      <c r="Z553" s="580"/>
      <c r="AA553" s="634"/>
      <c r="AB553" s="577"/>
      <c r="AC553" s="673"/>
      <c r="AD553" s="634"/>
      <c r="AE553" s="587"/>
      <c r="AF553" s="587"/>
      <c r="AG553" s="582"/>
      <c r="AH553" s="582"/>
      <c r="AI553" s="582"/>
      <c r="AJ553" s="582"/>
      <c r="AK553" s="588"/>
      <c r="AL553" s="582"/>
      <c r="AM553" s="587"/>
      <c r="AN553" s="589"/>
      <c r="AO553" s="616"/>
      <c r="AP553" s="592"/>
      <c r="AQ553" s="358"/>
      <c r="AR553" s="592"/>
      <c r="AS553" s="592"/>
      <c r="AT553" s="592"/>
      <c r="AU553" s="592"/>
      <c r="AV553" s="592"/>
      <c r="AW553" s="592"/>
      <c r="AX553" s="592"/>
      <c r="AY553" s="592"/>
      <c r="AZ553" s="592"/>
      <c r="BA553" s="617"/>
      <c r="BB553" s="592"/>
      <c r="BC553" s="592"/>
      <c r="BD553" s="592"/>
      <c r="BE553" s="592"/>
      <c r="BF553" s="592"/>
      <c r="BG553" s="358"/>
      <c r="BH553" s="592"/>
      <c r="BI553" s="592"/>
      <c r="BJ553" s="592"/>
      <c r="BK553" s="592"/>
      <c r="BL553" s="592"/>
      <c r="BM553" s="592"/>
      <c r="BN553" s="592"/>
      <c r="BO553" s="592"/>
      <c r="BP553" s="592"/>
      <c r="BQ553" s="594"/>
      <c r="BR553" s="594"/>
      <c r="BS553" s="394"/>
      <c r="BT553" s="594"/>
      <c r="BU553" s="594"/>
      <c r="BV553" s="594"/>
      <c r="BW553" s="618"/>
      <c r="BX553" s="644"/>
      <c r="BY553" s="644"/>
    </row>
    <row r="554" ht="25.5" customHeight="1">
      <c r="A554" s="635"/>
      <c r="B554" s="695"/>
      <c r="C554" s="642"/>
      <c r="D554" s="642"/>
      <c r="E554" s="696"/>
      <c r="F554" s="696"/>
      <c r="G554" s="621"/>
      <c r="H554" s="577"/>
      <c r="I554" s="577"/>
      <c r="J554" s="613"/>
      <c r="K554" s="581"/>
      <c r="L554" s="581"/>
      <c r="M554" s="613"/>
      <c r="N554" s="613"/>
      <c r="O554" s="613"/>
      <c r="P554" s="580"/>
      <c r="Q554" s="580"/>
      <c r="R554" s="581"/>
      <c r="S554" s="581"/>
      <c r="T554" s="581"/>
      <c r="U554" s="582"/>
      <c r="V554" s="614"/>
      <c r="W554" s="581"/>
      <c r="X554" s="615"/>
      <c r="Y554" s="613"/>
      <c r="Z554" s="580"/>
      <c r="AA554" s="634"/>
      <c r="AB554" s="577"/>
      <c r="AC554" s="673"/>
      <c r="AD554" s="634"/>
      <c r="AE554" s="587"/>
      <c r="AF554" s="587"/>
      <c r="AG554" s="582"/>
      <c r="AH554" s="582"/>
      <c r="AI554" s="582"/>
      <c r="AJ554" s="582"/>
      <c r="AK554" s="588"/>
      <c r="AL554" s="582"/>
      <c r="AM554" s="587"/>
      <c r="AN554" s="589"/>
      <c r="AO554" s="616"/>
      <c r="AP554" s="592"/>
      <c r="AQ554" s="358"/>
      <c r="AR554" s="592"/>
      <c r="AS554" s="592"/>
      <c r="AT554" s="592"/>
      <c r="AU554" s="592"/>
      <c r="AV554" s="592"/>
      <c r="AW554" s="592"/>
      <c r="AX554" s="592"/>
      <c r="AY554" s="592"/>
      <c r="AZ554" s="592"/>
      <c r="BA554" s="617"/>
      <c r="BB554" s="592"/>
      <c r="BC554" s="592"/>
      <c r="BD554" s="592"/>
      <c r="BE554" s="592"/>
      <c r="BF554" s="592"/>
      <c r="BG554" s="358"/>
      <c r="BH554" s="592"/>
      <c r="BI554" s="592"/>
      <c r="BJ554" s="592"/>
      <c r="BK554" s="592"/>
      <c r="BL554" s="592"/>
      <c r="BM554" s="592"/>
      <c r="BN554" s="592"/>
      <c r="BO554" s="592"/>
      <c r="BP554" s="592"/>
      <c r="BQ554" s="594"/>
      <c r="BR554" s="594"/>
      <c r="BS554" s="394"/>
      <c r="BT554" s="594"/>
      <c r="BU554" s="594"/>
      <c r="BV554" s="594"/>
      <c r="BW554" s="618"/>
      <c r="BX554" s="644"/>
      <c r="BY554" s="644"/>
    </row>
    <row r="555" ht="25.5" customHeight="1">
      <c r="A555" s="635"/>
      <c r="B555" s="695"/>
      <c r="C555" s="642"/>
      <c r="D555" s="642"/>
      <c r="E555" s="696"/>
      <c r="F555" s="696"/>
      <c r="G555" s="621"/>
      <c r="H555" s="577"/>
      <c r="I555" s="577"/>
      <c r="J555" s="613"/>
      <c r="K555" s="581"/>
      <c r="L555" s="581"/>
      <c r="M555" s="613"/>
      <c r="N555" s="613"/>
      <c r="O555" s="613"/>
      <c r="P555" s="580"/>
      <c r="Q555" s="580"/>
      <c r="R555" s="581"/>
      <c r="S555" s="581"/>
      <c r="T555" s="581"/>
      <c r="U555" s="582"/>
      <c r="V555" s="614"/>
      <c r="W555" s="581"/>
      <c r="X555" s="615"/>
      <c r="Y555" s="613"/>
      <c r="Z555" s="580"/>
      <c r="AA555" s="634"/>
      <c r="AB555" s="577"/>
      <c r="AC555" s="673"/>
      <c r="AD555" s="634"/>
      <c r="AE555" s="587"/>
      <c r="AF555" s="587"/>
      <c r="AG555" s="582"/>
      <c r="AH555" s="582"/>
      <c r="AI555" s="582"/>
      <c r="AJ555" s="582"/>
      <c r="AK555" s="588"/>
      <c r="AL555" s="582"/>
      <c r="AM555" s="587"/>
      <c r="AN555" s="589"/>
      <c r="AO555" s="616"/>
      <c r="AP555" s="592"/>
      <c r="AQ555" s="358"/>
      <c r="AR555" s="592"/>
      <c r="AS555" s="592"/>
      <c r="AT555" s="592"/>
      <c r="AU555" s="592"/>
      <c r="AV555" s="592"/>
      <c r="AW555" s="592"/>
      <c r="AX555" s="592"/>
      <c r="AY555" s="592"/>
      <c r="AZ555" s="592"/>
      <c r="BA555" s="617"/>
      <c r="BB555" s="592"/>
      <c r="BC555" s="592"/>
      <c r="BD555" s="592"/>
      <c r="BE555" s="592"/>
      <c r="BF555" s="592"/>
      <c r="BG555" s="358"/>
      <c r="BH555" s="592"/>
      <c r="BI555" s="592"/>
      <c r="BJ555" s="592"/>
      <c r="BK555" s="592"/>
      <c r="BL555" s="592"/>
      <c r="BM555" s="592"/>
      <c r="BN555" s="592"/>
      <c r="BO555" s="592"/>
      <c r="BP555" s="592"/>
      <c r="BQ555" s="594"/>
      <c r="BR555" s="594"/>
      <c r="BS555" s="394"/>
      <c r="BT555" s="594"/>
      <c r="BU555" s="594"/>
      <c r="BV555" s="594"/>
      <c r="BW555" s="618"/>
      <c r="BX555" s="644"/>
      <c r="BY555" s="644"/>
    </row>
    <row r="556" ht="25.5" customHeight="1">
      <c r="A556" s="635"/>
      <c r="B556" s="695"/>
      <c r="C556" s="642"/>
      <c r="D556" s="642"/>
      <c r="E556" s="696"/>
      <c r="F556" s="696"/>
      <c r="G556" s="621"/>
      <c r="H556" s="577"/>
      <c r="I556" s="577"/>
      <c r="J556" s="613"/>
      <c r="K556" s="581"/>
      <c r="L556" s="581"/>
      <c r="M556" s="613"/>
      <c r="N556" s="613"/>
      <c r="O556" s="613"/>
      <c r="P556" s="580"/>
      <c r="Q556" s="580"/>
      <c r="R556" s="581"/>
      <c r="S556" s="581"/>
      <c r="T556" s="581"/>
      <c r="U556" s="582"/>
      <c r="V556" s="614"/>
      <c r="W556" s="581"/>
      <c r="X556" s="615"/>
      <c r="Y556" s="613"/>
      <c r="Z556" s="580"/>
      <c r="AA556" s="634"/>
      <c r="AB556" s="577"/>
      <c r="AC556" s="673"/>
      <c r="AD556" s="634"/>
      <c r="AE556" s="587"/>
      <c r="AF556" s="587"/>
      <c r="AG556" s="582"/>
      <c r="AH556" s="582"/>
      <c r="AI556" s="582"/>
      <c r="AJ556" s="582"/>
      <c r="AK556" s="588"/>
      <c r="AL556" s="582"/>
      <c r="AM556" s="587"/>
      <c r="AN556" s="589"/>
      <c r="AO556" s="616"/>
      <c r="AP556" s="592"/>
      <c r="AQ556" s="358"/>
      <c r="AR556" s="592"/>
      <c r="AS556" s="592"/>
      <c r="AT556" s="592"/>
      <c r="AU556" s="592"/>
      <c r="AV556" s="592"/>
      <c r="AW556" s="592"/>
      <c r="AX556" s="592"/>
      <c r="AY556" s="592"/>
      <c r="AZ556" s="592"/>
      <c r="BA556" s="617"/>
      <c r="BB556" s="592"/>
      <c r="BC556" s="592"/>
      <c r="BD556" s="592"/>
      <c r="BE556" s="592"/>
      <c r="BF556" s="592"/>
      <c r="BG556" s="358"/>
      <c r="BH556" s="592"/>
      <c r="BI556" s="592"/>
      <c r="BJ556" s="592"/>
      <c r="BK556" s="592"/>
      <c r="BL556" s="592"/>
      <c r="BM556" s="592"/>
      <c r="BN556" s="592"/>
      <c r="BO556" s="592"/>
      <c r="BP556" s="592"/>
      <c r="BQ556" s="594"/>
      <c r="BR556" s="594"/>
      <c r="BS556" s="394"/>
      <c r="BT556" s="594"/>
      <c r="BU556" s="594"/>
      <c r="BV556" s="594"/>
      <c r="BW556" s="618"/>
      <c r="BX556" s="644"/>
      <c r="BY556" s="644"/>
    </row>
    <row r="557" ht="25.5" customHeight="1">
      <c r="A557" s="635"/>
      <c r="B557" s="695"/>
      <c r="C557" s="642"/>
      <c r="D557" s="642"/>
      <c r="E557" s="696"/>
      <c r="F557" s="696"/>
      <c r="G557" s="621"/>
      <c r="H557" s="577"/>
      <c r="I557" s="577"/>
      <c r="J557" s="613"/>
      <c r="K557" s="581"/>
      <c r="L557" s="581"/>
      <c r="M557" s="613"/>
      <c r="N557" s="613"/>
      <c r="O557" s="613"/>
      <c r="P557" s="580"/>
      <c r="Q557" s="580"/>
      <c r="R557" s="581"/>
      <c r="S557" s="581"/>
      <c r="T557" s="581"/>
      <c r="U557" s="582"/>
      <c r="V557" s="614"/>
      <c r="W557" s="581"/>
      <c r="X557" s="615"/>
      <c r="Y557" s="613"/>
      <c r="Z557" s="580"/>
      <c r="AA557" s="634"/>
      <c r="AB557" s="577"/>
      <c r="AC557" s="673"/>
      <c r="AD557" s="634"/>
      <c r="AE557" s="587"/>
      <c r="AF557" s="587"/>
      <c r="AG557" s="582"/>
      <c r="AH557" s="582"/>
      <c r="AI557" s="582"/>
      <c r="AJ557" s="582"/>
      <c r="AK557" s="588"/>
      <c r="AL557" s="582"/>
      <c r="AM557" s="587"/>
      <c r="AN557" s="589"/>
      <c r="AO557" s="616"/>
      <c r="AP557" s="592"/>
      <c r="AQ557" s="358"/>
      <c r="AR557" s="592"/>
      <c r="AS557" s="592"/>
      <c r="AT557" s="592"/>
      <c r="AU557" s="592"/>
      <c r="AV557" s="592"/>
      <c r="AW557" s="592"/>
      <c r="AX557" s="592"/>
      <c r="AY557" s="592"/>
      <c r="AZ557" s="592"/>
      <c r="BA557" s="617"/>
      <c r="BB557" s="592"/>
      <c r="BC557" s="592"/>
      <c r="BD557" s="592"/>
      <c r="BE557" s="592"/>
      <c r="BF557" s="592"/>
      <c r="BG557" s="358"/>
      <c r="BH557" s="592"/>
      <c r="BI557" s="592"/>
      <c r="BJ557" s="592"/>
      <c r="BK557" s="592"/>
      <c r="BL557" s="592"/>
      <c r="BM557" s="592"/>
      <c r="BN557" s="592"/>
      <c r="BO557" s="592"/>
      <c r="BP557" s="592"/>
      <c r="BQ557" s="594"/>
      <c r="BR557" s="594"/>
      <c r="BS557" s="394"/>
      <c r="BT557" s="594"/>
      <c r="BU557" s="594"/>
      <c r="BV557" s="594"/>
      <c r="BW557" s="618"/>
      <c r="BX557" s="644"/>
      <c r="BY557" s="644"/>
    </row>
    <row r="558" ht="25.5" customHeight="1">
      <c r="A558" s="635"/>
      <c r="B558" s="695"/>
      <c r="C558" s="642"/>
      <c r="D558" s="642"/>
      <c r="E558" s="696"/>
      <c r="F558" s="696"/>
      <c r="G558" s="621"/>
      <c r="H558" s="577"/>
      <c r="I558" s="577"/>
      <c r="J558" s="613"/>
      <c r="K558" s="581"/>
      <c r="L558" s="581"/>
      <c r="M558" s="613"/>
      <c r="N558" s="613"/>
      <c r="O558" s="613"/>
      <c r="P558" s="580"/>
      <c r="Q558" s="580"/>
      <c r="R558" s="581"/>
      <c r="S558" s="581"/>
      <c r="T558" s="581"/>
      <c r="U558" s="582"/>
      <c r="V558" s="614"/>
      <c r="W558" s="581"/>
      <c r="X558" s="615"/>
      <c r="Y558" s="613"/>
      <c r="Z558" s="580"/>
      <c r="AA558" s="634"/>
      <c r="AB558" s="577"/>
      <c r="AC558" s="673"/>
      <c r="AD558" s="634"/>
      <c r="AE558" s="587"/>
      <c r="AF558" s="587"/>
      <c r="AG558" s="582"/>
      <c r="AH558" s="582"/>
      <c r="AI558" s="582"/>
      <c r="AJ558" s="582"/>
      <c r="AK558" s="588"/>
      <c r="AL558" s="582"/>
      <c r="AM558" s="587"/>
      <c r="AN558" s="589"/>
      <c r="AO558" s="616"/>
      <c r="AP558" s="592"/>
      <c r="AQ558" s="358"/>
      <c r="AR558" s="592"/>
      <c r="AS558" s="592"/>
      <c r="AT558" s="592"/>
      <c r="AU558" s="592"/>
      <c r="AV558" s="592"/>
      <c r="AW558" s="592"/>
      <c r="AX558" s="592"/>
      <c r="AY558" s="592"/>
      <c r="AZ558" s="592"/>
      <c r="BA558" s="617"/>
      <c r="BB558" s="592"/>
      <c r="BC558" s="592"/>
      <c r="BD558" s="592"/>
      <c r="BE558" s="592"/>
      <c r="BF558" s="592"/>
      <c r="BG558" s="358"/>
      <c r="BH558" s="592"/>
      <c r="BI558" s="592"/>
      <c r="BJ558" s="592"/>
      <c r="BK558" s="592"/>
      <c r="BL558" s="592"/>
      <c r="BM558" s="592"/>
      <c r="BN558" s="592"/>
      <c r="BO558" s="592"/>
      <c r="BP558" s="592"/>
      <c r="BQ558" s="594"/>
      <c r="BR558" s="594"/>
      <c r="BS558" s="394"/>
      <c r="BT558" s="594"/>
      <c r="BU558" s="594"/>
      <c r="BV558" s="594"/>
      <c r="BW558" s="618"/>
      <c r="BX558" s="644"/>
      <c r="BY558" s="644"/>
    </row>
    <row r="559" ht="25.5" customHeight="1">
      <c r="A559" s="635"/>
      <c r="B559" s="695"/>
      <c r="C559" s="642"/>
      <c r="D559" s="642"/>
      <c r="E559" s="696"/>
      <c r="F559" s="696"/>
      <c r="G559" s="621"/>
      <c r="H559" s="577"/>
      <c r="I559" s="577"/>
      <c r="J559" s="613"/>
      <c r="K559" s="581"/>
      <c r="L559" s="581"/>
      <c r="M559" s="613"/>
      <c r="N559" s="613"/>
      <c r="O559" s="613"/>
      <c r="P559" s="580"/>
      <c r="Q559" s="580"/>
      <c r="R559" s="581"/>
      <c r="S559" s="581"/>
      <c r="T559" s="581"/>
      <c r="U559" s="582"/>
      <c r="V559" s="614"/>
      <c r="W559" s="581"/>
      <c r="X559" s="615"/>
      <c r="Y559" s="613"/>
      <c r="Z559" s="580"/>
      <c r="AA559" s="634"/>
      <c r="AB559" s="577"/>
      <c r="AC559" s="673"/>
      <c r="AD559" s="634"/>
      <c r="AE559" s="587"/>
      <c r="AF559" s="587"/>
      <c r="AG559" s="582"/>
      <c r="AH559" s="582"/>
      <c r="AI559" s="582"/>
      <c r="AJ559" s="582"/>
      <c r="AK559" s="588"/>
      <c r="AL559" s="582"/>
      <c r="AM559" s="587"/>
      <c r="AN559" s="589"/>
      <c r="AO559" s="616"/>
      <c r="AP559" s="592"/>
      <c r="AQ559" s="358"/>
      <c r="AR559" s="592"/>
      <c r="AS559" s="592"/>
      <c r="AT559" s="592"/>
      <c r="AU559" s="592"/>
      <c r="AV559" s="592"/>
      <c r="AW559" s="592"/>
      <c r="AX559" s="592"/>
      <c r="AY559" s="592"/>
      <c r="AZ559" s="592"/>
      <c r="BA559" s="617"/>
      <c r="BB559" s="592"/>
      <c r="BC559" s="592"/>
      <c r="BD559" s="592"/>
      <c r="BE559" s="592"/>
      <c r="BF559" s="592"/>
      <c r="BG559" s="358"/>
      <c r="BH559" s="592"/>
      <c r="BI559" s="592"/>
      <c r="BJ559" s="592"/>
      <c r="BK559" s="592"/>
      <c r="BL559" s="592"/>
      <c r="BM559" s="592"/>
      <c r="BN559" s="592"/>
      <c r="BO559" s="592"/>
      <c r="BP559" s="592"/>
      <c r="BQ559" s="594"/>
      <c r="BR559" s="594"/>
      <c r="BS559" s="394"/>
      <c r="BT559" s="594"/>
      <c r="BU559" s="594"/>
      <c r="BV559" s="594"/>
      <c r="BW559" s="618"/>
      <c r="BX559" s="644"/>
      <c r="BY559" s="644"/>
    </row>
    <row r="560" ht="25.5" customHeight="1">
      <c r="A560" s="635"/>
      <c r="B560" s="695"/>
      <c r="C560" s="642"/>
      <c r="D560" s="642"/>
      <c r="E560" s="696"/>
      <c r="F560" s="696"/>
      <c r="G560" s="621"/>
      <c r="H560" s="577"/>
      <c r="I560" s="577"/>
      <c r="J560" s="613"/>
      <c r="K560" s="581"/>
      <c r="L560" s="581"/>
      <c r="M560" s="613"/>
      <c r="N560" s="613"/>
      <c r="O560" s="613"/>
      <c r="P560" s="580"/>
      <c r="Q560" s="580"/>
      <c r="R560" s="581"/>
      <c r="S560" s="581"/>
      <c r="T560" s="581"/>
      <c r="U560" s="582"/>
      <c r="V560" s="614"/>
      <c r="W560" s="581"/>
      <c r="X560" s="615"/>
      <c r="Y560" s="613"/>
      <c r="Z560" s="580"/>
      <c r="AA560" s="634"/>
      <c r="AB560" s="577"/>
      <c r="AC560" s="673"/>
      <c r="AD560" s="634"/>
      <c r="AE560" s="587"/>
      <c r="AF560" s="587"/>
      <c r="AG560" s="582"/>
      <c r="AH560" s="582"/>
      <c r="AI560" s="582"/>
      <c r="AJ560" s="582"/>
      <c r="AK560" s="588"/>
      <c r="AL560" s="582"/>
      <c r="AM560" s="587"/>
      <c r="AN560" s="589"/>
      <c r="AO560" s="616"/>
      <c r="AP560" s="592"/>
      <c r="AQ560" s="358"/>
      <c r="AR560" s="592"/>
      <c r="AS560" s="592"/>
      <c r="AT560" s="592"/>
      <c r="AU560" s="592"/>
      <c r="AV560" s="592"/>
      <c r="AW560" s="592"/>
      <c r="AX560" s="592"/>
      <c r="AY560" s="592"/>
      <c r="AZ560" s="592"/>
      <c r="BA560" s="617"/>
      <c r="BB560" s="592"/>
      <c r="BC560" s="592"/>
      <c r="BD560" s="592"/>
      <c r="BE560" s="592"/>
      <c r="BF560" s="592"/>
      <c r="BG560" s="358"/>
      <c r="BH560" s="592"/>
      <c r="BI560" s="592"/>
      <c r="BJ560" s="592"/>
      <c r="BK560" s="592"/>
      <c r="BL560" s="592"/>
      <c r="BM560" s="592"/>
      <c r="BN560" s="592"/>
      <c r="BO560" s="592"/>
      <c r="BP560" s="592"/>
      <c r="BQ560" s="594"/>
      <c r="BR560" s="594"/>
      <c r="BS560" s="394"/>
      <c r="BT560" s="594"/>
      <c r="BU560" s="594"/>
      <c r="BV560" s="594"/>
      <c r="BW560" s="618"/>
      <c r="BX560" s="644"/>
      <c r="BY560" s="644"/>
    </row>
    <row r="561" ht="25.5" customHeight="1">
      <c r="A561" s="635"/>
      <c r="B561" s="695"/>
      <c r="C561" s="642"/>
      <c r="D561" s="642"/>
      <c r="E561" s="696"/>
      <c r="F561" s="696"/>
      <c r="G561" s="621"/>
      <c r="H561" s="577"/>
      <c r="I561" s="577"/>
      <c r="J561" s="613"/>
      <c r="K561" s="581"/>
      <c r="L561" s="581"/>
      <c r="M561" s="613"/>
      <c r="N561" s="613"/>
      <c r="O561" s="613"/>
      <c r="P561" s="580"/>
      <c r="Q561" s="580"/>
      <c r="R561" s="581"/>
      <c r="S561" s="581"/>
      <c r="T561" s="581"/>
      <c r="U561" s="582"/>
      <c r="V561" s="614"/>
      <c r="W561" s="581"/>
      <c r="X561" s="615"/>
      <c r="Y561" s="613"/>
      <c r="Z561" s="580"/>
      <c r="AA561" s="634"/>
      <c r="AB561" s="577"/>
      <c r="AC561" s="673"/>
      <c r="AD561" s="634"/>
      <c r="AE561" s="587"/>
      <c r="AF561" s="587"/>
      <c r="AG561" s="582"/>
      <c r="AH561" s="582"/>
      <c r="AI561" s="582"/>
      <c r="AJ561" s="582"/>
      <c r="AK561" s="588"/>
      <c r="AL561" s="582"/>
      <c r="AM561" s="587"/>
      <c r="AN561" s="589"/>
      <c r="AO561" s="616"/>
      <c r="AP561" s="592"/>
      <c r="AQ561" s="358"/>
      <c r="AR561" s="592"/>
      <c r="AS561" s="592"/>
      <c r="AT561" s="592"/>
      <c r="AU561" s="592"/>
      <c r="AV561" s="592"/>
      <c r="AW561" s="592"/>
      <c r="AX561" s="592"/>
      <c r="AY561" s="592"/>
      <c r="AZ561" s="592"/>
      <c r="BA561" s="617"/>
      <c r="BB561" s="592"/>
      <c r="BC561" s="592"/>
      <c r="BD561" s="592"/>
      <c r="BE561" s="592"/>
      <c r="BF561" s="592"/>
      <c r="BG561" s="358"/>
      <c r="BH561" s="592"/>
      <c r="BI561" s="592"/>
      <c r="BJ561" s="592"/>
      <c r="BK561" s="592"/>
      <c r="BL561" s="592"/>
      <c r="BM561" s="592"/>
      <c r="BN561" s="592"/>
      <c r="BO561" s="592"/>
      <c r="BP561" s="592"/>
      <c r="BQ561" s="594"/>
      <c r="BR561" s="594"/>
      <c r="BS561" s="394"/>
      <c r="BT561" s="594"/>
      <c r="BU561" s="594"/>
      <c r="BV561" s="594"/>
      <c r="BW561" s="618"/>
      <c r="BX561" s="644"/>
      <c r="BY561" s="644"/>
    </row>
    <row r="562" ht="25.5" customHeight="1">
      <c r="A562" s="635"/>
      <c r="B562" s="695"/>
      <c r="C562" s="642"/>
      <c r="D562" s="642"/>
      <c r="E562" s="696"/>
      <c r="F562" s="696"/>
      <c r="G562" s="621"/>
      <c r="H562" s="577"/>
      <c r="I562" s="577"/>
      <c r="J562" s="613"/>
      <c r="K562" s="581"/>
      <c r="L562" s="581"/>
      <c r="M562" s="613"/>
      <c r="N562" s="613"/>
      <c r="O562" s="613"/>
      <c r="P562" s="580"/>
      <c r="Q562" s="580"/>
      <c r="R562" s="581"/>
      <c r="S562" s="581"/>
      <c r="T562" s="581"/>
      <c r="U562" s="582"/>
      <c r="V562" s="614"/>
      <c r="W562" s="581"/>
      <c r="X562" s="615"/>
      <c r="Y562" s="613"/>
      <c r="Z562" s="580"/>
      <c r="AA562" s="634"/>
      <c r="AB562" s="577"/>
      <c r="AC562" s="673"/>
      <c r="AD562" s="634"/>
      <c r="AE562" s="587"/>
      <c r="AF562" s="587"/>
      <c r="AG562" s="582"/>
      <c r="AH562" s="582"/>
      <c r="AI562" s="582"/>
      <c r="AJ562" s="582"/>
      <c r="AK562" s="588"/>
      <c r="AL562" s="582"/>
      <c r="AM562" s="587"/>
      <c r="AN562" s="589"/>
      <c r="AO562" s="616"/>
      <c r="AP562" s="592"/>
      <c r="AQ562" s="358"/>
      <c r="AR562" s="592"/>
      <c r="AS562" s="592"/>
      <c r="AT562" s="592"/>
      <c r="AU562" s="592"/>
      <c r="AV562" s="592"/>
      <c r="AW562" s="592"/>
      <c r="AX562" s="592"/>
      <c r="AY562" s="592"/>
      <c r="AZ562" s="592"/>
      <c r="BA562" s="617"/>
      <c r="BB562" s="592"/>
      <c r="BC562" s="592"/>
      <c r="BD562" s="592"/>
      <c r="BE562" s="592"/>
      <c r="BF562" s="592"/>
      <c r="BG562" s="358"/>
      <c r="BH562" s="592"/>
      <c r="BI562" s="592"/>
      <c r="BJ562" s="592"/>
      <c r="BK562" s="592"/>
      <c r="BL562" s="592"/>
      <c r="BM562" s="592"/>
      <c r="BN562" s="592"/>
      <c r="BO562" s="592"/>
      <c r="BP562" s="592"/>
      <c r="BQ562" s="594"/>
      <c r="BR562" s="594"/>
      <c r="BS562" s="394"/>
      <c r="BT562" s="594"/>
      <c r="BU562" s="594"/>
      <c r="BV562" s="594"/>
      <c r="BW562" s="618"/>
      <c r="BX562" s="644"/>
      <c r="BY562" s="644"/>
    </row>
    <row r="563" ht="25.5" customHeight="1">
      <c r="A563" s="635"/>
      <c r="B563" s="695"/>
      <c r="C563" s="642"/>
      <c r="D563" s="642"/>
      <c r="E563" s="696"/>
      <c r="F563" s="696"/>
      <c r="G563" s="621"/>
      <c r="H563" s="577"/>
      <c r="I563" s="577"/>
      <c r="J563" s="613"/>
      <c r="K563" s="581"/>
      <c r="L563" s="581"/>
      <c r="M563" s="613"/>
      <c r="N563" s="613"/>
      <c r="O563" s="613"/>
      <c r="P563" s="580"/>
      <c r="Q563" s="580"/>
      <c r="R563" s="581"/>
      <c r="S563" s="581"/>
      <c r="T563" s="581"/>
      <c r="U563" s="582"/>
      <c r="V563" s="614"/>
      <c r="W563" s="581"/>
      <c r="X563" s="615"/>
      <c r="Y563" s="613"/>
      <c r="Z563" s="580"/>
      <c r="AA563" s="634"/>
      <c r="AB563" s="577"/>
      <c r="AC563" s="673"/>
      <c r="AD563" s="634"/>
      <c r="AE563" s="587"/>
      <c r="AF563" s="587"/>
      <c r="AG563" s="582"/>
      <c r="AH563" s="582"/>
      <c r="AI563" s="582"/>
      <c r="AJ563" s="582"/>
      <c r="AK563" s="588"/>
      <c r="AL563" s="582"/>
      <c r="AM563" s="587"/>
      <c r="AN563" s="589"/>
      <c r="AO563" s="616"/>
      <c r="AP563" s="592"/>
      <c r="AQ563" s="358"/>
      <c r="AR563" s="592"/>
      <c r="AS563" s="592"/>
      <c r="AT563" s="592"/>
      <c r="AU563" s="592"/>
      <c r="AV563" s="592"/>
      <c r="AW563" s="592"/>
      <c r="AX563" s="592"/>
      <c r="AY563" s="592"/>
      <c r="AZ563" s="592"/>
      <c r="BA563" s="617"/>
      <c r="BB563" s="592"/>
      <c r="BC563" s="592"/>
      <c r="BD563" s="592"/>
      <c r="BE563" s="592"/>
      <c r="BF563" s="592"/>
      <c r="BG563" s="358"/>
      <c r="BH563" s="592"/>
      <c r="BI563" s="592"/>
      <c r="BJ563" s="592"/>
      <c r="BK563" s="592"/>
      <c r="BL563" s="592"/>
      <c r="BM563" s="592"/>
      <c r="BN563" s="592"/>
      <c r="BO563" s="592"/>
      <c r="BP563" s="592"/>
      <c r="BQ563" s="594"/>
      <c r="BR563" s="594"/>
      <c r="BS563" s="394"/>
      <c r="BT563" s="594"/>
      <c r="BU563" s="594"/>
      <c r="BV563" s="594"/>
      <c r="BW563" s="618"/>
      <c r="BX563" s="644"/>
      <c r="BY563" s="644"/>
    </row>
    <row r="564" ht="25.5" customHeight="1">
      <c r="A564" s="635"/>
      <c r="B564" s="695"/>
      <c r="C564" s="642"/>
      <c r="D564" s="642"/>
      <c r="E564" s="696"/>
      <c r="F564" s="696"/>
      <c r="G564" s="621"/>
      <c r="H564" s="577"/>
      <c r="I564" s="577"/>
      <c r="J564" s="613"/>
      <c r="K564" s="581"/>
      <c r="L564" s="581"/>
      <c r="M564" s="613"/>
      <c r="N564" s="613"/>
      <c r="O564" s="613"/>
      <c r="P564" s="580"/>
      <c r="Q564" s="580"/>
      <c r="R564" s="581"/>
      <c r="S564" s="581"/>
      <c r="T564" s="581"/>
      <c r="U564" s="582"/>
      <c r="V564" s="614"/>
      <c r="W564" s="581"/>
      <c r="X564" s="615"/>
      <c r="Y564" s="613"/>
      <c r="Z564" s="580"/>
      <c r="AA564" s="634"/>
      <c r="AB564" s="577"/>
      <c r="AC564" s="673"/>
      <c r="AD564" s="634"/>
      <c r="AE564" s="587"/>
      <c r="AF564" s="587"/>
      <c r="AG564" s="582"/>
      <c r="AH564" s="582"/>
      <c r="AI564" s="582"/>
      <c r="AJ564" s="582"/>
      <c r="AK564" s="588"/>
      <c r="AL564" s="582"/>
      <c r="AM564" s="587"/>
      <c r="AN564" s="589"/>
      <c r="AO564" s="616"/>
      <c r="AP564" s="592"/>
      <c r="AQ564" s="358"/>
      <c r="AR564" s="592"/>
      <c r="AS564" s="592"/>
      <c r="AT564" s="592"/>
      <c r="AU564" s="592"/>
      <c r="AV564" s="592"/>
      <c r="AW564" s="592"/>
      <c r="AX564" s="592"/>
      <c r="AY564" s="592"/>
      <c r="AZ564" s="592"/>
      <c r="BA564" s="617"/>
      <c r="BB564" s="592"/>
      <c r="BC564" s="592"/>
      <c r="BD564" s="592"/>
      <c r="BE564" s="592"/>
      <c r="BF564" s="592"/>
      <c r="BG564" s="358"/>
      <c r="BH564" s="592"/>
      <c r="BI564" s="592"/>
      <c r="BJ564" s="592"/>
      <c r="BK564" s="592"/>
      <c r="BL564" s="592"/>
      <c r="BM564" s="592"/>
      <c r="BN564" s="592"/>
      <c r="BO564" s="592"/>
      <c r="BP564" s="592"/>
      <c r="BQ564" s="594"/>
      <c r="BR564" s="594"/>
      <c r="BS564" s="394"/>
      <c r="BT564" s="594"/>
      <c r="BU564" s="594"/>
      <c r="BV564" s="594"/>
      <c r="BW564" s="618"/>
      <c r="BX564" s="644"/>
      <c r="BY564" s="644"/>
    </row>
    <row r="565" ht="25.5" customHeight="1">
      <c r="A565" s="635"/>
      <c r="B565" s="695"/>
      <c r="C565" s="642"/>
      <c r="D565" s="642"/>
      <c r="E565" s="696"/>
      <c r="F565" s="696"/>
      <c r="G565" s="621"/>
      <c r="H565" s="577"/>
      <c r="I565" s="577"/>
      <c r="J565" s="613"/>
      <c r="K565" s="581"/>
      <c r="L565" s="581"/>
      <c r="M565" s="613"/>
      <c r="N565" s="613"/>
      <c r="O565" s="613"/>
      <c r="P565" s="580"/>
      <c r="Q565" s="580"/>
      <c r="R565" s="581"/>
      <c r="S565" s="581"/>
      <c r="T565" s="581"/>
      <c r="U565" s="582"/>
      <c r="V565" s="614"/>
      <c r="W565" s="581"/>
      <c r="X565" s="615"/>
      <c r="Y565" s="613"/>
      <c r="Z565" s="580"/>
      <c r="AA565" s="634"/>
      <c r="AB565" s="577"/>
      <c r="AC565" s="673"/>
      <c r="AD565" s="634"/>
      <c r="AE565" s="587"/>
      <c r="AF565" s="587"/>
      <c r="AG565" s="582"/>
      <c r="AH565" s="582"/>
      <c r="AI565" s="582"/>
      <c r="AJ565" s="582"/>
      <c r="AK565" s="588"/>
      <c r="AL565" s="582"/>
      <c r="AM565" s="587"/>
      <c r="AN565" s="589"/>
      <c r="AO565" s="616"/>
      <c r="AP565" s="592"/>
      <c r="AQ565" s="358"/>
      <c r="AR565" s="592"/>
      <c r="AS565" s="592"/>
      <c r="AT565" s="592"/>
      <c r="AU565" s="592"/>
      <c r="AV565" s="592"/>
      <c r="AW565" s="592"/>
      <c r="AX565" s="592"/>
      <c r="AY565" s="592"/>
      <c r="AZ565" s="592"/>
      <c r="BA565" s="617"/>
      <c r="BB565" s="592"/>
      <c r="BC565" s="592"/>
      <c r="BD565" s="592"/>
      <c r="BE565" s="592"/>
      <c r="BF565" s="592"/>
      <c r="BG565" s="358"/>
      <c r="BH565" s="592"/>
      <c r="BI565" s="592"/>
      <c r="BJ565" s="592"/>
      <c r="BK565" s="592"/>
      <c r="BL565" s="592"/>
      <c r="BM565" s="592"/>
      <c r="BN565" s="592"/>
      <c r="BO565" s="592"/>
      <c r="BP565" s="592"/>
      <c r="BQ565" s="594"/>
      <c r="BR565" s="594"/>
      <c r="BS565" s="394"/>
      <c r="BT565" s="594"/>
      <c r="BU565" s="594"/>
      <c r="BV565" s="594"/>
      <c r="BW565" s="618"/>
      <c r="BX565" s="644"/>
      <c r="BY565" s="644"/>
    </row>
    <row r="566" ht="25.5" customHeight="1">
      <c r="A566" s="635"/>
      <c r="B566" s="695"/>
      <c r="C566" s="642"/>
      <c r="D566" s="642"/>
      <c r="E566" s="696"/>
      <c r="F566" s="696"/>
      <c r="G566" s="621"/>
      <c r="H566" s="577"/>
      <c r="I566" s="577"/>
      <c r="J566" s="613"/>
      <c r="K566" s="581"/>
      <c r="L566" s="581"/>
      <c r="M566" s="613"/>
      <c r="N566" s="613"/>
      <c r="O566" s="613"/>
      <c r="P566" s="580"/>
      <c r="Q566" s="580"/>
      <c r="R566" s="581"/>
      <c r="S566" s="581"/>
      <c r="T566" s="581"/>
      <c r="U566" s="582"/>
      <c r="V566" s="614"/>
      <c r="W566" s="581"/>
      <c r="X566" s="615"/>
      <c r="Y566" s="613"/>
      <c r="Z566" s="580"/>
      <c r="AA566" s="634"/>
      <c r="AB566" s="577"/>
      <c r="AC566" s="673"/>
      <c r="AD566" s="634"/>
      <c r="AE566" s="587"/>
      <c r="AF566" s="587"/>
      <c r="AG566" s="582"/>
      <c r="AH566" s="582"/>
      <c r="AI566" s="582"/>
      <c r="AJ566" s="582"/>
      <c r="AK566" s="588"/>
      <c r="AL566" s="582"/>
      <c r="AM566" s="587"/>
      <c r="AN566" s="589"/>
      <c r="AO566" s="616"/>
      <c r="AP566" s="592"/>
      <c r="AQ566" s="358"/>
      <c r="AR566" s="592"/>
      <c r="AS566" s="592"/>
      <c r="AT566" s="592"/>
      <c r="AU566" s="592"/>
      <c r="AV566" s="592"/>
      <c r="AW566" s="592"/>
      <c r="AX566" s="592"/>
      <c r="AY566" s="592"/>
      <c r="AZ566" s="592"/>
      <c r="BA566" s="617"/>
      <c r="BB566" s="592"/>
      <c r="BC566" s="592"/>
      <c r="BD566" s="592"/>
      <c r="BE566" s="592"/>
      <c r="BF566" s="592"/>
      <c r="BG566" s="358"/>
      <c r="BH566" s="592"/>
      <c r="BI566" s="592"/>
      <c r="BJ566" s="592"/>
      <c r="BK566" s="592"/>
      <c r="BL566" s="592"/>
      <c r="BM566" s="592"/>
      <c r="BN566" s="592"/>
      <c r="BO566" s="592"/>
      <c r="BP566" s="592"/>
      <c r="BQ566" s="594"/>
      <c r="BR566" s="594"/>
      <c r="BS566" s="394"/>
      <c r="BT566" s="594"/>
      <c r="BU566" s="594"/>
      <c r="BV566" s="594"/>
      <c r="BW566" s="618"/>
      <c r="BX566" s="644"/>
      <c r="BY566" s="644"/>
    </row>
    <row r="567" ht="25.5" customHeight="1">
      <c r="A567" s="635"/>
      <c r="B567" s="695"/>
      <c r="C567" s="642"/>
      <c r="D567" s="642"/>
      <c r="E567" s="696"/>
      <c r="F567" s="696"/>
      <c r="G567" s="621"/>
      <c r="H567" s="577"/>
      <c r="I567" s="577"/>
      <c r="J567" s="613"/>
      <c r="K567" s="581"/>
      <c r="L567" s="581"/>
      <c r="M567" s="613"/>
      <c r="N567" s="613"/>
      <c r="O567" s="613"/>
      <c r="P567" s="580"/>
      <c r="Q567" s="580"/>
      <c r="R567" s="581"/>
      <c r="S567" s="581"/>
      <c r="T567" s="581"/>
      <c r="U567" s="582"/>
      <c r="V567" s="614"/>
      <c r="W567" s="581"/>
      <c r="X567" s="615"/>
      <c r="Y567" s="613"/>
      <c r="Z567" s="580"/>
      <c r="AA567" s="634"/>
      <c r="AB567" s="577"/>
      <c r="AC567" s="673"/>
      <c r="AD567" s="634"/>
      <c r="AE567" s="587"/>
      <c r="AF567" s="587"/>
      <c r="AG567" s="582"/>
      <c r="AH567" s="582"/>
      <c r="AI567" s="582"/>
      <c r="AJ567" s="582"/>
      <c r="AK567" s="588"/>
      <c r="AL567" s="582"/>
      <c r="AM567" s="587"/>
      <c r="AN567" s="589"/>
      <c r="AO567" s="616"/>
      <c r="AP567" s="592"/>
      <c r="AQ567" s="358"/>
      <c r="AR567" s="592"/>
      <c r="AS567" s="592"/>
      <c r="AT567" s="592"/>
      <c r="AU567" s="592"/>
      <c r="AV567" s="592"/>
      <c r="AW567" s="592"/>
      <c r="AX567" s="592"/>
      <c r="AY567" s="592"/>
      <c r="AZ567" s="592"/>
      <c r="BA567" s="617"/>
      <c r="BB567" s="592"/>
      <c r="BC567" s="592"/>
      <c r="BD567" s="592"/>
      <c r="BE567" s="592"/>
      <c r="BF567" s="592"/>
      <c r="BG567" s="358"/>
      <c r="BH567" s="592"/>
      <c r="BI567" s="592"/>
      <c r="BJ567" s="592"/>
      <c r="BK567" s="592"/>
      <c r="BL567" s="592"/>
      <c r="BM567" s="592"/>
      <c r="BN567" s="592"/>
      <c r="BO567" s="592"/>
      <c r="BP567" s="592"/>
      <c r="BQ567" s="594"/>
      <c r="BR567" s="594"/>
      <c r="BS567" s="394"/>
      <c r="BT567" s="594"/>
      <c r="BU567" s="594"/>
      <c r="BV567" s="594"/>
      <c r="BW567" s="618"/>
      <c r="BX567" s="644"/>
      <c r="BY567" s="644"/>
    </row>
    <row r="568" ht="25.5" customHeight="1">
      <c r="A568" s="635"/>
      <c r="B568" s="695"/>
      <c r="C568" s="642"/>
      <c r="D568" s="642"/>
      <c r="E568" s="696"/>
      <c r="F568" s="696"/>
      <c r="G568" s="621"/>
      <c r="H568" s="577"/>
      <c r="I568" s="577"/>
      <c r="J568" s="613"/>
      <c r="K568" s="581"/>
      <c r="L568" s="581"/>
      <c r="M568" s="613"/>
      <c r="N568" s="613"/>
      <c r="O568" s="613"/>
      <c r="P568" s="580"/>
      <c r="Q568" s="580"/>
      <c r="R568" s="581"/>
      <c r="S568" s="581"/>
      <c r="T568" s="581"/>
      <c r="U568" s="582"/>
      <c r="V568" s="614"/>
      <c r="W568" s="581"/>
      <c r="X568" s="615"/>
      <c r="Y568" s="613"/>
      <c r="Z568" s="580"/>
      <c r="AA568" s="634"/>
      <c r="AB568" s="577"/>
      <c r="AC568" s="673"/>
      <c r="AD568" s="634"/>
      <c r="AE568" s="587"/>
      <c r="AF568" s="587"/>
      <c r="AG568" s="582"/>
      <c r="AH568" s="582"/>
      <c r="AI568" s="582"/>
      <c r="AJ568" s="582"/>
      <c r="AK568" s="588"/>
      <c r="AL568" s="582"/>
      <c r="AM568" s="587"/>
      <c r="AN568" s="589"/>
      <c r="AO568" s="616"/>
      <c r="AP568" s="592"/>
      <c r="AQ568" s="358"/>
      <c r="AR568" s="592"/>
      <c r="AS568" s="592"/>
      <c r="AT568" s="592"/>
      <c r="AU568" s="592"/>
      <c r="AV568" s="592"/>
      <c r="AW568" s="592"/>
      <c r="AX568" s="592"/>
      <c r="AY568" s="592"/>
      <c r="AZ568" s="592"/>
      <c r="BA568" s="617"/>
      <c r="BB568" s="592"/>
      <c r="BC568" s="592"/>
      <c r="BD568" s="592"/>
      <c r="BE568" s="592"/>
      <c r="BF568" s="592"/>
      <c r="BG568" s="358"/>
      <c r="BH568" s="592"/>
      <c r="BI568" s="592"/>
      <c r="BJ568" s="592"/>
      <c r="BK568" s="592"/>
      <c r="BL568" s="592"/>
      <c r="BM568" s="592"/>
      <c r="BN568" s="592"/>
      <c r="BO568" s="592"/>
      <c r="BP568" s="592"/>
      <c r="BQ568" s="594"/>
      <c r="BR568" s="594"/>
      <c r="BS568" s="394"/>
      <c r="BT568" s="594"/>
      <c r="BU568" s="594"/>
      <c r="BV568" s="594"/>
      <c r="BW568" s="618"/>
      <c r="BX568" s="644"/>
      <c r="BY568" s="644"/>
    </row>
    <row r="569" ht="25.5" customHeight="1">
      <c r="A569" s="635"/>
      <c r="B569" s="695"/>
      <c r="C569" s="642"/>
      <c r="D569" s="642"/>
      <c r="E569" s="696"/>
      <c r="F569" s="696"/>
      <c r="G569" s="621"/>
      <c r="H569" s="577"/>
      <c r="I569" s="577"/>
      <c r="J569" s="613"/>
      <c r="K569" s="581"/>
      <c r="L569" s="581"/>
      <c r="M569" s="613"/>
      <c r="N569" s="613"/>
      <c r="O569" s="613"/>
      <c r="P569" s="580"/>
      <c r="Q569" s="580"/>
      <c r="R569" s="581"/>
      <c r="S569" s="581"/>
      <c r="T569" s="581"/>
      <c r="U569" s="582"/>
      <c r="V569" s="614"/>
      <c r="W569" s="581"/>
      <c r="X569" s="615"/>
      <c r="Y569" s="613"/>
      <c r="Z569" s="580"/>
      <c r="AA569" s="634"/>
      <c r="AB569" s="577"/>
      <c r="AC569" s="673"/>
      <c r="AD569" s="634"/>
      <c r="AE569" s="587"/>
      <c r="AF569" s="587"/>
      <c r="AG569" s="582"/>
      <c r="AH569" s="582"/>
      <c r="AI569" s="582"/>
      <c r="AJ569" s="582"/>
      <c r="AK569" s="588"/>
      <c r="AL569" s="582"/>
      <c r="AM569" s="587"/>
      <c r="AN569" s="589"/>
      <c r="AO569" s="616"/>
      <c r="AP569" s="592"/>
      <c r="AQ569" s="358"/>
      <c r="AR569" s="592"/>
      <c r="AS569" s="592"/>
      <c r="AT569" s="592"/>
      <c r="AU569" s="592"/>
      <c r="AV569" s="592"/>
      <c r="AW569" s="592"/>
      <c r="AX569" s="592"/>
      <c r="AY569" s="592"/>
      <c r="AZ569" s="592"/>
      <c r="BA569" s="617"/>
      <c r="BB569" s="592"/>
      <c r="BC569" s="592"/>
      <c r="BD569" s="592"/>
      <c r="BE569" s="592"/>
      <c r="BF569" s="592"/>
      <c r="BG569" s="358"/>
      <c r="BH569" s="592"/>
      <c r="BI569" s="592"/>
      <c r="BJ569" s="592"/>
      <c r="BK569" s="592"/>
      <c r="BL569" s="592"/>
      <c r="BM569" s="592"/>
      <c r="BN569" s="592"/>
      <c r="BO569" s="592"/>
      <c r="BP569" s="592"/>
      <c r="BQ569" s="594"/>
      <c r="BR569" s="594"/>
      <c r="BS569" s="394"/>
      <c r="BT569" s="594"/>
      <c r="BU569" s="594"/>
      <c r="BV569" s="594"/>
      <c r="BW569" s="618"/>
      <c r="BX569" s="644"/>
      <c r="BY569" s="644"/>
    </row>
    <row r="570" ht="25.5" customHeight="1">
      <c r="A570" s="635"/>
      <c r="B570" s="695"/>
      <c r="C570" s="642"/>
      <c r="D570" s="642"/>
      <c r="E570" s="696"/>
      <c r="F570" s="696"/>
      <c r="G570" s="621"/>
      <c r="H570" s="577"/>
      <c r="I570" s="577"/>
      <c r="J570" s="613"/>
      <c r="K570" s="581"/>
      <c r="L570" s="581"/>
      <c r="M570" s="613"/>
      <c r="N570" s="613"/>
      <c r="O570" s="613"/>
      <c r="P570" s="580"/>
      <c r="Q570" s="580"/>
      <c r="R570" s="581"/>
      <c r="S570" s="581"/>
      <c r="T570" s="581"/>
      <c r="U570" s="582"/>
      <c r="V570" s="614"/>
      <c r="W570" s="581"/>
      <c r="X570" s="615"/>
      <c r="Y570" s="613"/>
      <c r="Z570" s="580"/>
      <c r="AA570" s="634"/>
      <c r="AB570" s="577"/>
      <c r="AC570" s="673"/>
      <c r="AD570" s="634"/>
      <c r="AE570" s="587"/>
      <c r="AF570" s="587"/>
      <c r="AG570" s="582"/>
      <c r="AH570" s="582"/>
      <c r="AI570" s="582"/>
      <c r="AJ570" s="582"/>
      <c r="AK570" s="588"/>
      <c r="AL570" s="582"/>
      <c r="AM570" s="587"/>
      <c r="AN570" s="589"/>
      <c r="AO570" s="616"/>
      <c r="AP570" s="592"/>
      <c r="AQ570" s="358"/>
      <c r="AR570" s="592"/>
      <c r="AS570" s="592"/>
      <c r="AT570" s="592"/>
      <c r="AU570" s="592"/>
      <c r="AV570" s="592"/>
      <c r="AW570" s="592"/>
      <c r="AX570" s="592"/>
      <c r="AY570" s="592"/>
      <c r="AZ570" s="592"/>
      <c r="BA570" s="617"/>
      <c r="BB570" s="592"/>
      <c r="BC570" s="592"/>
      <c r="BD570" s="592"/>
      <c r="BE570" s="592"/>
      <c r="BF570" s="592"/>
      <c r="BG570" s="358"/>
      <c r="BH570" s="592"/>
      <c r="BI570" s="592"/>
      <c r="BJ570" s="592"/>
      <c r="BK570" s="592"/>
      <c r="BL570" s="592"/>
      <c r="BM570" s="592"/>
      <c r="BN570" s="592"/>
      <c r="BO570" s="592"/>
      <c r="BP570" s="592"/>
      <c r="BQ570" s="594"/>
      <c r="BR570" s="594"/>
      <c r="BS570" s="394"/>
      <c r="BT570" s="594"/>
      <c r="BU570" s="594"/>
      <c r="BV570" s="594"/>
      <c r="BW570" s="618"/>
      <c r="BX570" s="644"/>
      <c r="BY570" s="644"/>
    </row>
    <row r="571" ht="25.5" customHeight="1">
      <c r="A571" s="635"/>
      <c r="B571" s="695"/>
      <c r="C571" s="642"/>
      <c r="D571" s="642"/>
      <c r="E571" s="696"/>
      <c r="F571" s="696"/>
      <c r="G571" s="621"/>
      <c r="H571" s="577"/>
      <c r="I571" s="577"/>
      <c r="J571" s="613"/>
      <c r="K571" s="581"/>
      <c r="L571" s="581"/>
      <c r="M571" s="613"/>
      <c r="N571" s="613"/>
      <c r="O571" s="613"/>
      <c r="P571" s="580"/>
      <c r="Q571" s="580"/>
      <c r="R571" s="581"/>
      <c r="S571" s="581"/>
      <c r="T571" s="581"/>
      <c r="U571" s="582"/>
      <c r="V571" s="614"/>
      <c r="W571" s="581"/>
      <c r="X571" s="615"/>
      <c r="Y571" s="613"/>
      <c r="Z571" s="580"/>
      <c r="AA571" s="634"/>
      <c r="AB571" s="577"/>
      <c r="AC571" s="673"/>
      <c r="AD571" s="634"/>
      <c r="AE571" s="587"/>
      <c r="AF571" s="587"/>
      <c r="AG571" s="582"/>
      <c r="AH571" s="582"/>
      <c r="AI571" s="582"/>
      <c r="AJ571" s="582"/>
      <c r="AK571" s="588"/>
      <c r="AL571" s="582"/>
      <c r="AM571" s="587"/>
      <c r="AN571" s="589"/>
      <c r="AO571" s="616"/>
      <c r="AP571" s="592"/>
      <c r="AQ571" s="358"/>
      <c r="AR571" s="592"/>
      <c r="AS571" s="592"/>
      <c r="AT571" s="592"/>
      <c r="AU571" s="592"/>
      <c r="AV571" s="592"/>
      <c r="AW571" s="592"/>
      <c r="AX571" s="592"/>
      <c r="AY571" s="592"/>
      <c r="AZ571" s="592"/>
      <c r="BA571" s="617"/>
      <c r="BB571" s="592"/>
      <c r="BC571" s="592"/>
      <c r="BD571" s="592"/>
      <c r="BE571" s="592"/>
      <c r="BF571" s="592"/>
      <c r="BG571" s="358"/>
      <c r="BH571" s="592"/>
      <c r="BI571" s="592"/>
      <c r="BJ571" s="592"/>
      <c r="BK571" s="592"/>
      <c r="BL571" s="592"/>
      <c r="BM571" s="592"/>
      <c r="BN571" s="592"/>
      <c r="BO571" s="592"/>
      <c r="BP571" s="592"/>
      <c r="BQ571" s="594"/>
      <c r="BR571" s="594"/>
      <c r="BS571" s="394"/>
      <c r="BT571" s="594"/>
      <c r="BU571" s="594"/>
      <c r="BV571" s="594"/>
      <c r="BW571" s="618"/>
      <c r="BX571" s="644"/>
      <c r="BY571" s="644"/>
    </row>
    <row r="572" ht="25.5" customHeight="1">
      <c r="A572" s="635"/>
      <c r="B572" s="695"/>
      <c r="C572" s="642"/>
      <c r="D572" s="642"/>
      <c r="E572" s="696"/>
      <c r="F572" s="696"/>
      <c r="G572" s="621"/>
      <c r="H572" s="577"/>
      <c r="I572" s="577"/>
      <c r="J572" s="613"/>
      <c r="K572" s="581"/>
      <c r="L572" s="581"/>
      <c r="M572" s="613"/>
      <c r="N572" s="613"/>
      <c r="O572" s="613"/>
      <c r="P572" s="580"/>
      <c r="Q572" s="580"/>
      <c r="R572" s="581"/>
      <c r="S572" s="581"/>
      <c r="T572" s="581"/>
      <c r="U572" s="582"/>
      <c r="V572" s="614"/>
      <c r="W572" s="581"/>
      <c r="X572" s="615"/>
      <c r="Y572" s="613"/>
      <c r="Z572" s="580"/>
      <c r="AA572" s="634"/>
      <c r="AB572" s="577"/>
      <c r="AC572" s="673"/>
      <c r="AD572" s="634"/>
      <c r="AE572" s="587"/>
      <c r="AF572" s="587"/>
      <c r="AG572" s="582"/>
      <c r="AH572" s="582"/>
      <c r="AI572" s="582"/>
      <c r="AJ572" s="582"/>
      <c r="AK572" s="588"/>
      <c r="AL572" s="582"/>
      <c r="AM572" s="587"/>
      <c r="AN572" s="589"/>
      <c r="AO572" s="616"/>
      <c r="AP572" s="592"/>
      <c r="AQ572" s="358"/>
      <c r="AR572" s="592"/>
      <c r="AS572" s="592"/>
      <c r="AT572" s="592"/>
      <c r="AU572" s="592"/>
      <c r="AV572" s="592"/>
      <c r="AW572" s="592"/>
      <c r="AX572" s="592"/>
      <c r="AY572" s="592"/>
      <c r="AZ572" s="592"/>
      <c r="BA572" s="617"/>
      <c r="BB572" s="592"/>
      <c r="BC572" s="592"/>
      <c r="BD572" s="592"/>
      <c r="BE572" s="592"/>
      <c r="BF572" s="592"/>
      <c r="BG572" s="358"/>
      <c r="BH572" s="592"/>
      <c r="BI572" s="592"/>
      <c r="BJ572" s="592"/>
      <c r="BK572" s="592"/>
      <c r="BL572" s="592"/>
      <c r="BM572" s="592"/>
      <c r="BN572" s="592"/>
      <c r="BO572" s="592"/>
      <c r="BP572" s="592"/>
      <c r="BQ572" s="594"/>
      <c r="BR572" s="594"/>
      <c r="BS572" s="394"/>
      <c r="BT572" s="594"/>
      <c r="BU572" s="594"/>
      <c r="BV572" s="594"/>
      <c r="BW572" s="618"/>
      <c r="BX572" s="644"/>
      <c r="BY572" s="644"/>
    </row>
    <row r="573" ht="25.5" customHeight="1">
      <c r="A573" s="635"/>
      <c r="B573" s="695"/>
      <c r="C573" s="642"/>
      <c r="D573" s="642"/>
      <c r="E573" s="696"/>
      <c r="F573" s="696"/>
      <c r="G573" s="621"/>
      <c r="H573" s="577"/>
      <c r="I573" s="577"/>
      <c r="J573" s="613"/>
      <c r="K573" s="581"/>
      <c r="L573" s="581"/>
      <c r="M573" s="613"/>
      <c r="N573" s="613"/>
      <c r="O573" s="613"/>
      <c r="P573" s="580"/>
      <c r="Q573" s="580"/>
      <c r="R573" s="581"/>
      <c r="S573" s="581"/>
      <c r="T573" s="581"/>
      <c r="U573" s="582"/>
      <c r="V573" s="614"/>
      <c r="W573" s="581"/>
      <c r="X573" s="615"/>
      <c r="Y573" s="613"/>
      <c r="Z573" s="580"/>
      <c r="AA573" s="634"/>
      <c r="AB573" s="577"/>
      <c r="AC573" s="673"/>
      <c r="AD573" s="634"/>
      <c r="AE573" s="587"/>
      <c r="AF573" s="587"/>
      <c r="AG573" s="582"/>
      <c r="AH573" s="582"/>
      <c r="AI573" s="582"/>
      <c r="AJ573" s="582"/>
      <c r="AK573" s="588"/>
      <c r="AL573" s="582"/>
      <c r="AM573" s="587"/>
      <c r="AN573" s="589"/>
      <c r="AO573" s="616"/>
      <c r="AP573" s="592"/>
      <c r="AQ573" s="358"/>
      <c r="AR573" s="592"/>
      <c r="AS573" s="592"/>
      <c r="AT573" s="592"/>
      <c r="AU573" s="592"/>
      <c r="AV573" s="592"/>
      <c r="AW573" s="592"/>
      <c r="AX573" s="592"/>
      <c r="AY573" s="592"/>
      <c r="AZ573" s="592"/>
      <c r="BA573" s="617"/>
      <c r="BB573" s="592"/>
      <c r="BC573" s="592"/>
      <c r="BD573" s="592"/>
      <c r="BE573" s="592"/>
      <c r="BF573" s="592"/>
      <c r="BG573" s="358"/>
      <c r="BH573" s="592"/>
      <c r="BI573" s="592"/>
      <c r="BJ573" s="592"/>
      <c r="BK573" s="592"/>
      <c r="BL573" s="592"/>
      <c r="BM573" s="592"/>
      <c r="BN573" s="592"/>
      <c r="BO573" s="592"/>
      <c r="BP573" s="592"/>
      <c r="BQ573" s="594"/>
      <c r="BR573" s="594"/>
      <c r="BS573" s="394"/>
      <c r="BT573" s="594"/>
      <c r="BU573" s="594"/>
      <c r="BV573" s="594"/>
      <c r="BW573" s="618"/>
      <c r="BX573" s="644"/>
      <c r="BY573" s="644"/>
    </row>
    <row r="574" ht="25.5" customHeight="1">
      <c r="A574" s="635"/>
      <c r="B574" s="695"/>
      <c r="C574" s="642"/>
      <c r="D574" s="642"/>
      <c r="E574" s="696"/>
      <c r="F574" s="696"/>
      <c r="G574" s="621"/>
      <c r="H574" s="577"/>
      <c r="I574" s="577"/>
      <c r="J574" s="613"/>
      <c r="K574" s="581"/>
      <c r="L574" s="581"/>
      <c r="M574" s="613"/>
      <c r="N574" s="613"/>
      <c r="O574" s="613"/>
      <c r="P574" s="580"/>
      <c r="Q574" s="580"/>
      <c r="R574" s="581"/>
      <c r="S574" s="581"/>
      <c r="T574" s="581"/>
      <c r="U574" s="582"/>
      <c r="V574" s="614"/>
      <c r="W574" s="581"/>
      <c r="X574" s="615"/>
      <c r="Y574" s="613"/>
      <c r="Z574" s="580"/>
      <c r="AA574" s="634"/>
      <c r="AB574" s="577"/>
      <c r="AC574" s="673"/>
      <c r="AD574" s="634"/>
      <c r="AE574" s="587"/>
      <c r="AF574" s="587"/>
      <c r="AG574" s="582"/>
      <c r="AH574" s="582"/>
      <c r="AI574" s="582"/>
      <c r="AJ574" s="582"/>
      <c r="AK574" s="588"/>
      <c r="AL574" s="582"/>
      <c r="AM574" s="587"/>
      <c r="AN574" s="589"/>
      <c r="AO574" s="616"/>
      <c r="AP574" s="592"/>
      <c r="AQ574" s="358"/>
      <c r="AR574" s="592"/>
      <c r="AS574" s="592"/>
      <c r="AT574" s="592"/>
      <c r="AU574" s="592"/>
      <c r="AV574" s="592"/>
      <c r="AW574" s="592"/>
      <c r="AX574" s="592"/>
      <c r="AY574" s="592"/>
      <c r="AZ574" s="592"/>
      <c r="BA574" s="617"/>
      <c r="BB574" s="592"/>
      <c r="BC574" s="592"/>
      <c r="BD574" s="592"/>
      <c r="BE574" s="592"/>
      <c r="BF574" s="592"/>
      <c r="BG574" s="358"/>
      <c r="BH574" s="592"/>
      <c r="BI574" s="592"/>
      <c r="BJ574" s="592"/>
      <c r="BK574" s="592"/>
      <c r="BL574" s="592"/>
      <c r="BM574" s="592"/>
      <c r="BN574" s="592"/>
      <c r="BO574" s="592"/>
      <c r="BP574" s="592"/>
      <c r="BQ574" s="594"/>
      <c r="BR574" s="594"/>
      <c r="BS574" s="394"/>
      <c r="BT574" s="594"/>
      <c r="BU574" s="594"/>
      <c r="BV574" s="594"/>
      <c r="BW574" s="618"/>
      <c r="BX574" s="644"/>
      <c r="BY574" s="644"/>
    </row>
    <row r="575" ht="25.5" customHeight="1">
      <c r="A575" s="635"/>
      <c r="B575" s="695"/>
      <c r="C575" s="642"/>
      <c r="D575" s="642"/>
      <c r="E575" s="696"/>
      <c r="F575" s="696"/>
      <c r="G575" s="621"/>
      <c r="H575" s="577"/>
      <c r="I575" s="577"/>
      <c r="J575" s="613"/>
      <c r="K575" s="581"/>
      <c r="L575" s="581"/>
      <c r="M575" s="613"/>
      <c r="N575" s="613"/>
      <c r="O575" s="613"/>
      <c r="P575" s="580"/>
      <c r="Q575" s="580"/>
      <c r="R575" s="581"/>
      <c r="S575" s="581"/>
      <c r="T575" s="581"/>
      <c r="U575" s="582"/>
      <c r="V575" s="614"/>
      <c r="W575" s="581"/>
      <c r="X575" s="615"/>
      <c r="Y575" s="613"/>
      <c r="Z575" s="580"/>
      <c r="AA575" s="634"/>
      <c r="AB575" s="577"/>
      <c r="AC575" s="673"/>
      <c r="AD575" s="634"/>
      <c r="AE575" s="587"/>
      <c r="AF575" s="587"/>
      <c r="AG575" s="582"/>
      <c r="AH575" s="582"/>
      <c r="AI575" s="582"/>
      <c r="AJ575" s="582"/>
      <c r="AK575" s="588"/>
      <c r="AL575" s="582"/>
      <c r="AM575" s="587"/>
      <c r="AN575" s="589"/>
      <c r="AO575" s="616"/>
      <c r="AP575" s="592"/>
      <c r="AQ575" s="358"/>
      <c r="AR575" s="592"/>
      <c r="AS575" s="592"/>
      <c r="AT575" s="592"/>
      <c r="AU575" s="592"/>
      <c r="AV575" s="592"/>
      <c r="AW575" s="592"/>
      <c r="AX575" s="592"/>
      <c r="AY575" s="592"/>
      <c r="AZ575" s="592"/>
      <c r="BA575" s="617"/>
      <c r="BB575" s="592"/>
      <c r="BC575" s="592"/>
      <c r="BD575" s="592"/>
      <c r="BE575" s="592"/>
      <c r="BF575" s="592"/>
      <c r="BG575" s="358"/>
      <c r="BH575" s="592"/>
      <c r="BI575" s="592"/>
      <c r="BJ575" s="592"/>
      <c r="BK575" s="592"/>
      <c r="BL575" s="592"/>
      <c r="BM575" s="592"/>
      <c r="BN575" s="592"/>
      <c r="BO575" s="592"/>
      <c r="BP575" s="592"/>
      <c r="BQ575" s="594"/>
      <c r="BR575" s="594"/>
      <c r="BS575" s="394"/>
      <c r="BT575" s="594"/>
      <c r="BU575" s="594"/>
      <c r="BV575" s="594"/>
      <c r="BW575" s="618"/>
      <c r="BX575" s="644"/>
      <c r="BY575" s="644"/>
    </row>
    <row r="576" ht="25.5" customHeight="1">
      <c r="A576" s="635"/>
      <c r="B576" s="695"/>
      <c r="C576" s="642"/>
      <c r="D576" s="642"/>
      <c r="E576" s="696"/>
      <c r="F576" s="696"/>
      <c r="G576" s="621"/>
      <c r="H576" s="577"/>
      <c r="I576" s="577"/>
      <c r="J576" s="613"/>
      <c r="K576" s="581"/>
      <c r="L576" s="581"/>
      <c r="M576" s="613"/>
      <c r="N576" s="613"/>
      <c r="O576" s="613"/>
      <c r="P576" s="580"/>
      <c r="Q576" s="580"/>
      <c r="R576" s="581"/>
      <c r="S576" s="581"/>
      <c r="T576" s="581"/>
      <c r="U576" s="582"/>
      <c r="V576" s="614"/>
      <c r="W576" s="581"/>
      <c r="X576" s="615"/>
      <c r="Y576" s="613"/>
      <c r="Z576" s="580"/>
      <c r="AA576" s="634"/>
      <c r="AB576" s="577"/>
      <c r="AC576" s="673"/>
      <c r="AD576" s="634"/>
      <c r="AE576" s="587"/>
      <c r="AF576" s="587"/>
      <c r="AG576" s="582"/>
      <c r="AH576" s="582"/>
      <c r="AI576" s="582"/>
      <c r="AJ576" s="582"/>
      <c r="AK576" s="588"/>
      <c r="AL576" s="582"/>
      <c r="AM576" s="587"/>
      <c r="AN576" s="589"/>
      <c r="AO576" s="616"/>
      <c r="AP576" s="592"/>
      <c r="AQ576" s="358"/>
      <c r="AR576" s="592"/>
      <c r="AS576" s="592"/>
      <c r="AT576" s="592"/>
      <c r="AU576" s="592"/>
      <c r="AV576" s="592"/>
      <c r="AW576" s="592"/>
      <c r="AX576" s="592"/>
      <c r="AY576" s="592"/>
      <c r="AZ576" s="592"/>
      <c r="BA576" s="617"/>
      <c r="BB576" s="592"/>
      <c r="BC576" s="592"/>
      <c r="BD576" s="592"/>
      <c r="BE576" s="592"/>
      <c r="BF576" s="592"/>
      <c r="BG576" s="358"/>
      <c r="BH576" s="592"/>
      <c r="BI576" s="592"/>
      <c r="BJ576" s="592"/>
      <c r="BK576" s="592"/>
      <c r="BL576" s="592"/>
      <c r="BM576" s="592"/>
      <c r="BN576" s="592"/>
      <c r="BO576" s="592"/>
      <c r="BP576" s="592"/>
      <c r="BQ576" s="594"/>
      <c r="BR576" s="594"/>
      <c r="BS576" s="394"/>
      <c r="BT576" s="594"/>
      <c r="BU576" s="594"/>
      <c r="BV576" s="594"/>
      <c r="BW576" s="618"/>
      <c r="BX576" s="644"/>
      <c r="BY576" s="644"/>
    </row>
    <row r="577" ht="25.5" customHeight="1">
      <c r="A577" s="635"/>
      <c r="B577" s="695"/>
      <c r="C577" s="642"/>
      <c r="D577" s="642"/>
      <c r="E577" s="696"/>
      <c r="F577" s="696"/>
      <c r="G577" s="621"/>
      <c r="H577" s="577"/>
      <c r="I577" s="577"/>
      <c r="J577" s="613"/>
      <c r="K577" s="581"/>
      <c r="L577" s="581"/>
      <c r="M577" s="613"/>
      <c r="N577" s="613"/>
      <c r="O577" s="613"/>
      <c r="P577" s="580"/>
      <c r="Q577" s="580"/>
      <c r="R577" s="581"/>
      <c r="S577" s="581"/>
      <c r="T577" s="581"/>
      <c r="U577" s="582"/>
      <c r="V577" s="614"/>
      <c r="W577" s="581"/>
      <c r="X577" s="615"/>
      <c r="Y577" s="613"/>
      <c r="Z577" s="580"/>
      <c r="AA577" s="634"/>
      <c r="AB577" s="577"/>
      <c r="AC577" s="673"/>
      <c r="AD577" s="634"/>
      <c r="AE577" s="587"/>
      <c r="AF577" s="587"/>
      <c r="AG577" s="582"/>
      <c r="AH577" s="582"/>
      <c r="AI577" s="582"/>
      <c r="AJ577" s="582"/>
      <c r="AK577" s="588"/>
      <c r="AL577" s="582"/>
      <c r="AM577" s="587"/>
      <c r="AN577" s="589"/>
      <c r="AO577" s="616"/>
      <c r="AP577" s="592"/>
      <c r="AQ577" s="358"/>
      <c r="AR577" s="592"/>
      <c r="AS577" s="592"/>
      <c r="AT577" s="592"/>
      <c r="AU577" s="592"/>
      <c r="AV577" s="592"/>
      <c r="AW577" s="592"/>
      <c r="AX577" s="592"/>
      <c r="AY577" s="592"/>
      <c r="AZ577" s="592"/>
      <c r="BA577" s="617"/>
      <c r="BB577" s="592"/>
      <c r="BC577" s="592"/>
      <c r="BD577" s="592"/>
      <c r="BE577" s="592"/>
      <c r="BF577" s="592"/>
      <c r="BG577" s="358"/>
      <c r="BH577" s="592"/>
      <c r="BI577" s="592"/>
      <c r="BJ577" s="592"/>
      <c r="BK577" s="592"/>
      <c r="BL577" s="592"/>
      <c r="BM577" s="592"/>
      <c r="BN577" s="592"/>
      <c r="BO577" s="592"/>
      <c r="BP577" s="592"/>
      <c r="BQ577" s="594"/>
      <c r="BR577" s="594"/>
      <c r="BS577" s="394"/>
      <c r="BT577" s="594"/>
      <c r="BU577" s="594"/>
      <c r="BV577" s="594"/>
      <c r="BW577" s="618"/>
      <c r="BX577" s="644"/>
      <c r="BY577" s="644"/>
    </row>
    <row r="578" ht="25.5" customHeight="1">
      <c r="A578" s="635"/>
      <c r="B578" s="695"/>
      <c r="C578" s="642"/>
      <c r="D578" s="642"/>
      <c r="E578" s="696"/>
      <c r="F578" s="696"/>
      <c r="G578" s="621"/>
      <c r="H578" s="577"/>
      <c r="I578" s="577"/>
      <c r="J578" s="613"/>
      <c r="K578" s="581"/>
      <c r="L578" s="581"/>
      <c r="M578" s="613"/>
      <c r="N578" s="613"/>
      <c r="O578" s="613"/>
      <c r="P578" s="580"/>
      <c r="Q578" s="580"/>
      <c r="R578" s="581"/>
      <c r="S578" s="581"/>
      <c r="T578" s="581"/>
      <c r="U578" s="582"/>
      <c r="V578" s="614"/>
      <c r="W578" s="581"/>
      <c r="X578" s="615"/>
      <c r="Y578" s="613"/>
      <c r="Z578" s="580"/>
      <c r="AA578" s="634"/>
      <c r="AB578" s="577"/>
      <c r="AC578" s="673"/>
      <c r="AD578" s="634"/>
      <c r="AE578" s="587"/>
      <c r="AF578" s="587"/>
      <c r="AG578" s="582"/>
      <c r="AH578" s="582"/>
      <c r="AI578" s="582"/>
      <c r="AJ578" s="582"/>
      <c r="AK578" s="588"/>
      <c r="AL578" s="582"/>
      <c r="AM578" s="587"/>
      <c r="AN578" s="589"/>
      <c r="AO578" s="616"/>
      <c r="AP578" s="592"/>
      <c r="AQ578" s="358"/>
      <c r="AR578" s="592"/>
      <c r="AS578" s="592"/>
      <c r="AT578" s="592"/>
      <c r="AU578" s="592"/>
      <c r="AV578" s="592"/>
      <c r="AW578" s="592"/>
      <c r="AX578" s="592"/>
      <c r="AY578" s="592"/>
      <c r="AZ578" s="592"/>
      <c r="BA578" s="617"/>
      <c r="BB578" s="592"/>
      <c r="BC578" s="592"/>
      <c r="BD578" s="592"/>
      <c r="BE578" s="592"/>
      <c r="BF578" s="592"/>
      <c r="BG578" s="358"/>
      <c r="BH578" s="592"/>
      <c r="BI578" s="592"/>
      <c r="BJ578" s="592"/>
      <c r="BK578" s="592"/>
      <c r="BL578" s="592"/>
      <c r="BM578" s="592"/>
      <c r="BN578" s="592"/>
      <c r="BO578" s="592"/>
      <c r="BP578" s="592"/>
      <c r="BQ578" s="594"/>
      <c r="BR578" s="594"/>
      <c r="BS578" s="394"/>
      <c r="BT578" s="594"/>
      <c r="BU578" s="594"/>
      <c r="BV578" s="594"/>
      <c r="BW578" s="618"/>
      <c r="BX578" s="644"/>
      <c r="BY578" s="644"/>
    </row>
    <row r="579" ht="25.5" customHeight="1">
      <c r="A579" s="635"/>
      <c r="B579" s="695"/>
      <c r="C579" s="642"/>
      <c r="D579" s="642"/>
      <c r="E579" s="696"/>
      <c r="F579" s="696"/>
      <c r="G579" s="621"/>
      <c r="H579" s="577"/>
      <c r="I579" s="577"/>
      <c r="J579" s="613"/>
      <c r="K579" s="581"/>
      <c r="L579" s="581"/>
      <c r="M579" s="613"/>
      <c r="N579" s="613"/>
      <c r="O579" s="613"/>
      <c r="P579" s="580"/>
      <c r="Q579" s="580"/>
      <c r="R579" s="581"/>
      <c r="S579" s="581"/>
      <c r="T579" s="581"/>
      <c r="U579" s="582"/>
      <c r="V579" s="614"/>
      <c r="W579" s="581"/>
      <c r="X579" s="615"/>
      <c r="Y579" s="613"/>
      <c r="Z579" s="580"/>
      <c r="AA579" s="634"/>
      <c r="AB579" s="577"/>
      <c r="AC579" s="673"/>
      <c r="AD579" s="634"/>
      <c r="AE579" s="587"/>
      <c r="AF579" s="587"/>
      <c r="AG579" s="582"/>
      <c r="AH579" s="582"/>
      <c r="AI579" s="582"/>
      <c r="AJ579" s="582"/>
      <c r="AK579" s="588"/>
      <c r="AL579" s="582"/>
      <c r="AM579" s="587"/>
      <c r="AN579" s="589"/>
      <c r="AO579" s="616"/>
      <c r="AP579" s="592"/>
      <c r="AQ579" s="358"/>
      <c r="AR579" s="592"/>
      <c r="AS579" s="592"/>
      <c r="AT579" s="592"/>
      <c r="AU579" s="592"/>
      <c r="AV579" s="592"/>
      <c r="AW579" s="592"/>
      <c r="AX579" s="592"/>
      <c r="AY579" s="592"/>
      <c r="AZ579" s="592"/>
      <c r="BA579" s="617"/>
      <c r="BB579" s="592"/>
      <c r="BC579" s="592"/>
      <c r="BD579" s="592"/>
      <c r="BE579" s="592"/>
      <c r="BF579" s="592"/>
      <c r="BG579" s="358"/>
      <c r="BH579" s="592"/>
      <c r="BI579" s="592"/>
      <c r="BJ579" s="592"/>
      <c r="BK579" s="592"/>
      <c r="BL579" s="592"/>
      <c r="BM579" s="592"/>
      <c r="BN579" s="592"/>
      <c r="BO579" s="592"/>
      <c r="BP579" s="592"/>
      <c r="BQ579" s="594"/>
      <c r="BR579" s="594"/>
      <c r="BS579" s="394"/>
      <c r="BT579" s="594"/>
      <c r="BU579" s="594"/>
      <c r="BV579" s="594"/>
      <c r="BW579" s="618"/>
      <c r="BX579" s="644"/>
      <c r="BY579" s="644"/>
    </row>
    <row r="580" ht="25.5" customHeight="1">
      <c r="A580" s="635"/>
      <c r="B580" s="695"/>
      <c r="C580" s="642"/>
      <c r="D580" s="642"/>
      <c r="E580" s="696"/>
      <c r="F580" s="696"/>
      <c r="G580" s="621"/>
      <c r="H580" s="577"/>
      <c r="I580" s="577"/>
      <c r="J580" s="613"/>
      <c r="K580" s="581"/>
      <c r="L580" s="581"/>
      <c r="M580" s="613"/>
      <c r="N580" s="613"/>
      <c r="O580" s="613"/>
      <c r="P580" s="580"/>
      <c r="Q580" s="580"/>
      <c r="R580" s="581"/>
      <c r="S580" s="581"/>
      <c r="T580" s="581"/>
      <c r="U580" s="582"/>
      <c r="V580" s="614"/>
      <c r="W580" s="581"/>
      <c r="X580" s="615"/>
      <c r="Y580" s="613"/>
      <c r="Z580" s="580"/>
      <c r="AA580" s="634"/>
      <c r="AB580" s="577"/>
      <c r="AC580" s="673"/>
      <c r="AD580" s="634"/>
      <c r="AE580" s="587"/>
      <c r="AF580" s="587"/>
      <c r="AG580" s="582"/>
      <c r="AH580" s="582"/>
      <c r="AI580" s="582"/>
      <c r="AJ580" s="582"/>
      <c r="AK580" s="588"/>
      <c r="AL580" s="582"/>
      <c r="AM580" s="587"/>
      <c r="AN580" s="589"/>
      <c r="AO580" s="616"/>
      <c r="AP580" s="592"/>
      <c r="AQ580" s="358"/>
      <c r="AR580" s="592"/>
      <c r="AS580" s="592"/>
      <c r="AT580" s="592"/>
      <c r="AU580" s="592"/>
      <c r="AV580" s="592"/>
      <c r="AW580" s="592"/>
      <c r="AX580" s="592"/>
      <c r="AY580" s="592"/>
      <c r="AZ580" s="592"/>
      <c r="BA580" s="617"/>
      <c r="BB580" s="592"/>
      <c r="BC580" s="592"/>
      <c r="BD580" s="592"/>
      <c r="BE580" s="592"/>
      <c r="BF580" s="592"/>
      <c r="BG580" s="358"/>
      <c r="BH580" s="592"/>
      <c r="BI580" s="592"/>
      <c r="BJ580" s="592"/>
      <c r="BK580" s="592"/>
      <c r="BL580" s="592"/>
      <c r="BM580" s="592"/>
      <c r="BN580" s="592"/>
      <c r="BO580" s="592"/>
      <c r="BP580" s="592"/>
      <c r="BQ580" s="594"/>
      <c r="BR580" s="594"/>
      <c r="BS580" s="394"/>
      <c r="BT580" s="594"/>
      <c r="BU580" s="594"/>
      <c r="BV580" s="594"/>
      <c r="BW580" s="618"/>
      <c r="BX580" s="644"/>
      <c r="BY580" s="644"/>
    </row>
    <row r="581" ht="25.5" customHeight="1">
      <c r="A581" s="635"/>
      <c r="B581" s="695"/>
      <c r="C581" s="642"/>
      <c r="D581" s="642"/>
      <c r="E581" s="696"/>
      <c r="F581" s="696"/>
      <c r="G581" s="621"/>
      <c r="H581" s="577"/>
      <c r="I581" s="577"/>
      <c r="J581" s="613"/>
      <c r="K581" s="581"/>
      <c r="L581" s="581"/>
      <c r="M581" s="613"/>
      <c r="N581" s="613"/>
      <c r="O581" s="613"/>
      <c r="P581" s="580"/>
      <c r="Q581" s="580"/>
      <c r="R581" s="581"/>
      <c r="S581" s="581"/>
      <c r="T581" s="581"/>
      <c r="U581" s="582"/>
      <c r="V581" s="614"/>
      <c r="W581" s="581"/>
      <c r="X581" s="615"/>
      <c r="Y581" s="613"/>
      <c r="Z581" s="580"/>
      <c r="AA581" s="634"/>
      <c r="AB581" s="577"/>
      <c r="AC581" s="673"/>
      <c r="AD581" s="634"/>
      <c r="AE581" s="587"/>
      <c r="AF581" s="587"/>
      <c r="AG581" s="582"/>
      <c r="AH581" s="582"/>
      <c r="AI581" s="582"/>
      <c r="AJ581" s="582"/>
      <c r="AK581" s="588"/>
      <c r="AL581" s="582"/>
      <c r="AM581" s="587"/>
      <c r="AN581" s="589"/>
      <c r="AO581" s="616"/>
      <c r="AP581" s="592"/>
      <c r="AQ581" s="358"/>
      <c r="AR581" s="592"/>
      <c r="AS581" s="592"/>
      <c r="AT581" s="592"/>
      <c r="AU581" s="592"/>
      <c r="AV581" s="592"/>
      <c r="AW581" s="592"/>
      <c r="AX581" s="592"/>
      <c r="AY581" s="592"/>
      <c r="AZ581" s="592"/>
      <c r="BA581" s="617"/>
      <c r="BB581" s="592"/>
      <c r="BC581" s="592"/>
      <c r="BD581" s="592"/>
      <c r="BE581" s="592"/>
      <c r="BF581" s="592"/>
      <c r="BG581" s="358"/>
      <c r="BH581" s="592"/>
      <c r="BI581" s="592"/>
      <c r="BJ581" s="592"/>
      <c r="BK581" s="592"/>
      <c r="BL581" s="592"/>
      <c r="BM581" s="592"/>
      <c r="BN581" s="592"/>
      <c r="BO581" s="592"/>
      <c r="BP581" s="592"/>
      <c r="BQ581" s="594"/>
      <c r="BR581" s="594"/>
      <c r="BS581" s="394"/>
      <c r="BT581" s="594"/>
      <c r="BU581" s="594"/>
      <c r="BV581" s="594"/>
      <c r="BW581" s="618"/>
      <c r="BX581" s="644"/>
      <c r="BY581" s="644"/>
    </row>
    <row r="582" ht="25.5" customHeight="1">
      <c r="A582" s="635"/>
      <c r="B582" s="695"/>
      <c r="C582" s="642"/>
      <c r="D582" s="642"/>
      <c r="E582" s="696"/>
      <c r="F582" s="696"/>
      <c r="G582" s="621"/>
      <c r="H582" s="577"/>
      <c r="I582" s="577"/>
      <c r="J582" s="613"/>
      <c r="K582" s="581"/>
      <c r="L582" s="581"/>
      <c r="M582" s="613"/>
      <c r="N582" s="613"/>
      <c r="O582" s="613"/>
      <c r="P582" s="580"/>
      <c r="Q582" s="580"/>
      <c r="R582" s="581"/>
      <c r="S582" s="581"/>
      <c r="T582" s="581"/>
      <c r="U582" s="582"/>
      <c r="V582" s="614"/>
      <c r="W582" s="581"/>
      <c r="X582" s="615"/>
      <c r="Y582" s="613"/>
      <c r="Z582" s="580"/>
      <c r="AA582" s="634"/>
      <c r="AB582" s="577"/>
      <c r="AC582" s="673"/>
      <c r="AD582" s="634"/>
      <c r="AE582" s="587"/>
      <c r="AF582" s="587"/>
      <c r="AG582" s="582"/>
      <c r="AH582" s="582"/>
      <c r="AI582" s="582"/>
      <c r="AJ582" s="582"/>
      <c r="AK582" s="588"/>
      <c r="AL582" s="582"/>
      <c r="AM582" s="587"/>
      <c r="AN582" s="589"/>
      <c r="AO582" s="616"/>
      <c r="AP582" s="592"/>
      <c r="AQ582" s="358"/>
      <c r="AR582" s="592"/>
      <c r="AS582" s="592"/>
      <c r="AT582" s="592"/>
      <c r="AU582" s="592"/>
      <c r="AV582" s="592"/>
      <c r="AW582" s="592"/>
      <c r="AX582" s="592"/>
      <c r="AY582" s="592"/>
      <c r="AZ582" s="592"/>
      <c r="BA582" s="617"/>
      <c r="BB582" s="592"/>
      <c r="BC582" s="592"/>
      <c r="BD582" s="592"/>
      <c r="BE582" s="592"/>
      <c r="BF582" s="592"/>
      <c r="BG582" s="358"/>
      <c r="BH582" s="592"/>
      <c r="BI582" s="592"/>
      <c r="BJ582" s="592"/>
      <c r="BK582" s="592"/>
      <c r="BL582" s="592"/>
      <c r="BM582" s="592"/>
      <c r="BN582" s="592"/>
      <c r="BO582" s="592"/>
      <c r="BP582" s="592"/>
      <c r="BQ582" s="594"/>
      <c r="BR582" s="594"/>
      <c r="BS582" s="394"/>
      <c r="BT582" s="594"/>
      <c r="BU582" s="594"/>
      <c r="BV582" s="594"/>
      <c r="BW582" s="618"/>
      <c r="BX582" s="644"/>
      <c r="BY582" s="644"/>
    </row>
    <row r="583" ht="25.5" customHeight="1">
      <c r="A583" s="635"/>
      <c r="B583" s="695"/>
      <c r="C583" s="642"/>
      <c r="D583" s="642"/>
      <c r="E583" s="696"/>
      <c r="F583" s="696"/>
      <c r="G583" s="621"/>
      <c r="H583" s="577"/>
      <c r="I583" s="577"/>
      <c r="J583" s="613"/>
      <c r="K583" s="581"/>
      <c r="L583" s="581"/>
      <c r="M583" s="613"/>
      <c r="N583" s="613"/>
      <c r="O583" s="613"/>
      <c r="P583" s="580"/>
      <c r="Q583" s="580"/>
      <c r="R583" s="581"/>
      <c r="S583" s="581"/>
      <c r="T583" s="581"/>
      <c r="U583" s="582"/>
      <c r="V583" s="614"/>
      <c r="W583" s="581"/>
      <c r="X583" s="615"/>
      <c r="Y583" s="613"/>
      <c r="Z583" s="580"/>
      <c r="AA583" s="634"/>
      <c r="AB583" s="577"/>
      <c r="AC583" s="673"/>
      <c r="AD583" s="634"/>
      <c r="AE583" s="587"/>
      <c r="AF583" s="587"/>
      <c r="AG583" s="582"/>
      <c r="AH583" s="582"/>
      <c r="AI583" s="582"/>
      <c r="AJ583" s="582"/>
      <c r="AK583" s="588"/>
      <c r="AL583" s="582"/>
      <c r="AM583" s="582"/>
      <c r="AN583" s="589"/>
      <c r="AO583" s="616"/>
      <c r="AP583" s="592"/>
      <c r="AQ583" s="358"/>
      <c r="AR583" s="592"/>
      <c r="AS583" s="592"/>
      <c r="AT583" s="592"/>
      <c r="AU583" s="592"/>
      <c r="AV583" s="592"/>
      <c r="AW583" s="592"/>
      <c r="AX583" s="592"/>
      <c r="AY583" s="592"/>
      <c r="AZ583" s="592"/>
      <c r="BA583" s="617"/>
      <c r="BB583" s="592"/>
      <c r="BC583" s="592"/>
      <c r="BD583" s="592"/>
      <c r="BE583" s="592"/>
      <c r="BF583" s="592"/>
      <c r="BG583" s="358"/>
      <c r="BH583" s="592"/>
      <c r="BI583" s="592"/>
      <c r="BJ583" s="592"/>
      <c r="BK583" s="592"/>
      <c r="BL583" s="592"/>
      <c r="BM583" s="592"/>
      <c r="BN583" s="592"/>
      <c r="BO583" s="592"/>
      <c r="BP583" s="592"/>
      <c r="BQ583" s="594"/>
      <c r="BR583" s="594"/>
      <c r="BS583" s="394"/>
      <c r="BT583" s="594"/>
      <c r="BU583" s="594"/>
      <c r="BV583" s="594"/>
      <c r="BW583" s="618"/>
      <c r="BX583" s="644"/>
      <c r="BY583" s="644"/>
    </row>
    <row r="584" ht="25.5" customHeight="1">
      <c r="A584" s="635"/>
      <c r="B584" s="695"/>
      <c r="C584" s="642"/>
      <c r="D584" s="642"/>
      <c r="E584" s="696"/>
      <c r="F584" s="696"/>
      <c r="G584" s="621"/>
      <c r="H584" s="577"/>
      <c r="I584" s="577"/>
      <c r="J584" s="613"/>
      <c r="K584" s="581"/>
      <c r="L584" s="581"/>
      <c r="M584" s="613"/>
      <c r="N584" s="613"/>
      <c r="O584" s="613"/>
      <c r="P584" s="580"/>
      <c r="Q584" s="580"/>
      <c r="R584" s="581"/>
      <c r="S584" s="581"/>
      <c r="T584" s="581"/>
      <c r="U584" s="582"/>
      <c r="V584" s="614"/>
      <c r="W584" s="581"/>
      <c r="X584" s="615"/>
      <c r="Y584" s="613"/>
      <c r="Z584" s="580"/>
      <c r="AA584" s="634"/>
      <c r="AB584" s="577"/>
      <c r="AC584" s="673"/>
      <c r="AD584" s="634"/>
      <c r="AE584" s="587"/>
      <c r="AF584" s="587"/>
      <c r="AG584" s="582"/>
      <c r="AH584" s="582"/>
      <c r="AI584" s="582"/>
      <c r="AJ584" s="582"/>
      <c r="AK584" s="588"/>
      <c r="AL584" s="582"/>
      <c r="AM584" s="582"/>
      <c r="AN584" s="589"/>
      <c r="AO584" s="616"/>
      <c r="AP584" s="592"/>
      <c r="AQ584" s="358"/>
      <c r="AR584" s="592"/>
      <c r="AS584" s="592"/>
      <c r="AT584" s="592"/>
      <c r="AU584" s="592"/>
      <c r="AV584" s="592"/>
      <c r="AW584" s="592"/>
      <c r="AX584" s="592"/>
      <c r="AY584" s="592"/>
      <c r="AZ584" s="592"/>
      <c r="BA584" s="617"/>
      <c r="BB584" s="592"/>
      <c r="BC584" s="592"/>
      <c r="BD584" s="592"/>
      <c r="BE584" s="592"/>
      <c r="BF584" s="592"/>
      <c r="BG584" s="358"/>
      <c r="BH584" s="592"/>
      <c r="BI584" s="592"/>
      <c r="BJ584" s="592"/>
      <c r="BK584" s="592"/>
      <c r="BL584" s="592"/>
      <c r="BM584" s="592"/>
      <c r="BN584" s="592"/>
      <c r="BO584" s="592"/>
      <c r="BP584" s="592"/>
      <c r="BQ584" s="594"/>
      <c r="BR584" s="594"/>
      <c r="BS584" s="394"/>
      <c r="BT584" s="594"/>
      <c r="BU584" s="594"/>
      <c r="BV584" s="594"/>
      <c r="BW584" s="618"/>
      <c r="BX584" s="644"/>
      <c r="BY584" s="644"/>
    </row>
    <row r="585" ht="25.5" customHeight="1">
      <c r="A585" s="635"/>
      <c r="B585" s="695"/>
      <c r="C585" s="642"/>
      <c r="D585" s="642"/>
      <c r="E585" s="696"/>
      <c r="F585" s="696"/>
      <c r="G585" s="621"/>
      <c r="H585" s="577"/>
      <c r="I585" s="577"/>
      <c r="J585" s="613"/>
      <c r="K585" s="581"/>
      <c r="L585" s="581"/>
      <c r="M585" s="613"/>
      <c r="N585" s="613"/>
      <c r="O585" s="613"/>
      <c r="P585" s="580"/>
      <c r="Q585" s="580"/>
      <c r="R585" s="581"/>
      <c r="S585" s="581"/>
      <c r="T585" s="581"/>
      <c r="U585" s="582"/>
      <c r="V585" s="614"/>
      <c r="W585" s="581"/>
      <c r="X585" s="615"/>
      <c r="Y585" s="613"/>
      <c r="Z585" s="580"/>
      <c r="AA585" s="634"/>
      <c r="AB585" s="577"/>
      <c r="AC585" s="673"/>
      <c r="AD585" s="634"/>
      <c r="AE585" s="587"/>
      <c r="AF585" s="587"/>
      <c r="AG585" s="582"/>
      <c r="AH585" s="582"/>
      <c r="AI585" s="582"/>
      <c r="AJ585" s="582"/>
      <c r="AK585" s="588"/>
      <c r="AL585" s="582"/>
      <c r="AM585" s="582"/>
      <c r="AN585" s="589"/>
      <c r="AO585" s="616"/>
      <c r="AP585" s="592"/>
      <c r="AQ585" s="358"/>
      <c r="AR585" s="592"/>
      <c r="AS585" s="592"/>
      <c r="AT585" s="592"/>
      <c r="AU585" s="592"/>
      <c r="AV585" s="592"/>
      <c r="AW585" s="592"/>
      <c r="AX585" s="592"/>
      <c r="AY585" s="592"/>
      <c r="AZ585" s="592"/>
      <c r="BA585" s="617"/>
      <c r="BB585" s="592"/>
      <c r="BC585" s="592"/>
      <c r="BD585" s="592"/>
      <c r="BE585" s="592"/>
      <c r="BF585" s="592"/>
      <c r="BG585" s="358"/>
      <c r="BH585" s="592"/>
      <c r="BI585" s="592"/>
      <c r="BJ585" s="592"/>
      <c r="BK585" s="592"/>
      <c r="BL585" s="592"/>
      <c r="BM585" s="592"/>
      <c r="BN585" s="592"/>
      <c r="BO585" s="592"/>
      <c r="BP585" s="592"/>
      <c r="BQ585" s="594"/>
      <c r="BR585" s="594"/>
      <c r="BS585" s="394"/>
      <c r="BT585" s="594"/>
      <c r="BU585" s="594"/>
      <c r="BV585" s="594"/>
      <c r="BW585" s="618"/>
      <c r="BX585" s="644"/>
      <c r="BY585" s="644"/>
    </row>
    <row r="586" ht="25.5" customHeight="1">
      <c r="A586" s="635"/>
      <c r="B586" s="695"/>
      <c r="C586" s="642"/>
      <c r="D586" s="642"/>
      <c r="E586" s="696"/>
      <c r="F586" s="696"/>
      <c r="G586" s="621"/>
      <c r="H586" s="577"/>
      <c r="I586" s="577"/>
      <c r="J586" s="613"/>
      <c r="K586" s="581"/>
      <c r="L586" s="581"/>
      <c r="M586" s="613"/>
      <c r="N586" s="613"/>
      <c r="O586" s="613"/>
      <c r="P586" s="580"/>
      <c r="Q586" s="580"/>
      <c r="R586" s="581"/>
      <c r="S586" s="581"/>
      <c r="T586" s="581"/>
      <c r="U586" s="582"/>
      <c r="V586" s="614"/>
      <c r="W586" s="581"/>
      <c r="X586" s="615"/>
      <c r="Y586" s="613"/>
      <c r="Z586" s="580"/>
      <c r="AA586" s="634"/>
      <c r="AB586" s="577"/>
      <c r="AC586" s="673"/>
      <c r="AD586" s="634"/>
      <c r="AE586" s="587"/>
      <c r="AF586" s="587"/>
      <c r="AG586" s="582"/>
      <c r="AH586" s="582"/>
      <c r="AI586" s="582"/>
      <c r="AJ586" s="582"/>
      <c r="AK586" s="588"/>
      <c r="AL586" s="582"/>
      <c r="AM586" s="582"/>
      <c r="AN586" s="589"/>
      <c r="AO586" s="616"/>
      <c r="AP586" s="592"/>
      <c r="AQ586" s="358"/>
      <c r="AR586" s="592"/>
      <c r="AS586" s="592"/>
      <c r="AT586" s="592"/>
      <c r="AU586" s="592"/>
      <c r="AV586" s="592"/>
      <c r="AW586" s="592"/>
      <c r="AX586" s="592"/>
      <c r="AY586" s="592"/>
      <c r="AZ586" s="592"/>
      <c r="BA586" s="617"/>
      <c r="BB586" s="592"/>
      <c r="BC586" s="592"/>
      <c r="BD586" s="592"/>
      <c r="BE586" s="592"/>
      <c r="BF586" s="592"/>
      <c r="BG586" s="358"/>
      <c r="BH586" s="592"/>
      <c r="BI586" s="592"/>
      <c r="BJ586" s="592"/>
      <c r="BK586" s="592"/>
      <c r="BL586" s="592"/>
      <c r="BM586" s="592"/>
      <c r="BN586" s="592"/>
      <c r="BO586" s="592"/>
      <c r="BP586" s="592"/>
      <c r="BQ586" s="594"/>
      <c r="BR586" s="594"/>
      <c r="BS586" s="394"/>
      <c r="BT586" s="594"/>
      <c r="BU586" s="594"/>
      <c r="BV586" s="594"/>
      <c r="BW586" s="618"/>
      <c r="BX586" s="644"/>
      <c r="BY586" s="644"/>
    </row>
    <row r="587" ht="25.5" customHeight="1">
      <c r="A587" s="635"/>
      <c r="B587" s="695"/>
      <c r="C587" s="642"/>
      <c r="D587" s="642"/>
      <c r="E587" s="696"/>
      <c r="F587" s="696"/>
      <c r="G587" s="621"/>
      <c r="H587" s="577"/>
      <c r="I587" s="577"/>
      <c r="J587" s="613"/>
      <c r="K587" s="581"/>
      <c r="L587" s="581"/>
      <c r="M587" s="613"/>
      <c r="N587" s="613"/>
      <c r="O587" s="613"/>
      <c r="P587" s="580"/>
      <c r="Q587" s="580"/>
      <c r="R587" s="581"/>
      <c r="S587" s="581"/>
      <c r="T587" s="581"/>
      <c r="U587" s="582"/>
      <c r="V587" s="614"/>
      <c r="W587" s="581"/>
      <c r="X587" s="615"/>
      <c r="Y587" s="613"/>
      <c r="Z587" s="580"/>
      <c r="AA587" s="634"/>
      <c r="AB587" s="577"/>
      <c r="AC587" s="673"/>
      <c r="AD587" s="634"/>
      <c r="AE587" s="587"/>
      <c r="AF587" s="587"/>
      <c r="AG587" s="582"/>
      <c r="AH587" s="582"/>
      <c r="AI587" s="582"/>
      <c r="AJ587" s="582"/>
      <c r="AK587" s="588"/>
      <c r="AL587" s="582"/>
      <c r="AM587" s="582"/>
      <c r="AN587" s="589"/>
      <c r="AO587" s="616"/>
      <c r="AP587" s="592"/>
      <c r="AQ587" s="358"/>
      <c r="AR587" s="592"/>
      <c r="AS587" s="592"/>
      <c r="AT587" s="592"/>
      <c r="AU587" s="592"/>
      <c r="AV587" s="592"/>
      <c r="AW587" s="592"/>
      <c r="AX587" s="592"/>
      <c r="AY587" s="592"/>
      <c r="AZ587" s="592"/>
      <c r="BA587" s="617"/>
      <c r="BB587" s="592"/>
      <c r="BC587" s="592"/>
      <c r="BD587" s="592"/>
      <c r="BE587" s="592"/>
      <c r="BF587" s="592"/>
      <c r="BG587" s="358"/>
      <c r="BH587" s="592"/>
      <c r="BI587" s="592"/>
      <c r="BJ587" s="592"/>
      <c r="BK587" s="592"/>
      <c r="BL587" s="592"/>
      <c r="BM587" s="592"/>
      <c r="BN587" s="592"/>
      <c r="BO587" s="592"/>
      <c r="BP587" s="592"/>
      <c r="BQ587" s="594"/>
      <c r="BR587" s="594"/>
      <c r="BS587" s="394"/>
      <c r="BT587" s="594"/>
      <c r="BU587" s="594"/>
      <c r="BV587" s="594"/>
      <c r="BW587" s="618"/>
      <c r="BX587" s="644"/>
      <c r="BY587" s="644"/>
    </row>
    <row r="588" ht="25.5" customHeight="1">
      <c r="A588" s="635"/>
      <c r="B588" s="695"/>
      <c r="C588" s="642"/>
      <c r="D588" s="642"/>
      <c r="E588" s="696"/>
      <c r="F588" s="696"/>
      <c r="G588" s="621"/>
      <c r="H588" s="577"/>
      <c r="I588" s="577"/>
      <c r="J588" s="613"/>
      <c r="K588" s="581"/>
      <c r="L588" s="581"/>
      <c r="M588" s="613"/>
      <c r="N588" s="613"/>
      <c r="O588" s="613"/>
      <c r="P588" s="580"/>
      <c r="Q588" s="580"/>
      <c r="R588" s="581"/>
      <c r="S588" s="581"/>
      <c r="T588" s="581"/>
      <c r="U588" s="582"/>
      <c r="V588" s="614"/>
      <c r="W588" s="581"/>
      <c r="X588" s="615"/>
      <c r="Y588" s="613"/>
      <c r="Z588" s="580"/>
      <c r="AA588" s="634"/>
      <c r="AB588" s="577"/>
      <c r="AC588" s="673"/>
      <c r="AD588" s="634"/>
      <c r="AE588" s="587"/>
      <c r="AF588" s="587"/>
      <c r="AG588" s="582"/>
      <c r="AH588" s="582"/>
      <c r="AI588" s="582"/>
      <c r="AJ588" s="582"/>
      <c r="AK588" s="588"/>
      <c r="AL588" s="582"/>
      <c r="AM588" s="582"/>
      <c r="AN588" s="589"/>
      <c r="AO588" s="616"/>
      <c r="AP588" s="592"/>
      <c r="AQ588" s="358"/>
      <c r="AR588" s="592"/>
      <c r="AS588" s="592"/>
      <c r="AT588" s="592"/>
      <c r="AU588" s="592"/>
      <c r="AV588" s="592"/>
      <c r="AW588" s="592"/>
      <c r="AX588" s="592"/>
      <c r="AY588" s="592"/>
      <c r="AZ588" s="592"/>
      <c r="BA588" s="617"/>
      <c r="BB588" s="592"/>
      <c r="BC588" s="592"/>
      <c r="BD588" s="592"/>
      <c r="BE588" s="592"/>
      <c r="BF588" s="592"/>
      <c r="BG588" s="358"/>
      <c r="BH588" s="592"/>
      <c r="BI588" s="592"/>
      <c r="BJ588" s="592"/>
      <c r="BK588" s="592"/>
      <c r="BL588" s="592"/>
      <c r="BM588" s="592"/>
      <c r="BN588" s="592"/>
      <c r="BO588" s="592"/>
      <c r="BP588" s="592"/>
      <c r="BQ588" s="594"/>
      <c r="BR588" s="594"/>
      <c r="BS588" s="394"/>
      <c r="BT588" s="594"/>
      <c r="BU588" s="594"/>
      <c r="BV588" s="594"/>
      <c r="BW588" s="618"/>
      <c r="BX588" s="644"/>
      <c r="BY588" s="644"/>
    </row>
    <row r="589" ht="25.5" customHeight="1">
      <c r="A589" s="635"/>
      <c r="B589" s="695"/>
      <c r="C589" s="642"/>
      <c r="D589" s="642"/>
      <c r="E589" s="696"/>
      <c r="F589" s="696"/>
      <c r="G589" s="621"/>
      <c r="H589" s="577"/>
      <c r="I589" s="577"/>
      <c r="J589" s="613"/>
      <c r="K589" s="581"/>
      <c r="L589" s="581"/>
      <c r="M589" s="613"/>
      <c r="N589" s="613"/>
      <c r="O589" s="613"/>
      <c r="P589" s="580"/>
      <c r="Q589" s="580"/>
      <c r="R589" s="581"/>
      <c r="S589" s="581"/>
      <c r="T589" s="581"/>
      <c r="U589" s="582"/>
      <c r="V589" s="614"/>
      <c r="W589" s="581"/>
      <c r="X589" s="615"/>
      <c r="Y589" s="613"/>
      <c r="Z589" s="580"/>
      <c r="AA589" s="634"/>
      <c r="AB589" s="577"/>
      <c r="AC589" s="673"/>
      <c r="AD589" s="634"/>
      <c r="AE589" s="587"/>
      <c r="AF589" s="587"/>
      <c r="AG589" s="582"/>
      <c r="AH589" s="582"/>
      <c r="AI589" s="582"/>
      <c r="AJ589" s="582"/>
      <c r="AK589" s="588"/>
      <c r="AL589" s="582"/>
      <c r="AM589" s="582"/>
      <c r="AN589" s="589"/>
      <c r="AO589" s="616"/>
      <c r="AP589" s="592"/>
      <c r="AQ589" s="358"/>
      <c r="AR589" s="592"/>
      <c r="AS589" s="592"/>
      <c r="AT589" s="592"/>
      <c r="AU589" s="592"/>
      <c r="AV589" s="592"/>
      <c r="AW589" s="592"/>
      <c r="AX589" s="592"/>
      <c r="AY589" s="592"/>
      <c r="AZ589" s="592"/>
      <c r="BA589" s="617"/>
      <c r="BB589" s="592"/>
      <c r="BC589" s="592"/>
      <c r="BD589" s="592"/>
      <c r="BE589" s="592"/>
      <c r="BF589" s="592"/>
      <c r="BG589" s="358"/>
      <c r="BH589" s="592"/>
      <c r="BI589" s="592"/>
      <c r="BJ589" s="592"/>
      <c r="BK589" s="592"/>
      <c r="BL589" s="592"/>
      <c r="BM589" s="592"/>
      <c r="BN589" s="592"/>
      <c r="BO589" s="592"/>
      <c r="BP589" s="592"/>
      <c r="BQ589" s="594"/>
      <c r="BR589" s="594"/>
      <c r="BS589" s="394"/>
      <c r="BT589" s="594"/>
      <c r="BU589" s="594"/>
      <c r="BV589" s="594"/>
      <c r="BW589" s="618"/>
      <c r="BX589" s="644"/>
      <c r="BY589" s="644"/>
    </row>
    <row r="590" ht="25.5" customHeight="1">
      <c r="A590" s="635"/>
      <c r="B590" s="695"/>
      <c r="C590" s="642"/>
      <c r="D590" s="642"/>
      <c r="E590" s="696"/>
      <c r="F590" s="696"/>
      <c r="G590" s="621"/>
      <c r="H590" s="577"/>
      <c r="I590" s="577"/>
      <c r="J590" s="613"/>
      <c r="K590" s="581"/>
      <c r="L590" s="581"/>
      <c r="M590" s="613"/>
      <c r="N590" s="613"/>
      <c r="O590" s="613"/>
      <c r="P590" s="580"/>
      <c r="Q590" s="580"/>
      <c r="R590" s="581"/>
      <c r="S590" s="581"/>
      <c r="T590" s="581"/>
      <c r="U590" s="582"/>
      <c r="V590" s="614"/>
      <c r="W590" s="581"/>
      <c r="X590" s="615"/>
      <c r="Y590" s="613"/>
      <c r="Z590" s="580"/>
      <c r="AA590" s="634"/>
      <c r="AB590" s="577"/>
      <c r="AC590" s="673"/>
      <c r="AD590" s="634"/>
      <c r="AE590" s="587"/>
      <c r="AF590" s="587"/>
      <c r="AG590" s="582"/>
      <c r="AH590" s="582"/>
      <c r="AI590" s="582"/>
      <c r="AJ590" s="582"/>
      <c r="AK590" s="588"/>
      <c r="AL590" s="582"/>
      <c r="AM590" s="582"/>
      <c r="AN590" s="589"/>
      <c r="AO590" s="616"/>
      <c r="AP590" s="592"/>
      <c r="AQ590" s="358"/>
      <c r="AR590" s="592"/>
      <c r="AS590" s="592"/>
      <c r="AT590" s="592"/>
      <c r="AU590" s="592"/>
      <c r="AV590" s="592"/>
      <c r="AW590" s="592"/>
      <c r="AX590" s="592"/>
      <c r="AY590" s="592"/>
      <c r="AZ590" s="592"/>
      <c r="BA590" s="617"/>
      <c r="BB590" s="592"/>
      <c r="BC590" s="592"/>
      <c r="BD590" s="592"/>
      <c r="BE590" s="592"/>
      <c r="BF590" s="592"/>
      <c r="BG590" s="358"/>
      <c r="BH590" s="592"/>
      <c r="BI590" s="592"/>
      <c r="BJ590" s="592"/>
      <c r="BK590" s="592"/>
      <c r="BL590" s="592"/>
      <c r="BM590" s="592"/>
      <c r="BN590" s="592"/>
      <c r="BO590" s="592"/>
      <c r="BP590" s="592"/>
      <c r="BQ590" s="594"/>
      <c r="BR590" s="594"/>
      <c r="BS590" s="394"/>
      <c r="BT590" s="594"/>
      <c r="BU590" s="594"/>
      <c r="BV590" s="594"/>
      <c r="BW590" s="618"/>
      <c r="BX590" s="644"/>
      <c r="BY590" s="644"/>
    </row>
    <row r="591" ht="25.5" customHeight="1">
      <c r="A591" s="635"/>
      <c r="B591" s="695"/>
      <c r="C591" s="642"/>
      <c r="D591" s="642"/>
      <c r="E591" s="696"/>
      <c r="F591" s="696"/>
      <c r="G591" s="621"/>
      <c r="H591" s="577"/>
      <c r="I591" s="577"/>
      <c r="J591" s="613"/>
      <c r="K591" s="581"/>
      <c r="L591" s="581"/>
      <c r="M591" s="613"/>
      <c r="N591" s="613"/>
      <c r="O591" s="613"/>
      <c r="P591" s="580"/>
      <c r="Q591" s="580"/>
      <c r="R591" s="581"/>
      <c r="S591" s="581"/>
      <c r="T591" s="581"/>
      <c r="U591" s="582"/>
      <c r="V591" s="614"/>
      <c r="W591" s="581"/>
      <c r="X591" s="615"/>
      <c r="Y591" s="613"/>
      <c r="Z591" s="580"/>
      <c r="AA591" s="634"/>
      <c r="AB591" s="577"/>
      <c r="AC591" s="673"/>
      <c r="AD591" s="634"/>
      <c r="AE591" s="587"/>
      <c r="AF591" s="587"/>
      <c r="AG591" s="582"/>
      <c r="AH591" s="582"/>
      <c r="AI591" s="582"/>
      <c r="AJ591" s="582"/>
      <c r="AK591" s="588"/>
      <c r="AL591" s="582"/>
      <c r="AM591" s="582"/>
      <c r="AN591" s="589"/>
      <c r="AO591" s="616"/>
      <c r="AP591" s="592"/>
      <c r="AQ591" s="358"/>
      <c r="AR591" s="592"/>
      <c r="AS591" s="592"/>
      <c r="AT591" s="592"/>
      <c r="AU591" s="592"/>
      <c r="AV591" s="592"/>
      <c r="AW591" s="592"/>
      <c r="AX591" s="592"/>
      <c r="AY591" s="592"/>
      <c r="AZ591" s="592"/>
      <c r="BA591" s="617"/>
      <c r="BB591" s="592"/>
      <c r="BC591" s="592"/>
      <c r="BD591" s="592"/>
      <c r="BE591" s="592"/>
      <c r="BF591" s="592"/>
      <c r="BG591" s="358"/>
      <c r="BH591" s="592"/>
      <c r="BI591" s="592"/>
      <c r="BJ591" s="592"/>
      <c r="BK591" s="592"/>
      <c r="BL591" s="592"/>
      <c r="BM591" s="592"/>
      <c r="BN591" s="592"/>
      <c r="BO591" s="592"/>
      <c r="BP591" s="592"/>
      <c r="BQ591" s="594"/>
      <c r="BR591" s="594"/>
      <c r="BS591" s="394"/>
      <c r="BT591" s="594"/>
      <c r="BU591" s="594"/>
      <c r="BV591" s="594"/>
      <c r="BW591" s="618"/>
      <c r="BX591" s="644"/>
      <c r="BY591" s="644"/>
    </row>
    <row r="592" ht="25.5" customHeight="1">
      <c r="A592" s="635"/>
      <c r="B592" s="695"/>
      <c r="C592" s="642"/>
      <c r="D592" s="642"/>
      <c r="E592" s="696"/>
      <c r="F592" s="696"/>
      <c r="G592" s="621"/>
      <c r="H592" s="577"/>
      <c r="I592" s="577"/>
      <c r="J592" s="613"/>
      <c r="K592" s="581"/>
      <c r="L592" s="581"/>
      <c r="M592" s="613"/>
      <c r="N592" s="613"/>
      <c r="O592" s="613"/>
      <c r="P592" s="580"/>
      <c r="Q592" s="580"/>
      <c r="R592" s="581"/>
      <c r="S592" s="581"/>
      <c r="T592" s="581"/>
      <c r="U592" s="582"/>
      <c r="V592" s="614"/>
      <c r="W592" s="581"/>
      <c r="X592" s="615"/>
      <c r="Y592" s="613"/>
      <c r="Z592" s="580"/>
      <c r="AA592" s="634"/>
      <c r="AB592" s="577"/>
      <c r="AC592" s="673"/>
      <c r="AD592" s="634"/>
      <c r="AE592" s="587"/>
      <c r="AF592" s="587"/>
      <c r="AG592" s="582"/>
      <c r="AH592" s="582"/>
      <c r="AI592" s="582"/>
      <c r="AJ592" s="582"/>
      <c r="AK592" s="588"/>
      <c r="AL592" s="582"/>
      <c r="AM592" s="582"/>
      <c r="AN592" s="589"/>
      <c r="AO592" s="616"/>
      <c r="AP592" s="592"/>
      <c r="AQ592" s="358"/>
      <c r="AR592" s="592"/>
      <c r="AS592" s="592"/>
      <c r="AT592" s="592"/>
      <c r="AU592" s="592"/>
      <c r="AV592" s="592"/>
      <c r="AW592" s="592"/>
      <c r="AX592" s="592"/>
      <c r="AY592" s="592"/>
      <c r="AZ592" s="592"/>
      <c r="BA592" s="617"/>
      <c r="BB592" s="592"/>
      <c r="BC592" s="592"/>
      <c r="BD592" s="592"/>
      <c r="BE592" s="592"/>
      <c r="BF592" s="592"/>
      <c r="BG592" s="358"/>
      <c r="BH592" s="592"/>
      <c r="BI592" s="592"/>
      <c r="BJ592" s="592"/>
      <c r="BK592" s="592"/>
      <c r="BL592" s="592"/>
      <c r="BM592" s="592"/>
      <c r="BN592" s="592"/>
      <c r="BO592" s="592"/>
      <c r="BP592" s="592"/>
      <c r="BQ592" s="594"/>
      <c r="BR592" s="594"/>
      <c r="BS592" s="394"/>
      <c r="BT592" s="594"/>
      <c r="BU592" s="594"/>
      <c r="BV592" s="594"/>
      <c r="BW592" s="618"/>
      <c r="BX592" s="644"/>
      <c r="BY592" s="644"/>
    </row>
    <row r="593" ht="25.5" customHeight="1">
      <c r="A593" s="635"/>
      <c r="B593" s="695"/>
      <c r="C593" s="642"/>
      <c r="D593" s="642"/>
      <c r="E593" s="696"/>
      <c r="F593" s="696"/>
      <c r="G593" s="621"/>
      <c r="H593" s="577"/>
      <c r="I593" s="577"/>
      <c r="J593" s="613"/>
      <c r="K593" s="581"/>
      <c r="L593" s="581"/>
      <c r="M593" s="613"/>
      <c r="N593" s="613"/>
      <c r="O593" s="613"/>
      <c r="P593" s="580"/>
      <c r="Q593" s="580"/>
      <c r="R593" s="581"/>
      <c r="S593" s="581"/>
      <c r="T593" s="581"/>
      <c r="U593" s="582"/>
      <c r="V593" s="614"/>
      <c r="W593" s="581"/>
      <c r="X593" s="615"/>
      <c r="Y593" s="613"/>
      <c r="Z593" s="580"/>
      <c r="AA593" s="634"/>
      <c r="AB593" s="577"/>
      <c r="AC593" s="673"/>
      <c r="AD593" s="634"/>
      <c r="AE593" s="587"/>
      <c r="AF593" s="587"/>
      <c r="AG593" s="582"/>
      <c r="AH593" s="582"/>
      <c r="AI593" s="582"/>
      <c r="AJ593" s="582"/>
      <c r="AK593" s="588"/>
      <c r="AL593" s="582"/>
      <c r="AM593" s="582"/>
      <c r="AN593" s="589"/>
      <c r="AO593" s="616"/>
      <c r="AP593" s="592"/>
      <c r="AQ593" s="358"/>
      <c r="AR593" s="592"/>
      <c r="AS593" s="592"/>
      <c r="AT593" s="592"/>
      <c r="AU593" s="592"/>
      <c r="AV593" s="592"/>
      <c r="AW593" s="592"/>
      <c r="AX593" s="592"/>
      <c r="AY593" s="592"/>
      <c r="AZ593" s="592"/>
      <c r="BA593" s="617"/>
      <c r="BB593" s="592"/>
      <c r="BC593" s="592"/>
      <c r="BD593" s="592"/>
      <c r="BE593" s="592"/>
      <c r="BF593" s="592"/>
      <c r="BG593" s="358"/>
      <c r="BH593" s="592"/>
      <c r="BI593" s="592"/>
      <c r="BJ593" s="592"/>
      <c r="BK593" s="592"/>
      <c r="BL593" s="592"/>
      <c r="BM593" s="592"/>
      <c r="BN593" s="592"/>
      <c r="BO593" s="592"/>
      <c r="BP593" s="592"/>
      <c r="BQ593" s="594"/>
      <c r="BR593" s="594"/>
      <c r="BS593" s="394"/>
      <c r="BT593" s="594"/>
      <c r="BU593" s="594"/>
      <c r="BV593" s="594"/>
      <c r="BW593" s="618"/>
      <c r="BX593" s="644"/>
      <c r="BY593" s="644"/>
    </row>
    <row r="594" ht="25.5" customHeight="1">
      <c r="A594" s="635"/>
      <c r="B594" s="695"/>
      <c r="C594" s="642"/>
      <c r="D594" s="642"/>
      <c r="E594" s="696"/>
      <c r="F594" s="696"/>
      <c r="G594" s="621"/>
      <c r="H594" s="577"/>
      <c r="I594" s="577"/>
      <c r="J594" s="613"/>
      <c r="K594" s="581"/>
      <c r="L594" s="581"/>
      <c r="M594" s="613"/>
      <c r="N594" s="613"/>
      <c r="O594" s="613"/>
      <c r="P594" s="580"/>
      <c r="Q594" s="580"/>
      <c r="R594" s="581"/>
      <c r="S594" s="581"/>
      <c r="T594" s="581"/>
      <c r="U594" s="582"/>
      <c r="V594" s="614"/>
      <c r="W594" s="581"/>
      <c r="X594" s="615"/>
      <c r="Y594" s="613"/>
      <c r="Z594" s="580"/>
      <c r="AA594" s="634"/>
      <c r="AB594" s="577"/>
      <c r="AC594" s="673"/>
      <c r="AD594" s="634"/>
      <c r="AE594" s="587"/>
      <c r="AF594" s="587"/>
      <c r="AG594" s="582"/>
      <c r="AH594" s="582"/>
      <c r="AI594" s="582"/>
      <c r="AJ594" s="582"/>
      <c r="AK594" s="588"/>
      <c r="AL594" s="582"/>
      <c r="AM594" s="582"/>
      <c r="AN594" s="589"/>
      <c r="AO594" s="616"/>
      <c r="AP594" s="592"/>
      <c r="AQ594" s="358"/>
      <c r="AR594" s="592"/>
      <c r="AS594" s="592"/>
      <c r="AT594" s="592"/>
      <c r="AU594" s="592"/>
      <c r="AV594" s="592"/>
      <c r="AW594" s="592"/>
      <c r="AX594" s="592"/>
      <c r="AY594" s="592"/>
      <c r="AZ594" s="592"/>
      <c r="BA594" s="617"/>
      <c r="BB594" s="592"/>
      <c r="BC594" s="592"/>
      <c r="BD594" s="592"/>
      <c r="BE594" s="592"/>
      <c r="BF594" s="592"/>
      <c r="BG594" s="358"/>
      <c r="BH594" s="592"/>
      <c r="BI594" s="592"/>
      <c r="BJ594" s="592"/>
      <c r="BK594" s="592"/>
      <c r="BL594" s="592"/>
      <c r="BM594" s="592"/>
      <c r="BN594" s="592"/>
      <c r="BO594" s="592"/>
      <c r="BP594" s="592"/>
      <c r="BQ594" s="594"/>
      <c r="BR594" s="594"/>
      <c r="BS594" s="394"/>
      <c r="BT594" s="594"/>
      <c r="BU594" s="594"/>
      <c r="BV594" s="594"/>
      <c r="BW594" s="618"/>
      <c r="BX594" s="644"/>
      <c r="BY594" s="644"/>
    </row>
    <row r="595" ht="25.5" customHeight="1">
      <c r="A595" s="635"/>
      <c r="B595" s="695"/>
      <c r="C595" s="642"/>
      <c r="D595" s="642"/>
      <c r="E595" s="696"/>
      <c r="F595" s="696"/>
      <c r="G595" s="621"/>
      <c r="H595" s="577"/>
      <c r="I595" s="577"/>
      <c r="J595" s="613"/>
      <c r="K595" s="581"/>
      <c r="L595" s="581"/>
      <c r="M595" s="613"/>
      <c r="N595" s="613"/>
      <c r="O595" s="613"/>
      <c r="P595" s="580"/>
      <c r="Q595" s="580"/>
      <c r="R595" s="581"/>
      <c r="S595" s="581"/>
      <c r="T595" s="581"/>
      <c r="U595" s="582"/>
      <c r="V595" s="614"/>
      <c r="W595" s="581"/>
      <c r="X595" s="615"/>
      <c r="Y595" s="613"/>
      <c r="Z595" s="580"/>
      <c r="AA595" s="634"/>
      <c r="AB595" s="577"/>
      <c r="AC595" s="673"/>
      <c r="AD595" s="634"/>
      <c r="AE595" s="587"/>
      <c r="AF595" s="587"/>
      <c r="AG595" s="582"/>
      <c r="AH595" s="582"/>
      <c r="AI595" s="582"/>
      <c r="AJ595" s="582"/>
      <c r="AK595" s="588"/>
      <c r="AL595" s="582"/>
      <c r="AM595" s="582"/>
      <c r="AN595" s="589"/>
      <c r="AO595" s="616"/>
      <c r="AP595" s="592"/>
      <c r="AQ595" s="358"/>
      <c r="AR595" s="592"/>
      <c r="AS595" s="592"/>
      <c r="AT595" s="592"/>
      <c r="AU595" s="592"/>
      <c r="AV595" s="592"/>
      <c r="AW595" s="592"/>
      <c r="AX595" s="592"/>
      <c r="AY595" s="592"/>
      <c r="AZ595" s="592"/>
      <c r="BA595" s="617"/>
      <c r="BB595" s="592"/>
      <c r="BC595" s="592"/>
      <c r="BD595" s="592"/>
      <c r="BE595" s="592"/>
      <c r="BF595" s="592"/>
      <c r="BG595" s="358"/>
      <c r="BH595" s="592"/>
      <c r="BI595" s="592"/>
      <c r="BJ595" s="592"/>
      <c r="BK595" s="592"/>
      <c r="BL595" s="592"/>
      <c r="BM595" s="592"/>
      <c r="BN595" s="592"/>
      <c r="BO595" s="592"/>
      <c r="BP595" s="592"/>
      <c r="BQ595" s="594"/>
      <c r="BR595" s="594"/>
      <c r="BS595" s="394"/>
      <c r="BT595" s="594"/>
      <c r="BU595" s="594"/>
      <c r="BV595" s="594"/>
      <c r="BW595" s="618"/>
      <c r="BX595" s="644"/>
      <c r="BY595" s="644"/>
    </row>
    <row r="596" ht="25.5" customHeight="1">
      <c r="A596" s="635"/>
      <c r="B596" s="695"/>
      <c r="C596" s="642"/>
      <c r="D596" s="642"/>
      <c r="E596" s="696"/>
      <c r="F596" s="696"/>
      <c r="G596" s="621"/>
      <c r="H596" s="577"/>
      <c r="I596" s="577"/>
      <c r="J596" s="613"/>
      <c r="K596" s="581"/>
      <c r="L596" s="581"/>
      <c r="M596" s="613"/>
      <c r="N596" s="613"/>
      <c r="O596" s="613"/>
      <c r="P596" s="580"/>
      <c r="Q596" s="580"/>
      <c r="R596" s="581"/>
      <c r="S596" s="581"/>
      <c r="T596" s="581"/>
      <c r="U596" s="582"/>
      <c r="V596" s="614"/>
      <c r="W596" s="581"/>
      <c r="X596" s="615"/>
      <c r="Y596" s="613"/>
      <c r="Z596" s="580"/>
      <c r="AA596" s="634"/>
      <c r="AB596" s="577"/>
      <c r="AC596" s="673"/>
      <c r="AD596" s="634"/>
      <c r="AE596" s="587"/>
      <c r="AF596" s="587"/>
      <c r="AG596" s="582"/>
      <c r="AH596" s="582"/>
      <c r="AI596" s="582"/>
      <c r="AJ596" s="582"/>
      <c r="AK596" s="588"/>
      <c r="AL596" s="582"/>
      <c r="AM596" s="582"/>
      <c r="AN596" s="589"/>
      <c r="AO596" s="616"/>
      <c r="AP596" s="592"/>
      <c r="AQ596" s="358"/>
      <c r="AR596" s="592"/>
      <c r="AS596" s="592"/>
      <c r="AT596" s="592"/>
      <c r="AU596" s="592"/>
      <c r="AV596" s="592"/>
      <c r="AW596" s="592"/>
      <c r="AX596" s="592"/>
      <c r="AY596" s="592"/>
      <c r="AZ596" s="592"/>
      <c r="BA596" s="617"/>
      <c r="BB596" s="592"/>
      <c r="BC596" s="592"/>
      <c r="BD596" s="592"/>
      <c r="BE596" s="592"/>
      <c r="BF596" s="592"/>
      <c r="BG596" s="358"/>
      <c r="BH596" s="592"/>
      <c r="BI596" s="592"/>
      <c r="BJ596" s="592"/>
      <c r="BK596" s="592"/>
      <c r="BL596" s="592"/>
      <c r="BM596" s="592"/>
      <c r="BN596" s="592"/>
      <c r="BO596" s="592"/>
      <c r="BP596" s="592"/>
      <c r="BQ596" s="594"/>
      <c r="BR596" s="594"/>
      <c r="BS596" s="394"/>
      <c r="BT596" s="594"/>
      <c r="BU596" s="594"/>
      <c r="BV596" s="594"/>
      <c r="BW596" s="618"/>
      <c r="BX596" s="644"/>
      <c r="BY596" s="644"/>
    </row>
    <row r="597" ht="25.5" customHeight="1">
      <c r="A597" s="635"/>
      <c r="B597" s="695"/>
      <c r="C597" s="642"/>
      <c r="D597" s="642"/>
      <c r="E597" s="696"/>
      <c r="F597" s="696"/>
      <c r="G597" s="621"/>
      <c r="H597" s="577"/>
      <c r="I597" s="577"/>
      <c r="J597" s="613"/>
      <c r="K597" s="581"/>
      <c r="L597" s="581"/>
      <c r="M597" s="613"/>
      <c r="N597" s="613"/>
      <c r="O597" s="613"/>
      <c r="P597" s="580"/>
      <c r="Q597" s="580"/>
      <c r="R597" s="581"/>
      <c r="S597" s="581"/>
      <c r="T597" s="581"/>
      <c r="U597" s="582"/>
      <c r="V597" s="614"/>
      <c r="W597" s="581"/>
      <c r="X597" s="615"/>
      <c r="Y597" s="613"/>
      <c r="Z597" s="580"/>
      <c r="AA597" s="634"/>
      <c r="AB597" s="577"/>
      <c r="AC597" s="673"/>
      <c r="AD597" s="634"/>
      <c r="AE597" s="587"/>
      <c r="AF597" s="587"/>
      <c r="AG597" s="582"/>
      <c r="AH597" s="582"/>
      <c r="AI597" s="582"/>
      <c r="AJ597" s="582"/>
      <c r="AK597" s="588"/>
      <c r="AL597" s="582"/>
      <c r="AM597" s="582"/>
      <c r="AN597" s="589"/>
      <c r="AO597" s="616"/>
      <c r="AP597" s="592"/>
      <c r="AQ597" s="358"/>
      <c r="AR597" s="592"/>
      <c r="AS597" s="592"/>
      <c r="AT597" s="592"/>
      <c r="AU597" s="592"/>
      <c r="AV597" s="592"/>
      <c r="AW597" s="592"/>
      <c r="AX597" s="592"/>
      <c r="AY597" s="592"/>
      <c r="AZ597" s="592"/>
      <c r="BA597" s="617"/>
      <c r="BB597" s="592"/>
      <c r="BC597" s="592"/>
      <c r="BD597" s="592"/>
      <c r="BE597" s="592"/>
      <c r="BF597" s="592"/>
      <c r="BG597" s="358"/>
      <c r="BH597" s="592"/>
      <c r="BI597" s="592"/>
      <c r="BJ597" s="592"/>
      <c r="BK597" s="592"/>
      <c r="BL597" s="592"/>
      <c r="BM597" s="592"/>
      <c r="BN597" s="592"/>
      <c r="BO597" s="592"/>
      <c r="BP597" s="592"/>
      <c r="BQ597" s="594"/>
      <c r="BR597" s="594"/>
      <c r="BS597" s="394"/>
      <c r="BT597" s="594"/>
      <c r="BU597" s="594"/>
      <c r="BV597" s="594"/>
      <c r="BW597" s="618"/>
      <c r="BX597" s="644"/>
      <c r="BY597" s="644"/>
    </row>
    <row r="598" ht="25.5" customHeight="1">
      <c r="A598" s="635"/>
      <c r="B598" s="695"/>
      <c r="C598" s="642"/>
      <c r="D598" s="642"/>
      <c r="E598" s="696"/>
      <c r="F598" s="696"/>
      <c r="G598" s="621"/>
      <c r="H598" s="577"/>
      <c r="I598" s="577"/>
      <c r="J598" s="613"/>
      <c r="K598" s="581"/>
      <c r="L598" s="581"/>
      <c r="M598" s="613"/>
      <c r="N598" s="613"/>
      <c r="O598" s="613"/>
      <c r="P598" s="580"/>
      <c r="Q598" s="580"/>
      <c r="R598" s="581"/>
      <c r="S598" s="581"/>
      <c r="T598" s="581"/>
      <c r="U598" s="582"/>
      <c r="V598" s="614"/>
      <c r="W598" s="581"/>
      <c r="X598" s="615"/>
      <c r="Y598" s="613"/>
      <c r="Z598" s="580"/>
      <c r="AA598" s="634"/>
      <c r="AB598" s="577"/>
      <c r="AC598" s="673"/>
      <c r="AD598" s="634"/>
      <c r="AE598" s="587"/>
      <c r="AF598" s="587"/>
      <c r="AG598" s="582"/>
      <c r="AH598" s="582"/>
      <c r="AI598" s="582"/>
      <c r="AJ598" s="582"/>
      <c r="AK598" s="588"/>
      <c r="AL598" s="582"/>
      <c r="AM598" s="582"/>
      <c r="AN598" s="589"/>
      <c r="AO598" s="616"/>
      <c r="AP598" s="592"/>
      <c r="AQ598" s="358"/>
      <c r="AR598" s="592"/>
      <c r="AS598" s="592"/>
      <c r="AT598" s="592"/>
      <c r="AU598" s="592"/>
      <c r="AV598" s="592"/>
      <c r="AW598" s="592"/>
      <c r="AX598" s="592"/>
      <c r="AY598" s="592"/>
      <c r="AZ598" s="592"/>
      <c r="BA598" s="617"/>
      <c r="BB598" s="592"/>
      <c r="BC598" s="592"/>
      <c r="BD598" s="592"/>
      <c r="BE598" s="592"/>
      <c r="BF598" s="592"/>
      <c r="BG598" s="358"/>
      <c r="BH598" s="592"/>
      <c r="BI598" s="592"/>
      <c r="BJ598" s="592"/>
      <c r="BK598" s="592"/>
      <c r="BL598" s="592"/>
      <c r="BM598" s="592"/>
      <c r="BN598" s="592"/>
      <c r="BO598" s="592"/>
      <c r="BP598" s="592"/>
      <c r="BQ598" s="594"/>
      <c r="BR598" s="594"/>
      <c r="BS598" s="394"/>
      <c r="BT598" s="594"/>
      <c r="BU598" s="594"/>
      <c r="BV598" s="594"/>
      <c r="BW598" s="618"/>
      <c r="BX598" s="644"/>
      <c r="BY598" s="644"/>
    </row>
    <row r="599" ht="25.5" customHeight="1">
      <c r="A599" s="635"/>
      <c r="B599" s="695"/>
      <c r="C599" s="642"/>
      <c r="D599" s="642"/>
      <c r="E599" s="696"/>
      <c r="F599" s="696"/>
      <c r="G599" s="621"/>
      <c r="H599" s="577"/>
      <c r="I599" s="577"/>
      <c r="J599" s="613"/>
      <c r="K599" s="581"/>
      <c r="L599" s="581"/>
      <c r="M599" s="613"/>
      <c r="N599" s="613"/>
      <c r="O599" s="613"/>
      <c r="P599" s="580"/>
      <c r="Q599" s="580"/>
      <c r="R599" s="581"/>
      <c r="S599" s="581"/>
      <c r="T599" s="581"/>
      <c r="U599" s="582"/>
      <c r="V599" s="614"/>
      <c r="W599" s="581"/>
      <c r="X599" s="615"/>
      <c r="Y599" s="613"/>
      <c r="Z599" s="580"/>
      <c r="AA599" s="634"/>
      <c r="AB599" s="577"/>
      <c r="AC599" s="673"/>
      <c r="AD599" s="634"/>
      <c r="AE599" s="587"/>
      <c r="AF599" s="587"/>
      <c r="AG599" s="582"/>
      <c r="AH599" s="582"/>
      <c r="AI599" s="582"/>
      <c r="AJ599" s="582"/>
      <c r="AK599" s="588"/>
      <c r="AL599" s="582"/>
      <c r="AM599" s="582"/>
      <c r="AN599" s="589"/>
      <c r="AO599" s="616"/>
      <c r="AP599" s="592"/>
      <c r="AQ599" s="358"/>
      <c r="AR599" s="592"/>
      <c r="AS599" s="592"/>
      <c r="AT599" s="592"/>
      <c r="AU599" s="592"/>
      <c r="AV599" s="592"/>
      <c r="AW599" s="592"/>
      <c r="AX599" s="592"/>
      <c r="AY599" s="592"/>
      <c r="AZ599" s="592"/>
      <c r="BA599" s="617"/>
      <c r="BB599" s="592"/>
      <c r="BC599" s="592"/>
      <c r="BD599" s="592"/>
      <c r="BE599" s="592"/>
      <c r="BF599" s="592"/>
      <c r="BG599" s="358"/>
      <c r="BH599" s="592"/>
      <c r="BI599" s="592"/>
      <c r="BJ599" s="592"/>
      <c r="BK599" s="592"/>
      <c r="BL599" s="592"/>
      <c r="BM599" s="592"/>
      <c r="BN599" s="592"/>
      <c r="BO599" s="592"/>
      <c r="BP599" s="592"/>
      <c r="BQ599" s="594"/>
      <c r="BR599" s="594"/>
      <c r="BS599" s="394"/>
      <c r="BT599" s="594"/>
      <c r="BU599" s="594"/>
      <c r="BV599" s="594"/>
      <c r="BW599" s="618"/>
      <c r="BX599" s="644"/>
      <c r="BY599" s="644"/>
    </row>
    <row r="600" ht="25.5" customHeight="1">
      <c r="A600" s="635"/>
      <c r="B600" s="695"/>
      <c r="C600" s="642"/>
      <c r="D600" s="642"/>
      <c r="E600" s="696"/>
      <c r="F600" s="696"/>
      <c r="G600" s="621"/>
      <c r="H600" s="577"/>
      <c r="I600" s="577"/>
      <c r="J600" s="613"/>
      <c r="K600" s="581"/>
      <c r="L600" s="581"/>
      <c r="M600" s="613"/>
      <c r="N600" s="613"/>
      <c r="O600" s="613"/>
      <c r="P600" s="580"/>
      <c r="Q600" s="580"/>
      <c r="R600" s="581"/>
      <c r="S600" s="581"/>
      <c r="T600" s="581"/>
      <c r="U600" s="582"/>
      <c r="V600" s="614"/>
      <c r="W600" s="581"/>
      <c r="X600" s="615"/>
      <c r="Y600" s="613"/>
      <c r="Z600" s="580"/>
      <c r="AA600" s="634"/>
      <c r="AB600" s="577"/>
      <c r="AC600" s="673"/>
      <c r="AD600" s="634"/>
      <c r="AE600" s="587"/>
      <c r="AF600" s="587"/>
      <c r="AG600" s="582"/>
      <c r="AH600" s="582"/>
      <c r="AI600" s="582"/>
      <c r="AJ600" s="582"/>
      <c r="AK600" s="588"/>
      <c r="AL600" s="582"/>
      <c r="AM600" s="582"/>
      <c r="AN600" s="589"/>
      <c r="AO600" s="616"/>
      <c r="AP600" s="592"/>
      <c r="AQ600" s="358"/>
      <c r="AR600" s="592"/>
      <c r="AS600" s="592"/>
      <c r="AT600" s="592"/>
      <c r="AU600" s="592"/>
      <c r="AV600" s="592"/>
      <c r="AW600" s="592"/>
      <c r="AX600" s="592"/>
      <c r="AY600" s="592"/>
      <c r="AZ600" s="592"/>
      <c r="BA600" s="617"/>
      <c r="BB600" s="592"/>
      <c r="BC600" s="592"/>
      <c r="BD600" s="592"/>
      <c r="BE600" s="592"/>
      <c r="BF600" s="592"/>
      <c r="BG600" s="358"/>
      <c r="BH600" s="592"/>
      <c r="BI600" s="592"/>
      <c r="BJ600" s="592"/>
      <c r="BK600" s="592"/>
      <c r="BL600" s="592"/>
      <c r="BM600" s="592"/>
      <c r="BN600" s="592"/>
      <c r="BO600" s="592"/>
      <c r="BP600" s="592"/>
      <c r="BQ600" s="594"/>
      <c r="BR600" s="594"/>
      <c r="BS600" s="394"/>
      <c r="BT600" s="594"/>
      <c r="BU600" s="594"/>
      <c r="BV600" s="594"/>
      <c r="BW600" s="618"/>
      <c r="BX600" s="644"/>
      <c r="BY600" s="644"/>
    </row>
    <row r="601" ht="25.5" customHeight="1">
      <c r="A601" s="635"/>
      <c r="B601" s="695"/>
      <c r="C601" s="642"/>
      <c r="D601" s="642"/>
      <c r="E601" s="696"/>
      <c r="F601" s="696"/>
      <c r="G601" s="621"/>
      <c r="H601" s="577"/>
      <c r="I601" s="577"/>
      <c r="J601" s="613"/>
      <c r="K601" s="581"/>
      <c r="L601" s="581"/>
      <c r="M601" s="613"/>
      <c r="N601" s="613"/>
      <c r="O601" s="613"/>
      <c r="P601" s="580"/>
      <c r="Q601" s="580"/>
      <c r="R601" s="581"/>
      <c r="S601" s="581"/>
      <c r="T601" s="581"/>
      <c r="U601" s="582"/>
      <c r="V601" s="614"/>
      <c r="W601" s="581"/>
      <c r="X601" s="615"/>
      <c r="Y601" s="613"/>
      <c r="Z601" s="580"/>
      <c r="AA601" s="634"/>
      <c r="AB601" s="577"/>
      <c r="AC601" s="673"/>
      <c r="AD601" s="634"/>
      <c r="AE601" s="587"/>
      <c r="AF601" s="587"/>
      <c r="AG601" s="582"/>
      <c r="AH601" s="582"/>
      <c r="AI601" s="582"/>
      <c r="AJ601" s="582"/>
      <c r="AK601" s="588"/>
      <c r="AL601" s="582"/>
      <c r="AM601" s="582"/>
      <c r="AN601" s="589"/>
      <c r="AO601" s="616"/>
      <c r="AP601" s="592"/>
      <c r="AQ601" s="358"/>
      <c r="AR601" s="592"/>
      <c r="AS601" s="592"/>
      <c r="AT601" s="592"/>
      <c r="AU601" s="592"/>
      <c r="AV601" s="592"/>
      <c r="AW601" s="592"/>
      <c r="AX601" s="592"/>
      <c r="AY601" s="592"/>
      <c r="AZ601" s="592"/>
      <c r="BA601" s="617"/>
      <c r="BB601" s="592"/>
      <c r="BC601" s="592"/>
      <c r="BD601" s="592"/>
      <c r="BE601" s="592"/>
      <c r="BF601" s="592"/>
      <c r="BG601" s="358"/>
      <c r="BH601" s="592"/>
      <c r="BI601" s="592"/>
      <c r="BJ601" s="592"/>
      <c r="BK601" s="592"/>
      <c r="BL601" s="592"/>
      <c r="BM601" s="592"/>
      <c r="BN601" s="592"/>
      <c r="BO601" s="592"/>
      <c r="BP601" s="592"/>
      <c r="BQ601" s="594"/>
      <c r="BR601" s="594"/>
      <c r="BS601" s="394"/>
      <c r="BT601" s="594"/>
      <c r="BU601" s="594"/>
      <c r="BV601" s="594"/>
      <c r="BW601" s="618"/>
      <c r="BX601" s="644"/>
      <c r="BY601" s="644"/>
    </row>
    <row r="602" ht="25.5" customHeight="1">
      <c r="A602" s="635"/>
      <c r="B602" s="695"/>
      <c r="C602" s="642"/>
      <c r="D602" s="642"/>
      <c r="E602" s="696"/>
      <c r="F602" s="696"/>
      <c r="G602" s="621"/>
      <c r="H602" s="577"/>
      <c r="I602" s="577"/>
      <c r="J602" s="613"/>
      <c r="K602" s="581"/>
      <c r="L602" s="581"/>
      <c r="M602" s="613"/>
      <c r="N602" s="613"/>
      <c r="O602" s="613"/>
      <c r="P602" s="580"/>
      <c r="Q602" s="580"/>
      <c r="R602" s="581"/>
      <c r="S602" s="581"/>
      <c r="T602" s="581"/>
      <c r="U602" s="582"/>
      <c r="V602" s="614"/>
      <c r="W602" s="581"/>
      <c r="X602" s="615"/>
      <c r="Y602" s="613"/>
      <c r="Z602" s="580"/>
      <c r="AA602" s="634"/>
      <c r="AB602" s="577"/>
      <c r="AC602" s="673"/>
      <c r="AD602" s="634"/>
      <c r="AE602" s="587"/>
      <c r="AF602" s="587"/>
      <c r="AG602" s="582"/>
      <c r="AH602" s="582"/>
      <c r="AI602" s="582"/>
      <c r="AJ602" s="582"/>
      <c r="AK602" s="588"/>
      <c r="AL602" s="582"/>
      <c r="AM602" s="582"/>
      <c r="AN602" s="589"/>
      <c r="AO602" s="616"/>
      <c r="AP602" s="592"/>
      <c r="AQ602" s="358"/>
      <c r="AR602" s="592"/>
      <c r="AS602" s="592"/>
      <c r="AT602" s="592"/>
      <c r="AU602" s="592"/>
      <c r="AV602" s="592"/>
      <c r="AW602" s="592"/>
      <c r="AX602" s="592"/>
      <c r="AY602" s="592"/>
      <c r="AZ602" s="592"/>
      <c r="BA602" s="617"/>
      <c r="BB602" s="592"/>
      <c r="BC602" s="592"/>
      <c r="BD602" s="592"/>
      <c r="BE602" s="592"/>
      <c r="BF602" s="592"/>
      <c r="BG602" s="358"/>
      <c r="BH602" s="592"/>
      <c r="BI602" s="592"/>
      <c r="BJ602" s="592"/>
      <c r="BK602" s="592"/>
      <c r="BL602" s="592"/>
      <c r="BM602" s="592"/>
      <c r="BN602" s="592"/>
      <c r="BO602" s="592"/>
      <c r="BP602" s="592"/>
      <c r="BQ602" s="594"/>
      <c r="BR602" s="594"/>
      <c r="BS602" s="394"/>
      <c r="BT602" s="594"/>
      <c r="BU602" s="594"/>
      <c r="BV602" s="594"/>
      <c r="BW602" s="618"/>
      <c r="BX602" s="644"/>
      <c r="BY602" s="644"/>
    </row>
    <row r="603" ht="25.5" customHeight="1">
      <c r="A603" s="635"/>
      <c r="B603" s="695"/>
      <c r="C603" s="642"/>
      <c r="D603" s="642"/>
      <c r="E603" s="696"/>
      <c r="F603" s="696"/>
      <c r="G603" s="621"/>
      <c r="H603" s="577"/>
      <c r="I603" s="577"/>
      <c r="J603" s="613"/>
      <c r="K603" s="581"/>
      <c r="L603" s="581"/>
      <c r="M603" s="613"/>
      <c r="N603" s="613"/>
      <c r="O603" s="613"/>
      <c r="P603" s="580"/>
      <c r="Q603" s="580"/>
      <c r="R603" s="581"/>
      <c r="S603" s="581"/>
      <c r="T603" s="581"/>
      <c r="U603" s="582"/>
      <c r="V603" s="614"/>
      <c r="W603" s="581"/>
      <c r="X603" s="615"/>
      <c r="Y603" s="613"/>
      <c r="Z603" s="580"/>
      <c r="AA603" s="634"/>
      <c r="AB603" s="577"/>
      <c r="AC603" s="673"/>
      <c r="AD603" s="634"/>
      <c r="AE603" s="587"/>
      <c r="AF603" s="587"/>
      <c r="AG603" s="582"/>
      <c r="AH603" s="582"/>
      <c r="AI603" s="582"/>
      <c r="AJ603" s="582"/>
      <c r="AK603" s="588"/>
      <c r="AL603" s="582"/>
      <c r="AM603" s="582"/>
      <c r="AN603" s="589"/>
      <c r="AO603" s="616"/>
      <c r="AP603" s="592"/>
      <c r="AQ603" s="358"/>
      <c r="AR603" s="592"/>
      <c r="AS603" s="592"/>
      <c r="AT603" s="592"/>
      <c r="AU603" s="592"/>
      <c r="AV603" s="592"/>
      <c r="AW603" s="592"/>
      <c r="AX603" s="592"/>
      <c r="AY603" s="592"/>
      <c r="AZ603" s="592"/>
      <c r="BA603" s="617"/>
      <c r="BB603" s="592"/>
      <c r="BC603" s="592"/>
      <c r="BD603" s="592"/>
      <c r="BE603" s="592"/>
      <c r="BF603" s="592"/>
      <c r="BG603" s="358"/>
      <c r="BH603" s="592"/>
      <c r="BI603" s="592"/>
      <c r="BJ603" s="592"/>
      <c r="BK603" s="592"/>
      <c r="BL603" s="592"/>
      <c r="BM603" s="592"/>
      <c r="BN603" s="592"/>
      <c r="BO603" s="592"/>
      <c r="BP603" s="592"/>
      <c r="BQ603" s="594"/>
      <c r="BR603" s="594"/>
      <c r="BS603" s="394"/>
      <c r="BT603" s="594"/>
      <c r="BU603" s="594"/>
      <c r="BV603" s="594"/>
      <c r="BW603" s="618"/>
      <c r="BX603" s="644"/>
      <c r="BY603" s="644"/>
    </row>
    <row r="604" ht="25.5" customHeight="1">
      <c r="A604" s="635"/>
      <c r="B604" s="695"/>
      <c r="C604" s="642"/>
      <c r="D604" s="642"/>
      <c r="E604" s="696"/>
      <c r="F604" s="696"/>
      <c r="G604" s="621"/>
      <c r="H604" s="577"/>
      <c r="I604" s="577"/>
      <c r="J604" s="613"/>
      <c r="K604" s="581"/>
      <c r="L604" s="581"/>
      <c r="M604" s="613"/>
      <c r="N604" s="613"/>
      <c r="O604" s="613"/>
      <c r="P604" s="580"/>
      <c r="Q604" s="580"/>
      <c r="R604" s="581"/>
      <c r="S604" s="581"/>
      <c r="T604" s="581"/>
      <c r="U604" s="582"/>
      <c r="V604" s="614"/>
      <c r="W604" s="581"/>
      <c r="X604" s="615"/>
      <c r="Y604" s="613"/>
      <c r="Z604" s="580"/>
      <c r="AA604" s="634"/>
      <c r="AB604" s="577"/>
      <c r="AC604" s="673"/>
      <c r="AD604" s="634"/>
      <c r="AE604" s="587"/>
      <c r="AF604" s="587"/>
      <c r="AG604" s="582"/>
      <c r="AH604" s="582"/>
      <c r="AI604" s="582"/>
      <c r="AJ604" s="582"/>
      <c r="AK604" s="588"/>
      <c r="AL604" s="582"/>
      <c r="AM604" s="582"/>
      <c r="AN604" s="589"/>
      <c r="AO604" s="616"/>
      <c r="AP604" s="592"/>
      <c r="AQ604" s="358"/>
      <c r="AR604" s="592"/>
      <c r="AS604" s="592"/>
      <c r="AT604" s="592"/>
      <c r="AU604" s="592"/>
      <c r="AV604" s="592"/>
      <c r="AW604" s="592"/>
      <c r="AX604" s="592"/>
      <c r="AY604" s="592"/>
      <c r="AZ604" s="592"/>
      <c r="BA604" s="617"/>
      <c r="BB604" s="592"/>
      <c r="BC604" s="592"/>
      <c r="BD604" s="592"/>
      <c r="BE604" s="592"/>
      <c r="BF604" s="592"/>
      <c r="BG604" s="358"/>
      <c r="BH604" s="592"/>
      <c r="BI604" s="592"/>
      <c r="BJ604" s="592"/>
      <c r="BK604" s="592"/>
      <c r="BL604" s="592"/>
      <c r="BM604" s="592"/>
      <c r="BN604" s="592"/>
      <c r="BO604" s="592"/>
      <c r="BP604" s="592"/>
      <c r="BQ604" s="594"/>
      <c r="BR604" s="594"/>
      <c r="BS604" s="394"/>
      <c r="BT604" s="594"/>
      <c r="BU604" s="594"/>
      <c r="BV604" s="594"/>
      <c r="BW604" s="618"/>
      <c r="BX604" s="644"/>
      <c r="BY604" s="644"/>
    </row>
    <row r="605" ht="25.5" customHeight="1">
      <c r="A605" s="635"/>
      <c r="B605" s="695"/>
      <c r="C605" s="642"/>
      <c r="D605" s="642"/>
      <c r="E605" s="696"/>
      <c r="F605" s="696"/>
      <c r="G605" s="621"/>
      <c r="H605" s="577"/>
      <c r="I605" s="577"/>
      <c r="J605" s="613"/>
      <c r="K605" s="581"/>
      <c r="L605" s="581"/>
      <c r="M605" s="613"/>
      <c r="N605" s="613"/>
      <c r="O605" s="613"/>
      <c r="P605" s="580"/>
      <c r="Q605" s="580"/>
      <c r="R605" s="581"/>
      <c r="S605" s="581"/>
      <c r="T605" s="581"/>
      <c r="U605" s="582"/>
      <c r="V605" s="614"/>
      <c r="W605" s="581"/>
      <c r="X605" s="615"/>
      <c r="Y605" s="613"/>
      <c r="Z605" s="580"/>
      <c r="AA605" s="634"/>
      <c r="AB605" s="577"/>
      <c r="AC605" s="673"/>
      <c r="AD605" s="634"/>
      <c r="AE605" s="587"/>
      <c r="AF605" s="587"/>
      <c r="AG605" s="582"/>
      <c r="AH605" s="582"/>
      <c r="AI605" s="582"/>
      <c r="AJ605" s="582"/>
      <c r="AK605" s="588"/>
      <c r="AL605" s="582"/>
      <c r="AM605" s="582"/>
      <c r="AN605" s="589"/>
      <c r="AO605" s="616"/>
      <c r="AP605" s="592"/>
      <c r="AQ605" s="358"/>
      <c r="AR605" s="592"/>
      <c r="AS605" s="592"/>
      <c r="AT605" s="592"/>
      <c r="AU605" s="592"/>
      <c r="AV605" s="592"/>
      <c r="AW605" s="592"/>
      <c r="AX605" s="592"/>
      <c r="AY605" s="592"/>
      <c r="AZ605" s="592"/>
      <c r="BA605" s="617"/>
      <c r="BB605" s="592"/>
      <c r="BC605" s="592"/>
      <c r="BD605" s="592"/>
      <c r="BE605" s="592"/>
      <c r="BF605" s="592"/>
      <c r="BG605" s="358"/>
      <c r="BH605" s="592"/>
      <c r="BI605" s="592"/>
      <c r="BJ605" s="592"/>
      <c r="BK605" s="592"/>
      <c r="BL605" s="592"/>
      <c r="BM605" s="592"/>
      <c r="BN605" s="592"/>
      <c r="BO605" s="592"/>
      <c r="BP605" s="592"/>
      <c r="BQ605" s="594"/>
      <c r="BR605" s="594"/>
      <c r="BS605" s="394"/>
      <c r="BT605" s="594"/>
      <c r="BU605" s="594"/>
      <c r="BV605" s="594"/>
      <c r="BW605" s="618"/>
      <c r="BX605" s="644"/>
      <c r="BY605" s="644"/>
    </row>
    <row r="606" ht="25.5" customHeight="1">
      <c r="A606" s="635"/>
      <c r="B606" s="695"/>
      <c r="C606" s="642"/>
      <c r="D606" s="642"/>
      <c r="E606" s="696"/>
      <c r="F606" s="696"/>
      <c r="G606" s="621"/>
      <c r="H606" s="577"/>
      <c r="I606" s="577"/>
      <c r="J606" s="613"/>
      <c r="K606" s="581"/>
      <c r="L606" s="581"/>
      <c r="M606" s="613"/>
      <c r="N606" s="613"/>
      <c r="O606" s="613"/>
      <c r="P606" s="580"/>
      <c r="Q606" s="580"/>
      <c r="R606" s="581"/>
      <c r="S606" s="581"/>
      <c r="T606" s="581"/>
      <c r="U606" s="582"/>
      <c r="V606" s="614"/>
      <c r="W606" s="581"/>
      <c r="X606" s="615"/>
      <c r="Y606" s="613"/>
      <c r="Z606" s="580"/>
      <c r="AA606" s="634"/>
      <c r="AB606" s="577"/>
      <c r="AC606" s="673"/>
      <c r="AD606" s="634"/>
      <c r="AE606" s="587"/>
      <c r="AF606" s="587"/>
      <c r="AG606" s="582"/>
      <c r="AH606" s="582"/>
      <c r="AI606" s="582"/>
      <c r="AJ606" s="582"/>
      <c r="AK606" s="588"/>
      <c r="AL606" s="582"/>
      <c r="AM606" s="582"/>
      <c r="AN606" s="589"/>
      <c r="AO606" s="616"/>
      <c r="AP606" s="592"/>
      <c r="AQ606" s="358"/>
      <c r="AR606" s="592"/>
      <c r="AS606" s="592"/>
      <c r="AT606" s="592"/>
      <c r="AU606" s="592"/>
      <c r="AV606" s="592"/>
      <c r="AW606" s="592"/>
      <c r="AX606" s="592"/>
      <c r="AY606" s="592"/>
      <c r="AZ606" s="592"/>
      <c r="BA606" s="617"/>
      <c r="BB606" s="592"/>
      <c r="BC606" s="592"/>
      <c r="BD606" s="592"/>
      <c r="BE606" s="592"/>
      <c r="BF606" s="592"/>
      <c r="BG606" s="358"/>
      <c r="BH606" s="592"/>
      <c r="BI606" s="592"/>
      <c r="BJ606" s="592"/>
      <c r="BK606" s="592"/>
      <c r="BL606" s="592"/>
      <c r="BM606" s="592"/>
      <c r="BN606" s="592"/>
      <c r="BO606" s="592"/>
      <c r="BP606" s="592"/>
      <c r="BQ606" s="594"/>
      <c r="BR606" s="594"/>
      <c r="BS606" s="394"/>
      <c r="BT606" s="594"/>
      <c r="BU606" s="594"/>
      <c r="BV606" s="594"/>
      <c r="BW606" s="618"/>
      <c r="BX606" s="644"/>
      <c r="BY606" s="644"/>
    </row>
    <row r="607" ht="25.5" customHeight="1">
      <c r="A607" s="635"/>
      <c r="B607" s="695"/>
      <c r="C607" s="642"/>
      <c r="D607" s="642"/>
      <c r="E607" s="696"/>
      <c r="F607" s="696"/>
      <c r="G607" s="621"/>
      <c r="H607" s="577"/>
      <c r="I607" s="577"/>
      <c r="J607" s="613"/>
      <c r="K607" s="581"/>
      <c r="L607" s="581"/>
      <c r="M607" s="613"/>
      <c r="N607" s="613"/>
      <c r="O607" s="613"/>
      <c r="P607" s="580"/>
      <c r="Q607" s="580"/>
      <c r="R607" s="581"/>
      <c r="S607" s="581"/>
      <c r="T607" s="581"/>
      <c r="U607" s="582"/>
      <c r="V607" s="614"/>
      <c r="W607" s="581"/>
      <c r="X607" s="615"/>
      <c r="Y607" s="613"/>
      <c r="Z607" s="580"/>
      <c r="AA607" s="634"/>
      <c r="AB607" s="577"/>
      <c r="AC607" s="673"/>
      <c r="AD607" s="634"/>
      <c r="AE607" s="587"/>
      <c r="AF607" s="587"/>
      <c r="AG607" s="582"/>
      <c r="AH607" s="582"/>
      <c r="AI607" s="582"/>
      <c r="AJ607" s="582"/>
      <c r="AK607" s="588"/>
      <c r="AL607" s="582"/>
      <c r="AM607" s="582"/>
      <c r="AN607" s="589"/>
      <c r="AO607" s="616"/>
      <c r="AP607" s="592"/>
      <c r="AQ607" s="358"/>
      <c r="AR607" s="592"/>
      <c r="AS607" s="592"/>
      <c r="AT607" s="592"/>
      <c r="AU607" s="592"/>
      <c r="AV607" s="592"/>
      <c r="AW607" s="592"/>
      <c r="AX607" s="592"/>
      <c r="AY607" s="592"/>
      <c r="AZ607" s="592"/>
      <c r="BA607" s="617"/>
      <c r="BB607" s="592"/>
      <c r="BC607" s="592"/>
      <c r="BD607" s="592"/>
      <c r="BE607" s="592"/>
      <c r="BF607" s="592"/>
      <c r="BG607" s="358"/>
      <c r="BH607" s="592"/>
      <c r="BI607" s="592"/>
      <c r="BJ607" s="592"/>
      <c r="BK607" s="592"/>
      <c r="BL607" s="592"/>
      <c r="BM607" s="592"/>
      <c r="BN607" s="592"/>
      <c r="BO607" s="592"/>
      <c r="BP607" s="592"/>
      <c r="BQ607" s="594"/>
      <c r="BR607" s="594"/>
      <c r="BS607" s="394"/>
      <c r="BT607" s="594"/>
      <c r="BU607" s="594"/>
      <c r="BV607" s="594"/>
      <c r="BW607" s="618"/>
      <c r="BX607" s="644"/>
      <c r="BY607" s="644"/>
    </row>
    <row r="608" ht="25.5" customHeight="1">
      <c r="A608" s="635"/>
      <c r="B608" s="695"/>
      <c r="C608" s="642"/>
      <c r="D608" s="642"/>
      <c r="E608" s="696"/>
      <c r="F608" s="696"/>
      <c r="G608" s="621"/>
      <c r="H608" s="577"/>
      <c r="I608" s="577"/>
      <c r="J608" s="613"/>
      <c r="K608" s="581"/>
      <c r="L608" s="581"/>
      <c r="M608" s="613"/>
      <c r="N608" s="613"/>
      <c r="O608" s="613"/>
      <c r="P608" s="580"/>
      <c r="Q608" s="580"/>
      <c r="R608" s="581"/>
      <c r="S608" s="581"/>
      <c r="T608" s="581"/>
      <c r="U608" s="582"/>
      <c r="V608" s="614"/>
      <c r="W608" s="581"/>
      <c r="X608" s="615"/>
      <c r="Y608" s="613"/>
      <c r="Z608" s="580"/>
      <c r="AA608" s="634"/>
      <c r="AB608" s="577"/>
      <c r="AC608" s="673"/>
      <c r="AD608" s="634"/>
      <c r="AE608" s="587"/>
      <c r="AF608" s="587"/>
      <c r="AG608" s="582"/>
      <c r="AH608" s="582"/>
      <c r="AI608" s="582"/>
      <c r="AJ608" s="582"/>
      <c r="AK608" s="588"/>
      <c r="AL608" s="582"/>
      <c r="AM608" s="582"/>
      <c r="AN608" s="589"/>
      <c r="AO608" s="616"/>
      <c r="AP608" s="592"/>
      <c r="AQ608" s="358"/>
      <c r="AR608" s="592"/>
      <c r="AS608" s="592"/>
      <c r="AT608" s="592"/>
      <c r="AU608" s="592"/>
      <c r="AV608" s="592"/>
      <c r="AW608" s="592"/>
      <c r="AX608" s="592"/>
      <c r="AY608" s="592"/>
      <c r="AZ608" s="592"/>
      <c r="BA608" s="617"/>
      <c r="BB608" s="592"/>
      <c r="BC608" s="592"/>
      <c r="BD608" s="592"/>
      <c r="BE608" s="592"/>
      <c r="BF608" s="592"/>
      <c r="BG608" s="358"/>
      <c r="BH608" s="592"/>
      <c r="BI608" s="592"/>
      <c r="BJ608" s="592"/>
      <c r="BK608" s="592"/>
      <c r="BL608" s="592"/>
      <c r="BM608" s="592"/>
      <c r="BN608" s="592"/>
      <c r="BO608" s="592"/>
      <c r="BP608" s="592"/>
      <c r="BQ608" s="594"/>
      <c r="BR608" s="594"/>
      <c r="BS608" s="394"/>
      <c r="BT608" s="594"/>
      <c r="BU608" s="594"/>
      <c r="BV608" s="594"/>
      <c r="BW608" s="618"/>
      <c r="BX608" s="644"/>
      <c r="BY608" s="644"/>
    </row>
    <row r="609" ht="25.5" customHeight="1">
      <c r="A609" s="635"/>
      <c r="B609" s="695"/>
      <c r="C609" s="642"/>
      <c r="D609" s="642"/>
      <c r="E609" s="696"/>
      <c r="F609" s="696"/>
      <c r="G609" s="621"/>
      <c r="H609" s="577"/>
      <c r="I609" s="577"/>
      <c r="J609" s="613"/>
      <c r="K609" s="581"/>
      <c r="L609" s="581"/>
      <c r="M609" s="613"/>
      <c r="N609" s="613"/>
      <c r="O609" s="613"/>
      <c r="P609" s="580"/>
      <c r="Q609" s="580"/>
      <c r="R609" s="581"/>
      <c r="S609" s="581"/>
      <c r="T609" s="581"/>
      <c r="U609" s="582"/>
      <c r="V609" s="614"/>
      <c r="W609" s="581"/>
      <c r="X609" s="615"/>
      <c r="Y609" s="613"/>
      <c r="Z609" s="580"/>
      <c r="AA609" s="634"/>
      <c r="AB609" s="577"/>
      <c r="AC609" s="673"/>
      <c r="AD609" s="634"/>
      <c r="AE609" s="587"/>
      <c r="AF609" s="587"/>
      <c r="AG609" s="582"/>
      <c r="AH609" s="582"/>
      <c r="AI609" s="582"/>
      <c r="AJ609" s="582"/>
      <c r="AK609" s="588"/>
      <c r="AL609" s="582"/>
      <c r="AM609" s="582"/>
      <c r="AN609" s="589"/>
      <c r="AO609" s="616"/>
      <c r="AP609" s="592"/>
      <c r="AQ609" s="358"/>
      <c r="AR609" s="592"/>
      <c r="AS609" s="592"/>
      <c r="AT609" s="592"/>
      <c r="AU609" s="592"/>
      <c r="AV609" s="592"/>
      <c r="AW609" s="592"/>
      <c r="AX609" s="592"/>
      <c r="AY609" s="592"/>
      <c r="AZ609" s="592"/>
      <c r="BA609" s="617"/>
      <c r="BB609" s="592"/>
      <c r="BC609" s="592"/>
      <c r="BD609" s="592"/>
      <c r="BE609" s="592"/>
      <c r="BF609" s="592"/>
      <c r="BG609" s="358"/>
      <c r="BH609" s="592"/>
      <c r="BI609" s="592"/>
      <c r="BJ609" s="592"/>
      <c r="BK609" s="592"/>
      <c r="BL609" s="592"/>
      <c r="BM609" s="592"/>
      <c r="BN609" s="592"/>
      <c r="BO609" s="592"/>
      <c r="BP609" s="592"/>
      <c r="BQ609" s="594"/>
      <c r="BR609" s="594"/>
      <c r="BS609" s="394"/>
      <c r="BT609" s="594"/>
      <c r="BU609" s="594"/>
      <c r="BV609" s="594"/>
      <c r="BW609" s="618"/>
      <c r="BX609" s="644"/>
      <c r="BY609" s="644"/>
    </row>
    <row r="610" ht="25.5" customHeight="1">
      <c r="A610" s="635"/>
      <c r="B610" s="695"/>
      <c r="C610" s="642"/>
      <c r="D610" s="642"/>
      <c r="E610" s="696"/>
      <c r="F610" s="696"/>
      <c r="G610" s="621"/>
      <c r="H610" s="577"/>
      <c r="I610" s="577"/>
      <c r="J610" s="613"/>
      <c r="K610" s="581"/>
      <c r="L610" s="581"/>
      <c r="M610" s="613"/>
      <c r="N610" s="613"/>
      <c r="O610" s="613"/>
      <c r="P610" s="580"/>
      <c r="Q610" s="580"/>
      <c r="R610" s="581"/>
      <c r="S610" s="581"/>
      <c r="T610" s="581"/>
      <c r="U610" s="582"/>
      <c r="V610" s="614"/>
      <c r="W610" s="581"/>
      <c r="X610" s="615"/>
      <c r="Y610" s="613"/>
      <c r="Z610" s="580"/>
      <c r="AA610" s="634"/>
      <c r="AB610" s="577"/>
      <c r="AC610" s="673"/>
      <c r="AD610" s="634"/>
      <c r="AE610" s="587"/>
      <c r="AF610" s="587"/>
      <c r="AG610" s="582"/>
      <c r="AH610" s="582"/>
      <c r="AI610" s="582"/>
      <c r="AJ610" s="582"/>
      <c r="AK610" s="588"/>
      <c r="AL610" s="582"/>
      <c r="AM610" s="582"/>
      <c r="AN610" s="589"/>
      <c r="AO610" s="616"/>
      <c r="AP610" s="592"/>
      <c r="AQ610" s="358"/>
      <c r="AR610" s="592"/>
      <c r="AS610" s="592"/>
      <c r="AT610" s="592"/>
      <c r="AU610" s="592"/>
      <c r="AV610" s="592"/>
      <c r="AW610" s="592"/>
      <c r="AX610" s="592"/>
      <c r="AY610" s="592"/>
      <c r="AZ610" s="592"/>
      <c r="BA610" s="617"/>
      <c r="BB610" s="592"/>
      <c r="BC610" s="592"/>
      <c r="BD610" s="592"/>
      <c r="BE610" s="592"/>
      <c r="BF610" s="592"/>
      <c r="BG610" s="358"/>
      <c r="BH610" s="592"/>
      <c r="BI610" s="592"/>
      <c r="BJ610" s="592"/>
      <c r="BK610" s="592"/>
      <c r="BL610" s="592"/>
      <c r="BM610" s="592"/>
      <c r="BN610" s="592"/>
      <c r="BO610" s="592"/>
      <c r="BP610" s="592"/>
      <c r="BQ610" s="594"/>
      <c r="BR610" s="594"/>
      <c r="BS610" s="394"/>
      <c r="BT610" s="594"/>
      <c r="BU610" s="594"/>
      <c r="BV610" s="594"/>
      <c r="BW610" s="618"/>
      <c r="BX610" s="644"/>
      <c r="BY610" s="644"/>
    </row>
    <row r="611" ht="25.5" customHeight="1">
      <c r="A611" s="635"/>
      <c r="B611" s="695"/>
      <c r="C611" s="642"/>
      <c r="D611" s="642"/>
      <c r="E611" s="696"/>
      <c r="F611" s="696"/>
      <c r="G611" s="621"/>
      <c r="H611" s="577"/>
      <c r="I611" s="577"/>
      <c r="J611" s="613"/>
      <c r="K611" s="581"/>
      <c r="L611" s="581"/>
      <c r="M611" s="613"/>
      <c r="N611" s="613"/>
      <c r="O611" s="613"/>
      <c r="P611" s="580"/>
      <c r="Q611" s="580"/>
      <c r="R611" s="581"/>
      <c r="S611" s="581"/>
      <c r="T611" s="581"/>
      <c r="U611" s="582"/>
      <c r="V611" s="614"/>
      <c r="W611" s="581"/>
      <c r="X611" s="615"/>
      <c r="Y611" s="613"/>
      <c r="Z611" s="580"/>
      <c r="AA611" s="634"/>
      <c r="AB611" s="577"/>
      <c r="AC611" s="673"/>
      <c r="AD611" s="634"/>
      <c r="AE611" s="587"/>
      <c r="AF611" s="587"/>
      <c r="AG611" s="582"/>
      <c r="AH611" s="582"/>
      <c r="AI611" s="582"/>
      <c r="AJ611" s="582"/>
      <c r="AK611" s="588"/>
      <c r="AL611" s="582"/>
      <c r="AM611" s="582"/>
      <c r="AN611" s="589"/>
      <c r="AO611" s="616"/>
      <c r="AP611" s="592"/>
      <c r="AQ611" s="358"/>
      <c r="AR611" s="592"/>
      <c r="AS611" s="592"/>
      <c r="AT611" s="592"/>
      <c r="AU611" s="592"/>
      <c r="AV611" s="592"/>
      <c r="AW611" s="592"/>
      <c r="AX611" s="592"/>
      <c r="AY611" s="592"/>
      <c r="AZ611" s="592"/>
      <c r="BA611" s="617"/>
      <c r="BB611" s="592"/>
      <c r="BC611" s="592"/>
      <c r="BD611" s="592"/>
      <c r="BE611" s="592"/>
      <c r="BF611" s="592"/>
      <c r="BG611" s="358"/>
      <c r="BH611" s="592"/>
      <c r="BI611" s="592"/>
      <c r="BJ611" s="592"/>
      <c r="BK611" s="592"/>
      <c r="BL611" s="592"/>
      <c r="BM611" s="592"/>
      <c r="BN611" s="592"/>
      <c r="BO611" s="592"/>
      <c r="BP611" s="592"/>
      <c r="BQ611" s="594"/>
      <c r="BR611" s="594"/>
      <c r="BS611" s="394"/>
      <c r="BT611" s="594"/>
      <c r="BU611" s="594"/>
      <c r="BV611" s="594"/>
      <c r="BW611" s="618"/>
      <c r="BX611" s="644"/>
      <c r="BY611" s="644"/>
    </row>
    <row r="612" ht="25.5" customHeight="1">
      <c r="A612" s="635"/>
      <c r="B612" s="695"/>
      <c r="C612" s="642"/>
      <c r="D612" s="642"/>
      <c r="E612" s="696"/>
      <c r="F612" s="696"/>
      <c r="G612" s="621"/>
      <c r="H612" s="577"/>
      <c r="I612" s="577"/>
      <c r="J612" s="613"/>
      <c r="K612" s="581"/>
      <c r="L612" s="581"/>
      <c r="M612" s="613"/>
      <c r="N612" s="613"/>
      <c r="O612" s="613"/>
      <c r="P612" s="580"/>
      <c r="Q612" s="580"/>
      <c r="R612" s="581"/>
      <c r="S612" s="581"/>
      <c r="T612" s="581"/>
      <c r="U612" s="582"/>
      <c r="V612" s="614"/>
      <c r="W612" s="581"/>
      <c r="X612" s="615"/>
      <c r="Y612" s="613"/>
      <c r="Z612" s="580"/>
      <c r="AA612" s="634"/>
      <c r="AB612" s="577"/>
      <c r="AC612" s="673"/>
      <c r="AD612" s="634"/>
      <c r="AE612" s="587"/>
      <c r="AF612" s="587"/>
      <c r="AG612" s="582"/>
      <c r="AH612" s="582"/>
      <c r="AI612" s="582"/>
      <c r="AJ612" s="582"/>
      <c r="AK612" s="588"/>
      <c r="AL612" s="582"/>
      <c r="AM612" s="582"/>
      <c r="AN612" s="589"/>
      <c r="AO612" s="616"/>
      <c r="AP612" s="592"/>
      <c r="AQ612" s="358"/>
      <c r="AR612" s="592"/>
      <c r="AS612" s="592"/>
      <c r="AT612" s="592"/>
      <c r="AU612" s="592"/>
      <c r="AV612" s="592"/>
      <c r="AW612" s="592"/>
      <c r="AX612" s="592"/>
      <c r="AY612" s="592"/>
      <c r="AZ612" s="592"/>
      <c r="BA612" s="617"/>
      <c r="BB612" s="592"/>
      <c r="BC612" s="592"/>
      <c r="BD612" s="592"/>
      <c r="BE612" s="592"/>
      <c r="BF612" s="592"/>
      <c r="BG612" s="358"/>
      <c r="BH612" s="592"/>
      <c r="BI612" s="592"/>
      <c r="BJ612" s="592"/>
      <c r="BK612" s="592"/>
      <c r="BL612" s="592"/>
      <c r="BM612" s="592"/>
      <c r="BN612" s="592"/>
      <c r="BO612" s="592"/>
      <c r="BP612" s="592"/>
      <c r="BQ612" s="594"/>
      <c r="BR612" s="594"/>
      <c r="BS612" s="394"/>
      <c r="BT612" s="594"/>
      <c r="BU612" s="594"/>
      <c r="BV612" s="594"/>
      <c r="BW612" s="618"/>
      <c r="BX612" s="644"/>
      <c r="BY612" s="644"/>
    </row>
    <row r="613" ht="25.5" customHeight="1">
      <c r="A613" s="635"/>
      <c r="B613" s="695"/>
      <c r="C613" s="642"/>
      <c r="D613" s="642"/>
      <c r="E613" s="696"/>
      <c r="F613" s="696"/>
      <c r="G613" s="621"/>
      <c r="H613" s="577"/>
      <c r="I613" s="577"/>
      <c r="J613" s="613"/>
      <c r="K613" s="581"/>
      <c r="L613" s="581"/>
      <c r="M613" s="613"/>
      <c r="N613" s="613"/>
      <c r="O613" s="613"/>
      <c r="P613" s="580"/>
      <c r="Q613" s="580"/>
      <c r="R613" s="581"/>
      <c r="S613" s="581"/>
      <c r="T613" s="581"/>
      <c r="U613" s="582"/>
      <c r="V613" s="614"/>
      <c r="W613" s="581"/>
      <c r="X613" s="615"/>
      <c r="Y613" s="613"/>
      <c r="Z613" s="580"/>
      <c r="AA613" s="634"/>
      <c r="AB613" s="577"/>
      <c r="AC613" s="673"/>
      <c r="AD613" s="634"/>
      <c r="AE613" s="587"/>
      <c r="AF613" s="587"/>
      <c r="AG613" s="582"/>
      <c r="AH613" s="582"/>
      <c r="AI613" s="582"/>
      <c r="AJ613" s="582"/>
      <c r="AK613" s="588"/>
      <c r="AL613" s="582"/>
      <c r="AM613" s="582"/>
      <c r="AN613" s="589"/>
      <c r="AO613" s="616"/>
      <c r="AP613" s="592"/>
      <c r="AQ613" s="358"/>
      <c r="AR613" s="592"/>
      <c r="AS613" s="592"/>
      <c r="AT613" s="592"/>
      <c r="AU613" s="592"/>
      <c r="AV613" s="592"/>
      <c r="AW613" s="592"/>
      <c r="AX613" s="592"/>
      <c r="AY613" s="592"/>
      <c r="AZ613" s="592"/>
      <c r="BA613" s="617"/>
      <c r="BB613" s="592"/>
      <c r="BC613" s="592"/>
      <c r="BD613" s="592"/>
      <c r="BE613" s="592"/>
      <c r="BF613" s="592"/>
      <c r="BG613" s="358"/>
      <c r="BH613" s="592"/>
      <c r="BI613" s="592"/>
      <c r="BJ613" s="592"/>
      <c r="BK613" s="592"/>
      <c r="BL613" s="592"/>
      <c r="BM613" s="592"/>
      <c r="BN613" s="592"/>
      <c r="BO613" s="592"/>
      <c r="BP613" s="592"/>
      <c r="BQ613" s="594"/>
      <c r="BR613" s="594"/>
      <c r="BS613" s="394"/>
      <c r="BT613" s="594"/>
      <c r="BU613" s="594"/>
      <c r="BV613" s="594"/>
      <c r="BW613" s="618"/>
      <c r="BX613" s="644"/>
      <c r="BY613" s="644"/>
    </row>
    <row r="614" ht="25.5" customHeight="1">
      <c r="A614" s="635"/>
      <c r="B614" s="695"/>
      <c r="C614" s="642"/>
      <c r="D614" s="642"/>
      <c r="E614" s="696"/>
      <c r="F614" s="696"/>
      <c r="G614" s="621"/>
      <c r="H614" s="577"/>
      <c r="I614" s="577"/>
      <c r="J614" s="613"/>
      <c r="K614" s="581"/>
      <c r="L614" s="581"/>
      <c r="M614" s="613"/>
      <c r="N614" s="613"/>
      <c r="O614" s="613"/>
      <c r="P614" s="580"/>
      <c r="Q614" s="580"/>
      <c r="R614" s="581"/>
      <c r="S614" s="581"/>
      <c r="T614" s="581"/>
      <c r="U614" s="582"/>
      <c r="V614" s="614"/>
      <c r="W614" s="581"/>
      <c r="X614" s="615"/>
      <c r="Y614" s="613"/>
      <c r="Z614" s="580"/>
      <c r="AA614" s="634"/>
      <c r="AB614" s="577"/>
      <c r="AC614" s="673"/>
      <c r="AD614" s="634"/>
      <c r="AE614" s="587"/>
      <c r="AF614" s="587"/>
      <c r="AG614" s="582"/>
      <c r="AH614" s="582"/>
      <c r="AI614" s="582"/>
      <c r="AJ614" s="582"/>
      <c r="AK614" s="588"/>
      <c r="AL614" s="582"/>
      <c r="AM614" s="582"/>
      <c r="AN614" s="589"/>
      <c r="AO614" s="616"/>
      <c r="AP614" s="592"/>
      <c r="AQ614" s="358"/>
      <c r="AR614" s="592"/>
      <c r="AS614" s="592"/>
      <c r="AT614" s="592"/>
      <c r="AU614" s="592"/>
      <c r="AV614" s="592"/>
      <c r="AW614" s="592"/>
      <c r="AX614" s="592"/>
      <c r="AY614" s="592"/>
      <c r="AZ614" s="592"/>
      <c r="BA614" s="617"/>
      <c r="BB614" s="592"/>
      <c r="BC614" s="592"/>
      <c r="BD614" s="592"/>
      <c r="BE614" s="592"/>
      <c r="BF614" s="592"/>
      <c r="BG614" s="358"/>
      <c r="BH614" s="592"/>
      <c r="BI614" s="592"/>
      <c r="BJ614" s="592"/>
      <c r="BK614" s="592"/>
      <c r="BL614" s="592"/>
      <c r="BM614" s="592"/>
      <c r="BN614" s="592"/>
      <c r="BO614" s="592"/>
      <c r="BP614" s="592"/>
      <c r="BQ614" s="594"/>
      <c r="BR614" s="594"/>
      <c r="BS614" s="394"/>
      <c r="BT614" s="594"/>
      <c r="BU614" s="594"/>
      <c r="BV614" s="594"/>
      <c r="BW614" s="618"/>
      <c r="BX614" s="644"/>
      <c r="BY614" s="644"/>
    </row>
    <row r="615" ht="25.5" customHeight="1">
      <c r="A615" s="635"/>
      <c r="B615" s="695"/>
      <c r="C615" s="642"/>
      <c r="D615" s="642"/>
      <c r="E615" s="696"/>
      <c r="F615" s="696"/>
      <c r="G615" s="621"/>
      <c r="H615" s="577"/>
      <c r="I615" s="577"/>
      <c r="J615" s="613"/>
      <c r="K615" s="581"/>
      <c r="L615" s="581"/>
      <c r="M615" s="613"/>
      <c r="N615" s="613"/>
      <c r="O615" s="613"/>
      <c r="P615" s="580"/>
      <c r="Q615" s="580"/>
      <c r="R615" s="581"/>
      <c r="S615" s="581"/>
      <c r="T615" s="581"/>
      <c r="U615" s="582"/>
      <c r="V615" s="614"/>
      <c r="W615" s="581"/>
      <c r="X615" s="615"/>
      <c r="Y615" s="613"/>
      <c r="Z615" s="580"/>
      <c r="AA615" s="634"/>
      <c r="AB615" s="577"/>
      <c r="AC615" s="673"/>
      <c r="AD615" s="634"/>
      <c r="AE615" s="587"/>
      <c r="AF615" s="587"/>
      <c r="AG615" s="582"/>
      <c r="AH615" s="582"/>
      <c r="AI615" s="582"/>
      <c r="AJ615" s="582"/>
      <c r="AK615" s="588"/>
      <c r="AL615" s="582"/>
      <c r="AM615" s="582"/>
      <c r="AN615" s="589"/>
      <c r="AO615" s="616"/>
      <c r="AP615" s="592"/>
      <c r="AQ615" s="358"/>
      <c r="AR615" s="592"/>
      <c r="AS615" s="592"/>
      <c r="AT615" s="592"/>
      <c r="AU615" s="592"/>
      <c r="AV615" s="592"/>
      <c r="AW615" s="592"/>
      <c r="AX615" s="592"/>
      <c r="AY615" s="592"/>
      <c r="AZ615" s="592"/>
      <c r="BA615" s="617"/>
      <c r="BB615" s="592"/>
      <c r="BC615" s="592"/>
      <c r="BD615" s="592"/>
      <c r="BE615" s="592"/>
      <c r="BF615" s="592"/>
      <c r="BG615" s="358"/>
      <c r="BH615" s="592"/>
      <c r="BI615" s="592"/>
      <c r="BJ615" s="592"/>
      <c r="BK615" s="592"/>
      <c r="BL615" s="592"/>
      <c r="BM615" s="592"/>
      <c r="BN615" s="592"/>
      <c r="BO615" s="592"/>
      <c r="BP615" s="592"/>
      <c r="BQ615" s="594"/>
      <c r="BR615" s="594"/>
      <c r="BS615" s="394"/>
      <c r="BT615" s="594"/>
      <c r="BU615" s="594"/>
      <c r="BV615" s="594"/>
      <c r="BW615" s="618"/>
      <c r="BX615" s="644"/>
      <c r="BY615" s="644"/>
    </row>
    <row r="616" ht="25.5" customHeight="1">
      <c r="A616" s="635"/>
      <c r="B616" s="695"/>
      <c r="C616" s="642"/>
      <c r="D616" s="642"/>
      <c r="E616" s="696"/>
      <c r="F616" s="696"/>
      <c r="G616" s="621"/>
      <c r="H616" s="577"/>
      <c r="I616" s="577"/>
      <c r="J616" s="613"/>
      <c r="K616" s="581"/>
      <c r="L616" s="581"/>
      <c r="M616" s="613"/>
      <c r="N616" s="613"/>
      <c r="O616" s="613"/>
      <c r="P616" s="580"/>
      <c r="Q616" s="580"/>
      <c r="R616" s="581"/>
      <c r="S616" s="581"/>
      <c r="T616" s="581"/>
      <c r="U616" s="582"/>
      <c r="V616" s="614"/>
      <c r="W616" s="581"/>
      <c r="X616" s="615"/>
      <c r="Y616" s="613"/>
      <c r="Z616" s="580"/>
      <c r="AA616" s="634"/>
      <c r="AB616" s="577"/>
      <c r="AC616" s="673"/>
      <c r="AD616" s="634"/>
      <c r="AE616" s="587"/>
      <c r="AF616" s="587"/>
      <c r="AG616" s="582"/>
      <c r="AH616" s="582"/>
      <c r="AI616" s="582"/>
      <c r="AJ616" s="582"/>
      <c r="AK616" s="588"/>
      <c r="AL616" s="582"/>
      <c r="AM616" s="582"/>
      <c r="AN616" s="589"/>
      <c r="AO616" s="616"/>
      <c r="AP616" s="592"/>
      <c r="AQ616" s="358"/>
      <c r="AR616" s="592"/>
      <c r="AS616" s="592"/>
      <c r="AT616" s="592"/>
      <c r="AU616" s="592"/>
      <c r="AV616" s="592"/>
      <c r="AW616" s="592"/>
      <c r="AX616" s="592"/>
      <c r="AY616" s="592"/>
      <c r="AZ616" s="592"/>
      <c r="BA616" s="617"/>
      <c r="BB616" s="592"/>
      <c r="BC616" s="592"/>
      <c r="BD616" s="592"/>
      <c r="BE616" s="592"/>
      <c r="BF616" s="592"/>
      <c r="BG616" s="358"/>
      <c r="BH616" s="592"/>
      <c r="BI616" s="592"/>
      <c r="BJ616" s="592"/>
      <c r="BK616" s="592"/>
      <c r="BL616" s="592"/>
      <c r="BM616" s="592"/>
      <c r="BN616" s="592"/>
      <c r="BO616" s="592"/>
      <c r="BP616" s="592"/>
      <c r="BQ616" s="594"/>
      <c r="BR616" s="594"/>
      <c r="BS616" s="394"/>
      <c r="BT616" s="594"/>
      <c r="BU616" s="594"/>
      <c r="BV616" s="594"/>
      <c r="BW616" s="618"/>
      <c r="BX616" s="644"/>
      <c r="BY616" s="644"/>
    </row>
    <row r="617" ht="25.5" customHeight="1">
      <c r="A617" s="635"/>
      <c r="B617" s="695"/>
      <c r="C617" s="642"/>
      <c r="D617" s="642"/>
      <c r="E617" s="696"/>
      <c r="F617" s="696"/>
      <c r="G617" s="621"/>
      <c r="H617" s="577"/>
      <c r="I617" s="577"/>
      <c r="J617" s="613"/>
      <c r="K617" s="581"/>
      <c r="L617" s="581"/>
      <c r="M617" s="613"/>
      <c r="N617" s="613"/>
      <c r="O617" s="613"/>
      <c r="P617" s="580"/>
      <c r="Q617" s="580"/>
      <c r="R617" s="581"/>
      <c r="S617" s="581"/>
      <c r="T617" s="581"/>
      <c r="U617" s="582"/>
      <c r="V617" s="614"/>
      <c r="W617" s="581"/>
      <c r="X617" s="615"/>
      <c r="Y617" s="613"/>
      <c r="Z617" s="580"/>
      <c r="AA617" s="634"/>
      <c r="AB617" s="577"/>
      <c r="AC617" s="673"/>
      <c r="AD617" s="634"/>
      <c r="AE617" s="587"/>
      <c r="AF617" s="587"/>
      <c r="AG617" s="582"/>
      <c r="AH617" s="582"/>
      <c r="AI617" s="582"/>
      <c r="AJ617" s="582"/>
      <c r="AK617" s="588"/>
      <c r="AL617" s="582"/>
      <c r="AM617" s="582"/>
      <c r="AN617" s="589"/>
      <c r="AO617" s="616"/>
      <c r="AP617" s="592"/>
      <c r="AQ617" s="358"/>
      <c r="AR617" s="592"/>
      <c r="AS617" s="592"/>
      <c r="AT617" s="592"/>
      <c r="AU617" s="592"/>
      <c r="AV617" s="592"/>
      <c r="AW617" s="592"/>
      <c r="AX617" s="592"/>
      <c r="AY617" s="592"/>
      <c r="AZ617" s="592"/>
      <c r="BA617" s="617"/>
      <c r="BB617" s="592"/>
      <c r="BC617" s="592"/>
      <c r="BD617" s="592"/>
      <c r="BE617" s="592"/>
      <c r="BF617" s="592"/>
      <c r="BG617" s="358"/>
      <c r="BH617" s="592"/>
      <c r="BI617" s="592"/>
      <c r="BJ617" s="592"/>
      <c r="BK617" s="592"/>
      <c r="BL617" s="592"/>
      <c r="BM617" s="592"/>
      <c r="BN617" s="592"/>
      <c r="BO617" s="592"/>
      <c r="BP617" s="592"/>
      <c r="BQ617" s="594"/>
      <c r="BR617" s="594"/>
      <c r="BS617" s="394"/>
      <c r="BT617" s="594"/>
      <c r="BU617" s="594"/>
      <c r="BV617" s="594"/>
      <c r="BW617" s="618"/>
      <c r="BX617" s="644"/>
      <c r="BY617" s="644"/>
    </row>
    <row r="618" ht="25.5" customHeight="1">
      <c r="A618" s="635"/>
      <c r="B618" s="695"/>
      <c r="C618" s="642"/>
      <c r="D618" s="642"/>
      <c r="E618" s="696"/>
      <c r="F618" s="696"/>
      <c r="G618" s="621"/>
      <c r="H618" s="577"/>
      <c r="I618" s="577"/>
      <c r="J618" s="613"/>
      <c r="K618" s="581"/>
      <c r="L618" s="581"/>
      <c r="M618" s="613"/>
      <c r="N618" s="613"/>
      <c r="O618" s="613"/>
      <c r="P618" s="580"/>
      <c r="Q618" s="580"/>
      <c r="R618" s="581"/>
      <c r="S618" s="581"/>
      <c r="T618" s="581"/>
      <c r="U618" s="582"/>
      <c r="V618" s="614"/>
      <c r="W618" s="581"/>
      <c r="X618" s="615"/>
      <c r="Y618" s="613"/>
      <c r="Z618" s="580"/>
      <c r="AA618" s="634"/>
      <c r="AB618" s="577"/>
      <c r="AC618" s="673"/>
      <c r="AD618" s="634"/>
      <c r="AE618" s="587"/>
      <c r="AF618" s="587"/>
      <c r="AG618" s="582"/>
      <c r="AH618" s="582"/>
      <c r="AI618" s="582"/>
      <c r="AJ618" s="582"/>
      <c r="AK618" s="588"/>
      <c r="AL618" s="582"/>
      <c r="AM618" s="582"/>
      <c r="AN618" s="589"/>
      <c r="AO618" s="616"/>
      <c r="AP618" s="592"/>
      <c r="AQ618" s="358"/>
      <c r="AR618" s="592"/>
      <c r="AS618" s="592"/>
      <c r="AT618" s="592"/>
      <c r="AU618" s="592"/>
      <c r="AV618" s="592"/>
      <c r="AW618" s="592"/>
      <c r="AX618" s="592"/>
      <c r="AY618" s="592"/>
      <c r="AZ618" s="592"/>
      <c r="BA618" s="617"/>
      <c r="BB618" s="592"/>
      <c r="BC618" s="592"/>
      <c r="BD618" s="592"/>
      <c r="BE618" s="592"/>
      <c r="BF618" s="592"/>
      <c r="BG618" s="358"/>
      <c r="BH618" s="592"/>
      <c r="BI618" s="592"/>
      <c r="BJ618" s="592"/>
      <c r="BK618" s="592"/>
      <c r="BL618" s="592"/>
      <c r="BM618" s="592"/>
      <c r="BN618" s="592"/>
      <c r="BO618" s="592"/>
      <c r="BP618" s="592"/>
      <c r="BQ618" s="594"/>
      <c r="BR618" s="594"/>
      <c r="BS618" s="394"/>
      <c r="BT618" s="594"/>
      <c r="BU618" s="594"/>
      <c r="BV618" s="594"/>
      <c r="BW618" s="618"/>
      <c r="BX618" s="644"/>
      <c r="BY618" s="644"/>
    </row>
    <row r="619" ht="25.5" customHeight="1">
      <c r="A619" s="635"/>
      <c r="B619" s="695"/>
      <c r="C619" s="642"/>
      <c r="D619" s="642"/>
      <c r="E619" s="696"/>
      <c r="F619" s="696"/>
      <c r="G619" s="621"/>
      <c r="H619" s="577"/>
      <c r="I619" s="577"/>
      <c r="J619" s="613"/>
      <c r="K619" s="581"/>
      <c r="L619" s="581"/>
      <c r="M619" s="613"/>
      <c r="N619" s="613"/>
      <c r="O619" s="613"/>
      <c r="P619" s="580"/>
      <c r="Q619" s="580"/>
      <c r="R619" s="581"/>
      <c r="S619" s="581"/>
      <c r="T619" s="581"/>
      <c r="U619" s="582"/>
      <c r="V619" s="614"/>
      <c r="W619" s="581"/>
      <c r="X619" s="615"/>
      <c r="Y619" s="613"/>
      <c r="Z619" s="580"/>
      <c r="AA619" s="634"/>
      <c r="AB619" s="577"/>
      <c r="AC619" s="673"/>
      <c r="AD619" s="634"/>
      <c r="AE619" s="587"/>
      <c r="AF619" s="587"/>
      <c r="AG619" s="582"/>
      <c r="AH619" s="582"/>
      <c r="AI619" s="582"/>
      <c r="AJ619" s="582"/>
      <c r="AK619" s="588"/>
      <c r="AL619" s="582"/>
      <c r="AM619" s="582"/>
      <c r="AN619" s="589"/>
      <c r="AO619" s="616"/>
      <c r="AP619" s="592"/>
      <c r="AQ619" s="358"/>
      <c r="AR619" s="592"/>
      <c r="AS619" s="592"/>
      <c r="AT619" s="592"/>
      <c r="AU619" s="592"/>
      <c r="AV619" s="592"/>
      <c r="AW619" s="592"/>
      <c r="AX619" s="592"/>
      <c r="AY619" s="592"/>
      <c r="AZ619" s="592"/>
      <c r="BA619" s="617"/>
      <c r="BB619" s="592"/>
      <c r="BC619" s="592"/>
      <c r="BD619" s="592"/>
      <c r="BE619" s="592"/>
      <c r="BF619" s="592"/>
      <c r="BG619" s="358"/>
      <c r="BH619" s="592"/>
      <c r="BI619" s="592"/>
      <c r="BJ619" s="592"/>
      <c r="BK619" s="592"/>
      <c r="BL619" s="592"/>
      <c r="BM619" s="592"/>
      <c r="BN619" s="592"/>
      <c r="BO619" s="592"/>
      <c r="BP619" s="592"/>
      <c r="BQ619" s="594"/>
      <c r="BR619" s="594"/>
      <c r="BS619" s="394"/>
      <c r="BT619" s="594"/>
      <c r="BU619" s="594"/>
      <c r="BV619" s="594"/>
      <c r="BW619" s="618"/>
      <c r="BX619" s="644"/>
      <c r="BY619" s="644"/>
    </row>
    <row r="620" ht="25.5" customHeight="1">
      <c r="A620" s="635"/>
      <c r="B620" s="695"/>
      <c r="C620" s="642"/>
      <c r="D620" s="642"/>
      <c r="E620" s="696"/>
      <c r="F620" s="696"/>
      <c r="G620" s="621"/>
      <c r="H620" s="577"/>
      <c r="I620" s="577"/>
      <c r="J620" s="613"/>
      <c r="K620" s="581"/>
      <c r="L620" s="581"/>
      <c r="M620" s="613"/>
      <c r="N620" s="613"/>
      <c r="O620" s="613"/>
      <c r="P620" s="580"/>
      <c r="Q620" s="580"/>
      <c r="R620" s="581"/>
      <c r="S620" s="581"/>
      <c r="T620" s="581"/>
      <c r="U620" s="582"/>
      <c r="V620" s="614"/>
      <c r="W620" s="581"/>
      <c r="X620" s="615"/>
      <c r="Y620" s="613"/>
      <c r="Z620" s="580"/>
      <c r="AA620" s="634"/>
      <c r="AB620" s="577"/>
      <c r="AC620" s="673"/>
      <c r="AD620" s="634"/>
      <c r="AE620" s="587"/>
      <c r="AF620" s="587"/>
      <c r="AG620" s="582"/>
      <c r="AH620" s="582"/>
      <c r="AI620" s="582"/>
      <c r="AJ620" s="582"/>
      <c r="AK620" s="588"/>
      <c r="AL620" s="582"/>
      <c r="AM620" s="582"/>
      <c r="AN620" s="589"/>
      <c r="AO620" s="616"/>
      <c r="AP620" s="592"/>
      <c r="AQ620" s="358"/>
      <c r="AR620" s="592"/>
      <c r="AS620" s="592"/>
      <c r="AT620" s="592"/>
      <c r="AU620" s="592"/>
      <c r="AV620" s="592"/>
      <c r="AW620" s="592"/>
      <c r="AX620" s="592"/>
      <c r="AY620" s="592"/>
      <c r="AZ620" s="592"/>
      <c r="BA620" s="617"/>
      <c r="BB620" s="592"/>
      <c r="BC620" s="592"/>
      <c r="BD620" s="592"/>
      <c r="BE620" s="592"/>
      <c r="BF620" s="592"/>
      <c r="BG620" s="358"/>
      <c r="BH620" s="592"/>
      <c r="BI620" s="592"/>
      <c r="BJ620" s="592"/>
      <c r="BK620" s="592"/>
      <c r="BL620" s="592"/>
      <c r="BM620" s="592"/>
      <c r="BN620" s="592"/>
      <c r="BO620" s="592"/>
      <c r="BP620" s="592"/>
      <c r="BQ620" s="594"/>
      <c r="BR620" s="594"/>
      <c r="BS620" s="394"/>
      <c r="BT620" s="594"/>
      <c r="BU620" s="594"/>
      <c r="BV620" s="594"/>
      <c r="BW620" s="618"/>
      <c r="BX620" s="644"/>
      <c r="BY620" s="644"/>
    </row>
    <row r="621" ht="25.5" customHeight="1">
      <c r="A621" s="635"/>
      <c r="B621" s="695"/>
      <c r="C621" s="642"/>
      <c r="D621" s="642"/>
      <c r="E621" s="696"/>
      <c r="F621" s="696"/>
      <c r="G621" s="621"/>
      <c r="H621" s="577"/>
      <c r="I621" s="577"/>
      <c r="J621" s="613"/>
      <c r="K621" s="581"/>
      <c r="L621" s="581"/>
      <c r="M621" s="613"/>
      <c r="N621" s="613"/>
      <c r="O621" s="613"/>
      <c r="P621" s="580"/>
      <c r="Q621" s="580"/>
      <c r="R621" s="581"/>
      <c r="S621" s="581"/>
      <c r="T621" s="581"/>
      <c r="U621" s="582"/>
      <c r="V621" s="614"/>
      <c r="W621" s="581"/>
      <c r="X621" s="615"/>
      <c r="Y621" s="613"/>
      <c r="Z621" s="580"/>
      <c r="AA621" s="634"/>
      <c r="AB621" s="577"/>
      <c r="AC621" s="673"/>
      <c r="AD621" s="634"/>
      <c r="AE621" s="587"/>
      <c r="AF621" s="587"/>
      <c r="AG621" s="582"/>
      <c r="AH621" s="582"/>
      <c r="AI621" s="582"/>
      <c r="AJ621" s="582"/>
      <c r="AK621" s="588"/>
      <c r="AL621" s="582"/>
      <c r="AM621" s="582"/>
      <c r="AN621" s="589"/>
      <c r="AO621" s="616"/>
      <c r="AP621" s="592"/>
      <c r="AQ621" s="358"/>
      <c r="AR621" s="592"/>
      <c r="AS621" s="592"/>
      <c r="AT621" s="592"/>
      <c r="AU621" s="592"/>
      <c r="AV621" s="592"/>
      <c r="AW621" s="592"/>
      <c r="AX621" s="592"/>
      <c r="AY621" s="592"/>
      <c r="AZ621" s="592"/>
      <c r="BA621" s="617"/>
      <c r="BB621" s="592"/>
      <c r="BC621" s="592"/>
      <c r="BD621" s="592"/>
      <c r="BE621" s="592"/>
      <c r="BF621" s="592"/>
      <c r="BG621" s="358"/>
      <c r="BH621" s="592"/>
      <c r="BI621" s="592"/>
      <c r="BJ621" s="592"/>
      <c r="BK621" s="592"/>
      <c r="BL621" s="592"/>
      <c r="BM621" s="592"/>
      <c r="BN621" s="592"/>
      <c r="BO621" s="592"/>
      <c r="BP621" s="592"/>
      <c r="BQ621" s="594"/>
      <c r="BR621" s="594"/>
      <c r="BS621" s="394"/>
      <c r="BT621" s="594"/>
      <c r="BU621" s="594"/>
      <c r="BV621" s="594"/>
      <c r="BW621" s="618"/>
      <c r="BX621" s="644"/>
      <c r="BY621" s="644"/>
    </row>
    <row r="622" ht="25.5" customHeight="1">
      <c r="A622" s="635"/>
      <c r="B622" s="695"/>
      <c r="C622" s="642"/>
      <c r="D622" s="642"/>
      <c r="E622" s="696"/>
      <c r="F622" s="696"/>
      <c r="G622" s="621"/>
      <c r="H622" s="577"/>
      <c r="I622" s="577"/>
      <c r="J622" s="613"/>
      <c r="K622" s="581"/>
      <c r="L622" s="581"/>
      <c r="M622" s="613"/>
      <c r="N622" s="613"/>
      <c r="O622" s="613"/>
      <c r="P622" s="580"/>
      <c r="Q622" s="580"/>
      <c r="R622" s="581"/>
      <c r="S622" s="581"/>
      <c r="T622" s="581"/>
      <c r="U622" s="582"/>
      <c r="V622" s="614"/>
      <c r="W622" s="581"/>
      <c r="X622" s="615"/>
      <c r="Y622" s="613"/>
      <c r="Z622" s="580"/>
      <c r="AA622" s="634"/>
      <c r="AB622" s="577"/>
      <c r="AC622" s="673"/>
      <c r="AD622" s="634"/>
      <c r="AE622" s="587"/>
      <c r="AF622" s="587"/>
      <c r="AG622" s="582"/>
      <c r="AH622" s="582"/>
      <c r="AI622" s="582"/>
      <c r="AJ622" s="582"/>
      <c r="AK622" s="588"/>
      <c r="AL622" s="582"/>
      <c r="AM622" s="582"/>
      <c r="AN622" s="589"/>
      <c r="AO622" s="616"/>
      <c r="AP622" s="592"/>
      <c r="AQ622" s="358"/>
      <c r="AR622" s="592"/>
      <c r="AS622" s="592"/>
      <c r="AT622" s="592"/>
      <c r="AU622" s="592"/>
      <c r="AV622" s="592"/>
      <c r="AW622" s="592"/>
      <c r="AX622" s="592"/>
      <c r="AY622" s="592"/>
      <c r="AZ622" s="592"/>
      <c r="BA622" s="617"/>
      <c r="BB622" s="592"/>
      <c r="BC622" s="592"/>
      <c r="BD622" s="592"/>
      <c r="BE622" s="592"/>
      <c r="BF622" s="592"/>
      <c r="BG622" s="358"/>
      <c r="BH622" s="592"/>
      <c r="BI622" s="592"/>
      <c r="BJ622" s="592"/>
      <c r="BK622" s="592"/>
      <c r="BL622" s="592"/>
      <c r="BM622" s="592"/>
      <c r="BN622" s="592"/>
      <c r="BO622" s="592"/>
      <c r="BP622" s="592"/>
      <c r="BQ622" s="594"/>
      <c r="BR622" s="594"/>
      <c r="BS622" s="394"/>
      <c r="BT622" s="594"/>
      <c r="BU622" s="594"/>
      <c r="BV622" s="594"/>
      <c r="BW622" s="618"/>
      <c r="BX622" s="644"/>
      <c r="BY622" s="644"/>
    </row>
    <row r="623" ht="25.5" customHeight="1">
      <c r="A623" s="635"/>
      <c r="B623" s="695"/>
      <c r="C623" s="642"/>
      <c r="D623" s="642"/>
      <c r="E623" s="696"/>
      <c r="F623" s="696"/>
      <c r="G623" s="621"/>
      <c r="H623" s="577"/>
      <c r="I623" s="577"/>
      <c r="J623" s="613"/>
      <c r="K623" s="581"/>
      <c r="L623" s="581"/>
      <c r="M623" s="613"/>
      <c r="N623" s="613"/>
      <c r="O623" s="613"/>
      <c r="P623" s="580"/>
      <c r="Q623" s="580"/>
      <c r="R623" s="581"/>
      <c r="S623" s="581"/>
      <c r="T623" s="581"/>
      <c r="U623" s="582"/>
      <c r="V623" s="614"/>
      <c r="W623" s="581"/>
      <c r="X623" s="615"/>
      <c r="Y623" s="613"/>
      <c r="Z623" s="580"/>
      <c r="AA623" s="634"/>
      <c r="AB623" s="577"/>
      <c r="AC623" s="673"/>
      <c r="AD623" s="634"/>
      <c r="AE623" s="587"/>
      <c r="AF623" s="587"/>
      <c r="AG623" s="582"/>
      <c r="AH623" s="582"/>
      <c r="AI623" s="582"/>
      <c r="AJ623" s="582"/>
      <c r="AK623" s="588"/>
      <c r="AL623" s="582"/>
      <c r="AM623" s="582"/>
      <c r="AN623" s="589"/>
      <c r="AO623" s="616"/>
      <c r="AP623" s="592"/>
      <c r="AQ623" s="358"/>
      <c r="AR623" s="592"/>
      <c r="AS623" s="592"/>
      <c r="AT623" s="592"/>
      <c r="AU623" s="592"/>
      <c r="AV623" s="592"/>
      <c r="AW623" s="592"/>
      <c r="AX623" s="592"/>
      <c r="AY623" s="592"/>
      <c r="AZ623" s="592"/>
      <c r="BA623" s="617"/>
      <c r="BB623" s="592"/>
      <c r="BC623" s="592"/>
      <c r="BD623" s="592"/>
      <c r="BE623" s="592"/>
      <c r="BF623" s="592"/>
      <c r="BG623" s="358"/>
      <c r="BH623" s="592"/>
      <c r="BI623" s="592"/>
      <c r="BJ623" s="592"/>
      <c r="BK623" s="592"/>
      <c r="BL623" s="592"/>
      <c r="BM623" s="592"/>
      <c r="BN623" s="592"/>
      <c r="BO623" s="592"/>
      <c r="BP623" s="592"/>
      <c r="BQ623" s="594"/>
      <c r="BR623" s="594"/>
      <c r="BS623" s="394"/>
      <c r="BT623" s="594"/>
      <c r="BU623" s="594"/>
      <c r="BV623" s="594"/>
      <c r="BW623" s="618"/>
      <c r="BX623" s="644"/>
      <c r="BY623" s="644"/>
    </row>
    <row r="624" ht="25.5" customHeight="1">
      <c r="A624" s="635"/>
      <c r="B624" s="695"/>
      <c r="C624" s="642"/>
      <c r="D624" s="642"/>
      <c r="E624" s="696"/>
      <c r="F624" s="696"/>
      <c r="G624" s="621"/>
      <c r="H624" s="577"/>
      <c r="I624" s="577"/>
      <c r="J624" s="613"/>
      <c r="K624" s="581"/>
      <c r="L624" s="581"/>
      <c r="M624" s="613"/>
      <c r="N624" s="613"/>
      <c r="O624" s="613"/>
      <c r="P624" s="580"/>
      <c r="Q624" s="580"/>
      <c r="R624" s="581"/>
      <c r="S624" s="581"/>
      <c r="T624" s="581"/>
      <c r="U624" s="582"/>
      <c r="V624" s="614"/>
      <c r="W624" s="581"/>
      <c r="X624" s="615"/>
      <c r="Y624" s="613"/>
      <c r="Z624" s="580"/>
      <c r="AA624" s="634"/>
      <c r="AB624" s="577"/>
      <c r="AC624" s="673"/>
      <c r="AD624" s="634"/>
      <c r="AE624" s="587"/>
      <c r="AF624" s="587"/>
      <c r="AG624" s="582"/>
      <c r="AH624" s="582"/>
      <c r="AI624" s="582"/>
      <c r="AJ624" s="582"/>
      <c r="AK624" s="588"/>
      <c r="AL624" s="582"/>
      <c r="AM624" s="582"/>
      <c r="AN624" s="589"/>
      <c r="AO624" s="616"/>
      <c r="AP624" s="592"/>
      <c r="AQ624" s="358"/>
      <c r="AR624" s="592"/>
      <c r="AS624" s="592"/>
      <c r="AT624" s="592"/>
      <c r="AU624" s="592"/>
      <c r="AV624" s="592"/>
      <c r="AW624" s="592"/>
      <c r="AX624" s="592"/>
      <c r="AY624" s="592"/>
      <c r="AZ624" s="592"/>
      <c r="BA624" s="617"/>
      <c r="BB624" s="592"/>
      <c r="BC624" s="592"/>
      <c r="BD624" s="592"/>
      <c r="BE624" s="592"/>
      <c r="BF624" s="592"/>
      <c r="BG624" s="358"/>
      <c r="BH624" s="592"/>
      <c r="BI624" s="592"/>
      <c r="BJ624" s="592"/>
      <c r="BK624" s="592"/>
      <c r="BL624" s="592"/>
      <c r="BM624" s="592"/>
      <c r="BN624" s="592"/>
      <c r="BO624" s="592"/>
      <c r="BP624" s="592"/>
      <c r="BQ624" s="594"/>
      <c r="BR624" s="594"/>
      <c r="BS624" s="394"/>
      <c r="BT624" s="594"/>
      <c r="BU624" s="594"/>
      <c r="BV624" s="594"/>
      <c r="BW624" s="618"/>
      <c r="BX624" s="644"/>
      <c r="BY624" s="644"/>
    </row>
    <row r="625" ht="25.5" customHeight="1">
      <c r="A625" s="635"/>
      <c r="B625" s="695"/>
      <c r="C625" s="642"/>
      <c r="D625" s="642"/>
      <c r="E625" s="696"/>
      <c r="F625" s="696"/>
      <c r="G625" s="621"/>
      <c r="H625" s="577"/>
      <c r="I625" s="577"/>
      <c r="J625" s="613"/>
      <c r="K625" s="581"/>
      <c r="L625" s="581"/>
      <c r="M625" s="613"/>
      <c r="N625" s="613"/>
      <c r="O625" s="613"/>
      <c r="P625" s="580"/>
      <c r="Q625" s="580"/>
      <c r="R625" s="581"/>
      <c r="S625" s="581"/>
      <c r="T625" s="581"/>
      <c r="U625" s="582"/>
      <c r="V625" s="614"/>
      <c r="W625" s="581"/>
      <c r="X625" s="615"/>
      <c r="Y625" s="613"/>
      <c r="Z625" s="580"/>
      <c r="AA625" s="634"/>
      <c r="AB625" s="577"/>
      <c r="AC625" s="673"/>
      <c r="AD625" s="634"/>
      <c r="AE625" s="587"/>
      <c r="AF625" s="587"/>
      <c r="AG625" s="582"/>
      <c r="AH625" s="582"/>
      <c r="AI625" s="582"/>
      <c r="AJ625" s="582"/>
      <c r="AK625" s="588"/>
      <c r="AL625" s="582"/>
      <c r="AM625" s="582"/>
      <c r="AN625" s="589"/>
      <c r="AO625" s="616"/>
      <c r="AP625" s="592"/>
      <c r="AQ625" s="358"/>
      <c r="AR625" s="592"/>
      <c r="AS625" s="592"/>
      <c r="AT625" s="592"/>
      <c r="AU625" s="592"/>
      <c r="AV625" s="592"/>
      <c r="AW625" s="592"/>
      <c r="AX625" s="592"/>
      <c r="AY625" s="592"/>
      <c r="AZ625" s="592"/>
      <c r="BA625" s="617"/>
      <c r="BB625" s="592"/>
      <c r="BC625" s="592"/>
      <c r="BD625" s="592"/>
      <c r="BE625" s="592"/>
      <c r="BF625" s="592"/>
      <c r="BG625" s="358"/>
      <c r="BH625" s="592"/>
      <c r="BI625" s="592"/>
      <c r="BJ625" s="592"/>
      <c r="BK625" s="592"/>
      <c r="BL625" s="592"/>
      <c r="BM625" s="592"/>
      <c r="BN625" s="592"/>
      <c r="BO625" s="592"/>
      <c r="BP625" s="592"/>
      <c r="BQ625" s="594"/>
      <c r="BR625" s="594"/>
      <c r="BS625" s="394"/>
      <c r="BT625" s="594"/>
      <c r="BU625" s="594"/>
      <c r="BV625" s="594"/>
      <c r="BW625" s="618"/>
      <c r="BX625" s="644"/>
      <c r="BY625" s="644"/>
    </row>
    <row r="626" ht="25.5" customHeight="1">
      <c r="A626" s="635"/>
      <c r="B626" s="695"/>
      <c r="C626" s="642"/>
      <c r="D626" s="642"/>
      <c r="E626" s="696"/>
      <c r="F626" s="696"/>
      <c r="G626" s="621"/>
      <c r="H626" s="577"/>
      <c r="I626" s="577"/>
      <c r="J626" s="613"/>
      <c r="K626" s="581"/>
      <c r="L626" s="581"/>
      <c r="M626" s="613"/>
      <c r="N626" s="613"/>
      <c r="O626" s="613"/>
      <c r="P626" s="580"/>
      <c r="Q626" s="580"/>
      <c r="R626" s="581"/>
      <c r="S626" s="581"/>
      <c r="T626" s="581"/>
      <c r="U626" s="582"/>
      <c r="V626" s="614"/>
      <c r="W626" s="581"/>
      <c r="X626" s="615"/>
      <c r="Y626" s="613"/>
      <c r="Z626" s="580"/>
      <c r="AA626" s="634"/>
      <c r="AB626" s="577"/>
      <c r="AC626" s="673"/>
      <c r="AD626" s="634"/>
      <c r="AE626" s="587"/>
      <c r="AF626" s="587"/>
      <c r="AG626" s="582"/>
      <c r="AH626" s="582"/>
      <c r="AI626" s="582"/>
      <c r="AJ626" s="582"/>
      <c r="AK626" s="588"/>
      <c r="AL626" s="582"/>
      <c r="AM626" s="582"/>
      <c r="AN626" s="589"/>
      <c r="AO626" s="616"/>
      <c r="AP626" s="592"/>
      <c r="AQ626" s="358"/>
      <c r="AR626" s="592"/>
      <c r="AS626" s="592"/>
      <c r="AT626" s="592"/>
      <c r="AU626" s="592"/>
      <c r="AV626" s="592"/>
      <c r="AW626" s="592"/>
      <c r="AX626" s="592"/>
      <c r="AY626" s="592"/>
      <c r="AZ626" s="592"/>
      <c r="BA626" s="617"/>
      <c r="BB626" s="592"/>
      <c r="BC626" s="592"/>
      <c r="BD626" s="592"/>
      <c r="BE626" s="592"/>
      <c r="BF626" s="592"/>
      <c r="BG626" s="358"/>
      <c r="BH626" s="592"/>
      <c r="BI626" s="592"/>
      <c r="BJ626" s="592"/>
      <c r="BK626" s="592"/>
      <c r="BL626" s="592"/>
      <c r="BM626" s="592"/>
      <c r="BN626" s="592"/>
      <c r="BO626" s="592"/>
      <c r="BP626" s="592"/>
      <c r="BQ626" s="594"/>
      <c r="BR626" s="594"/>
      <c r="BS626" s="394"/>
      <c r="BT626" s="594"/>
      <c r="BU626" s="594"/>
      <c r="BV626" s="594"/>
      <c r="BW626" s="618"/>
      <c r="BX626" s="644"/>
      <c r="BY626" s="644"/>
    </row>
    <row r="627" ht="25.5" customHeight="1">
      <c r="A627" s="635"/>
      <c r="B627" s="695"/>
      <c r="C627" s="642"/>
      <c r="D627" s="642"/>
      <c r="E627" s="696"/>
      <c r="F627" s="696"/>
      <c r="G627" s="621"/>
      <c r="H627" s="577"/>
      <c r="I627" s="577"/>
      <c r="J627" s="613"/>
      <c r="K627" s="581"/>
      <c r="L627" s="581"/>
      <c r="M627" s="613"/>
      <c r="N627" s="613"/>
      <c r="O627" s="613"/>
      <c r="P627" s="580"/>
      <c r="Q627" s="580"/>
      <c r="R627" s="581"/>
      <c r="S627" s="581"/>
      <c r="T627" s="581"/>
      <c r="U627" s="582"/>
      <c r="V627" s="614"/>
      <c r="W627" s="581"/>
      <c r="X627" s="615"/>
      <c r="Y627" s="613"/>
      <c r="Z627" s="580"/>
      <c r="AA627" s="634"/>
      <c r="AB627" s="577"/>
      <c r="AC627" s="673"/>
      <c r="AD627" s="634"/>
      <c r="AE627" s="587"/>
      <c r="AF627" s="587"/>
      <c r="AG627" s="582"/>
      <c r="AH627" s="582"/>
      <c r="AI627" s="582"/>
      <c r="AJ627" s="582"/>
      <c r="AK627" s="588"/>
      <c r="AL627" s="582"/>
      <c r="AM627" s="582"/>
      <c r="AN627" s="589"/>
      <c r="AO627" s="616"/>
      <c r="AP627" s="592"/>
      <c r="AQ627" s="358"/>
      <c r="AR627" s="592"/>
      <c r="AS627" s="592"/>
      <c r="AT627" s="592"/>
      <c r="AU627" s="592"/>
      <c r="AV627" s="592"/>
      <c r="AW627" s="592"/>
      <c r="AX627" s="592"/>
      <c r="AY627" s="592"/>
      <c r="AZ627" s="592"/>
      <c r="BA627" s="617"/>
      <c r="BB627" s="592"/>
      <c r="BC627" s="592"/>
      <c r="BD627" s="592"/>
      <c r="BE627" s="592"/>
      <c r="BF627" s="592"/>
      <c r="BG627" s="358"/>
      <c r="BH627" s="592"/>
      <c r="BI627" s="592"/>
      <c r="BJ627" s="592"/>
      <c r="BK627" s="592"/>
      <c r="BL627" s="592"/>
      <c r="BM627" s="592"/>
      <c r="BN627" s="592"/>
      <c r="BO627" s="592"/>
      <c r="BP627" s="592"/>
      <c r="BQ627" s="594"/>
      <c r="BR627" s="594"/>
      <c r="BS627" s="394"/>
      <c r="BT627" s="594"/>
      <c r="BU627" s="594"/>
      <c r="BV627" s="594"/>
      <c r="BW627" s="618"/>
      <c r="BX627" s="644"/>
      <c r="BY627" s="644"/>
    </row>
    <row r="628" ht="25.5" customHeight="1">
      <c r="A628" s="635"/>
      <c r="B628" s="695"/>
      <c r="C628" s="642"/>
      <c r="D628" s="642"/>
      <c r="E628" s="696"/>
      <c r="F628" s="696"/>
      <c r="G628" s="621"/>
      <c r="H628" s="577"/>
      <c r="I628" s="577"/>
      <c r="J628" s="613"/>
      <c r="K628" s="581"/>
      <c r="L628" s="581"/>
      <c r="M628" s="613"/>
      <c r="N628" s="613"/>
      <c r="O628" s="613"/>
      <c r="P628" s="580"/>
      <c r="Q628" s="580"/>
      <c r="R628" s="581"/>
      <c r="S628" s="581"/>
      <c r="T628" s="581"/>
      <c r="U628" s="582"/>
      <c r="V628" s="614"/>
      <c r="W628" s="581"/>
      <c r="X628" s="615"/>
      <c r="Y628" s="613"/>
      <c r="Z628" s="580"/>
      <c r="AA628" s="634"/>
      <c r="AB628" s="577"/>
      <c r="AC628" s="673"/>
      <c r="AD628" s="634"/>
      <c r="AE628" s="587"/>
      <c r="AF628" s="587"/>
      <c r="AG628" s="582"/>
      <c r="AH628" s="582"/>
      <c r="AI628" s="582"/>
      <c r="AJ628" s="582"/>
      <c r="AK628" s="588"/>
      <c r="AL628" s="582"/>
      <c r="AM628" s="582"/>
      <c r="AN628" s="589"/>
      <c r="AO628" s="616"/>
      <c r="AP628" s="592"/>
      <c r="AQ628" s="358"/>
      <c r="AR628" s="592"/>
      <c r="AS628" s="592"/>
      <c r="AT628" s="592"/>
      <c r="AU628" s="592"/>
      <c r="AV628" s="592"/>
      <c r="AW628" s="592"/>
      <c r="AX628" s="592"/>
      <c r="AY628" s="592"/>
      <c r="AZ628" s="592"/>
      <c r="BA628" s="617"/>
      <c r="BB628" s="592"/>
      <c r="BC628" s="592"/>
      <c r="BD628" s="592"/>
      <c r="BE628" s="592"/>
      <c r="BF628" s="592"/>
      <c r="BG628" s="358"/>
      <c r="BH628" s="592"/>
      <c r="BI628" s="592"/>
      <c r="BJ628" s="592"/>
      <c r="BK628" s="592"/>
      <c r="BL628" s="592"/>
      <c r="BM628" s="592"/>
      <c r="BN628" s="592"/>
      <c r="BO628" s="592"/>
      <c r="BP628" s="592"/>
      <c r="BQ628" s="594"/>
      <c r="BR628" s="594"/>
      <c r="BS628" s="394"/>
      <c r="BT628" s="594"/>
      <c r="BU628" s="594"/>
      <c r="BV628" s="594"/>
      <c r="BW628" s="618"/>
      <c r="BX628" s="644"/>
      <c r="BY628" s="644"/>
    </row>
    <row r="629" ht="25.5" customHeight="1">
      <c r="A629" s="635"/>
      <c r="B629" s="695"/>
      <c r="C629" s="642"/>
      <c r="D629" s="642"/>
      <c r="E629" s="696"/>
      <c r="F629" s="696"/>
      <c r="G629" s="621"/>
      <c r="H629" s="577"/>
      <c r="I629" s="577"/>
      <c r="J629" s="613"/>
      <c r="K629" s="581"/>
      <c r="L629" s="581"/>
      <c r="M629" s="613"/>
      <c r="N629" s="613"/>
      <c r="O629" s="613"/>
      <c r="P629" s="580"/>
      <c r="Q629" s="580"/>
      <c r="R629" s="581"/>
      <c r="S629" s="581"/>
      <c r="T629" s="581"/>
      <c r="U629" s="582"/>
      <c r="V629" s="614"/>
      <c r="W629" s="581"/>
      <c r="X629" s="615"/>
      <c r="Y629" s="613"/>
      <c r="Z629" s="580"/>
      <c r="AA629" s="634"/>
      <c r="AB629" s="577"/>
      <c r="AC629" s="673"/>
      <c r="AD629" s="634"/>
      <c r="AE629" s="587"/>
      <c r="AF629" s="587"/>
      <c r="AG629" s="582"/>
      <c r="AH629" s="582"/>
      <c r="AI629" s="582"/>
      <c r="AJ629" s="582"/>
      <c r="AK629" s="588"/>
      <c r="AL629" s="582"/>
      <c r="AM629" s="582"/>
      <c r="AN629" s="589"/>
      <c r="AO629" s="616"/>
      <c r="AP629" s="592"/>
      <c r="AQ629" s="358"/>
      <c r="AR629" s="592"/>
      <c r="AS629" s="592"/>
      <c r="AT629" s="592"/>
      <c r="AU629" s="592"/>
      <c r="AV629" s="592"/>
      <c r="AW629" s="592"/>
      <c r="AX629" s="592"/>
      <c r="AY629" s="592"/>
      <c r="AZ629" s="592"/>
      <c r="BA629" s="617"/>
      <c r="BB629" s="592"/>
      <c r="BC629" s="592"/>
      <c r="BD629" s="592"/>
      <c r="BE629" s="592"/>
      <c r="BF629" s="592"/>
      <c r="BG629" s="358"/>
      <c r="BH629" s="592"/>
      <c r="BI629" s="592"/>
      <c r="BJ629" s="592"/>
      <c r="BK629" s="592"/>
      <c r="BL629" s="592"/>
      <c r="BM629" s="592"/>
      <c r="BN629" s="592"/>
      <c r="BO629" s="592"/>
      <c r="BP629" s="592"/>
      <c r="BQ629" s="594"/>
      <c r="BR629" s="594"/>
      <c r="BS629" s="394"/>
      <c r="BT629" s="594"/>
      <c r="BU629" s="594"/>
      <c r="BV629" s="594"/>
      <c r="BW629" s="618"/>
      <c r="BX629" s="644"/>
      <c r="BY629" s="644"/>
    </row>
    <row r="630" ht="25.5" customHeight="1">
      <c r="A630" s="635"/>
      <c r="B630" s="695"/>
      <c r="C630" s="642"/>
      <c r="D630" s="642"/>
      <c r="E630" s="696"/>
      <c r="F630" s="696"/>
      <c r="G630" s="621"/>
      <c r="H630" s="577"/>
      <c r="I630" s="577"/>
      <c r="J630" s="613"/>
      <c r="K630" s="581"/>
      <c r="L630" s="581"/>
      <c r="M630" s="613"/>
      <c r="N630" s="613"/>
      <c r="O630" s="613"/>
      <c r="P630" s="580"/>
      <c r="Q630" s="580"/>
      <c r="R630" s="581"/>
      <c r="S630" s="581"/>
      <c r="T630" s="581"/>
      <c r="U630" s="582"/>
      <c r="V630" s="614"/>
      <c r="W630" s="581"/>
      <c r="X630" s="615"/>
      <c r="Y630" s="613"/>
      <c r="Z630" s="580"/>
      <c r="AA630" s="634"/>
      <c r="AB630" s="577"/>
      <c r="AC630" s="673"/>
      <c r="AD630" s="634"/>
      <c r="AE630" s="587"/>
      <c r="AF630" s="587"/>
      <c r="AG630" s="582"/>
      <c r="AH630" s="582"/>
      <c r="AI630" s="582"/>
      <c r="AJ630" s="582"/>
      <c r="AK630" s="588"/>
      <c r="AL630" s="582"/>
      <c r="AM630" s="582"/>
      <c r="AN630" s="589"/>
      <c r="AO630" s="616"/>
      <c r="AP630" s="592"/>
      <c r="AQ630" s="358"/>
      <c r="AR630" s="592"/>
      <c r="AS630" s="592"/>
      <c r="AT630" s="592"/>
      <c r="AU630" s="592"/>
      <c r="AV630" s="592"/>
      <c r="AW630" s="592"/>
      <c r="AX630" s="592"/>
      <c r="AY630" s="592"/>
      <c r="AZ630" s="592"/>
      <c r="BA630" s="617"/>
      <c r="BB630" s="592"/>
      <c r="BC630" s="592"/>
      <c r="BD630" s="592"/>
      <c r="BE630" s="592"/>
      <c r="BF630" s="592"/>
      <c r="BG630" s="358"/>
      <c r="BH630" s="592"/>
      <c r="BI630" s="592"/>
      <c r="BJ630" s="592"/>
      <c r="BK630" s="592"/>
      <c r="BL630" s="592"/>
      <c r="BM630" s="592"/>
      <c r="BN630" s="592"/>
      <c r="BO630" s="592"/>
      <c r="BP630" s="592"/>
      <c r="BQ630" s="594"/>
      <c r="BR630" s="594"/>
      <c r="BS630" s="394"/>
      <c r="BT630" s="594"/>
      <c r="BU630" s="594"/>
      <c r="BV630" s="594"/>
      <c r="BW630" s="618"/>
      <c r="BX630" s="644"/>
      <c r="BY630" s="644"/>
    </row>
    <row r="631" ht="25.5" customHeight="1">
      <c r="A631" s="635"/>
      <c r="B631" s="695"/>
      <c r="C631" s="642"/>
      <c r="D631" s="642"/>
      <c r="E631" s="696"/>
      <c r="F631" s="696"/>
      <c r="G631" s="621"/>
      <c r="H631" s="577"/>
      <c r="I631" s="577"/>
      <c r="J631" s="613"/>
      <c r="K631" s="581"/>
      <c r="L631" s="581"/>
      <c r="M631" s="613"/>
      <c r="N631" s="613"/>
      <c r="O631" s="613"/>
      <c r="P631" s="580"/>
      <c r="Q631" s="580"/>
      <c r="R631" s="581"/>
      <c r="S631" s="581"/>
      <c r="T631" s="581"/>
      <c r="U631" s="582"/>
      <c r="V631" s="614"/>
      <c r="W631" s="581"/>
      <c r="X631" s="615"/>
      <c r="Y631" s="613"/>
      <c r="Z631" s="580"/>
      <c r="AA631" s="634"/>
      <c r="AB631" s="577"/>
      <c r="AC631" s="673"/>
      <c r="AD631" s="634"/>
      <c r="AE631" s="587"/>
      <c r="AF631" s="587"/>
      <c r="AG631" s="582"/>
      <c r="AH631" s="582"/>
      <c r="AI631" s="582"/>
      <c r="AJ631" s="582"/>
      <c r="AK631" s="588"/>
      <c r="AL631" s="582"/>
      <c r="AM631" s="582"/>
      <c r="AN631" s="589"/>
      <c r="AO631" s="616"/>
      <c r="AP631" s="592"/>
      <c r="AQ631" s="358"/>
      <c r="AR631" s="592"/>
      <c r="AS631" s="592"/>
      <c r="AT631" s="592"/>
      <c r="AU631" s="592"/>
      <c r="AV631" s="592"/>
      <c r="AW631" s="592"/>
      <c r="AX631" s="592"/>
      <c r="AY631" s="592"/>
      <c r="AZ631" s="592"/>
      <c r="BA631" s="617"/>
      <c r="BB631" s="592"/>
      <c r="BC631" s="592"/>
      <c r="BD631" s="592"/>
      <c r="BE631" s="592"/>
      <c r="BF631" s="592"/>
      <c r="BG631" s="358"/>
      <c r="BH631" s="592"/>
      <c r="BI631" s="592"/>
      <c r="BJ631" s="592"/>
      <c r="BK631" s="592"/>
      <c r="BL631" s="592"/>
      <c r="BM631" s="592"/>
      <c r="BN631" s="592"/>
      <c r="BO631" s="592"/>
      <c r="BP631" s="592"/>
      <c r="BQ631" s="594"/>
      <c r="BR631" s="594"/>
      <c r="BS631" s="394"/>
      <c r="BT631" s="594"/>
      <c r="BU631" s="594"/>
      <c r="BV631" s="594"/>
      <c r="BW631" s="618"/>
      <c r="BX631" s="644"/>
      <c r="BY631" s="644"/>
    </row>
    <row r="632" ht="25.5" customHeight="1">
      <c r="A632" s="635"/>
      <c r="B632" s="695"/>
      <c r="C632" s="642"/>
      <c r="D632" s="642"/>
      <c r="E632" s="696"/>
      <c r="F632" s="696"/>
      <c r="G632" s="621"/>
      <c r="H632" s="577"/>
      <c r="I632" s="577"/>
      <c r="J632" s="613"/>
      <c r="K632" s="581"/>
      <c r="L632" s="581"/>
      <c r="M632" s="613"/>
      <c r="N632" s="613"/>
      <c r="O632" s="613"/>
      <c r="P632" s="580"/>
      <c r="Q632" s="580"/>
      <c r="R632" s="581"/>
      <c r="S632" s="581"/>
      <c r="T632" s="581"/>
      <c r="U632" s="582"/>
      <c r="V632" s="614"/>
      <c r="W632" s="581"/>
      <c r="X632" s="615"/>
      <c r="Y632" s="613"/>
      <c r="Z632" s="580"/>
      <c r="AA632" s="634"/>
      <c r="AB632" s="577"/>
      <c r="AC632" s="673"/>
      <c r="AD632" s="634"/>
      <c r="AE632" s="587"/>
      <c r="AF632" s="587"/>
      <c r="AG632" s="582"/>
      <c r="AH632" s="582"/>
      <c r="AI632" s="582"/>
      <c r="AJ632" s="582"/>
      <c r="AK632" s="588"/>
      <c r="AL632" s="582"/>
      <c r="AM632" s="582"/>
      <c r="AN632" s="589"/>
      <c r="AO632" s="616"/>
      <c r="AP632" s="592"/>
      <c r="AQ632" s="358"/>
      <c r="AR632" s="592"/>
      <c r="AS632" s="592"/>
      <c r="AT632" s="592"/>
      <c r="AU632" s="592"/>
      <c r="AV632" s="592"/>
      <c r="AW632" s="592"/>
      <c r="AX632" s="592"/>
      <c r="AY632" s="592"/>
      <c r="AZ632" s="592"/>
      <c r="BA632" s="617"/>
      <c r="BB632" s="592"/>
      <c r="BC632" s="592"/>
      <c r="BD632" s="592"/>
      <c r="BE632" s="592"/>
      <c r="BF632" s="592"/>
      <c r="BG632" s="358"/>
      <c r="BH632" s="592"/>
      <c r="BI632" s="592"/>
      <c r="BJ632" s="592"/>
      <c r="BK632" s="592"/>
      <c r="BL632" s="592"/>
      <c r="BM632" s="592"/>
      <c r="BN632" s="592"/>
      <c r="BO632" s="592"/>
      <c r="BP632" s="592"/>
      <c r="BQ632" s="594"/>
      <c r="BR632" s="594"/>
      <c r="BS632" s="394"/>
      <c r="BT632" s="594"/>
      <c r="BU632" s="594"/>
      <c r="BV632" s="594"/>
      <c r="BW632" s="618"/>
      <c r="BX632" s="644"/>
      <c r="BY632" s="644"/>
    </row>
    <row r="633" ht="25.5" customHeight="1">
      <c r="A633" s="635"/>
      <c r="B633" s="695"/>
      <c r="C633" s="642"/>
      <c r="D633" s="642"/>
      <c r="E633" s="696"/>
      <c r="F633" s="696"/>
      <c r="G633" s="621"/>
      <c r="H633" s="577"/>
      <c r="I633" s="577"/>
      <c r="J633" s="613"/>
      <c r="K633" s="581"/>
      <c r="L633" s="581"/>
      <c r="M633" s="613"/>
      <c r="N633" s="613"/>
      <c r="O633" s="613"/>
      <c r="P633" s="580"/>
      <c r="Q633" s="580"/>
      <c r="R633" s="581"/>
      <c r="S633" s="581"/>
      <c r="T633" s="581"/>
      <c r="U633" s="582"/>
      <c r="V633" s="614"/>
      <c r="W633" s="581"/>
      <c r="X633" s="615"/>
      <c r="Y633" s="613"/>
      <c r="Z633" s="580"/>
      <c r="AA633" s="634"/>
      <c r="AB633" s="577"/>
      <c r="AC633" s="673"/>
      <c r="AD633" s="634"/>
      <c r="AE633" s="587"/>
      <c r="AF633" s="587"/>
      <c r="AG633" s="582"/>
      <c r="AH633" s="582"/>
      <c r="AI633" s="582"/>
      <c r="AJ633" s="582"/>
      <c r="AK633" s="588"/>
      <c r="AL633" s="582"/>
      <c r="AM633" s="582"/>
      <c r="AN633" s="589"/>
      <c r="AO633" s="616"/>
      <c r="AP633" s="592"/>
      <c r="AQ633" s="358"/>
      <c r="AR633" s="592"/>
      <c r="AS633" s="592"/>
      <c r="AT633" s="592"/>
      <c r="AU633" s="592"/>
      <c r="AV633" s="592"/>
      <c r="AW633" s="592"/>
      <c r="AX633" s="592"/>
      <c r="AY633" s="592"/>
      <c r="AZ633" s="592"/>
      <c r="BA633" s="617"/>
      <c r="BB633" s="592"/>
      <c r="BC633" s="592"/>
      <c r="BD633" s="592"/>
      <c r="BE633" s="592"/>
      <c r="BF633" s="592"/>
      <c r="BG633" s="358"/>
      <c r="BH633" s="592"/>
      <c r="BI633" s="592"/>
      <c r="BJ633" s="592"/>
      <c r="BK633" s="592"/>
      <c r="BL633" s="592"/>
      <c r="BM633" s="592"/>
      <c r="BN633" s="592"/>
      <c r="BO633" s="592"/>
      <c r="BP633" s="592"/>
      <c r="BQ633" s="594"/>
      <c r="BR633" s="594"/>
      <c r="BS633" s="394"/>
      <c r="BT633" s="594"/>
      <c r="BU633" s="594"/>
      <c r="BV633" s="594"/>
      <c r="BW633" s="618"/>
      <c r="BX633" s="644"/>
      <c r="BY633" s="644"/>
    </row>
    <row r="634" ht="25.5" customHeight="1">
      <c r="A634" s="635"/>
      <c r="B634" s="695"/>
      <c r="C634" s="642"/>
      <c r="D634" s="642"/>
      <c r="E634" s="696"/>
      <c r="F634" s="696"/>
      <c r="G634" s="621"/>
      <c r="H634" s="577"/>
      <c r="I634" s="577"/>
      <c r="J634" s="613"/>
      <c r="K634" s="581"/>
      <c r="L634" s="581"/>
      <c r="M634" s="613"/>
      <c r="N634" s="613"/>
      <c r="O634" s="613"/>
      <c r="P634" s="580"/>
      <c r="Q634" s="580"/>
      <c r="R634" s="581"/>
      <c r="S634" s="581"/>
      <c r="T634" s="581"/>
      <c r="U634" s="582"/>
      <c r="V634" s="614"/>
      <c r="W634" s="581"/>
      <c r="X634" s="615"/>
      <c r="Y634" s="613"/>
      <c r="Z634" s="580"/>
      <c r="AA634" s="634"/>
      <c r="AB634" s="577"/>
      <c r="AC634" s="673"/>
      <c r="AD634" s="634"/>
      <c r="AE634" s="587"/>
      <c r="AF634" s="587"/>
      <c r="AG634" s="582"/>
      <c r="AH634" s="582"/>
      <c r="AI634" s="582"/>
      <c r="AJ634" s="582"/>
      <c r="AK634" s="588"/>
      <c r="AL634" s="582"/>
      <c r="AM634" s="582"/>
      <c r="AN634" s="589"/>
      <c r="AO634" s="616"/>
      <c r="AP634" s="592"/>
      <c r="AQ634" s="358"/>
      <c r="AR634" s="592"/>
      <c r="AS634" s="592"/>
      <c r="AT634" s="592"/>
      <c r="AU634" s="592"/>
      <c r="AV634" s="592"/>
      <c r="AW634" s="592"/>
      <c r="AX634" s="592"/>
      <c r="AY634" s="592"/>
      <c r="AZ634" s="592"/>
      <c r="BA634" s="617"/>
      <c r="BB634" s="592"/>
      <c r="BC634" s="592"/>
      <c r="BD634" s="592"/>
      <c r="BE634" s="592"/>
      <c r="BF634" s="592"/>
      <c r="BG634" s="358"/>
      <c r="BH634" s="592"/>
      <c r="BI634" s="592"/>
      <c r="BJ634" s="592"/>
      <c r="BK634" s="592"/>
      <c r="BL634" s="592"/>
      <c r="BM634" s="592"/>
      <c r="BN634" s="592"/>
      <c r="BO634" s="592"/>
      <c r="BP634" s="592"/>
      <c r="BQ634" s="594"/>
      <c r="BR634" s="594"/>
      <c r="BS634" s="394"/>
      <c r="BT634" s="594"/>
      <c r="BU634" s="594"/>
      <c r="BV634" s="594"/>
      <c r="BW634" s="618"/>
      <c r="BX634" s="644"/>
      <c r="BY634" s="644"/>
    </row>
    <row r="635" ht="25.5" customHeight="1">
      <c r="A635" s="635"/>
      <c r="B635" s="695"/>
      <c r="C635" s="642"/>
      <c r="D635" s="642"/>
      <c r="E635" s="696"/>
      <c r="F635" s="696"/>
      <c r="G635" s="621"/>
      <c r="H635" s="577"/>
      <c r="I635" s="577"/>
      <c r="J635" s="613"/>
      <c r="K635" s="581"/>
      <c r="L635" s="581"/>
      <c r="M635" s="613"/>
      <c r="N635" s="613"/>
      <c r="O635" s="613"/>
      <c r="P635" s="580"/>
      <c r="Q635" s="580"/>
      <c r="R635" s="581"/>
      <c r="S635" s="581"/>
      <c r="T635" s="581"/>
      <c r="U635" s="582"/>
      <c r="V635" s="614"/>
      <c r="W635" s="581"/>
      <c r="X635" s="615"/>
      <c r="Y635" s="613"/>
      <c r="Z635" s="580"/>
      <c r="AA635" s="634"/>
      <c r="AB635" s="577"/>
      <c r="AC635" s="673"/>
      <c r="AD635" s="634"/>
      <c r="AE635" s="587"/>
      <c r="AF635" s="587"/>
      <c r="AG635" s="582"/>
      <c r="AH635" s="582"/>
      <c r="AI635" s="582"/>
      <c r="AJ635" s="582"/>
      <c r="AK635" s="588"/>
      <c r="AL635" s="582"/>
      <c r="AM635" s="582"/>
      <c r="AN635" s="589"/>
      <c r="AO635" s="616"/>
      <c r="AP635" s="592"/>
      <c r="AQ635" s="358"/>
      <c r="AR635" s="592"/>
      <c r="AS635" s="592"/>
      <c r="AT635" s="592"/>
      <c r="AU635" s="592"/>
      <c r="AV635" s="592"/>
      <c r="AW635" s="592"/>
      <c r="AX635" s="592"/>
      <c r="AY635" s="592"/>
      <c r="AZ635" s="592"/>
      <c r="BA635" s="617"/>
      <c r="BB635" s="592"/>
      <c r="BC635" s="592"/>
      <c r="BD635" s="592"/>
      <c r="BE635" s="592"/>
      <c r="BF635" s="592"/>
      <c r="BG635" s="358"/>
      <c r="BH635" s="592"/>
      <c r="BI635" s="592"/>
      <c r="BJ635" s="592"/>
      <c r="BK635" s="592"/>
      <c r="BL635" s="592"/>
      <c r="BM635" s="592"/>
      <c r="BN635" s="592"/>
      <c r="BO635" s="592"/>
      <c r="BP635" s="592"/>
      <c r="BQ635" s="594"/>
      <c r="BR635" s="594"/>
      <c r="BS635" s="394"/>
      <c r="BT635" s="594"/>
      <c r="BU635" s="594"/>
      <c r="BV635" s="594"/>
      <c r="BW635" s="618"/>
      <c r="BX635" s="644"/>
      <c r="BY635" s="644"/>
    </row>
    <row r="636" ht="25.5" customHeight="1">
      <c r="A636" s="635"/>
      <c r="B636" s="695"/>
      <c r="C636" s="642"/>
      <c r="D636" s="642"/>
      <c r="E636" s="696"/>
      <c r="F636" s="696"/>
      <c r="G636" s="621"/>
      <c r="H636" s="577"/>
      <c r="I636" s="577"/>
      <c r="J636" s="613"/>
      <c r="K636" s="581"/>
      <c r="L636" s="581"/>
      <c r="M636" s="613"/>
      <c r="N636" s="613"/>
      <c r="O636" s="613"/>
      <c r="P636" s="580"/>
      <c r="Q636" s="580"/>
      <c r="R636" s="581"/>
      <c r="S636" s="581"/>
      <c r="T636" s="581"/>
      <c r="U636" s="582"/>
      <c r="V636" s="614"/>
      <c r="W636" s="581"/>
      <c r="X636" s="615"/>
      <c r="Y636" s="613"/>
      <c r="Z636" s="580"/>
      <c r="AA636" s="634"/>
      <c r="AB636" s="577"/>
      <c r="AC636" s="673"/>
      <c r="AD636" s="634"/>
      <c r="AE636" s="587"/>
      <c r="AF636" s="587"/>
      <c r="AG636" s="582"/>
      <c r="AH636" s="582"/>
      <c r="AI636" s="582"/>
      <c r="AJ636" s="582"/>
      <c r="AK636" s="588"/>
      <c r="AL636" s="582"/>
      <c r="AM636" s="582"/>
      <c r="AN636" s="589"/>
      <c r="AO636" s="616"/>
      <c r="AP636" s="592"/>
      <c r="AQ636" s="358"/>
      <c r="AR636" s="592"/>
      <c r="AS636" s="592"/>
      <c r="AT636" s="592"/>
      <c r="AU636" s="592"/>
      <c r="AV636" s="592"/>
      <c r="AW636" s="592"/>
      <c r="AX636" s="592"/>
      <c r="AY636" s="592"/>
      <c r="AZ636" s="592"/>
      <c r="BA636" s="617"/>
      <c r="BB636" s="592"/>
      <c r="BC636" s="592"/>
      <c r="BD636" s="592"/>
      <c r="BE636" s="592"/>
      <c r="BF636" s="592"/>
      <c r="BG636" s="358"/>
      <c r="BH636" s="592"/>
      <c r="BI636" s="592"/>
      <c r="BJ636" s="592"/>
      <c r="BK636" s="592"/>
      <c r="BL636" s="592"/>
      <c r="BM636" s="592"/>
      <c r="BN636" s="592"/>
      <c r="BO636" s="592"/>
      <c r="BP636" s="592"/>
      <c r="BQ636" s="594"/>
      <c r="BR636" s="594"/>
      <c r="BS636" s="394"/>
      <c r="BT636" s="594"/>
      <c r="BU636" s="594"/>
      <c r="BV636" s="594"/>
      <c r="BW636" s="618"/>
      <c r="BX636" s="644"/>
      <c r="BY636" s="644"/>
    </row>
    <row r="637" ht="25.5" customHeight="1">
      <c r="A637" s="635"/>
      <c r="B637" s="695"/>
      <c r="C637" s="642"/>
      <c r="D637" s="642"/>
      <c r="E637" s="696"/>
      <c r="F637" s="696"/>
      <c r="G637" s="621"/>
      <c r="H637" s="577"/>
      <c r="I637" s="577"/>
      <c r="J637" s="613"/>
      <c r="K637" s="581"/>
      <c r="L637" s="581"/>
      <c r="M637" s="613"/>
      <c r="N637" s="613"/>
      <c r="O637" s="613"/>
      <c r="P637" s="580"/>
      <c r="Q637" s="580"/>
      <c r="R637" s="581"/>
      <c r="S637" s="581"/>
      <c r="T637" s="581"/>
      <c r="U637" s="582"/>
      <c r="V637" s="614"/>
      <c r="W637" s="581"/>
      <c r="X637" s="615"/>
      <c r="Y637" s="613"/>
      <c r="Z637" s="580"/>
      <c r="AA637" s="634"/>
      <c r="AB637" s="577"/>
      <c r="AC637" s="673"/>
      <c r="AD637" s="634"/>
      <c r="AE637" s="587"/>
      <c r="AF637" s="587"/>
      <c r="AG637" s="582"/>
      <c r="AH637" s="582"/>
      <c r="AI637" s="582"/>
      <c r="AJ637" s="582"/>
      <c r="AK637" s="588"/>
      <c r="AL637" s="582"/>
      <c r="AM637" s="582"/>
      <c r="AN637" s="589"/>
      <c r="AO637" s="616"/>
      <c r="AP637" s="592"/>
      <c r="AQ637" s="358"/>
      <c r="AR637" s="592"/>
      <c r="AS637" s="592"/>
      <c r="AT637" s="592"/>
      <c r="AU637" s="592"/>
      <c r="AV637" s="592"/>
      <c r="AW637" s="592"/>
      <c r="AX637" s="592"/>
      <c r="AY637" s="592"/>
      <c r="AZ637" s="592"/>
      <c r="BA637" s="617"/>
      <c r="BB637" s="592"/>
      <c r="BC637" s="592"/>
      <c r="BD637" s="592"/>
      <c r="BE637" s="592"/>
      <c r="BF637" s="592"/>
      <c r="BG637" s="358"/>
      <c r="BH637" s="592"/>
      <c r="BI637" s="592"/>
      <c r="BJ637" s="592"/>
      <c r="BK637" s="592"/>
      <c r="BL637" s="592"/>
      <c r="BM637" s="592"/>
      <c r="BN637" s="592"/>
      <c r="BO637" s="592"/>
      <c r="BP637" s="592"/>
      <c r="BQ637" s="594"/>
      <c r="BR637" s="594"/>
      <c r="BS637" s="394"/>
      <c r="BT637" s="594"/>
      <c r="BU637" s="594"/>
      <c r="BV637" s="594"/>
      <c r="BW637" s="618"/>
      <c r="BX637" s="644"/>
      <c r="BY637" s="644"/>
    </row>
    <row r="638" ht="25.5" customHeight="1">
      <c r="A638" s="635"/>
      <c r="B638" s="695"/>
      <c r="C638" s="642"/>
      <c r="D638" s="642"/>
      <c r="E638" s="696"/>
      <c r="F638" s="696"/>
      <c r="G638" s="621"/>
      <c r="H638" s="577"/>
      <c r="I638" s="577"/>
      <c r="J638" s="613"/>
      <c r="K638" s="581"/>
      <c r="L638" s="581"/>
      <c r="M638" s="613"/>
      <c r="N638" s="613"/>
      <c r="O638" s="613"/>
      <c r="P638" s="580"/>
      <c r="Q638" s="580"/>
      <c r="R638" s="581"/>
      <c r="S638" s="581"/>
      <c r="T638" s="581"/>
      <c r="U638" s="582"/>
      <c r="V638" s="614"/>
      <c r="W638" s="581"/>
      <c r="X638" s="615"/>
      <c r="Y638" s="613"/>
      <c r="Z638" s="580"/>
      <c r="AA638" s="634"/>
      <c r="AB638" s="577"/>
      <c r="AC638" s="673"/>
      <c r="AD638" s="634"/>
      <c r="AE638" s="587"/>
      <c r="AF638" s="587"/>
      <c r="AG638" s="582"/>
      <c r="AH638" s="582"/>
      <c r="AI638" s="582"/>
      <c r="AJ638" s="582"/>
      <c r="AK638" s="588"/>
      <c r="AL638" s="582"/>
      <c r="AM638" s="582"/>
      <c r="AN638" s="589"/>
      <c r="AO638" s="616"/>
      <c r="AP638" s="592"/>
      <c r="AQ638" s="358"/>
      <c r="AR638" s="592"/>
      <c r="AS638" s="592"/>
      <c r="AT638" s="592"/>
      <c r="AU638" s="592"/>
      <c r="AV638" s="592"/>
      <c r="AW638" s="592"/>
      <c r="AX638" s="592"/>
      <c r="AY638" s="592"/>
      <c r="AZ638" s="592"/>
      <c r="BA638" s="617"/>
      <c r="BB638" s="592"/>
      <c r="BC638" s="592"/>
      <c r="BD638" s="592"/>
      <c r="BE638" s="592"/>
      <c r="BF638" s="592"/>
      <c r="BG638" s="358"/>
      <c r="BH638" s="592"/>
      <c r="BI638" s="592"/>
      <c r="BJ638" s="592"/>
      <c r="BK638" s="592"/>
      <c r="BL638" s="592"/>
      <c r="BM638" s="592"/>
      <c r="BN638" s="592"/>
      <c r="BO638" s="592"/>
      <c r="BP638" s="592"/>
      <c r="BQ638" s="594"/>
      <c r="BR638" s="594"/>
      <c r="BS638" s="394"/>
      <c r="BT638" s="594"/>
      <c r="BU638" s="594"/>
      <c r="BV638" s="594"/>
      <c r="BW638" s="618"/>
      <c r="BX638" s="644"/>
      <c r="BY638" s="644"/>
    </row>
    <row r="639" ht="25.5" customHeight="1">
      <c r="A639" s="635"/>
      <c r="B639" s="695"/>
      <c r="C639" s="642"/>
      <c r="D639" s="642"/>
      <c r="E639" s="696"/>
      <c r="F639" s="696"/>
      <c r="G639" s="621"/>
      <c r="H639" s="577"/>
      <c r="I639" s="577"/>
      <c r="J639" s="613"/>
      <c r="K639" s="581"/>
      <c r="L639" s="581"/>
      <c r="M639" s="613"/>
      <c r="N639" s="613"/>
      <c r="O639" s="613"/>
      <c r="P639" s="580"/>
      <c r="Q639" s="580"/>
      <c r="R639" s="581"/>
      <c r="S639" s="581"/>
      <c r="T639" s="581"/>
      <c r="U639" s="582"/>
      <c r="V639" s="614"/>
      <c r="W639" s="581"/>
      <c r="X639" s="615"/>
      <c r="Y639" s="613"/>
      <c r="Z639" s="580"/>
      <c r="AA639" s="634"/>
      <c r="AB639" s="577"/>
      <c r="AC639" s="673"/>
      <c r="AD639" s="634"/>
      <c r="AE639" s="587"/>
      <c r="AF639" s="587"/>
      <c r="AG639" s="582"/>
      <c r="AH639" s="582"/>
      <c r="AI639" s="582"/>
      <c r="AJ639" s="582"/>
      <c r="AK639" s="588"/>
      <c r="AL639" s="582"/>
      <c r="AM639" s="582"/>
      <c r="AN639" s="589"/>
      <c r="AO639" s="616"/>
      <c r="AP639" s="592"/>
      <c r="AQ639" s="358"/>
      <c r="AR639" s="592"/>
      <c r="AS639" s="592"/>
      <c r="AT639" s="592"/>
      <c r="AU639" s="592"/>
      <c r="AV639" s="592"/>
      <c r="AW639" s="592"/>
      <c r="AX639" s="592"/>
      <c r="AY639" s="592"/>
      <c r="AZ639" s="592"/>
      <c r="BA639" s="617"/>
      <c r="BB639" s="592"/>
      <c r="BC639" s="592"/>
      <c r="BD639" s="592"/>
      <c r="BE639" s="592"/>
      <c r="BF639" s="592"/>
      <c r="BG639" s="358"/>
      <c r="BH639" s="592"/>
      <c r="BI639" s="592"/>
      <c r="BJ639" s="592"/>
      <c r="BK639" s="592"/>
      <c r="BL639" s="592"/>
      <c r="BM639" s="592"/>
      <c r="BN639" s="592"/>
      <c r="BO639" s="592"/>
      <c r="BP639" s="592"/>
      <c r="BQ639" s="594"/>
      <c r="BR639" s="594"/>
      <c r="BS639" s="394"/>
      <c r="BT639" s="594"/>
      <c r="BU639" s="594"/>
      <c r="BV639" s="594"/>
      <c r="BW639" s="618"/>
      <c r="BX639" s="644"/>
      <c r="BY639" s="644"/>
    </row>
    <row r="640" ht="25.5" customHeight="1">
      <c r="A640" s="635"/>
      <c r="B640" s="695"/>
      <c r="C640" s="642"/>
      <c r="D640" s="642"/>
      <c r="E640" s="696"/>
      <c r="F640" s="696"/>
      <c r="G640" s="621"/>
      <c r="H640" s="577"/>
      <c r="I640" s="577"/>
      <c r="J640" s="613"/>
      <c r="K640" s="581"/>
      <c r="L640" s="581"/>
      <c r="M640" s="613"/>
      <c r="N640" s="613"/>
      <c r="O640" s="613"/>
      <c r="P640" s="580"/>
      <c r="Q640" s="580"/>
      <c r="R640" s="581"/>
      <c r="S640" s="581"/>
      <c r="T640" s="581"/>
      <c r="U640" s="582"/>
      <c r="V640" s="614"/>
      <c r="W640" s="581"/>
      <c r="X640" s="615"/>
      <c r="Y640" s="613"/>
      <c r="Z640" s="580"/>
      <c r="AA640" s="634"/>
      <c r="AB640" s="577"/>
      <c r="AC640" s="673"/>
      <c r="AD640" s="634"/>
      <c r="AE640" s="587"/>
      <c r="AF640" s="587"/>
      <c r="AG640" s="582"/>
      <c r="AH640" s="582"/>
      <c r="AI640" s="582"/>
      <c r="AJ640" s="582"/>
      <c r="AK640" s="588"/>
      <c r="AL640" s="582"/>
      <c r="AM640" s="582"/>
      <c r="AN640" s="589"/>
      <c r="AO640" s="616"/>
      <c r="AP640" s="592"/>
      <c r="AQ640" s="358"/>
      <c r="AR640" s="592"/>
      <c r="AS640" s="592"/>
      <c r="AT640" s="592"/>
      <c r="AU640" s="592"/>
      <c r="AV640" s="592"/>
      <c r="AW640" s="592"/>
      <c r="AX640" s="592"/>
      <c r="AY640" s="592"/>
      <c r="AZ640" s="592"/>
      <c r="BA640" s="617"/>
      <c r="BB640" s="592"/>
      <c r="BC640" s="592"/>
      <c r="BD640" s="592"/>
      <c r="BE640" s="592"/>
      <c r="BF640" s="592"/>
      <c r="BG640" s="358"/>
      <c r="BH640" s="592"/>
      <c r="BI640" s="592"/>
      <c r="BJ640" s="592"/>
      <c r="BK640" s="592"/>
      <c r="BL640" s="592"/>
      <c r="BM640" s="592"/>
      <c r="BN640" s="592"/>
      <c r="BO640" s="592"/>
      <c r="BP640" s="592"/>
      <c r="BQ640" s="594"/>
      <c r="BR640" s="594"/>
      <c r="BS640" s="394"/>
      <c r="BT640" s="594"/>
      <c r="BU640" s="594"/>
      <c r="BV640" s="594"/>
      <c r="BW640" s="618"/>
      <c r="BX640" s="644"/>
      <c r="BY640" s="644"/>
    </row>
    <row r="641" ht="25.5" customHeight="1">
      <c r="A641" s="635"/>
      <c r="B641" s="695"/>
      <c r="C641" s="642"/>
      <c r="D641" s="642"/>
      <c r="E641" s="696"/>
      <c r="F641" s="696"/>
      <c r="G641" s="621"/>
      <c r="H641" s="577"/>
      <c r="I641" s="577"/>
      <c r="J641" s="613"/>
      <c r="K641" s="581"/>
      <c r="L641" s="581"/>
      <c r="M641" s="613"/>
      <c r="N641" s="613"/>
      <c r="O641" s="613"/>
      <c r="P641" s="580"/>
      <c r="Q641" s="580"/>
      <c r="R641" s="581"/>
      <c r="S641" s="581"/>
      <c r="T641" s="581"/>
      <c r="U641" s="582"/>
      <c r="V641" s="614"/>
      <c r="W641" s="581"/>
      <c r="X641" s="615"/>
      <c r="Y641" s="613"/>
      <c r="Z641" s="580"/>
      <c r="AA641" s="634"/>
      <c r="AB641" s="577"/>
      <c r="AC641" s="673"/>
      <c r="AD641" s="634"/>
      <c r="AE641" s="587"/>
      <c r="AF641" s="587"/>
      <c r="AG641" s="582"/>
      <c r="AH641" s="582"/>
      <c r="AI641" s="582"/>
      <c r="AJ641" s="582"/>
      <c r="AK641" s="588"/>
      <c r="AL641" s="582"/>
      <c r="AM641" s="582"/>
      <c r="AN641" s="589"/>
      <c r="AO641" s="616"/>
      <c r="AP641" s="592"/>
      <c r="AQ641" s="358"/>
      <c r="AR641" s="592"/>
      <c r="AS641" s="592"/>
      <c r="AT641" s="592"/>
      <c r="AU641" s="592"/>
      <c r="AV641" s="592"/>
      <c r="AW641" s="592"/>
      <c r="AX641" s="592"/>
      <c r="AY641" s="592"/>
      <c r="AZ641" s="592"/>
      <c r="BA641" s="617"/>
      <c r="BB641" s="592"/>
      <c r="BC641" s="592"/>
      <c r="BD641" s="592"/>
      <c r="BE641" s="592"/>
      <c r="BF641" s="592"/>
      <c r="BG641" s="358"/>
      <c r="BH641" s="592"/>
      <c r="BI641" s="592"/>
      <c r="BJ641" s="592"/>
      <c r="BK641" s="592"/>
      <c r="BL641" s="592"/>
      <c r="BM641" s="592"/>
      <c r="BN641" s="592"/>
      <c r="BO641" s="592"/>
      <c r="BP641" s="592"/>
      <c r="BQ641" s="594"/>
      <c r="BR641" s="594"/>
      <c r="BS641" s="394"/>
      <c r="BT641" s="594"/>
      <c r="BU641" s="594"/>
      <c r="BV641" s="594"/>
      <c r="BW641" s="618"/>
      <c r="BX641" s="644"/>
      <c r="BY641" s="644"/>
    </row>
    <row r="642" ht="25.5" customHeight="1">
      <c r="A642" s="635"/>
      <c r="B642" s="695"/>
      <c r="C642" s="642"/>
      <c r="D642" s="642"/>
      <c r="E642" s="696"/>
      <c r="F642" s="696"/>
      <c r="G642" s="621"/>
      <c r="H642" s="577"/>
      <c r="I642" s="577"/>
      <c r="J642" s="613"/>
      <c r="K642" s="581"/>
      <c r="L642" s="581"/>
      <c r="M642" s="613"/>
      <c r="N642" s="613"/>
      <c r="O642" s="613"/>
      <c r="P642" s="580"/>
      <c r="Q642" s="580"/>
      <c r="R642" s="581"/>
      <c r="S642" s="581"/>
      <c r="T642" s="581"/>
      <c r="U642" s="582"/>
      <c r="V642" s="614"/>
      <c r="W642" s="581"/>
      <c r="X642" s="615"/>
      <c r="Y642" s="613"/>
      <c r="Z642" s="580"/>
      <c r="AA642" s="634"/>
      <c r="AB642" s="577"/>
      <c r="AC642" s="673"/>
      <c r="AD642" s="634"/>
      <c r="AE642" s="587"/>
      <c r="AF642" s="587"/>
      <c r="AG642" s="582"/>
      <c r="AH642" s="582"/>
      <c r="AI642" s="582"/>
      <c r="AJ642" s="582"/>
      <c r="AK642" s="588"/>
      <c r="AL642" s="582"/>
      <c r="AM642" s="582"/>
      <c r="AN642" s="589"/>
      <c r="AO642" s="616"/>
      <c r="AP642" s="592"/>
      <c r="AQ642" s="358"/>
      <c r="AR642" s="592"/>
      <c r="AS642" s="592"/>
      <c r="AT642" s="592"/>
      <c r="AU642" s="592"/>
      <c r="AV642" s="592"/>
      <c r="AW642" s="592"/>
      <c r="AX642" s="592"/>
      <c r="AY642" s="592"/>
      <c r="AZ642" s="592"/>
      <c r="BA642" s="617"/>
      <c r="BB642" s="592"/>
      <c r="BC642" s="592"/>
      <c r="BD642" s="592"/>
      <c r="BE642" s="592"/>
      <c r="BF642" s="592"/>
      <c r="BG642" s="358"/>
      <c r="BH642" s="592"/>
      <c r="BI642" s="592"/>
      <c r="BJ642" s="592"/>
      <c r="BK642" s="592"/>
      <c r="BL642" s="592"/>
      <c r="BM642" s="592"/>
      <c r="BN642" s="592"/>
      <c r="BO642" s="592"/>
      <c r="BP642" s="592"/>
      <c r="BQ642" s="594"/>
      <c r="BR642" s="594"/>
      <c r="BS642" s="394"/>
      <c r="BT642" s="594"/>
      <c r="BU642" s="594"/>
      <c r="BV642" s="594"/>
      <c r="BW642" s="618"/>
      <c r="BX642" s="644"/>
      <c r="BY642" s="644"/>
    </row>
    <row r="643" ht="25.5" customHeight="1">
      <c r="A643" s="635"/>
      <c r="B643" s="695"/>
      <c r="C643" s="642"/>
      <c r="D643" s="642"/>
      <c r="E643" s="696"/>
      <c r="F643" s="696"/>
      <c r="G643" s="621"/>
      <c r="H643" s="577"/>
      <c r="I643" s="577"/>
      <c r="J643" s="613"/>
      <c r="K643" s="581"/>
      <c r="L643" s="581"/>
      <c r="M643" s="613"/>
      <c r="N643" s="613"/>
      <c r="O643" s="613"/>
      <c r="P643" s="580"/>
      <c r="Q643" s="580"/>
      <c r="R643" s="581"/>
      <c r="S643" s="581"/>
      <c r="T643" s="581"/>
      <c r="U643" s="582"/>
      <c r="V643" s="614"/>
      <c r="W643" s="581"/>
      <c r="X643" s="615"/>
      <c r="Y643" s="613"/>
      <c r="Z643" s="580"/>
      <c r="AA643" s="634"/>
      <c r="AB643" s="577"/>
      <c r="AC643" s="673"/>
      <c r="AD643" s="634"/>
      <c r="AE643" s="587"/>
      <c r="AF643" s="587"/>
      <c r="AG643" s="582"/>
      <c r="AH643" s="582"/>
      <c r="AI643" s="582"/>
      <c r="AJ643" s="582"/>
      <c r="AK643" s="588"/>
      <c r="AL643" s="582"/>
      <c r="AM643" s="582"/>
      <c r="AN643" s="589"/>
      <c r="AO643" s="616"/>
      <c r="AP643" s="592"/>
      <c r="AQ643" s="358"/>
      <c r="AR643" s="592"/>
      <c r="AS643" s="592"/>
      <c r="AT643" s="592"/>
      <c r="AU643" s="592"/>
      <c r="AV643" s="592"/>
      <c r="AW643" s="592"/>
      <c r="AX643" s="592"/>
      <c r="AY643" s="592"/>
      <c r="AZ643" s="592"/>
      <c r="BA643" s="617"/>
      <c r="BB643" s="592"/>
      <c r="BC643" s="592"/>
      <c r="BD643" s="592"/>
      <c r="BE643" s="592"/>
      <c r="BF643" s="592"/>
      <c r="BG643" s="358"/>
      <c r="BH643" s="592"/>
      <c r="BI643" s="592"/>
      <c r="BJ643" s="592"/>
      <c r="BK643" s="592"/>
      <c r="BL643" s="592"/>
      <c r="BM643" s="592"/>
      <c r="BN643" s="592"/>
      <c r="BO643" s="592"/>
      <c r="BP643" s="592"/>
      <c r="BQ643" s="594"/>
      <c r="BR643" s="594"/>
      <c r="BS643" s="394"/>
      <c r="BT643" s="594"/>
      <c r="BU643" s="594"/>
      <c r="BV643" s="594"/>
      <c r="BW643" s="618"/>
      <c r="BX643" s="644"/>
      <c r="BY643" s="644"/>
    </row>
    <row r="644" ht="25.5" customHeight="1">
      <c r="A644" s="635"/>
      <c r="B644" s="695"/>
      <c r="C644" s="642"/>
      <c r="D644" s="642"/>
      <c r="E644" s="696"/>
      <c r="F644" s="696"/>
      <c r="G644" s="621"/>
      <c r="H644" s="577"/>
      <c r="I644" s="577"/>
      <c r="J644" s="613"/>
      <c r="K644" s="581"/>
      <c r="L644" s="581"/>
      <c r="M644" s="613"/>
      <c r="N644" s="613"/>
      <c r="O644" s="613"/>
      <c r="P644" s="580"/>
      <c r="Q644" s="580"/>
      <c r="R644" s="581"/>
      <c r="S644" s="581"/>
      <c r="T644" s="581"/>
      <c r="U644" s="582"/>
      <c r="V644" s="614"/>
      <c r="W644" s="581"/>
      <c r="X644" s="615"/>
      <c r="Y644" s="613"/>
      <c r="Z644" s="580"/>
      <c r="AA644" s="634"/>
      <c r="AB644" s="577"/>
      <c r="AC644" s="673"/>
      <c r="AD644" s="634"/>
      <c r="AE644" s="587"/>
      <c r="AF644" s="587"/>
      <c r="AG644" s="582"/>
      <c r="AH644" s="582"/>
      <c r="AI644" s="582"/>
      <c r="AJ644" s="582"/>
      <c r="AK644" s="588"/>
      <c r="AL644" s="582"/>
      <c r="AM644" s="582"/>
      <c r="AN644" s="589"/>
      <c r="AO644" s="616"/>
      <c r="AP644" s="592"/>
      <c r="AQ644" s="358"/>
      <c r="AR644" s="592"/>
      <c r="AS644" s="592"/>
      <c r="AT644" s="592"/>
      <c r="AU644" s="592"/>
      <c r="AV644" s="592"/>
      <c r="AW644" s="592"/>
      <c r="AX644" s="592"/>
      <c r="AY644" s="592"/>
      <c r="AZ644" s="592"/>
      <c r="BA644" s="617"/>
      <c r="BB644" s="592"/>
      <c r="BC644" s="592"/>
      <c r="BD644" s="592"/>
      <c r="BE644" s="592"/>
      <c r="BF644" s="592"/>
      <c r="BG644" s="358"/>
      <c r="BH644" s="592"/>
      <c r="BI644" s="592"/>
      <c r="BJ644" s="592"/>
      <c r="BK644" s="592"/>
      <c r="BL644" s="592"/>
      <c r="BM644" s="592"/>
      <c r="BN644" s="592"/>
      <c r="BO644" s="592"/>
      <c r="BP644" s="592"/>
      <c r="BQ644" s="594"/>
      <c r="BR644" s="594"/>
      <c r="BS644" s="394"/>
      <c r="BT644" s="594"/>
      <c r="BU644" s="594"/>
      <c r="BV644" s="594"/>
      <c r="BW644" s="618"/>
      <c r="BX644" s="644"/>
      <c r="BY644" s="644"/>
    </row>
    <row r="645" ht="25.5" customHeight="1">
      <c r="A645" s="635"/>
      <c r="B645" s="695"/>
      <c r="C645" s="642"/>
      <c r="D645" s="642"/>
      <c r="E645" s="696"/>
      <c r="F645" s="696"/>
      <c r="G645" s="621"/>
      <c r="H645" s="577"/>
      <c r="I645" s="577"/>
      <c r="J645" s="613"/>
      <c r="K645" s="581"/>
      <c r="L645" s="581"/>
      <c r="M645" s="613"/>
      <c r="N645" s="613"/>
      <c r="O645" s="613"/>
      <c r="P645" s="580"/>
      <c r="Q645" s="580"/>
      <c r="R645" s="581"/>
      <c r="S645" s="581"/>
      <c r="T645" s="581"/>
      <c r="U645" s="582"/>
      <c r="V645" s="614"/>
      <c r="W645" s="581"/>
      <c r="X645" s="615"/>
      <c r="Y645" s="613"/>
      <c r="Z645" s="580"/>
      <c r="AA645" s="634"/>
      <c r="AB645" s="577"/>
      <c r="AC645" s="673"/>
      <c r="AD645" s="634"/>
      <c r="AE645" s="587"/>
      <c r="AF645" s="587"/>
      <c r="AG645" s="582"/>
      <c r="AH645" s="582"/>
      <c r="AI645" s="582"/>
      <c r="AJ645" s="582"/>
      <c r="AK645" s="588"/>
      <c r="AL645" s="582"/>
      <c r="AM645" s="582"/>
      <c r="AN645" s="589"/>
      <c r="AO645" s="616"/>
      <c r="AP645" s="592"/>
      <c r="AQ645" s="358"/>
      <c r="AR645" s="592"/>
      <c r="AS645" s="592"/>
      <c r="AT645" s="592"/>
      <c r="AU645" s="592"/>
      <c r="AV645" s="592"/>
      <c r="AW645" s="592"/>
      <c r="AX645" s="592"/>
      <c r="AY645" s="592"/>
      <c r="AZ645" s="592"/>
      <c r="BA645" s="617"/>
      <c r="BB645" s="592"/>
      <c r="BC645" s="592"/>
      <c r="BD645" s="592"/>
      <c r="BE645" s="592"/>
      <c r="BF645" s="592"/>
      <c r="BG645" s="358"/>
      <c r="BH645" s="592"/>
      <c r="BI645" s="592"/>
      <c r="BJ645" s="592"/>
      <c r="BK645" s="592"/>
      <c r="BL645" s="592"/>
      <c r="BM645" s="592"/>
      <c r="BN645" s="592"/>
      <c r="BO645" s="592"/>
      <c r="BP645" s="592"/>
      <c r="BQ645" s="594"/>
      <c r="BR645" s="594"/>
      <c r="BS645" s="394"/>
      <c r="BT645" s="594"/>
      <c r="BU645" s="594"/>
      <c r="BV645" s="594"/>
      <c r="BW645" s="618"/>
      <c r="BX645" s="644"/>
      <c r="BY645" s="644"/>
    </row>
    <row r="646" ht="25.5" customHeight="1">
      <c r="A646" s="635"/>
      <c r="B646" s="695"/>
      <c r="C646" s="642"/>
      <c r="D646" s="642"/>
      <c r="E646" s="696"/>
      <c r="F646" s="696"/>
      <c r="G646" s="621"/>
      <c r="H646" s="577"/>
      <c r="I646" s="577"/>
      <c r="J646" s="613"/>
      <c r="K646" s="581"/>
      <c r="L646" s="581"/>
      <c r="M646" s="613"/>
      <c r="N646" s="613"/>
      <c r="O646" s="613"/>
      <c r="P646" s="580"/>
      <c r="Q646" s="580"/>
      <c r="R646" s="581"/>
      <c r="S646" s="581"/>
      <c r="T646" s="581"/>
      <c r="U646" s="582"/>
      <c r="V646" s="614"/>
      <c r="W646" s="581"/>
      <c r="X646" s="615"/>
      <c r="Y646" s="613"/>
      <c r="Z646" s="580"/>
      <c r="AA646" s="634"/>
      <c r="AB646" s="577"/>
      <c r="AC646" s="673"/>
      <c r="AD646" s="634"/>
      <c r="AE646" s="587"/>
      <c r="AF646" s="587"/>
      <c r="AG646" s="582"/>
      <c r="AH646" s="582"/>
      <c r="AI646" s="582"/>
      <c r="AJ646" s="582"/>
      <c r="AK646" s="588"/>
      <c r="AL646" s="582"/>
      <c r="AM646" s="582"/>
      <c r="AN646" s="589"/>
      <c r="AO646" s="616"/>
      <c r="AP646" s="592"/>
      <c r="AQ646" s="358"/>
      <c r="AR646" s="592"/>
      <c r="AS646" s="592"/>
      <c r="AT646" s="592"/>
      <c r="AU646" s="592"/>
      <c r="AV646" s="592"/>
      <c r="AW646" s="592"/>
      <c r="AX646" s="592"/>
      <c r="AY646" s="592"/>
      <c r="AZ646" s="592"/>
      <c r="BA646" s="617"/>
      <c r="BB646" s="592"/>
      <c r="BC646" s="592"/>
      <c r="BD646" s="592"/>
      <c r="BE646" s="592"/>
      <c r="BF646" s="592"/>
      <c r="BG646" s="358"/>
      <c r="BH646" s="592"/>
      <c r="BI646" s="592"/>
      <c r="BJ646" s="592"/>
      <c r="BK646" s="592"/>
      <c r="BL646" s="592"/>
      <c r="BM646" s="592"/>
      <c r="BN646" s="592"/>
      <c r="BO646" s="592"/>
      <c r="BP646" s="592"/>
      <c r="BQ646" s="594"/>
      <c r="BR646" s="594"/>
      <c r="BS646" s="394"/>
      <c r="BT646" s="594"/>
      <c r="BU646" s="594"/>
      <c r="BV646" s="594"/>
      <c r="BW646" s="618"/>
      <c r="BX646" s="644"/>
      <c r="BY646" s="644"/>
    </row>
    <row r="647" ht="25.5" customHeight="1">
      <c r="A647" s="635"/>
      <c r="B647" s="695"/>
      <c r="C647" s="642"/>
      <c r="D647" s="642"/>
      <c r="E647" s="696"/>
      <c r="F647" s="696"/>
      <c r="G647" s="621"/>
      <c r="H647" s="577"/>
      <c r="I647" s="577"/>
      <c r="J647" s="613"/>
      <c r="K647" s="581"/>
      <c r="L647" s="581"/>
      <c r="M647" s="613"/>
      <c r="N647" s="613"/>
      <c r="O647" s="613"/>
      <c r="P647" s="580"/>
      <c r="Q647" s="580"/>
      <c r="R647" s="581"/>
      <c r="S647" s="581"/>
      <c r="T647" s="581"/>
      <c r="U647" s="582"/>
      <c r="V647" s="614"/>
      <c r="W647" s="581"/>
      <c r="X647" s="615"/>
      <c r="Y647" s="613"/>
      <c r="Z647" s="580"/>
      <c r="AA647" s="634"/>
      <c r="AB647" s="577"/>
      <c r="AC647" s="673"/>
      <c r="AD647" s="634"/>
      <c r="AE647" s="587"/>
      <c r="AF647" s="587"/>
      <c r="AG647" s="582"/>
      <c r="AH647" s="582"/>
      <c r="AI647" s="582"/>
      <c r="AJ647" s="582"/>
      <c r="AK647" s="588"/>
      <c r="AL647" s="582"/>
      <c r="AM647" s="582"/>
      <c r="AN647" s="589"/>
      <c r="AO647" s="616"/>
      <c r="AP647" s="592"/>
      <c r="AQ647" s="358"/>
      <c r="AR647" s="592"/>
      <c r="AS647" s="592"/>
      <c r="AT647" s="592"/>
      <c r="AU647" s="592"/>
      <c r="AV647" s="592"/>
      <c r="AW647" s="592"/>
      <c r="AX647" s="592"/>
      <c r="AY647" s="592"/>
      <c r="AZ647" s="592"/>
      <c r="BA647" s="617"/>
      <c r="BB647" s="592"/>
      <c r="BC647" s="592"/>
      <c r="BD647" s="592"/>
      <c r="BE647" s="592"/>
      <c r="BF647" s="592"/>
      <c r="BG647" s="358"/>
      <c r="BH647" s="592"/>
      <c r="BI647" s="592"/>
      <c r="BJ647" s="592"/>
      <c r="BK647" s="592"/>
      <c r="BL647" s="592"/>
      <c r="BM647" s="592"/>
      <c r="BN647" s="592"/>
      <c r="BO647" s="592"/>
      <c r="BP647" s="592"/>
      <c r="BQ647" s="594"/>
      <c r="BR647" s="594"/>
      <c r="BS647" s="394"/>
      <c r="BT647" s="594"/>
      <c r="BU647" s="594"/>
      <c r="BV647" s="594"/>
      <c r="BW647" s="618"/>
      <c r="BX647" s="644"/>
      <c r="BY647" s="644"/>
    </row>
    <row r="648" ht="25.5" customHeight="1">
      <c r="A648" s="635"/>
      <c r="B648" s="695"/>
      <c r="C648" s="642"/>
      <c r="D648" s="642"/>
      <c r="E648" s="696"/>
      <c r="F648" s="696"/>
      <c r="G648" s="621"/>
      <c r="H648" s="577"/>
      <c r="I648" s="577"/>
      <c r="J648" s="613"/>
      <c r="K648" s="581"/>
      <c r="L648" s="581"/>
      <c r="M648" s="613"/>
      <c r="N648" s="613"/>
      <c r="O648" s="613"/>
      <c r="P648" s="580"/>
      <c r="Q648" s="580"/>
      <c r="R648" s="581"/>
      <c r="S648" s="581"/>
      <c r="T648" s="581"/>
      <c r="U648" s="582"/>
      <c r="V648" s="614"/>
      <c r="W648" s="581"/>
      <c r="X648" s="615"/>
      <c r="Y648" s="613"/>
      <c r="Z648" s="580"/>
      <c r="AA648" s="634"/>
      <c r="AB648" s="577"/>
      <c r="AC648" s="673"/>
      <c r="AD648" s="634"/>
      <c r="AE648" s="587"/>
      <c r="AF648" s="587"/>
      <c r="AG648" s="582"/>
      <c r="AH648" s="582"/>
      <c r="AI648" s="582"/>
      <c r="AJ648" s="582"/>
      <c r="AK648" s="588"/>
      <c r="AL648" s="582"/>
      <c r="AM648" s="582"/>
      <c r="AN648" s="589"/>
      <c r="AO648" s="616"/>
      <c r="AP648" s="592"/>
      <c r="AQ648" s="358"/>
      <c r="AR648" s="592"/>
      <c r="AS648" s="592"/>
      <c r="AT648" s="592"/>
      <c r="AU648" s="592"/>
      <c r="AV648" s="592"/>
      <c r="AW648" s="592"/>
      <c r="AX648" s="592"/>
      <c r="AY648" s="592"/>
      <c r="AZ648" s="592"/>
      <c r="BA648" s="617"/>
      <c r="BB648" s="592"/>
      <c r="BC648" s="592"/>
      <c r="BD648" s="592"/>
      <c r="BE648" s="592"/>
      <c r="BF648" s="592"/>
      <c r="BG648" s="358"/>
      <c r="BH648" s="592"/>
      <c r="BI648" s="592"/>
      <c r="BJ648" s="592"/>
      <c r="BK648" s="592"/>
      <c r="BL648" s="592"/>
      <c r="BM648" s="592"/>
      <c r="BN648" s="592"/>
      <c r="BO648" s="592"/>
      <c r="BP648" s="592"/>
      <c r="BQ648" s="594"/>
      <c r="BR648" s="594"/>
      <c r="BS648" s="394"/>
      <c r="BT648" s="594"/>
      <c r="BU648" s="594"/>
      <c r="BV648" s="594"/>
      <c r="BW648" s="618"/>
      <c r="BX648" s="644"/>
      <c r="BY648" s="644"/>
    </row>
    <row r="649" ht="25.5" customHeight="1">
      <c r="A649" s="635"/>
      <c r="B649" s="695"/>
      <c r="C649" s="642"/>
      <c r="D649" s="642"/>
      <c r="E649" s="696"/>
      <c r="F649" s="696"/>
      <c r="G649" s="621"/>
      <c r="H649" s="577"/>
      <c r="I649" s="577"/>
      <c r="J649" s="613"/>
      <c r="K649" s="581"/>
      <c r="L649" s="581"/>
      <c r="M649" s="613"/>
      <c r="N649" s="613"/>
      <c r="O649" s="613"/>
      <c r="P649" s="580"/>
      <c r="Q649" s="580"/>
      <c r="R649" s="581"/>
      <c r="S649" s="581"/>
      <c r="T649" s="581"/>
      <c r="U649" s="582"/>
      <c r="V649" s="614"/>
      <c r="W649" s="581"/>
      <c r="X649" s="615"/>
      <c r="Y649" s="613"/>
      <c r="Z649" s="580"/>
      <c r="AA649" s="634"/>
      <c r="AB649" s="577"/>
      <c r="AC649" s="673"/>
      <c r="AD649" s="634"/>
      <c r="AE649" s="587"/>
      <c r="AF649" s="587"/>
      <c r="AG649" s="582"/>
      <c r="AH649" s="582"/>
      <c r="AI649" s="582"/>
      <c r="AJ649" s="582"/>
      <c r="AK649" s="588"/>
      <c r="AL649" s="582"/>
      <c r="AM649" s="582"/>
      <c r="AN649" s="589"/>
      <c r="AO649" s="616"/>
      <c r="AP649" s="592"/>
      <c r="AQ649" s="358"/>
      <c r="AR649" s="592"/>
      <c r="AS649" s="592"/>
      <c r="AT649" s="592"/>
      <c r="AU649" s="592"/>
      <c r="AV649" s="592"/>
      <c r="AW649" s="592"/>
      <c r="AX649" s="592"/>
      <c r="AY649" s="592"/>
      <c r="AZ649" s="592"/>
      <c r="BA649" s="617"/>
      <c r="BB649" s="592"/>
      <c r="BC649" s="592"/>
      <c r="BD649" s="592"/>
      <c r="BE649" s="592"/>
      <c r="BF649" s="592"/>
      <c r="BG649" s="358"/>
      <c r="BH649" s="592"/>
      <c r="BI649" s="592"/>
      <c r="BJ649" s="592"/>
      <c r="BK649" s="592"/>
      <c r="BL649" s="592"/>
      <c r="BM649" s="592"/>
      <c r="BN649" s="592"/>
      <c r="BO649" s="592"/>
      <c r="BP649" s="592"/>
      <c r="BQ649" s="594"/>
      <c r="BR649" s="594"/>
      <c r="BS649" s="394"/>
      <c r="BT649" s="594"/>
      <c r="BU649" s="594"/>
      <c r="BV649" s="594"/>
      <c r="BW649" s="618"/>
      <c r="BX649" s="644"/>
      <c r="BY649" s="644"/>
    </row>
    <row r="650" ht="25.5" customHeight="1">
      <c r="A650" s="635"/>
      <c r="B650" s="695"/>
      <c r="C650" s="642"/>
      <c r="D650" s="642"/>
      <c r="E650" s="696"/>
      <c r="F650" s="696"/>
      <c r="G650" s="621"/>
      <c r="H650" s="577"/>
      <c r="I650" s="577"/>
      <c r="J650" s="613"/>
      <c r="K650" s="581"/>
      <c r="L650" s="581"/>
      <c r="M650" s="613"/>
      <c r="N650" s="613"/>
      <c r="O650" s="613"/>
      <c r="P650" s="580"/>
      <c r="Q650" s="580"/>
      <c r="R650" s="581"/>
      <c r="S650" s="581"/>
      <c r="T650" s="581"/>
      <c r="U650" s="582"/>
      <c r="V650" s="614"/>
      <c r="W650" s="581"/>
      <c r="X650" s="615"/>
      <c r="Y650" s="613"/>
      <c r="Z650" s="580"/>
      <c r="AA650" s="634"/>
      <c r="AB650" s="577"/>
      <c r="AC650" s="673"/>
      <c r="AD650" s="634"/>
      <c r="AE650" s="587"/>
      <c r="AF650" s="587"/>
      <c r="AG650" s="582"/>
      <c r="AH650" s="582"/>
      <c r="AI650" s="582"/>
      <c r="AJ650" s="582"/>
      <c r="AK650" s="588"/>
      <c r="AL650" s="582"/>
      <c r="AM650" s="582"/>
      <c r="AN650" s="589"/>
      <c r="AO650" s="616"/>
      <c r="AP650" s="592"/>
      <c r="AQ650" s="358"/>
      <c r="AR650" s="592"/>
      <c r="AS650" s="592"/>
      <c r="AT650" s="592"/>
      <c r="AU650" s="592"/>
      <c r="AV650" s="592"/>
      <c r="AW650" s="592"/>
      <c r="AX650" s="592"/>
      <c r="AY650" s="592"/>
      <c r="AZ650" s="592"/>
      <c r="BA650" s="617"/>
      <c r="BB650" s="592"/>
      <c r="BC650" s="592"/>
      <c r="BD650" s="592"/>
      <c r="BE650" s="592"/>
      <c r="BF650" s="592"/>
      <c r="BG650" s="358"/>
      <c r="BH650" s="592"/>
      <c r="BI650" s="592"/>
      <c r="BJ650" s="592"/>
      <c r="BK650" s="592"/>
      <c r="BL650" s="592"/>
      <c r="BM650" s="592"/>
      <c r="BN650" s="592"/>
      <c r="BO650" s="592"/>
      <c r="BP650" s="592"/>
      <c r="BQ650" s="594"/>
      <c r="BR650" s="594"/>
      <c r="BS650" s="394"/>
      <c r="BT650" s="594"/>
      <c r="BU650" s="594"/>
      <c r="BV650" s="594"/>
      <c r="BW650" s="618"/>
      <c r="BX650" s="644"/>
      <c r="BY650" s="644"/>
    </row>
    <row r="651" ht="25.5" customHeight="1">
      <c r="A651" s="635"/>
      <c r="B651" s="695"/>
      <c r="C651" s="642"/>
      <c r="D651" s="642"/>
      <c r="E651" s="696"/>
      <c r="F651" s="696"/>
      <c r="G651" s="621"/>
      <c r="H651" s="577"/>
      <c r="I651" s="577"/>
      <c r="J651" s="613"/>
      <c r="K651" s="581"/>
      <c r="L651" s="581"/>
      <c r="M651" s="613"/>
      <c r="N651" s="613"/>
      <c r="O651" s="613"/>
      <c r="P651" s="580"/>
      <c r="Q651" s="580"/>
      <c r="R651" s="581"/>
      <c r="S651" s="581"/>
      <c r="T651" s="581"/>
      <c r="U651" s="582"/>
      <c r="V651" s="614"/>
      <c r="W651" s="581"/>
      <c r="X651" s="615"/>
      <c r="Y651" s="613"/>
      <c r="Z651" s="580"/>
      <c r="AA651" s="634"/>
      <c r="AB651" s="577"/>
      <c r="AC651" s="673"/>
      <c r="AD651" s="634"/>
      <c r="AE651" s="587"/>
      <c r="AF651" s="587"/>
      <c r="AG651" s="582"/>
      <c r="AH651" s="582"/>
      <c r="AI651" s="582"/>
      <c r="AJ651" s="582"/>
      <c r="AK651" s="588"/>
      <c r="AL651" s="582"/>
      <c r="AM651" s="582"/>
      <c r="AN651" s="589"/>
      <c r="AO651" s="616"/>
      <c r="AP651" s="592"/>
      <c r="AQ651" s="358"/>
      <c r="AR651" s="592"/>
      <c r="AS651" s="592"/>
      <c r="AT651" s="592"/>
      <c r="AU651" s="592"/>
      <c r="AV651" s="592"/>
      <c r="AW651" s="592"/>
      <c r="AX651" s="592"/>
      <c r="AY651" s="592"/>
      <c r="AZ651" s="592"/>
      <c r="BA651" s="617"/>
      <c r="BB651" s="592"/>
      <c r="BC651" s="592"/>
      <c r="BD651" s="592"/>
      <c r="BE651" s="592"/>
      <c r="BF651" s="592"/>
      <c r="BG651" s="358"/>
      <c r="BH651" s="592"/>
      <c r="BI651" s="592"/>
      <c r="BJ651" s="592"/>
      <c r="BK651" s="592"/>
      <c r="BL651" s="592"/>
      <c r="BM651" s="592"/>
      <c r="BN651" s="592"/>
      <c r="BO651" s="592"/>
      <c r="BP651" s="592"/>
      <c r="BQ651" s="594"/>
      <c r="BR651" s="594"/>
      <c r="BS651" s="394"/>
      <c r="BT651" s="594"/>
      <c r="BU651" s="594"/>
      <c r="BV651" s="594"/>
      <c r="BW651" s="618"/>
      <c r="BX651" s="644"/>
      <c r="BY651" s="644"/>
    </row>
    <row r="652" ht="25.5" customHeight="1">
      <c r="A652" s="635"/>
      <c r="B652" s="695"/>
      <c r="C652" s="642"/>
      <c r="D652" s="642"/>
      <c r="E652" s="696"/>
      <c r="F652" s="696"/>
      <c r="G652" s="621"/>
      <c r="H652" s="577"/>
      <c r="I652" s="577"/>
      <c r="J652" s="613"/>
      <c r="K652" s="581"/>
      <c r="L652" s="581"/>
      <c r="M652" s="613"/>
      <c r="N652" s="613"/>
      <c r="O652" s="613"/>
      <c r="P652" s="580"/>
      <c r="Q652" s="580"/>
      <c r="R652" s="581"/>
      <c r="S652" s="581"/>
      <c r="T652" s="581"/>
      <c r="U652" s="582"/>
      <c r="V652" s="614"/>
      <c r="W652" s="581"/>
      <c r="X652" s="615"/>
      <c r="Y652" s="613"/>
      <c r="Z652" s="580"/>
      <c r="AA652" s="634"/>
      <c r="AB652" s="577"/>
      <c r="AC652" s="673"/>
      <c r="AD652" s="634"/>
      <c r="AE652" s="587"/>
      <c r="AF652" s="587"/>
      <c r="AG652" s="582"/>
      <c r="AH652" s="582"/>
      <c r="AI652" s="582"/>
      <c r="AJ652" s="582"/>
      <c r="AK652" s="588"/>
      <c r="AL652" s="582"/>
      <c r="AM652" s="582"/>
      <c r="AN652" s="589"/>
      <c r="AO652" s="616"/>
      <c r="AP652" s="592"/>
      <c r="AQ652" s="358"/>
      <c r="AR652" s="592"/>
      <c r="AS652" s="592"/>
      <c r="AT652" s="592"/>
      <c r="AU652" s="592"/>
      <c r="AV652" s="592"/>
      <c r="AW652" s="592"/>
      <c r="AX652" s="592"/>
      <c r="AY652" s="592"/>
      <c r="AZ652" s="592"/>
      <c r="BA652" s="617"/>
      <c r="BB652" s="592"/>
      <c r="BC652" s="592"/>
      <c r="BD652" s="592"/>
      <c r="BE652" s="592"/>
      <c r="BF652" s="592"/>
      <c r="BG652" s="358"/>
      <c r="BH652" s="592"/>
      <c r="BI652" s="592"/>
      <c r="BJ652" s="592"/>
      <c r="BK652" s="592"/>
      <c r="BL652" s="592"/>
      <c r="BM652" s="592"/>
      <c r="BN652" s="592"/>
      <c r="BO652" s="592"/>
      <c r="BP652" s="592"/>
      <c r="BQ652" s="594"/>
      <c r="BR652" s="594"/>
      <c r="BS652" s="394"/>
      <c r="BT652" s="594"/>
      <c r="BU652" s="594"/>
      <c r="BV652" s="594"/>
      <c r="BW652" s="618"/>
      <c r="BX652" s="644"/>
      <c r="BY652" s="644"/>
    </row>
    <row r="653" ht="25.5" customHeight="1">
      <c r="A653" s="635"/>
      <c r="B653" s="695"/>
      <c r="C653" s="642"/>
      <c r="D653" s="642"/>
      <c r="E653" s="696"/>
      <c r="F653" s="696"/>
      <c r="G653" s="621"/>
      <c r="H653" s="577"/>
      <c r="I653" s="577"/>
      <c r="J653" s="613"/>
      <c r="K653" s="581"/>
      <c r="L653" s="581"/>
      <c r="M653" s="613"/>
      <c r="N653" s="613"/>
      <c r="O653" s="613"/>
      <c r="P653" s="580"/>
      <c r="Q653" s="580"/>
      <c r="R653" s="581"/>
      <c r="S653" s="581"/>
      <c r="T653" s="581"/>
      <c r="U653" s="582"/>
      <c r="V653" s="614"/>
      <c r="W653" s="581"/>
      <c r="X653" s="615"/>
      <c r="Y653" s="613"/>
      <c r="Z653" s="580"/>
      <c r="AA653" s="634"/>
      <c r="AB653" s="577"/>
      <c r="AC653" s="673"/>
      <c r="AD653" s="634"/>
      <c r="AE653" s="587"/>
      <c r="AF653" s="587"/>
      <c r="AG653" s="582"/>
      <c r="AH653" s="582"/>
      <c r="AI653" s="582"/>
      <c r="AJ653" s="582"/>
      <c r="AK653" s="588"/>
      <c r="AL653" s="582"/>
      <c r="AM653" s="582"/>
      <c r="AN653" s="589"/>
      <c r="AO653" s="616"/>
      <c r="AP653" s="592"/>
      <c r="AQ653" s="358"/>
      <c r="AR653" s="592"/>
      <c r="AS653" s="592"/>
      <c r="AT653" s="592"/>
      <c r="AU653" s="592"/>
      <c r="AV653" s="592"/>
      <c r="AW653" s="592"/>
      <c r="AX653" s="592"/>
      <c r="AY653" s="592"/>
      <c r="AZ653" s="592"/>
      <c r="BA653" s="617"/>
      <c r="BB653" s="592"/>
      <c r="BC653" s="592"/>
      <c r="BD653" s="592"/>
      <c r="BE653" s="592"/>
      <c r="BF653" s="592"/>
      <c r="BG653" s="358"/>
      <c r="BH653" s="592"/>
      <c r="BI653" s="592"/>
      <c r="BJ653" s="592"/>
      <c r="BK653" s="592"/>
      <c r="BL653" s="592"/>
      <c r="BM653" s="592"/>
      <c r="BN653" s="592"/>
      <c r="BO653" s="592"/>
      <c r="BP653" s="592"/>
      <c r="BQ653" s="594"/>
      <c r="BR653" s="594"/>
      <c r="BS653" s="394"/>
      <c r="BT653" s="594"/>
      <c r="BU653" s="594"/>
      <c r="BV653" s="594"/>
      <c r="BW653" s="618"/>
      <c r="BX653" s="644"/>
      <c r="BY653" s="644"/>
    </row>
    <row r="654" ht="25.5" customHeight="1">
      <c r="A654" s="635"/>
      <c r="B654" s="695"/>
      <c r="C654" s="642"/>
      <c r="D654" s="642"/>
      <c r="E654" s="696"/>
      <c r="F654" s="696"/>
      <c r="G654" s="621"/>
      <c r="H654" s="577"/>
      <c r="I654" s="577"/>
      <c r="J654" s="613"/>
      <c r="K654" s="581"/>
      <c r="L654" s="581"/>
      <c r="M654" s="613"/>
      <c r="N654" s="613"/>
      <c r="O654" s="613"/>
      <c r="P654" s="580"/>
      <c r="Q654" s="580"/>
      <c r="R654" s="581"/>
      <c r="S654" s="581"/>
      <c r="T654" s="581"/>
      <c r="U654" s="582"/>
      <c r="V654" s="614"/>
      <c r="W654" s="581"/>
      <c r="X654" s="615"/>
      <c r="Y654" s="613"/>
      <c r="Z654" s="580"/>
      <c r="AA654" s="634"/>
      <c r="AB654" s="577"/>
      <c r="AC654" s="673"/>
      <c r="AD654" s="634"/>
      <c r="AE654" s="587"/>
      <c r="AF654" s="587"/>
      <c r="AG654" s="582"/>
      <c r="AH654" s="582"/>
      <c r="AI654" s="582"/>
      <c r="AJ654" s="582"/>
      <c r="AK654" s="588"/>
      <c r="AL654" s="582"/>
      <c r="AM654" s="582"/>
      <c r="AN654" s="589"/>
      <c r="AO654" s="616"/>
      <c r="AP654" s="592"/>
      <c r="AQ654" s="358"/>
      <c r="AR654" s="592"/>
      <c r="AS654" s="592"/>
      <c r="AT654" s="592"/>
      <c r="AU654" s="592"/>
      <c r="AV654" s="592"/>
      <c r="AW654" s="592"/>
      <c r="AX654" s="592"/>
      <c r="AY654" s="592"/>
      <c r="AZ654" s="592"/>
      <c r="BA654" s="617"/>
      <c r="BB654" s="592"/>
      <c r="BC654" s="592"/>
      <c r="BD654" s="592"/>
      <c r="BE654" s="592"/>
      <c r="BF654" s="592"/>
      <c r="BG654" s="358"/>
      <c r="BH654" s="592"/>
      <c r="BI654" s="592"/>
      <c r="BJ654" s="592"/>
      <c r="BK654" s="592"/>
      <c r="BL654" s="592"/>
      <c r="BM654" s="592"/>
      <c r="BN654" s="592"/>
      <c r="BO654" s="592"/>
      <c r="BP654" s="592"/>
      <c r="BQ654" s="594"/>
      <c r="BR654" s="594"/>
      <c r="BS654" s="394"/>
      <c r="BT654" s="594"/>
      <c r="BU654" s="594"/>
      <c r="BV654" s="594"/>
      <c r="BW654" s="618"/>
      <c r="BX654" s="644"/>
      <c r="BY654" s="644"/>
    </row>
    <row r="655" ht="25.5" customHeight="1">
      <c r="A655" s="635"/>
      <c r="B655" s="695"/>
      <c r="C655" s="642"/>
      <c r="D655" s="642"/>
      <c r="E655" s="696"/>
      <c r="F655" s="696"/>
      <c r="G655" s="621"/>
      <c r="H655" s="577"/>
      <c r="I655" s="577"/>
      <c r="J655" s="613"/>
      <c r="K655" s="581"/>
      <c r="L655" s="581"/>
      <c r="M655" s="613"/>
      <c r="N655" s="613"/>
      <c r="O655" s="613"/>
      <c r="P655" s="580"/>
      <c r="Q655" s="580"/>
      <c r="R655" s="581"/>
      <c r="S655" s="581"/>
      <c r="T655" s="581"/>
      <c r="U655" s="582"/>
      <c r="V655" s="614"/>
      <c r="W655" s="581"/>
      <c r="X655" s="615"/>
      <c r="Y655" s="613"/>
      <c r="Z655" s="580"/>
      <c r="AA655" s="634"/>
      <c r="AB655" s="577"/>
      <c r="AC655" s="673"/>
      <c r="AD655" s="634"/>
      <c r="AE655" s="587"/>
      <c r="AF655" s="587"/>
      <c r="AG655" s="582"/>
      <c r="AH655" s="582"/>
      <c r="AI655" s="582"/>
      <c r="AJ655" s="582"/>
      <c r="AK655" s="588"/>
      <c r="AL655" s="582"/>
      <c r="AM655" s="582"/>
      <c r="AN655" s="589"/>
      <c r="AO655" s="616"/>
      <c r="AP655" s="592"/>
      <c r="AQ655" s="358"/>
      <c r="AR655" s="592"/>
      <c r="AS655" s="592"/>
      <c r="AT655" s="592"/>
      <c r="AU655" s="592"/>
      <c r="AV655" s="592"/>
      <c r="AW655" s="592"/>
      <c r="AX655" s="592"/>
      <c r="AY655" s="592"/>
      <c r="AZ655" s="592"/>
      <c r="BA655" s="617"/>
      <c r="BB655" s="592"/>
      <c r="BC655" s="592"/>
      <c r="BD655" s="592"/>
      <c r="BE655" s="592"/>
      <c r="BF655" s="592"/>
      <c r="BG655" s="358"/>
      <c r="BH655" s="592"/>
      <c r="BI655" s="592"/>
      <c r="BJ655" s="592"/>
      <c r="BK655" s="592"/>
      <c r="BL655" s="592"/>
      <c r="BM655" s="592"/>
      <c r="BN655" s="592"/>
      <c r="BO655" s="592"/>
      <c r="BP655" s="592"/>
      <c r="BQ655" s="594"/>
      <c r="BR655" s="594"/>
      <c r="BS655" s="394"/>
      <c r="BT655" s="594"/>
      <c r="BU655" s="594"/>
      <c r="BV655" s="594"/>
      <c r="BW655" s="618"/>
      <c r="BX655" s="644"/>
      <c r="BY655" s="644"/>
    </row>
    <row r="656" ht="25.5" customHeight="1">
      <c r="A656" s="635"/>
      <c r="B656" s="695"/>
      <c r="C656" s="642"/>
      <c r="D656" s="642"/>
      <c r="E656" s="696"/>
      <c r="F656" s="696"/>
      <c r="G656" s="621"/>
      <c r="H656" s="577"/>
      <c r="I656" s="577"/>
      <c r="J656" s="613"/>
      <c r="K656" s="581"/>
      <c r="L656" s="581"/>
      <c r="M656" s="613"/>
      <c r="N656" s="613"/>
      <c r="O656" s="613"/>
      <c r="P656" s="580"/>
      <c r="Q656" s="580"/>
      <c r="R656" s="581"/>
      <c r="S656" s="581"/>
      <c r="T656" s="581"/>
      <c r="U656" s="582"/>
      <c r="V656" s="614"/>
      <c r="W656" s="581"/>
      <c r="X656" s="615"/>
      <c r="Y656" s="613"/>
      <c r="Z656" s="580"/>
      <c r="AA656" s="634"/>
      <c r="AB656" s="577"/>
      <c r="AC656" s="673"/>
      <c r="AD656" s="634"/>
      <c r="AE656" s="587"/>
      <c r="AF656" s="587"/>
      <c r="AG656" s="582"/>
      <c r="AH656" s="582"/>
      <c r="AI656" s="582"/>
      <c r="AJ656" s="582"/>
      <c r="AK656" s="588"/>
      <c r="AL656" s="582"/>
      <c r="AM656" s="582"/>
      <c r="AN656" s="589"/>
      <c r="AO656" s="616"/>
      <c r="AP656" s="592"/>
      <c r="AQ656" s="358"/>
      <c r="AR656" s="592"/>
      <c r="AS656" s="592"/>
      <c r="AT656" s="592"/>
      <c r="AU656" s="592"/>
      <c r="AV656" s="592"/>
      <c r="AW656" s="592"/>
      <c r="AX656" s="592"/>
      <c r="AY656" s="592"/>
      <c r="AZ656" s="592"/>
      <c r="BA656" s="617"/>
      <c r="BB656" s="592"/>
      <c r="BC656" s="592"/>
      <c r="BD656" s="592"/>
      <c r="BE656" s="592"/>
      <c r="BF656" s="592"/>
      <c r="BG656" s="358"/>
      <c r="BH656" s="592"/>
      <c r="BI656" s="592"/>
      <c r="BJ656" s="592"/>
      <c r="BK656" s="592"/>
      <c r="BL656" s="592"/>
      <c r="BM656" s="592"/>
      <c r="BN656" s="592"/>
      <c r="BO656" s="592"/>
      <c r="BP656" s="592"/>
      <c r="BQ656" s="594"/>
      <c r="BR656" s="594"/>
      <c r="BS656" s="394"/>
      <c r="BT656" s="594"/>
      <c r="BU656" s="594"/>
      <c r="BV656" s="594"/>
      <c r="BW656" s="618"/>
      <c r="BX656" s="644"/>
      <c r="BY656" s="644"/>
    </row>
    <row r="657" ht="25.5" customHeight="1">
      <c r="A657" s="635"/>
      <c r="B657" s="695"/>
      <c r="C657" s="642"/>
      <c r="D657" s="642"/>
      <c r="E657" s="696"/>
      <c r="F657" s="696"/>
      <c r="G657" s="621"/>
      <c r="H657" s="577"/>
      <c r="I657" s="577"/>
      <c r="J657" s="613"/>
      <c r="K657" s="581"/>
      <c r="L657" s="581"/>
      <c r="M657" s="613"/>
      <c r="N657" s="613"/>
      <c r="O657" s="613"/>
      <c r="P657" s="580"/>
      <c r="Q657" s="580"/>
      <c r="R657" s="581"/>
      <c r="S657" s="581"/>
      <c r="T657" s="581"/>
      <c r="U657" s="582"/>
      <c r="V657" s="614"/>
      <c r="W657" s="581"/>
      <c r="X657" s="615"/>
      <c r="Y657" s="613"/>
      <c r="Z657" s="580"/>
      <c r="AA657" s="634"/>
      <c r="AB657" s="577"/>
      <c r="AC657" s="673"/>
      <c r="AD657" s="634"/>
      <c r="AE657" s="587"/>
      <c r="AF657" s="587"/>
      <c r="AG657" s="582"/>
      <c r="AH657" s="582"/>
      <c r="AI657" s="582"/>
      <c r="AJ657" s="582"/>
      <c r="AK657" s="588"/>
      <c r="AL657" s="582"/>
      <c r="AM657" s="582"/>
      <c r="AN657" s="589"/>
      <c r="AO657" s="616"/>
      <c r="AP657" s="592"/>
      <c r="AQ657" s="358"/>
      <c r="AR657" s="592"/>
      <c r="AS657" s="592"/>
      <c r="AT657" s="592"/>
      <c r="AU657" s="592"/>
      <c r="AV657" s="592"/>
      <c r="AW657" s="592"/>
      <c r="AX657" s="592"/>
      <c r="AY657" s="592"/>
      <c r="AZ657" s="592"/>
      <c r="BA657" s="617"/>
      <c r="BB657" s="592"/>
      <c r="BC657" s="592"/>
      <c r="BD657" s="592"/>
      <c r="BE657" s="592"/>
      <c r="BF657" s="592"/>
      <c r="BG657" s="358"/>
      <c r="BH657" s="592"/>
      <c r="BI657" s="592"/>
      <c r="BJ657" s="592"/>
      <c r="BK657" s="592"/>
      <c r="BL657" s="592"/>
      <c r="BM657" s="592"/>
      <c r="BN657" s="592"/>
      <c r="BO657" s="592"/>
      <c r="BP657" s="592"/>
      <c r="BQ657" s="594"/>
      <c r="BR657" s="594"/>
      <c r="BS657" s="394"/>
      <c r="BT657" s="594"/>
      <c r="BU657" s="594"/>
      <c r="BV657" s="594"/>
      <c r="BW657" s="618"/>
      <c r="BX657" s="644"/>
      <c r="BY657" s="644"/>
    </row>
    <row r="658" ht="25.5" customHeight="1">
      <c r="A658" s="635"/>
      <c r="B658" s="695"/>
      <c r="C658" s="642"/>
      <c r="D658" s="642"/>
      <c r="E658" s="696"/>
      <c r="F658" s="696"/>
      <c r="G658" s="621"/>
      <c r="H658" s="577"/>
      <c r="I658" s="577"/>
      <c r="J658" s="613"/>
      <c r="K658" s="581"/>
      <c r="L658" s="581"/>
      <c r="M658" s="613"/>
      <c r="N658" s="613"/>
      <c r="O658" s="613"/>
      <c r="P658" s="580"/>
      <c r="Q658" s="580"/>
      <c r="R658" s="581"/>
      <c r="S658" s="581"/>
      <c r="T658" s="581"/>
      <c r="U658" s="582"/>
      <c r="V658" s="614"/>
      <c r="W658" s="581"/>
      <c r="X658" s="615"/>
      <c r="Y658" s="613"/>
      <c r="Z658" s="580"/>
      <c r="AA658" s="634"/>
      <c r="AB658" s="577"/>
      <c r="AC658" s="673"/>
      <c r="AD658" s="634"/>
      <c r="AE658" s="587"/>
      <c r="AF658" s="587"/>
      <c r="AG658" s="582"/>
      <c r="AH658" s="582"/>
      <c r="AI658" s="582"/>
      <c r="AJ658" s="582"/>
      <c r="AK658" s="588"/>
      <c r="AL658" s="582"/>
      <c r="AM658" s="582"/>
      <c r="AN658" s="589"/>
      <c r="AO658" s="616"/>
      <c r="AP658" s="592"/>
      <c r="AQ658" s="358"/>
      <c r="AR658" s="592"/>
      <c r="AS658" s="592"/>
      <c r="AT658" s="592"/>
      <c r="AU658" s="592"/>
      <c r="AV658" s="592"/>
      <c r="AW658" s="592"/>
      <c r="AX658" s="592"/>
      <c r="AY658" s="592"/>
      <c r="AZ658" s="592"/>
      <c r="BA658" s="617"/>
      <c r="BB658" s="592"/>
      <c r="BC658" s="592"/>
      <c r="BD658" s="592"/>
      <c r="BE658" s="592"/>
      <c r="BF658" s="592"/>
      <c r="BG658" s="358"/>
      <c r="BH658" s="592"/>
      <c r="BI658" s="592"/>
      <c r="BJ658" s="592"/>
      <c r="BK658" s="592"/>
      <c r="BL658" s="592"/>
      <c r="BM658" s="592"/>
      <c r="BN658" s="592"/>
      <c r="BO658" s="592"/>
      <c r="BP658" s="592"/>
      <c r="BQ658" s="594"/>
      <c r="BR658" s="594"/>
      <c r="BS658" s="394"/>
      <c r="BT658" s="594"/>
      <c r="BU658" s="594"/>
      <c r="BV658" s="594"/>
      <c r="BW658" s="618"/>
      <c r="BX658" s="644"/>
      <c r="BY658" s="644"/>
    </row>
    <row r="659" ht="25.5" customHeight="1">
      <c r="A659" s="635"/>
      <c r="B659" s="695"/>
      <c r="C659" s="642"/>
      <c r="D659" s="642"/>
      <c r="E659" s="696"/>
      <c r="F659" s="696"/>
      <c r="G659" s="621"/>
      <c r="H659" s="577"/>
      <c r="I659" s="577"/>
      <c r="J659" s="613"/>
      <c r="K659" s="581"/>
      <c r="L659" s="581"/>
      <c r="M659" s="613"/>
      <c r="N659" s="613"/>
      <c r="O659" s="613"/>
      <c r="P659" s="580"/>
      <c r="Q659" s="580"/>
      <c r="R659" s="581"/>
      <c r="S659" s="581"/>
      <c r="T659" s="581"/>
      <c r="U659" s="582"/>
      <c r="V659" s="614"/>
      <c r="W659" s="581"/>
      <c r="X659" s="615"/>
      <c r="Y659" s="613"/>
      <c r="Z659" s="580"/>
      <c r="AA659" s="634"/>
      <c r="AB659" s="577"/>
      <c r="AC659" s="673"/>
      <c r="AD659" s="634"/>
      <c r="AE659" s="587"/>
      <c r="AF659" s="587"/>
      <c r="AG659" s="582"/>
      <c r="AH659" s="582"/>
      <c r="AI659" s="582"/>
      <c r="AJ659" s="582"/>
      <c r="AK659" s="588"/>
      <c r="AL659" s="582"/>
      <c r="AM659" s="582"/>
      <c r="AN659" s="589"/>
      <c r="AO659" s="616"/>
      <c r="AP659" s="592"/>
      <c r="AQ659" s="358"/>
      <c r="AR659" s="592"/>
      <c r="AS659" s="592"/>
      <c r="AT659" s="592"/>
      <c r="AU659" s="592"/>
      <c r="AV659" s="592"/>
      <c r="AW659" s="592"/>
      <c r="AX659" s="592"/>
      <c r="AY659" s="592"/>
      <c r="AZ659" s="592"/>
      <c r="BA659" s="617"/>
      <c r="BB659" s="592"/>
      <c r="BC659" s="592"/>
      <c r="BD659" s="592"/>
      <c r="BE659" s="592"/>
      <c r="BF659" s="592"/>
      <c r="BG659" s="358"/>
      <c r="BH659" s="592"/>
      <c r="BI659" s="592"/>
      <c r="BJ659" s="592"/>
      <c r="BK659" s="592"/>
      <c r="BL659" s="592"/>
      <c r="BM659" s="592"/>
      <c r="BN659" s="592"/>
      <c r="BO659" s="592"/>
      <c r="BP659" s="592"/>
      <c r="BQ659" s="594"/>
      <c r="BR659" s="594"/>
      <c r="BS659" s="394"/>
      <c r="BT659" s="594"/>
      <c r="BU659" s="594"/>
      <c r="BV659" s="594"/>
      <c r="BW659" s="618"/>
      <c r="BX659" s="644"/>
      <c r="BY659" s="644"/>
    </row>
    <row r="660" ht="25.5" customHeight="1">
      <c r="A660" s="635"/>
      <c r="B660" s="695"/>
      <c r="C660" s="642"/>
      <c r="D660" s="642"/>
      <c r="E660" s="696"/>
      <c r="F660" s="696"/>
      <c r="G660" s="621"/>
      <c r="H660" s="577"/>
      <c r="I660" s="577"/>
      <c r="J660" s="613"/>
      <c r="K660" s="581"/>
      <c r="L660" s="581"/>
      <c r="M660" s="613"/>
      <c r="N660" s="613"/>
      <c r="O660" s="613"/>
      <c r="P660" s="580"/>
      <c r="Q660" s="580"/>
      <c r="R660" s="581"/>
      <c r="S660" s="581"/>
      <c r="T660" s="581"/>
      <c r="U660" s="582"/>
      <c r="V660" s="614"/>
      <c r="W660" s="581"/>
      <c r="X660" s="615"/>
      <c r="Y660" s="613"/>
      <c r="Z660" s="580"/>
      <c r="AA660" s="634"/>
      <c r="AB660" s="577"/>
      <c r="AC660" s="673"/>
      <c r="AD660" s="634"/>
      <c r="AE660" s="587"/>
      <c r="AF660" s="587"/>
      <c r="AG660" s="582"/>
      <c r="AH660" s="582"/>
      <c r="AI660" s="582"/>
      <c r="AJ660" s="582"/>
      <c r="AK660" s="588"/>
      <c r="AL660" s="582"/>
      <c r="AM660" s="582"/>
      <c r="AN660" s="589"/>
      <c r="AO660" s="616"/>
      <c r="AP660" s="592"/>
      <c r="AQ660" s="358"/>
      <c r="AR660" s="592"/>
      <c r="AS660" s="592"/>
      <c r="AT660" s="592"/>
      <c r="AU660" s="592"/>
      <c r="AV660" s="592"/>
      <c r="AW660" s="592"/>
      <c r="AX660" s="592"/>
      <c r="AY660" s="592"/>
      <c r="AZ660" s="592"/>
      <c r="BA660" s="617"/>
      <c r="BB660" s="592"/>
      <c r="BC660" s="592"/>
      <c r="BD660" s="592"/>
      <c r="BE660" s="592"/>
      <c r="BF660" s="592"/>
      <c r="BG660" s="358"/>
      <c r="BH660" s="592"/>
      <c r="BI660" s="592"/>
      <c r="BJ660" s="592"/>
      <c r="BK660" s="592"/>
      <c r="BL660" s="592"/>
      <c r="BM660" s="592"/>
      <c r="BN660" s="592"/>
      <c r="BO660" s="592"/>
      <c r="BP660" s="592"/>
      <c r="BQ660" s="594"/>
      <c r="BR660" s="594"/>
      <c r="BS660" s="394"/>
      <c r="BT660" s="594"/>
      <c r="BU660" s="594"/>
      <c r="BV660" s="594"/>
      <c r="BW660" s="618"/>
      <c r="BX660" s="644"/>
      <c r="BY660" s="644"/>
    </row>
    <row r="661" ht="25.5" customHeight="1">
      <c r="A661" s="635"/>
      <c r="B661" s="695"/>
      <c r="C661" s="642"/>
      <c r="D661" s="642"/>
      <c r="E661" s="696"/>
      <c r="F661" s="696"/>
      <c r="G661" s="621"/>
      <c r="H661" s="577"/>
      <c r="I661" s="577"/>
      <c r="J661" s="613"/>
      <c r="K661" s="581"/>
      <c r="L661" s="581"/>
      <c r="M661" s="613"/>
      <c r="N661" s="613"/>
      <c r="O661" s="613"/>
      <c r="P661" s="580"/>
      <c r="Q661" s="580"/>
      <c r="R661" s="581"/>
      <c r="S661" s="581"/>
      <c r="T661" s="581"/>
      <c r="U661" s="582"/>
      <c r="V661" s="614"/>
      <c r="W661" s="581"/>
      <c r="X661" s="615"/>
      <c r="Y661" s="613"/>
      <c r="Z661" s="580"/>
      <c r="AA661" s="634"/>
      <c r="AB661" s="577"/>
      <c r="AC661" s="673"/>
      <c r="AD661" s="634"/>
      <c r="AE661" s="587"/>
      <c r="AF661" s="587"/>
      <c r="AG661" s="582"/>
      <c r="AH661" s="582"/>
      <c r="AI661" s="582"/>
      <c r="AJ661" s="582"/>
      <c r="AK661" s="588"/>
      <c r="AL661" s="582"/>
      <c r="AM661" s="582"/>
      <c r="AN661" s="589"/>
      <c r="AO661" s="616"/>
      <c r="AP661" s="592"/>
      <c r="AQ661" s="358"/>
      <c r="AR661" s="592"/>
      <c r="AS661" s="592"/>
      <c r="AT661" s="592"/>
      <c r="AU661" s="592"/>
      <c r="AV661" s="592"/>
      <c r="AW661" s="592"/>
      <c r="AX661" s="592"/>
      <c r="AY661" s="592"/>
      <c r="AZ661" s="592"/>
      <c r="BA661" s="617"/>
      <c r="BB661" s="592"/>
      <c r="BC661" s="592"/>
      <c r="BD661" s="592"/>
      <c r="BE661" s="592"/>
      <c r="BF661" s="592"/>
      <c r="BG661" s="358"/>
      <c r="BH661" s="592"/>
      <c r="BI661" s="592"/>
      <c r="BJ661" s="592"/>
      <c r="BK661" s="592"/>
      <c r="BL661" s="592"/>
      <c r="BM661" s="592"/>
      <c r="BN661" s="592"/>
      <c r="BO661" s="592"/>
      <c r="BP661" s="592"/>
      <c r="BQ661" s="594"/>
      <c r="BR661" s="594"/>
      <c r="BS661" s="394"/>
      <c r="BT661" s="594"/>
      <c r="BU661" s="594"/>
      <c r="BV661" s="594"/>
      <c r="BW661" s="618"/>
      <c r="BX661" s="644"/>
      <c r="BY661" s="644"/>
    </row>
    <row r="662" ht="25.5" customHeight="1">
      <c r="A662" s="635"/>
      <c r="B662" s="695"/>
      <c r="C662" s="642"/>
      <c r="D662" s="642"/>
      <c r="E662" s="696"/>
      <c r="F662" s="696"/>
      <c r="G662" s="621"/>
      <c r="H662" s="577"/>
      <c r="I662" s="577"/>
      <c r="J662" s="613"/>
      <c r="K662" s="581"/>
      <c r="L662" s="581"/>
      <c r="M662" s="613"/>
      <c r="N662" s="613"/>
      <c r="O662" s="613"/>
      <c r="P662" s="580"/>
      <c r="Q662" s="580"/>
      <c r="R662" s="581"/>
      <c r="S662" s="581"/>
      <c r="T662" s="581"/>
      <c r="U662" s="582"/>
      <c r="V662" s="614"/>
      <c r="W662" s="581"/>
      <c r="X662" s="615"/>
      <c r="Y662" s="613"/>
      <c r="Z662" s="580"/>
      <c r="AA662" s="634"/>
      <c r="AB662" s="577"/>
      <c r="AC662" s="673"/>
      <c r="AD662" s="634"/>
      <c r="AE662" s="587"/>
      <c r="AF662" s="587"/>
      <c r="AG662" s="582"/>
      <c r="AH662" s="582"/>
      <c r="AI662" s="582"/>
      <c r="AJ662" s="582"/>
      <c r="AK662" s="588"/>
      <c r="AL662" s="582"/>
      <c r="AM662" s="582"/>
      <c r="AN662" s="589"/>
      <c r="AO662" s="616"/>
      <c r="AP662" s="592"/>
      <c r="AQ662" s="358"/>
      <c r="AR662" s="592"/>
      <c r="AS662" s="592"/>
      <c r="AT662" s="592"/>
      <c r="AU662" s="592"/>
      <c r="AV662" s="592"/>
      <c r="AW662" s="592"/>
      <c r="AX662" s="592"/>
      <c r="AY662" s="592"/>
      <c r="AZ662" s="592"/>
      <c r="BA662" s="617"/>
      <c r="BB662" s="592"/>
      <c r="BC662" s="592"/>
      <c r="BD662" s="592"/>
      <c r="BE662" s="592"/>
      <c r="BF662" s="592"/>
      <c r="BG662" s="358"/>
      <c r="BH662" s="592"/>
      <c r="BI662" s="592"/>
      <c r="BJ662" s="592"/>
      <c r="BK662" s="592"/>
      <c r="BL662" s="592"/>
      <c r="BM662" s="592"/>
      <c r="BN662" s="592"/>
      <c r="BO662" s="592"/>
      <c r="BP662" s="592"/>
      <c r="BQ662" s="594"/>
      <c r="BR662" s="594"/>
      <c r="BS662" s="394"/>
      <c r="BT662" s="594"/>
      <c r="BU662" s="594"/>
      <c r="BV662" s="594"/>
      <c r="BW662" s="618"/>
      <c r="BX662" s="644"/>
      <c r="BY662" s="644"/>
    </row>
    <row r="663" ht="25.5" customHeight="1">
      <c r="A663" s="635"/>
      <c r="B663" s="695"/>
      <c r="C663" s="642"/>
      <c r="D663" s="642"/>
      <c r="E663" s="696"/>
      <c r="F663" s="696"/>
      <c r="G663" s="621"/>
      <c r="H663" s="577"/>
      <c r="I663" s="577"/>
      <c r="J663" s="613"/>
      <c r="K663" s="581"/>
      <c r="L663" s="581"/>
      <c r="M663" s="613"/>
      <c r="N663" s="613"/>
      <c r="O663" s="613"/>
      <c r="P663" s="580"/>
      <c r="Q663" s="580"/>
      <c r="R663" s="581"/>
      <c r="S663" s="581"/>
      <c r="T663" s="581"/>
      <c r="U663" s="582"/>
      <c r="V663" s="614"/>
      <c r="W663" s="581"/>
      <c r="X663" s="615"/>
      <c r="Y663" s="613"/>
      <c r="Z663" s="580"/>
      <c r="AA663" s="634"/>
      <c r="AB663" s="577"/>
      <c r="AC663" s="673"/>
      <c r="AD663" s="634"/>
      <c r="AE663" s="587"/>
      <c r="AF663" s="587"/>
      <c r="AG663" s="582"/>
      <c r="AH663" s="582"/>
      <c r="AI663" s="582"/>
      <c r="AJ663" s="582"/>
      <c r="AK663" s="588"/>
      <c r="AL663" s="582"/>
      <c r="AM663" s="582"/>
      <c r="AN663" s="589"/>
      <c r="AO663" s="616"/>
      <c r="AP663" s="592"/>
      <c r="AQ663" s="358"/>
      <c r="AR663" s="592"/>
      <c r="AS663" s="592"/>
      <c r="AT663" s="592"/>
      <c r="AU663" s="592"/>
      <c r="AV663" s="592"/>
      <c r="AW663" s="592"/>
      <c r="AX663" s="592"/>
      <c r="AY663" s="592"/>
      <c r="AZ663" s="592"/>
      <c r="BA663" s="617"/>
      <c r="BB663" s="592"/>
      <c r="BC663" s="592"/>
      <c r="BD663" s="592"/>
      <c r="BE663" s="592"/>
      <c r="BF663" s="592"/>
      <c r="BG663" s="358"/>
      <c r="BH663" s="592"/>
      <c r="BI663" s="592"/>
      <c r="BJ663" s="592"/>
      <c r="BK663" s="592"/>
      <c r="BL663" s="592"/>
      <c r="BM663" s="592"/>
      <c r="BN663" s="592"/>
      <c r="BO663" s="592"/>
      <c r="BP663" s="592"/>
      <c r="BQ663" s="594"/>
      <c r="BR663" s="594"/>
      <c r="BS663" s="394"/>
      <c r="BT663" s="594"/>
      <c r="BU663" s="594"/>
      <c r="BV663" s="594"/>
      <c r="BW663" s="618"/>
      <c r="BX663" s="644"/>
      <c r="BY663" s="644"/>
    </row>
    <row r="664" ht="25.5" customHeight="1">
      <c r="A664" s="635"/>
      <c r="B664" s="695"/>
      <c r="C664" s="642"/>
      <c r="D664" s="642"/>
      <c r="E664" s="696"/>
      <c r="F664" s="696"/>
      <c r="G664" s="621"/>
      <c r="H664" s="577"/>
      <c r="I664" s="577"/>
      <c r="J664" s="613"/>
      <c r="K664" s="581"/>
      <c r="L664" s="581"/>
      <c r="M664" s="613"/>
      <c r="N664" s="613"/>
      <c r="O664" s="613"/>
      <c r="P664" s="580"/>
      <c r="Q664" s="580"/>
      <c r="R664" s="581"/>
      <c r="S664" s="581"/>
      <c r="T664" s="581"/>
      <c r="U664" s="582"/>
      <c r="V664" s="614"/>
      <c r="W664" s="581"/>
      <c r="X664" s="615"/>
      <c r="Y664" s="613"/>
      <c r="Z664" s="580"/>
      <c r="AA664" s="634"/>
      <c r="AB664" s="577"/>
      <c r="AC664" s="673"/>
      <c r="AD664" s="634"/>
      <c r="AE664" s="587"/>
      <c r="AF664" s="587"/>
      <c r="AG664" s="582"/>
      <c r="AH664" s="582"/>
      <c r="AI664" s="582"/>
      <c r="AJ664" s="582"/>
      <c r="AK664" s="588"/>
      <c r="AL664" s="582"/>
      <c r="AM664" s="582"/>
      <c r="AN664" s="589"/>
      <c r="AO664" s="616"/>
      <c r="AP664" s="592"/>
      <c r="AQ664" s="358"/>
      <c r="AR664" s="592"/>
      <c r="AS664" s="592"/>
      <c r="AT664" s="592"/>
      <c r="AU664" s="592"/>
      <c r="AV664" s="592"/>
      <c r="AW664" s="592"/>
      <c r="AX664" s="592"/>
      <c r="AY664" s="592"/>
      <c r="AZ664" s="592"/>
      <c r="BA664" s="617"/>
      <c r="BB664" s="592"/>
      <c r="BC664" s="592"/>
      <c r="BD664" s="592"/>
      <c r="BE664" s="592"/>
      <c r="BF664" s="592"/>
      <c r="BG664" s="358"/>
      <c r="BH664" s="592"/>
      <c r="BI664" s="592"/>
      <c r="BJ664" s="592"/>
      <c r="BK664" s="592"/>
      <c r="BL664" s="592"/>
      <c r="BM664" s="592"/>
      <c r="BN664" s="592"/>
      <c r="BO664" s="592"/>
      <c r="BP664" s="592"/>
      <c r="BQ664" s="594"/>
      <c r="BR664" s="594"/>
      <c r="BS664" s="394"/>
      <c r="BT664" s="594"/>
      <c r="BU664" s="594"/>
      <c r="BV664" s="594"/>
      <c r="BW664" s="618"/>
      <c r="BX664" s="644"/>
      <c r="BY664" s="644"/>
    </row>
    <row r="665" ht="25.5" customHeight="1">
      <c r="A665" s="635"/>
      <c r="B665" s="695"/>
      <c r="C665" s="642"/>
      <c r="D665" s="642"/>
      <c r="E665" s="696"/>
      <c r="F665" s="696"/>
      <c r="G665" s="621"/>
      <c r="H665" s="577"/>
      <c r="I665" s="577"/>
      <c r="J665" s="613"/>
      <c r="K665" s="581"/>
      <c r="L665" s="581"/>
      <c r="M665" s="613"/>
      <c r="N665" s="613"/>
      <c r="O665" s="613"/>
      <c r="P665" s="580"/>
      <c r="Q665" s="580"/>
      <c r="R665" s="581"/>
      <c r="S665" s="581"/>
      <c r="T665" s="581"/>
      <c r="U665" s="582"/>
      <c r="V665" s="614"/>
      <c r="W665" s="581"/>
      <c r="X665" s="615"/>
      <c r="Y665" s="613"/>
      <c r="Z665" s="580"/>
      <c r="AA665" s="634"/>
      <c r="AB665" s="577"/>
      <c r="AC665" s="673"/>
      <c r="AD665" s="634"/>
      <c r="AE665" s="587"/>
      <c r="AF665" s="587"/>
      <c r="AG665" s="582"/>
      <c r="AH665" s="582"/>
      <c r="AI665" s="582"/>
      <c r="AJ665" s="582"/>
      <c r="AK665" s="588"/>
      <c r="AL665" s="582"/>
      <c r="AM665" s="582"/>
      <c r="AN665" s="589"/>
      <c r="AO665" s="616"/>
      <c r="AP665" s="592"/>
      <c r="AQ665" s="358"/>
      <c r="AR665" s="592"/>
      <c r="AS665" s="592"/>
      <c r="AT665" s="592"/>
      <c r="AU665" s="592"/>
      <c r="AV665" s="592"/>
      <c r="AW665" s="592"/>
      <c r="AX665" s="592"/>
      <c r="AY665" s="592"/>
      <c r="AZ665" s="592"/>
      <c r="BA665" s="617"/>
      <c r="BB665" s="592"/>
      <c r="BC665" s="592"/>
      <c r="BD665" s="592"/>
      <c r="BE665" s="592"/>
      <c r="BF665" s="592"/>
      <c r="BG665" s="358"/>
      <c r="BH665" s="592"/>
      <c r="BI665" s="592"/>
      <c r="BJ665" s="592"/>
      <c r="BK665" s="592"/>
      <c r="BL665" s="592"/>
      <c r="BM665" s="592"/>
      <c r="BN665" s="592"/>
      <c r="BO665" s="592"/>
      <c r="BP665" s="592"/>
      <c r="BQ665" s="594"/>
      <c r="BR665" s="594"/>
      <c r="BS665" s="394"/>
      <c r="BT665" s="594"/>
      <c r="BU665" s="594"/>
      <c r="BV665" s="594"/>
      <c r="BW665" s="618"/>
      <c r="BX665" s="644"/>
      <c r="BY665" s="644"/>
    </row>
    <row r="666" ht="25.5" customHeight="1">
      <c r="A666" s="635"/>
      <c r="B666" s="695"/>
      <c r="C666" s="642"/>
      <c r="D666" s="642"/>
      <c r="E666" s="696"/>
      <c r="F666" s="696"/>
      <c r="G666" s="621"/>
      <c r="H666" s="577"/>
      <c r="I666" s="577"/>
      <c r="J666" s="613"/>
      <c r="K666" s="581"/>
      <c r="L666" s="581"/>
      <c r="M666" s="613"/>
      <c r="N666" s="613"/>
      <c r="O666" s="613"/>
      <c r="P666" s="580"/>
      <c r="Q666" s="580"/>
      <c r="R666" s="581"/>
      <c r="S666" s="581"/>
      <c r="T666" s="581"/>
      <c r="U666" s="582"/>
      <c r="V666" s="614"/>
      <c r="W666" s="581"/>
      <c r="X666" s="615"/>
      <c r="Y666" s="613"/>
      <c r="Z666" s="580"/>
      <c r="AA666" s="634"/>
      <c r="AB666" s="577"/>
      <c r="AC666" s="673"/>
      <c r="AD666" s="634"/>
      <c r="AE666" s="587"/>
      <c r="AF666" s="587"/>
      <c r="AG666" s="582"/>
      <c r="AH666" s="582"/>
      <c r="AI666" s="582"/>
      <c r="AJ666" s="582"/>
      <c r="AK666" s="588"/>
      <c r="AL666" s="582"/>
      <c r="AM666" s="582"/>
      <c r="AN666" s="589"/>
      <c r="AO666" s="616"/>
      <c r="AP666" s="592"/>
      <c r="AQ666" s="358"/>
      <c r="AR666" s="592"/>
      <c r="AS666" s="592"/>
      <c r="AT666" s="592"/>
      <c r="AU666" s="592"/>
      <c r="AV666" s="592"/>
      <c r="AW666" s="592"/>
      <c r="AX666" s="592"/>
      <c r="AY666" s="592"/>
      <c r="AZ666" s="592"/>
      <c r="BA666" s="617"/>
      <c r="BB666" s="592"/>
      <c r="BC666" s="592"/>
      <c r="BD666" s="592"/>
      <c r="BE666" s="592"/>
      <c r="BF666" s="592"/>
      <c r="BG666" s="358"/>
      <c r="BH666" s="592"/>
      <c r="BI666" s="592"/>
      <c r="BJ666" s="592"/>
      <c r="BK666" s="592"/>
      <c r="BL666" s="592"/>
      <c r="BM666" s="592"/>
      <c r="BN666" s="592"/>
      <c r="BO666" s="592"/>
      <c r="BP666" s="592"/>
      <c r="BQ666" s="594"/>
      <c r="BR666" s="594"/>
      <c r="BS666" s="394"/>
      <c r="BT666" s="594"/>
      <c r="BU666" s="594"/>
      <c r="BV666" s="594"/>
      <c r="BW666" s="618"/>
      <c r="BX666" s="644"/>
      <c r="BY666" s="644"/>
    </row>
    <row r="667" ht="25.5" customHeight="1">
      <c r="A667" s="635"/>
      <c r="B667" s="695"/>
      <c r="C667" s="642"/>
      <c r="D667" s="642"/>
      <c r="E667" s="696"/>
      <c r="F667" s="696"/>
      <c r="G667" s="621"/>
      <c r="H667" s="577"/>
      <c r="I667" s="577"/>
      <c r="J667" s="613"/>
      <c r="K667" s="581"/>
      <c r="L667" s="581"/>
      <c r="M667" s="613"/>
      <c r="N667" s="613"/>
      <c r="O667" s="613"/>
      <c r="P667" s="580"/>
      <c r="Q667" s="580"/>
      <c r="R667" s="581"/>
      <c r="S667" s="581"/>
      <c r="T667" s="581"/>
      <c r="U667" s="582"/>
      <c r="V667" s="614"/>
      <c r="W667" s="581"/>
      <c r="X667" s="615"/>
      <c r="Y667" s="613"/>
      <c r="Z667" s="580"/>
      <c r="AA667" s="634"/>
      <c r="AB667" s="577"/>
      <c r="AC667" s="673"/>
      <c r="AD667" s="634"/>
      <c r="AE667" s="587"/>
      <c r="AF667" s="587"/>
      <c r="AG667" s="582"/>
      <c r="AH667" s="582"/>
      <c r="AI667" s="582"/>
      <c r="AJ667" s="582"/>
      <c r="AK667" s="588"/>
      <c r="AL667" s="582"/>
      <c r="AM667" s="582"/>
      <c r="AN667" s="589"/>
      <c r="AO667" s="616"/>
      <c r="AP667" s="592"/>
      <c r="AQ667" s="358"/>
      <c r="AR667" s="592"/>
      <c r="AS667" s="592"/>
      <c r="AT667" s="592"/>
      <c r="AU667" s="592"/>
      <c r="AV667" s="592"/>
      <c r="AW667" s="592"/>
      <c r="AX667" s="592"/>
      <c r="AY667" s="592"/>
      <c r="AZ667" s="592"/>
      <c r="BA667" s="617"/>
      <c r="BB667" s="592"/>
      <c r="BC667" s="592"/>
      <c r="BD667" s="592"/>
      <c r="BE667" s="592"/>
      <c r="BF667" s="592"/>
      <c r="BG667" s="358"/>
      <c r="BH667" s="592"/>
      <c r="BI667" s="592"/>
      <c r="BJ667" s="592"/>
      <c r="BK667" s="592"/>
      <c r="BL667" s="592"/>
      <c r="BM667" s="592"/>
      <c r="BN667" s="592"/>
      <c r="BO667" s="592"/>
      <c r="BP667" s="592"/>
      <c r="BQ667" s="594"/>
      <c r="BR667" s="594"/>
      <c r="BS667" s="394"/>
      <c r="BT667" s="594"/>
      <c r="BU667" s="594"/>
      <c r="BV667" s="594"/>
      <c r="BW667" s="618"/>
      <c r="BX667" s="644"/>
      <c r="BY667" s="644"/>
    </row>
    <row r="668" ht="25.5" customHeight="1">
      <c r="A668" s="635"/>
      <c r="B668" s="695"/>
      <c r="C668" s="642"/>
      <c r="D668" s="642"/>
      <c r="E668" s="696"/>
      <c r="F668" s="696"/>
      <c r="G668" s="621"/>
      <c r="H668" s="577"/>
      <c r="I668" s="577"/>
      <c r="J668" s="613"/>
      <c r="K668" s="581"/>
      <c r="L668" s="581"/>
      <c r="M668" s="613"/>
      <c r="N668" s="613"/>
      <c r="O668" s="613"/>
      <c r="P668" s="580"/>
      <c r="Q668" s="580"/>
      <c r="R668" s="581"/>
      <c r="S668" s="581"/>
      <c r="T668" s="581"/>
      <c r="U668" s="582"/>
      <c r="V668" s="614"/>
      <c r="W668" s="581"/>
      <c r="X668" s="615"/>
      <c r="Y668" s="613"/>
      <c r="Z668" s="580"/>
      <c r="AA668" s="634"/>
      <c r="AB668" s="577"/>
      <c r="AC668" s="673"/>
      <c r="AD668" s="634"/>
      <c r="AE668" s="587"/>
      <c r="AF668" s="587"/>
      <c r="AG668" s="582"/>
      <c r="AH668" s="582"/>
      <c r="AI668" s="582"/>
      <c r="AJ668" s="582"/>
      <c r="AK668" s="588"/>
      <c r="AL668" s="582"/>
      <c r="AM668" s="582"/>
      <c r="AN668" s="589"/>
      <c r="AO668" s="616"/>
      <c r="AP668" s="592"/>
      <c r="AQ668" s="358"/>
      <c r="AR668" s="592"/>
      <c r="AS668" s="592"/>
      <c r="AT668" s="592"/>
      <c r="AU668" s="592"/>
      <c r="AV668" s="592"/>
      <c r="AW668" s="592"/>
      <c r="AX668" s="592"/>
      <c r="AY668" s="592"/>
      <c r="AZ668" s="592"/>
      <c r="BA668" s="617"/>
      <c r="BB668" s="592"/>
      <c r="BC668" s="592"/>
      <c r="BD668" s="592"/>
      <c r="BE668" s="592"/>
      <c r="BF668" s="592"/>
      <c r="BG668" s="358"/>
      <c r="BH668" s="592"/>
      <c r="BI668" s="592"/>
      <c r="BJ668" s="592"/>
      <c r="BK668" s="592"/>
      <c r="BL668" s="592"/>
      <c r="BM668" s="592"/>
      <c r="BN668" s="592"/>
      <c r="BO668" s="592"/>
      <c r="BP668" s="592"/>
      <c r="BQ668" s="594"/>
      <c r="BR668" s="594"/>
      <c r="BS668" s="394"/>
      <c r="BT668" s="594"/>
      <c r="BU668" s="594"/>
      <c r="BV668" s="594"/>
      <c r="BW668" s="618"/>
      <c r="BX668" s="644"/>
      <c r="BY668" s="644"/>
    </row>
    <row r="669" ht="25.5" customHeight="1">
      <c r="A669" s="635"/>
      <c r="B669" s="695"/>
      <c r="C669" s="642"/>
      <c r="D669" s="642"/>
      <c r="E669" s="696"/>
      <c r="F669" s="696"/>
      <c r="G669" s="621"/>
      <c r="H669" s="577"/>
      <c r="I669" s="577"/>
      <c r="J669" s="613"/>
      <c r="K669" s="581"/>
      <c r="L669" s="581"/>
      <c r="M669" s="613"/>
      <c r="N669" s="613"/>
      <c r="O669" s="613"/>
      <c r="P669" s="580"/>
      <c r="Q669" s="580"/>
      <c r="R669" s="581"/>
      <c r="S669" s="581"/>
      <c r="T669" s="581"/>
      <c r="U669" s="582"/>
      <c r="V669" s="614"/>
      <c r="W669" s="581"/>
      <c r="X669" s="615"/>
      <c r="Y669" s="613"/>
      <c r="Z669" s="580"/>
      <c r="AA669" s="634"/>
      <c r="AB669" s="577"/>
      <c r="AC669" s="673"/>
      <c r="AD669" s="634"/>
      <c r="AE669" s="587"/>
      <c r="AF669" s="587"/>
      <c r="AG669" s="582"/>
      <c r="AH669" s="582"/>
      <c r="AI669" s="582"/>
      <c r="AJ669" s="582"/>
      <c r="AK669" s="588"/>
      <c r="AL669" s="582"/>
      <c r="AM669" s="582"/>
      <c r="AN669" s="589"/>
      <c r="AO669" s="616"/>
      <c r="AP669" s="592"/>
      <c r="AQ669" s="358"/>
      <c r="AR669" s="592"/>
      <c r="AS669" s="592"/>
      <c r="AT669" s="592"/>
      <c r="AU669" s="592"/>
      <c r="AV669" s="592"/>
      <c r="AW669" s="592"/>
      <c r="AX669" s="592"/>
      <c r="AY669" s="592"/>
      <c r="AZ669" s="592"/>
      <c r="BA669" s="617"/>
      <c r="BB669" s="592"/>
      <c r="BC669" s="592"/>
      <c r="BD669" s="592"/>
      <c r="BE669" s="592"/>
      <c r="BF669" s="592"/>
      <c r="BG669" s="358"/>
      <c r="BH669" s="592"/>
      <c r="BI669" s="592"/>
      <c r="BJ669" s="592"/>
      <c r="BK669" s="592"/>
      <c r="BL669" s="592"/>
      <c r="BM669" s="592"/>
      <c r="BN669" s="592"/>
      <c r="BO669" s="592"/>
      <c r="BP669" s="592"/>
      <c r="BQ669" s="594"/>
      <c r="BR669" s="594"/>
      <c r="BS669" s="394"/>
      <c r="BT669" s="594"/>
      <c r="BU669" s="594"/>
      <c r="BV669" s="594"/>
      <c r="BW669" s="618"/>
      <c r="BX669" s="644"/>
      <c r="BY669" s="644"/>
    </row>
    <row r="670" ht="25.5" customHeight="1">
      <c r="A670" s="635"/>
      <c r="B670" s="695"/>
      <c r="C670" s="642"/>
      <c r="D670" s="642"/>
      <c r="E670" s="696"/>
      <c r="F670" s="696"/>
      <c r="G670" s="621"/>
      <c r="H670" s="577"/>
      <c r="I670" s="577"/>
      <c r="J670" s="613"/>
      <c r="K670" s="581"/>
      <c r="L670" s="581"/>
      <c r="M670" s="613"/>
      <c r="N670" s="613"/>
      <c r="O670" s="613"/>
      <c r="P670" s="580"/>
      <c r="Q670" s="580"/>
      <c r="R670" s="581"/>
      <c r="S670" s="581"/>
      <c r="T670" s="581"/>
      <c r="U670" s="582"/>
      <c r="V670" s="614"/>
      <c r="W670" s="581"/>
      <c r="X670" s="615"/>
      <c r="Y670" s="613"/>
      <c r="Z670" s="580"/>
      <c r="AA670" s="634"/>
      <c r="AB670" s="577"/>
      <c r="AC670" s="673"/>
      <c r="AD670" s="634"/>
      <c r="AE670" s="587"/>
      <c r="AF670" s="587"/>
      <c r="AG670" s="582"/>
      <c r="AH670" s="582"/>
      <c r="AI670" s="582"/>
      <c r="AJ670" s="582"/>
      <c r="AK670" s="588"/>
      <c r="AL670" s="582"/>
      <c r="AM670" s="582"/>
      <c r="AN670" s="589"/>
      <c r="AO670" s="616"/>
      <c r="AP670" s="592"/>
      <c r="AQ670" s="358"/>
      <c r="AR670" s="592"/>
      <c r="AS670" s="592"/>
      <c r="AT670" s="592"/>
      <c r="AU670" s="592"/>
      <c r="AV670" s="592"/>
      <c r="AW670" s="592"/>
      <c r="AX670" s="592"/>
      <c r="AY670" s="592"/>
      <c r="AZ670" s="592"/>
      <c r="BA670" s="617"/>
      <c r="BB670" s="592"/>
      <c r="BC670" s="592"/>
      <c r="BD670" s="592"/>
      <c r="BE670" s="592"/>
      <c r="BF670" s="592"/>
      <c r="BG670" s="358"/>
      <c r="BH670" s="592"/>
      <c r="BI670" s="592"/>
      <c r="BJ670" s="592"/>
      <c r="BK670" s="592"/>
      <c r="BL670" s="592"/>
      <c r="BM670" s="592"/>
      <c r="BN670" s="592"/>
      <c r="BO670" s="592"/>
      <c r="BP670" s="592"/>
      <c r="BQ670" s="594"/>
      <c r="BR670" s="594"/>
      <c r="BS670" s="394"/>
      <c r="BT670" s="594"/>
      <c r="BU670" s="594"/>
      <c r="BV670" s="594"/>
      <c r="BW670" s="618"/>
      <c r="BX670" s="644"/>
      <c r="BY670" s="644"/>
    </row>
    <row r="671" ht="25.5" customHeight="1">
      <c r="A671" s="635"/>
      <c r="B671" s="695"/>
      <c r="C671" s="642"/>
      <c r="D671" s="642"/>
      <c r="E671" s="696"/>
      <c r="F671" s="696"/>
      <c r="G671" s="621"/>
      <c r="H671" s="577"/>
      <c r="I671" s="577"/>
      <c r="J671" s="613"/>
      <c r="K671" s="581"/>
      <c r="L671" s="581"/>
      <c r="M671" s="613"/>
      <c r="N671" s="613"/>
      <c r="O671" s="613"/>
      <c r="P671" s="580"/>
      <c r="Q671" s="580"/>
      <c r="R671" s="581"/>
      <c r="S671" s="581"/>
      <c r="T671" s="581"/>
      <c r="U671" s="582"/>
      <c r="V671" s="614"/>
      <c r="W671" s="581"/>
      <c r="X671" s="615"/>
      <c r="Y671" s="613"/>
      <c r="Z671" s="580"/>
      <c r="AA671" s="634"/>
      <c r="AB671" s="577"/>
      <c r="AC671" s="673"/>
      <c r="AD671" s="634"/>
      <c r="AE671" s="587"/>
      <c r="AF671" s="587"/>
      <c r="AG671" s="582"/>
      <c r="AH671" s="582"/>
      <c r="AI671" s="582"/>
      <c r="AJ671" s="582"/>
      <c r="AK671" s="588"/>
      <c r="AL671" s="582"/>
      <c r="AM671" s="582"/>
      <c r="AN671" s="589"/>
      <c r="AO671" s="616"/>
      <c r="AP671" s="592"/>
      <c r="AQ671" s="358"/>
      <c r="AR671" s="592"/>
      <c r="AS671" s="592"/>
      <c r="AT671" s="592"/>
      <c r="AU671" s="592"/>
      <c r="AV671" s="592"/>
      <c r="AW671" s="592"/>
      <c r="AX671" s="592"/>
      <c r="AY671" s="592"/>
      <c r="AZ671" s="592"/>
      <c r="BA671" s="617"/>
      <c r="BB671" s="592"/>
      <c r="BC671" s="592"/>
      <c r="BD671" s="592"/>
      <c r="BE671" s="592"/>
      <c r="BF671" s="592"/>
      <c r="BG671" s="358"/>
      <c r="BH671" s="592"/>
      <c r="BI671" s="592"/>
      <c r="BJ671" s="592"/>
      <c r="BK671" s="592"/>
      <c r="BL671" s="592"/>
      <c r="BM671" s="592"/>
      <c r="BN671" s="592"/>
      <c r="BO671" s="592"/>
      <c r="BP671" s="592"/>
      <c r="BQ671" s="594"/>
      <c r="BR671" s="594"/>
      <c r="BS671" s="394"/>
      <c r="BT671" s="594"/>
      <c r="BU671" s="594"/>
      <c r="BV671" s="594"/>
      <c r="BW671" s="618"/>
      <c r="BX671" s="644"/>
      <c r="BY671" s="644"/>
    </row>
    <row r="672" ht="25.5" customHeight="1">
      <c r="A672" s="635"/>
      <c r="B672" s="695"/>
      <c r="C672" s="642"/>
      <c r="D672" s="642"/>
      <c r="E672" s="696"/>
      <c r="F672" s="696"/>
      <c r="G672" s="621"/>
      <c r="H672" s="577"/>
      <c r="I672" s="577"/>
      <c r="J672" s="613"/>
      <c r="K672" s="581"/>
      <c r="L672" s="581"/>
      <c r="M672" s="613"/>
      <c r="N672" s="613"/>
      <c r="O672" s="613"/>
      <c r="P672" s="580"/>
      <c r="Q672" s="580"/>
      <c r="R672" s="581"/>
      <c r="S672" s="581"/>
      <c r="T672" s="581"/>
      <c r="U672" s="582"/>
      <c r="V672" s="614"/>
      <c r="W672" s="581"/>
      <c r="X672" s="615"/>
      <c r="Y672" s="613"/>
      <c r="Z672" s="580"/>
      <c r="AA672" s="634"/>
      <c r="AB672" s="577"/>
      <c r="AC672" s="673"/>
      <c r="AD672" s="634"/>
      <c r="AE672" s="587"/>
      <c r="AF672" s="587"/>
      <c r="AG672" s="582"/>
      <c r="AH672" s="582"/>
      <c r="AI672" s="582"/>
      <c r="AJ672" s="582"/>
      <c r="AK672" s="588"/>
      <c r="AL672" s="582"/>
      <c r="AM672" s="582"/>
      <c r="AN672" s="589"/>
      <c r="AO672" s="616"/>
      <c r="AP672" s="592"/>
      <c r="AQ672" s="358"/>
      <c r="AR672" s="592"/>
      <c r="AS672" s="592"/>
      <c r="AT672" s="592"/>
      <c r="AU672" s="592"/>
      <c r="AV672" s="592"/>
      <c r="AW672" s="592"/>
      <c r="AX672" s="592"/>
      <c r="AY672" s="592"/>
      <c r="AZ672" s="592"/>
      <c r="BA672" s="617"/>
      <c r="BB672" s="592"/>
      <c r="BC672" s="592"/>
      <c r="BD672" s="592"/>
      <c r="BE672" s="592"/>
      <c r="BF672" s="592"/>
      <c r="BG672" s="358"/>
      <c r="BH672" s="592"/>
      <c r="BI672" s="592"/>
      <c r="BJ672" s="592"/>
      <c r="BK672" s="592"/>
      <c r="BL672" s="592"/>
      <c r="BM672" s="592"/>
      <c r="BN672" s="592"/>
      <c r="BO672" s="592"/>
      <c r="BP672" s="592"/>
      <c r="BQ672" s="594"/>
      <c r="BR672" s="594"/>
      <c r="BS672" s="394"/>
      <c r="BT672" s="594"/>
      <c r="BU672" s="594"/>
      <c r="BV672" s="594"/>
      <c r="BW672" s="618"/>
      <c r="BX672" s="644"/>
      <c r="BY672" s="644"/>
    </row>
    <row r="673" ht="25.5" customHeight="1">
      <c r="A673" s="635"/>
      <c r="B673" s="695"/>
      <c r="C673" s="642"/>
      <c r="D673" s="642"/>
      <c r="E673" s="696"/>
      <c r="F673" s="696"/>
      <c r="G673" s="621"/>
      <c r="H673" s="577"/>
      <c r="I673" s="577"/>
      <c r="J673" s="613"/>
      <c r="K673" s="581"/>
      <c r="L673" s="581"/>
      <c r="M673" s="613"/>
      <c r="N673" s="613"/>
      <c r="O673" s="613"/>
      <c r="P673" s="580"/>
      <c r="Q673" s="580"/>
      <c r="R673" s="581"/>
      <c r="S673" s="581"/>
      <c r="T673" s="581"/>
      <c r="U673" s="582"/>
      <c r="V673" s="614"/>
      <c r="W673" s="581"/>
      <c r="X673" s="615"/>
      <c r="Y673" s="613"/>
      <c r="Z673" s="580"/>
      <c r="AA673" s="634"/>
      <c r="AB673" s="577"/>
      <c r="AC673" s="673"/>
      <c r="AD673" s="634"/>
      <c r="AE673" s="587"/>
      <c r="AF673" s="587"/>
      <c r="AG673" s="582"/>
      <c r="AH673" s="582"/>
      <c r="AI673" s="582"/>
      <c r="AJ673" s="582"/>
      <c r="AK673" s="588"/>
      <c r="AL673" s="582"/>
      <c r="AM673" s="582"/>
      <c r="AN673" s="589"/>
      <c r="AO673" s="616"/>
      <c r="AP673" s="592"/>
      <c r="AQ673" s="358"/>
      <c r="AR673" s="592"/>
      <c r="AS673" s="592"/>
      <c r="AT673" s="592"/>
      <c r="AU673" s="592"/>
      <c r="AV673" s="592"/>
      <c r="AW673" s="592"/>
      <c r="AX673" s="592"/>
      <c r="AY673" s="592"/>
      <c r="AZ673" s="592"/>
      <c r="BA673" s="617"/>
      <c r="BB673" s="592"/>
      <c r="BC673" s="592"/>
      <c r="BD673" s="592"/>
      <c r="BE673" s="592"/>
      <c r="BF673" s="592"/>
      <c r="BG673" s="358"/>
      <c r="BH673" s="592"/>
      <c r="BI673" s="592"/>
      <c r="BJ673" s="592"/>
      <c r="BK673" s="592"/>
      <c r="BL673" s="592"/>
      <c r="BM673" s="592"/>
      <c r="BN673" s="592"/>
      <c r="BO673" s="592"/>
      <c r="BP673" s="592"/>
      <c r="BQ673" s="594"/>
      <c r="BR673" s="594"/>
      <c r="BS673" s="394"/>
      <c r="BT673" s="594"/>
      <c r="BU673" s="594"/>
      <c r="BV673" s="594"/>
      <c r="BW673" s="618"/>
      <c r="BX673" s="644"/>
      <c r="BY673" s="644"/>
    </row>
    <row r="674" ht="25.5" customHeight="1">
      <c r="A674" s="635"/>
      <c r="B674" s="695"/>
      <c r="C674" s="642"/>
      <c r="D674" s="642"/>
      <c r="E674" s="696"/>
      <c r="F674" s="696"/>
      <c r="G674" s="621"/>
      <c r="H674" s="577"/>
      <c r="I674" s="577"/>
      <c r="J674" s="613"/>
      <c r="K674" s="581"/>
      <c r="L674" s="581"/>
      <c r="M674" s="613"/>
      <c r="N674" s="613"/>
      <c r="O674" s="613"/>
      <c r="P674" s="580"/>
      <c r="Q674" s="580"/>
      <c r="R674" s="581"/>
      <c r="S674" s="581"/>
      <c r="T674" s="581"/>
      <c r="U674" s="582"/>
      <c r="V674" s="614"/>
      <c r="W674" s="581"/>
      <c r="X674" s="615"/>
      <c r="Y674" s="613"/>
      <c r="Z674" s="580"/>
      <c r="AA674" s="634"/>
      <c r="AB674" s="577"/>
      <c r="AC674" s="673"/>
      <c r="AD674" s="634"/>
      <c r="AE674" s="587"/>
      <c r="AF674" s="587"/>
      <c r="AG674" s="582"/>
      <c r="AH674" s="582"/>
      <c r="AI674" s="582"/>
      <c r="AJ674" s="582"/>
      <c r="AK674" s="588"/>
      <c r="AL674" s="582"/>
      <c r="AM674" s="582"/>
      <c r="AN674" s="589"/>
      <c r="AO674" s="616"/>
      <c r="AP674" s="592"/>
      <c r="AQ674" s="358"/>
      <c r="AR674" s="592"/>
      <c r="AS674" s="592"/>
      <c r="AT674" s="592"/>
      <c r="AU674" s="592"/>
      <c r="AV674" s="592"/>
      <c r="AW674" s="592"/>
      <c r="AX674" s="592"/>
      <c r="AY674" s="592"/>
      <c r="AZ674" s="592"/>
      <c r="BA674" s="617"/>
      <c r="BB674" s="592"/>
      <c r="BC674" s="592"/>
      <c r="BD674" s="592"/>
      <c r="BE674" s="592"/>
      <c r="BF674" s="592"/>
      <c r="BG674" s="358"/>
      <c r="BH674" s="592"/>
      <c r="BI674" s="592"/>
      <c r="BJ674" s="592"/>
      <c r="BK674" s="592"/>
      <c r="BL674" s="592"/>
      <c r="BM674" s="592"/>
      <c r="BN674" s="592"/>
      <c r="BO674" s="592"/>
      <c r="BP674" s="592"/>
      <c r="BQ674" s="594"/>
      <c r="BR674" s="594"/>
      <c r="BS674" s="394"/>
      <c r="BT674" s="594"/>
      <c r="BU674" s="594"/>
      <c r="BV674" s="594"/>
      <c r="BW674" s="618"/>
      <c r="BX674" s="644"/>
      <c r="BY674" s="644"/>
    </row>
    <row r="675" ht="25.5" customHeight="1">
      <c r="A675" s="635"/>
      <c r="B675" s="695"/>
      <c r="C675" s="642"/>
      <c r="D675" s="642"/>
      <c r="E675" s="696"/>
      <c r="F675" s="696"/>
      <c r="G675" s="621"/>
      <c r="H675" s="577"/>
      <c r="I675" s="577"/>
      <c r="J675" s="613"/>
      <c r="K675" s="581"/>
      <c r="L675" s="581"/>
      <c r="M675" s="613"/>
      <c r="N675" s="613"/>
      <c r="O675" s="613"/>
      <c r="P675" s="580"/>
      <c r="Q675" s="580"/>
      <c r="R675" s="581"/>
      <c r="S675" s="581"/>
      <c r="T675" s="581"/>
      <c r="U675" s="582"/>
      <c r="V675" s="614"/>
      <c r="W675" s="581"/>
      <c r="X675" s="615"/>
      <c r="Y675" s="613"/>
      <c r="Z675" s="580"/>
      <c r="AA675" s="634"/>
      <c r="AB675" s="577"/>
      <c r="AC675" s="673"/>
      <c r="AD675" s="634"/>
      <c r="AE675" s="587"/>
      <c r="AF675" s="587"/>
      <c r="AG675" s="582"/>
      <c r="AH675" s="582"/>
      <c r="AI675" s="582"/>
      <c r="AJ675" s="582"/>
      <c r="AK675" s="588"/>
      <c r="AL675" s="582"/>
      <c r="AM675" s="582"/>
      <c r="AN675" s="589"/>
      <c r="AO675" s="616"/>
      <c r="AP675" s="592"/>
      <c r="AQ675" s="358"/>
      <c r="AR675" s="592"/>
      <c r="AS675" s="592"/>
      <c r="AT675" s="592"/>
      <c r="AU675" s="592"/>
      <c r="AV675" s="592"/>
      <c r="AW675" s="592"/>
      <c r="AX675" s="592"/>
      <c r="AY675" s="592"/>
      <c r="AZ675" s="592"/>
      <c r="BA675" s="617"/>
      <c r="BB675" s="592"/>
      <c r="BC675" s="592"/>
      <c r="BD675" s="592"/>
      <c r="BE675" s="592"/>
      <c r="BF675" s="592"/>
      <c r="BG675" s="358"/>
      <c r="BH675" s="592"/>
      <c r="BI675" s="592"/>
      <c r="BJ675" s="592"/>
      <c r="BK675" s="592"/>
      <c r="BL675" s="592"/>
      <c r="BM675" s="592"/>
      <c r="BN675" s="592"/>
      <c r="BO675" s="592"/>
      <c r="BP675" s="592"/>
      <c r="BQ675" s="594"/>
      <c r="BR675" s="594"/>
      <c r="BS675" s="394"/>
      <c r="BT675" s="594"/>
      <c r="BU675" s="594"/>
      <c r="BV675" s="594"/>
      <c r="BW675" s="618"/>
      <c r="BX675" s="644"/>
      <c r="BY675" s="644"/>
    </row>
    <row r="676" ht="25.5" customHeight="1">
      <c r="A676" s="635"/>
      <c r="B676" s="695"/>
      <c r="C676" s="642"/>
      <c r="D676" s="642"/>
      <c r="E676" s="696"/>
      <c r="F676" s="696"/>
      <c r="G676" s="621"/>
      <c r="H676" s="577"/>
      <c r="I676" s="577"/>
      <c r="J676" s="613"/>
      <c r="K676" s="581"/>
      <c r="L676" s="581"/>
      <c r="M676" s="613"/>
      <c r="N676" s="613"/>
      <c r="O676" s="613"/>
      <c r="P676" s="580"/>
      <c r="Q676" s="580"/>
      <c r="R676" s="581"/>
      <c r="S676" s="581"/>
      <c r="T676" s="581"/>
      <c r="U676" s="582"/>
      <c r="V676" s="614"/>
      <c r="W676" s="581"/>
      <c r="X676" s="615"/>
      <c r="Y676" s="613"/>
      <c r="Z676" s="580"/>
      <c r="AA676" s="634"/>
      <c r="AB676" s="577"/>
      <c r="AC676" s="673"/>
      <c r="AD676" s="634"/>
      <c r="AE676" s="587"/>
      <c r="AF676" s="587"/>
      <c r="AG676" s="582"/>
      <c r="AH676" s="582"/>
      <c r="AI676" s="582"/>
      <c r="AJ676" s="582"/>
      <c r="AK676" s="588"/>
      <c r="AL676" s="582"/>
      <c r="AM676" s="582"/>
      <c r="AN676" s="589"/>
      <c r="AO676" s="616"/>
      <c r="AP676" s="592"/>
      <c r="AQ676" s="358"/>
      <c r="AR676" s="592"/>
      <c r="AS676" s="592"/>
      <c r="AT676" s="592"/>
      <c r="AU676" s="592"/>
      <c r="AV676" s="592"/>
      <c r="AW676" s="592"/>
      <c r="AX676" s="592"/>
      <c r="AY676" s="592"/>
      <c r="AZ676" s="592"/>
      <c r="BA676" s="617"/>
      <c r="BB676" s="592"/>
      <c r="BC676" s="592"/>
      <c r="BD676" s="592"/>
      <c r="BE676" s="592"/>
      <c r="BF676" s="592"/>
      <c r="BG676" s="358"/>
      <c r="BH676" s="592"/>
      <c r="BI676" s="592"/>
      <c r="BJ676" s="592"/>
      <c r="BK676" s="592"/>
      <c r="BL676" s="592"/>
      <c r="BM676" s="592"/>
      <c r="BN676" s="592"/>
      <c r="BO676" s="592"/>
      <c r="BP676" s="592"/>
      <c r="BQ676" s="594"/>
      <c r="BR676" s="594"/>
      <c r="BS676" s="394"/>
      <c r="BT676" s="594"/>
      <c r="BU676" s="594"/>
      <c r="BV676" s="594"/>
      <c r="BW676" s="618"/>
      <c r="BX676" s="644"/>
      <c r="BY676" s="644"/>
    </row>
    <row r="677" ht="25.5" customHeight="1">
      <c r="A677" s="635"/>
      <c r="B677" s="695"/>
      <c r="C677" s="642"/>
      <c r="D677" s="642"/>
      <c r="E677" s="696"/>
      <c r="F677" s="696"/>
      <c r="G677" s="621"/>
      <c r="H677" s="577"/>
      <c r="I677" s="577"/>
      <c r="J677" s="613"/>
      <c r="K677" s="581"/>
      <c r="L677" s="581"/>
      <c r="M677" s="613"/>
      <c r="N677" s="613"/>
      <c r="O677" s="613"/>
      <c r="P677" s="580"/>
      <c r="Q677" s="580"/>
      <c r="R677" s="581"/>
      <c r="S677" s="581"/>
      <c r="T677" s="581"/>
      <c r="U677" s="582"/>
      <c r="V677" s="614"/>
      <c r="W677" s="581"/>
      <c r="X677" s="615"/>
      <c r="Y677" s="613"/>
      <c r="Z677" s="580"/>
      <c r="AA677" s="634"/>
      <c r="AB677" s="577"/>
      <c r="AC677" s="673"/>
      <c r="AD677" s="634"/>
      <c r="AE677" s="587"/>
      <c r="AF677" s="587"/>
      <c r="AG677" s="582"/>
      <c r="AH677" s="582"/>
      <c r="AI677" s="582"/>
      <c r="AJ677" s="582"/>
      <c r="AK677" s="588"/>
      <c r="AL677" s="582"/>
      <c r="AM677" s="582"/>
      <c r="AN677" s="589"/>
      <c r="AO677" s="616"/>
      <c r="AP677" s="592"/>
      <c r="AQ677" s="358"/>
      <c r="AR677" s="592"/>
      <c r="AS677" s="592"/>
      <c r="AT677" s="592"/>
      <c r="AU677" s="592"/>
      <c r="AV677" s="592"/>
      <c r="AW677" s="592"/>
      <c r="AX677" s="592"/>
      <c r="AY677" s="592"/>
      <c r="AZ677" s="592"/>
      <c r="BA677" s="617"/>
      <c r="BB677" s="592"/>
      <c r="BC677" s="592"/>
      <c r="BD677" s="592"/>
      <c r="BE677" s="592"/>
      <c r="BF677" s="592"/>
      <c r="BG677" s="358"/>
      <c r="BH677" s="592"/>
      <c r="BI677" s="592"/>
      <c r="BJ677" s="592"/>
      <c r="BK677" s="592"/>
      <c r="BL677" s="592"/>
      <c r="BM677" s="592"/>
      <c r="BN677" s="592"/>
      <c r="BO677" s="592"/>
      <c r="BP677" s="592"/>
      <c r="BQ677" s="594"/>
      <c r="BR677" s="594"/>
      <c r="BS677" s="394"/>
      <c r="BT677" s="594"/>
      <c r="BU677" s="594"/>
      <c r="BV677" s="594"/>
      <c r="BW677" s="618"/>
      <c r="BX677" s="644"/>
      <c r="BY677" s="644"/>
    </row>
    <row r="678" ht="25.5" customHeight="1">
      <c r="A678" s="635"/>
      <c r="B678" s="695"/>
      <c r="C678" s="642"/>
      <c r="D678" s="642"/>
      <c r="E678" s="696"/>
      <c r="F678" s="696"/>
      <c r="G678" s="621"/>
      <c r="H678" s="577"/>
      <c r="I678" s="577"/>
      <c r="J678" s="613"/>
      <c r="K678" s="581"/>
      <c r="L678" s="581"/>
      <c r="M678" s="613"/>
      <c r="N678" s="613"/>
      <c r="O678" s="613"/>
      <c r="P678" s="580"/>
      <c r="Q678" s="580"/>
      <c r="R678" s="581"/>
      <c r="S678" s="581"/>
      <c r="T678" s="581"/>
      <c r="U678" s="582"/>
      <c r="V678" s="614"/>
      <c r="W678" s="581"/>
      <c r="X678" s="615"/>
      <c r="Y678" s="613"/>
      <c r="Z678" s="580"/>
      <c r="AA678" s="634"/>
      <c r="AB678" s="577"/>
      <c r="AC678" s="673"/>
      <c r="AD678" s="634"/>
      <c r="AE678" s="587"/>
      <c r="AF678" s="587"/>
      <c r="AG678" s="582"/>
      <c r="AH678" s="582"/>
      <c r="AI678" s="582"/>
      <c r="AJ678" s="582"/>
      <c r="AK678" s="588"/>
      <c r="AL678" s="582"/>
      <c r="AM678" s="582"/>
      <c r="AN678" s="589"/>
      <c r="AO678" s="616"/>
      <c r="AP678" s="592"/>
      <c r="AQ678" s="358"/>
      <c r="AR678" s="592"/>
      <c r="AS678" s="592"/>
      <c r="AT678" s="592"/>
      <c r="AU678" s="592"/>
      <c r="AV678" s="592"/>
      <c r="AW678" s="592"/>
      <c r="AX678" s="592"/>
      <c r="AY678" s="592"/>
      <c r="AZ678" s="592"/>
      <c r="BA678" s="617"/>
      <c r="BB678" s="592"/>
      <c r="BC678" s="592"/>
      <c r="BD678" s="592"/>
      <c r="BE678" s="592"/>
      <c r="BF678" s="592"/>
      <c r="BG678" s="358"/>
      <c r="BH678" s="592"/>
      <c r="BI678" s="592"/>
      <c r="BJ678" s="592"/>
      <c r="BK678" s="592"/>
      <c r="BL678" s="592"/>
      <c r="BM678" s="592"/>
      <c r="BN678" s="592"/>
      <c r="BO678" s="592"/>
      <c r="BP678" s="592"/>
      <c r="BQ678" s="594"/>
      <c r="BR678" s="594"/>
      <c r="BS678" s="394"/>
      <c r="BT678" s="594"/>
      <c r="BU678" s="594"/>
      <c r="BV678" s="594"/>
      <c r="BW678" s="618"/>
      <c r="BX678" s="644"/>
      <c r="BY678" s="644"/>
    </row>
    <row r="679" ht="25.5" customHeight="1">
      <c r="A679" s="635"/>
      <c r="B679" s="695"/>
      <c r="C679" s="642"/>
      <c r="D679" s="642"/>
      <c r="E679" s="696"/>
      <c r="F679" s="696"/>
      <c r="G679" s="621"/>
      <c r="H679" s="577"/>
      <c r="I679" s="577"/>
      <c r="J679" s="613"/>
      <c r="K679" s="581"/>
      <c r="L679" s="581"/>
      <c r="M679" s="613"/>
      <c r="N679" s="613"/>
      <c r="O679" s="613"/>
      <c r="P679" s="580"/>
      <c r="Q679" s="580"/>
      <c r="R679" s="581"/>
      <c r="S679" s="581"/>
      <c r="T679" s="581"/>
      <c r="U679" s="582"/>
      <c r="V679" s="614"/>
      <c r="W679" s="581"/>
      <c r="X679" s="615"/>
      <c r="Y679" s="613"/>
      <c r="Z679" s="580"/>
      <c r="AA679" s="634"/>
      <c r="AB679" s="577"/>
      <c r="AC679" s="673"/>
      <c r="AD679" s="634"/>
      <c r="AE679" s="587"/>
      <c r="AF679" s="587"/>
      <c r="AG679" s="582"/>
      <c r="AH679" s="582"/>
      <c r="AI679" s="582"/>
      <c r="AJ679" s="582"/>
      <c r="AK679" s="588"/>
      <c r="AL679" s="582"/>
      <c r="AM679" s="582"/>
      <c r="AN679" s="589"/>
      <c r="AO679" s="616"/>
      <c r="AP679" s="592"/>
      <c r="AQ679" s="358"/>
      <c r="AR679" s="592"/>
      <c r="AS679" s="592"/>
      <c r="AT679" s="592"/>
      <c r="AU679" s="592"/>
      <c r="AV679" s="592"/>
      <c r="AW679" s="592"/>
      <c r="AX679" s="592"/>
      <c r="AY679" s="592"/>
      <c r="AZ679" s="592"/>
      <c r="BA679" s="617"/>
      <c r="BB679" s="592"/>
      <c r="BC679" s="592"/>
      <c r="BD679" s="592"/>
      <c r="BE679" s="592"/>
      <c r="BF679" s="592"/>
      <c r="BG679" s="358"/>
      <c r="BH679" s="592"/>
      <c r="BI679" s="592"/>
      <c r="BJ679" s="592"/>
      <c r="BK679" s="592"/>
      <c r="BL679" s="592"/>
      <c r="BM679" s="592"/>
      <c r="BN679" s="592"/>
      <c r="BO679" s="592"/>
      <c r="BP679" s="592"/>
      <c r="BQ679" s="594"/>
      <c r="BR679" s="594"/>
      <c r="BS679" s="394"/>
      <c r="BT679" s="594"/>
      <c r="BU679" s="594"/>
      <c r="BV679" s="594"/>
      <c r="BW679" s="618"/>
      <c r="BX679" s="644"/>
      <c r="BY679" s="644"/>
    </row>
    <row r="680" ht="25.5" customHeight="1">
      <c r="A680" s="635"/>
      <c r="B680" s="695"/>
      <c r="C680" s="642"/>
      <c r="D680" s="642"/>
      <c r="E680" s="696"/>
      <c r="F680" s="696"/>
      <c r="G680" s="621"/>
      <c r="H680" s="577"/>
      <c r="I680" s="577"/>
      <c r="J680" s="613"/>
      <c r="K680" s="581"/>
      <c r="L680" s="581"/>
      <c r="M680" s="613"/>
      <c r="N680" s="613"/>
      <c r="O680" s="613"/>
      <c r="P680" s="580"/>
      <c r="Q680" s="580"/>
      <c r="R680" s="581"/>
      <c r="S680" s="581"/>
      <c r="T680" s="581"/>
      <c r="U680" s="582"/>
      <c r="V680" s="614"/>
      <c r="W680" s="581"/>
      <c r="X680" s="615"/>
      <c r="Y680" s="613"/>
      <c r="Z680" s="580"/>
      <c r="AA680" s="634"/>
      <c r="AB680" s="577"/>
      <c r="AC680" s="673"/>
      <c r="AD680" s="634"/>
      <c r="AE680" s="587"/>
      <c r="AF680" s="587"/>
      <c r="AG680" s="582"/>
      <c r="AH680" s="582"/>
      <c r="AI680" s="582"/>
      <c r="AJ680" s="582"/>
      <c r="AK680" s="588"/>
      <c r="AL680" s="582"/>
      <c r="AM680" s="582"/>
      <c r="AN680" s="589"/>
      <c r="AO680" s="616"/>
      <c r="AP680" s="592"/>
      <c r="AQ680" s="358"/>
      <c r="AR680" s="592"/>
      <c r="AS680" s="592"/>
      <c r="AT680" s="592"/>
      <c r="AU680" s="592"/>
      <c r="AV680" s="592"/>
      <c r="AW680" s="592"/>
      <c r="AX680" s="592"/>
      <c r="AY680" s="592"/>
      <c r="AZ680" s="592"/>
      <c r="BA680" s="617"/>
      <c r="BB680" s="592"/>
      <c r="BC680" s="592"/>
      <c r="BD680" s="592"/>
      <c r="BE680" s="592"/>
      <c r="BF680" s="592"/>
      <c r="BG680" s="358"/>
      <c r="BH680" s="592"/>
      <c r="BI680" s="592"/>
      <c r="BJ680" s="592"/>
      <c r="BK680" s="592"/>
      <c r="BL680" s="592"/>
      <c r="BM680" s="592"/>
      <c r="BN680" s="592"/>
      <c r="BO680" s="592"/>
      <c r="BP680" s="592"/>
      <c r="BQ680" s="594"/>
      <c r="BR680" s="594"/>
      <c r="BS680" s="394"/>
      <c r="BT680" s="594"/>
      <c r="BU680" s="594"/>
      <c r="BV680" s="594"/>
      <c r="BW680" s="618"/>
      <c r="BX680" s="644"/>
      <c r="BY680" s="644"/>
    </row>
    <row r="681" ht="25.5" customHeight="1">
      <c r="A681" s="635"/>
      <c r="B681" s="695"/>
      <c r="C681" s="642"/>
      <c r="D681" s="642"/>
      <c r="E681" s="696"/>
      <c r="F681" s="696"/>
      <c r="G681" s="621"/>
      <c r="H681" s="577"/>
      <c r="I681" s="577"/>
      <c r="J681" s="613"/>
      <c r="K681" s="581"/>
      <c r="L681" s="581"/>
      <c r="M681" s="613"/>
      <c r="N681" s="613"/>
      <c r="O681" s="613"/>
      <c r="P681" s="580"/>
      <c r="Q681" s="580"/>
      <c r="R681" s="581"/>
      <c r="S681" s="581"/>
      <c r="T681" s="581"/>
      <c r="U681" s="582"/>
      <c r="V681" s="614"/>
      <c r="W681" s="581"/>
      <c r="X681" s="615"/>
      <c r="Y681" s="613"/>
      <c r="Z681" s="580"/>
      <c r="AA681" s="634"/>
      <c r="AB681" s="577"/>
      <c r="AC681" s="673"/>
      <c r="AD681" s="634"/>
      <c r="AE681" s="587"/>
      <c r="AF681" s="587"/>
      <c r="AG681" s="582"/>
      <c r="AH681" s="582"/>
      <c r="AI681" s="582"/>
      <c r="AJ681" s="582"/>
      <c r="AK681" s="588"/>
      <c r="AL681" s="582"/>
      <c r="AM681" s="582"/>
      <c r="AN681" s="589"/>
      <c r="AO681" s="616"/>
      <c r="AP681" s="592"/>
      <c r="AQ681" s="358"/>
      <c r="AR681" s="592"/>
      <c r="AS681" s="592"/>
      <c r="AT681" s="592"/>
      <c r="AU681" s="592"/>
      <c r="AV681" s="592"/>
      <c r="AW681" s="592"/>
      <c r="AX681" s="592"/>
      <c r="AY681" s="592"/>
      <c r="AZ681" s="592"/>
      <c r="BA681" s="617"/>
      <c r="BB681" s="592"/>
      <c r="BC681" s="592"/>
      <c r="BD681" s="592"/>
      <c r="BE681" s="592"/>
      <c r="BF681" s="592"/>
      <c r="BG681" s="358"/>
      <c r="BH681" s="592"/>
      <c r="BI681" s="592"/>
      <c r="BJ681" s="592"/>
      <c r="BK681" s="592"/>
      <c r="BL681" s="592"/>
      <c r="BM681" s="592"/>
      <c r="BN681" s="592"/>
      <c r="BO681" s="592"/>
      <c r="BP681" s="592"/>
      <c r="BQ681" s="594"/>
      <c r="BR681" s="594"/>
      <c r="BS681" s="394"/>
      <c r="BT681" s="594"/>
      <c r="BU681" s="594"/>
      <c r="BV681" s="594"/>
      <c r="BW681" s="618"/>
      <c r="BX681" s="644"/>
      <c r="BY681" s="644"/>
    </row>
    <row r="682" ht="25.5" customHeight="1">
      <c r="A682" s="635"/>
      <c r="B682" s="695"/>
      <c r="C682" s="642"/>
      <c r="D682" s="642"/>
      <c r="E682" s="696"/>
      <c r="F682" s="696"/>
      <c r="G682" s="621"/>
      <c r="H682" s="577"/>
      <c r="I682" s="577"/>
      <c r="J682" s="613"/>
      <c r="K682" s="581"/>
      <c r="L682" s="581"/>
      <c r="M682" s="613"/>
      <c r="N682" s="613"/>
      <c r="O682" s="613"/>
      <c r="P682" s="580"/>
      <c r="Q682" s="580"/>
      <c r="R682" s="581"/>
      <c r="S682" s="581"/>
      <c r="T682" s="581"/>
      <c r="U682" s="582"/>
      <c r="V682" s="614"/>
      <c r="W682" s="581"/>
      <c r="X682" s="615"/>
      <c r="Y682" s="613"/>
      <c r="Z682" s="580"/>
      <c r="AA682" s="634"/>
      <c r="AB682" s="577"/>
      <c r="AC682" s="673"/>
      <c r="AD682" s="634"/>
      <c r="AE682" s="587"/>
      <c r="AF682" s="587"/>
      <c r="AG682" s="582"/>
      <c r="AH682" s="582"/>
      <c r="AI682" s="582"/>
      <c r="AJ682" s="582"/>
      <c r="AK682" s="588"/>
      <c r="AL682" s="582"/>
      <c r="AM682" s="582"/>
      <c r="AN682" s="589"/>
      <c r="AO682" s="616"/>
      <c r="AP682" s="592"/>
      <c r="AQ682" s="358"/>
      <c r="AR682" s="592"/>
      <c r="AS682" s="592"/>
      <c r="AT682" s="592"/>
      <c r="AU682" s="592"/>
      <c r="AV682" s="592"/>
      <c r="AW682" s="592"/>
      <c r="AX682" s="592"/>
      <c r="AY682" s="592"/>
      <c r="AZ682" s="592"/>
      <c r="BA682" s="617"/>
      <c r="BB682" s="592"/>
      <c r="BC682" s="592"/>
      <c r="BD682" s="592"/>
      <c r="BE682" s="592"/>
      <c r="BF682" s="592"/>
      <c r="BG682" s="358"/>
      <c r="BH682" s="592"/>
      <c r="BI682" s="592"/>
      <c r="BJ682" s="592"/>
      <c r="BK682" s="592"/>
      <c r="BL682" s="592"/>
      <c r="BM682" s="592"/>
      <c r="BN682" s="592"/>
      <c r="BO682" s="592"/>
      <c r="BP682" s="592"/>
      <c r="BQ682" s="594"/>
      <c r="BR682" s="594"/>
      <c r="BS682" s="394"/>
      <c r="BT682" s="594"/>
      <c r="BU682" s="594"/>
      <c r="BV682" s="594"/>
      <c r="BW682" s="618"/>
      <c r="BX682" s="644"/>
      <c r="BY682" s="644"/>
    </row>
    <row r="683" ht="25.5" customHeight="1">
      <c r="A683" s="635"/>
      <c r="B683" s="695"/>
      <c r="C683" s="642"/>
      <c r="D683" s="642"/>
      <c r="E683" s="696"/>
      <c r="F683" s="696"/>
      <c r="G683" s="621"/>
      <c r="H683" s="577"/>
      <c r="I683" s="577"/>
      <c r="J683" s="613"/>
      <c r="K683" s="581"/>
      <c r="L683" s="581"/>
      <c r="M683" s="613"/>
      <c r="N683" s="613"/>
      <c r="O683" s="613"/>
      <c r="P683" s="580"/>
      <c r="Q683" s="580"/>
      <c r="R683" s="581"/>
      <c r="S683" s="581"/>
      <c r="T683" s="581"/>
      <c r="U683" s="582"/>
      <c r="V683" s="614"/>
      <c r="W683" s="581"/>
      <c r="X683" s="615"/>
      <c r="Y683" s="613"/>
      <c r="Z683" s="580"/>
      <c r="AA683" s="634"/>
      <c r="AB683" s="577"/>
      <c r="AC683" s="673"/>
      <c r="AD683" s="634"/>
      <c r="AE683" s="587"/>
      <c r="AF683" s="587"/>
      <c r="AG683" s="582"/>
      <c r="AH683" s="582"/>
      <c r="AI683" s="582"/>
      <c r="AJ683" s="582"/>
      <c r="AK683" s="588"/>
      <c r="AL683" s="582"/>
      <c r="AM683" s="582"/>
      <c r="AN683" s="589"/>
      <c r="AO683" s="616"/>
      <c r="AP683" s="592"/>
      <c r="AQ683" s="358"/>
      <c r="AR683" s="592"/>
      <c r="AS683" s="592"/>
      <c r="AT683" s="592"/>
      <c r="AU683" s="592"/>
      <c r="AV683" s="592"/>
      <c r="AW683" s="592"/>
      <c r="AX683" s="592"/>
      <c r="AY683" s="592"/>
      <c r="AZ683" s="592"/>
      <c r="BA683" s="617"/>
      <c r="BB683" s="592"/>
      <c r="BC683" s="592"/>
      <c r="BD683" s="592"/>
      <c r="BE683" s="592"/>
      <c r="BF683" s="592"/>
      <c r="BG683" s="358"/>
      <c r="BH683" s="592"/>
      <c r="BI683" s="592"/>
      <c r="BJ683" s="592"/>
      <c r="BK683" s="592"/>
      <c r="BL683" s="592"/>
      <c r="BM683" s="592"/>
      <c r="BN683" s="592"/>
      <c r="BO683" s="592"/>
      <c r="BP683" s="592"/>
      <c r="BQ683" s="594"/>
      <c r="BR683" s="594"/>
      <c r="BS683" s="394"/>
      <c r="BT683" s="594"/>
      <c r="BU683" s="594"/>
      <c r="BV683" s="594"/>
      <c r="BW683" s="618"/>
      <c r="BX683" s="644"/>
      <c r="BY683" s="644"/>
    </row>
    <row r="684" ht="25.5" customHeight="1">
      <c r="A684" s="635"/>
      <c r="B684" s="695"/>
      <c r="C684" s="642"/>
      <c r="D684" s="642"/>
      <c r="E684" s="696"/>
      <c r="F684" s="696"/>
      <c r="G684" s="621"/>
      <c r="H684" s="577"/>
      <c r="I684" s="577"/>
      <c r="J684" s="613"/>
      <c r="K684" s="581"/>
      <c r="L684" s="581"/>
      <c r="M684" s="613"/>
      <c r="N684" s="613"/>
      <c r="O684" s="613"/>
      <c r="P684" s="580"/>
      <c r="Q684" s="580"/>
      <c r="R684" s="581"/>
      <c r="S684" s="581"/>
      <c r="T684" s="581"/>
      <c r="U684" s="582"/>
      <c r="V684" s="614"/>
      <c r="W684" s="581"/>
      <c r="X684" s="615"/>
      <c r="Y684" s="613"/>
      <c r="Z684" s="580"/>
      <c r="AA684" s="634"/>
      <c r="AB684" s="577"/>
      <c r="AC684" s="673"/>
      <c r="AD684" s="634"/>
      <c r="AE684" s="587"/>
      <c r="AF684" s="587"/>
      <c r="AG684" s="582"/>
      <c r="AH684" s="582"/>
      <c r="AI684" s="582"/>
      <c r="AJ684" s="582"/>
      <c r="AK684" s="588"/>
      <c r="AL684" s="582"/>
      <c r="AM684" s="582"/>
      <c r="AN684" s="589"/>
      <c r="AO684" s="616"/>
      <c r="AP684" s="592"/>
      <c r="AQ684" s="358"/>
      <c r="AR684" s="592"/>
      <c r="AS684" s="592"/>
      <c r="AT684" s="592"/>
      <c r="AU684" s="592"/>
      <c r="AV684" s="592"/>
      <c r="AW684" s="592"/>
      <c r="AX684" s="592"/>
      <c r="AY684" s="592"/>
      <c r="AZ684" s="592"/>
      <c r="BA684" s="617"/>
      <c r="BB684" s="592"/>
      <c r="BC684" s="592"/>
      <c r="BD684" s="592"/>
      <c r="BE684" s="592"/>
      <c r="BF684" s="592"/>
      <c r="BG684" s="358"/>
      <c r="BH684" s="592"/>
      <c r="BI684" s="592"/>
      <c r="BJ684" s="592"/>
      <c r="BK684" s="592"/>
      <c r="BL684" s="592"/>
      <c r="BM684" s="592"/>
      <c r="BN684" s="592"/>
      <c r="BO684" s="592"/>
      <c r="BP684" s="592"/>
      <c r="BQ684" s="594"/>
      <c r="BR684" s="594"/>
      <c r="BS684" s="394"/>
      <c r="BT684" s="594"/>
      <c r="BU684" s="594"/>
      <c r="BV684" s="594"/>
      <c r="BW684" s="618"/>
      <c r="BX684" s="644"/>
      <c r="BY684" s="644"/>
    </row>
    <row r="685" ht="25.5" customHeight="1">
      <c r="A685" s="635"/>
      <c r="B685" s="695"/>
      <c r="C685" s="642"/>
      <c r="D685" s="642"/>
      <c r="E685" s="696"/>
      <c r="F685" s="696"/>
      <c r="G685" s="621"/>
      <c r="H685" s="577"/>
      <c r="I685" s="577"/>
      <c r="J685" s="613"/>
      <c r="K685" s="581"/>
      <c r="L685" s="581"/>
      <c r="M685" s="613"/>
      <c r="N685" s="613"/>
      <c r="O685" s="613"/>
      <c r="P685" s="580"/>
      <c r="Q685" s="580"/>
      <c r="R685" s="581"/>
      <c r="S685" s="581"/>
      <c r="T685" s="581"/>
      <c r="U685" s="582"/>
      <c r="V685" s="614"/>
      <c r="W685" s="581"/>
      <c r="X685" s="615"/>
      <c r="Y685" s="613"/>
      <c r="Z685" s="580"/>
      <c r="AA685" s="634"/>
      <c r="AB685" s="577"/>
      <c r="AC685" s="673"/>
      <c r="AD685" s="634"/>
      <c r="AE685" s="587"/>
      <c r="AF685" s="587"/>
      <c r="AG685" s="582"/>
      <c r="AH685" s="582"/>
      <c r="AI685" s="582"/>
      <c r="AJ685" s="582"/>
      <c r="AK685" s="588"/>
      <c r="AL685" s="582"/>
      <c r="AM685" s="582"/>
      <c r="AN685" s="589"/>
      <c r="AO685" s="616"/>
      <c r="AP685" s="592"/>
      <c r="AQ685" s="358"/>
      <c r="AR685" s="592"/>
      <c r="AS685" s="592"/>
      <c r="AT685" s="592"/>
      <c r="AU685" s="592"/>
      <c r="AV685" s="592"/>
      <c r="AW685" s="592"/>
      <c r="AX685" s="592"/>
      <c r="AY685" s="592"/>
      <c r="AZ685" s="592"/>
      <c r="BA685" s="617"/>
      <c r="BB685" s="592"/>
      <c r="BC685" s="592"/>
      <c r="BD685" s="592"/>
      <c r="BE685" s="592"/>
      <c r="BF685" s="592"/>
      <c r="BG685" s="358"/>
      <c r="BH685" s="592"/>
      <c r="BI685" s="592"/>
      <c r="BJ685" s="592"/>
      <c r="BK685" s="592"/>
      <c r="BL685" s="592"/>
      <c r="BM685" s="592"/>
      <c r="BN685" s="592"/>
      <c r="BO685" s="592"/>
      <c r="BP685" s="592"/>
      <c r="BQ685" s="594"/>
      <c r="BR685" s="594"/>
      <c r="BS685" s="394"/>
      <c r="BT685" s="594"/>
      <c r="BU685" s="594"/>
      <c r="BV685" s="594"/>
      <c r="BW685" s="618"/>
      <c r="BX685" s="644"/>
      <c r="BY685" s="644"/>
    </row>
    <row r="686" ht="25.5" customHeight="1">
      <c r="A686" s="635"/>
      <c r="B686" s="695"/>
      <c r="C686" s="642"/>
      <c r="D686" s="642"/>
      <c r="E686" s="696"/>
      <c r="F686" s="696"/>
      <c r="G686" s="621"/>
      <c r="H686" s="577"/>
      <c r="I686" s="577"/>
      <c r="J686" s="613"/>
      <c r="K686" s="581"/>
      <c r="L686" s="581"/>
      <c r="M686" s="613"/>
      <c r="N686" s="613"/>
      <c r="O686" s="613"/>
      <c r="P686" s="580"/>
      <c r="Q686" s="580"/>
      <c r="R686" s="581"/>
      <c r="S686" s="581"/>
      <c r="T686" s="581"/>
      <c r="U686" s="582"/>
      <c r="V686" s="614"/>
      <c r="W686" s="581"/>
      <c r="X686" s="615"/>
      <c r="Y686" s="613"/>
      <c r="Z686" s="580"/>
      <c r="AA686" s="634"/>
      <c r="AB686" s="577"/>
      <c r="AC686" s="673"/>
      <c r="AD686" s="634"/>
      <c r="AE686" s="587"/>
      <c r="AF686" s="587"/>
      <c r="AG686" s="582"/>
      <c r="AH686" s="582"/>
      <c r="AI686" s="582"/>
      <c r="AJ686" s="582"/>
      <c r="AK686" s="588"/>
      <c r="AL686" s="582"/>
      <c r="AM686" s="582"/>
      <c r="AN686" s="589"/>
      <c r="AO686" s="616"/>
      <c r="AP686" s="592"/>
      <c r="AQ686" s="358"/>
      <c r="AR686" s="592"/>
      <c r="AS686" s="592"/>
      <c r="AT686" s="592"/>
      <c r="AU686" s="592"/>
      <c r="AV686" s="592"/>
      <c r="AW686" s="592"/>
      <c r="AX686" s="592"/>
      <c r="AY686" s="592"/>
      <c r="AZ686" s="592"/>
      <c r="BA686" s="617"/>
      <c r="BB686" s="592"/>
      <c r="BC686" s="592"/>
      <c r="BD686" s="592"/>
      <c r="BE686" s="592"/>
      <c r="BF686" s="592"/>
      <c r="BG686" s="358"/>
      <c r="BH686" s="592"/>
      <c r="BI686" s="592"/>
      <c r="BJ686" s="592"/>
      <c r="BK686" s="592"/>
      <c r="BL686" s="592"/>
      <c r="BM686" s="592"/>
      <c r="BN686" s="592"/>
      <c r="BO686" s="592"/>
      <c r="BP686" s="592"/>
      <c r="BQ686" s="594"/>
      <c r="BR686" s="594"/>
      <c r="BS686" s="394"/>
      <c r="BT686" s="594"/>
      <c r="BU686" s="594"/>
      <c r="BV686" s="594"/>
      <c r="BW686" s="618"/>
      <c r="BX686" s="644"/>
      <c r="BY686" s="644"/>
    </row>
    <row r="687" ht="25.5" customHeight="1">
      <c r="A687" s="635"/>
      <c r="B687" s="695"/>
      <c r="C687" s="642"/>
      <c r="D687" s="642"/>
      <c r="E687" s="696"/>
      <c r="F687" s="696"/>
      <c r="G687" s="621"/>
      <c r="H687" s="577"/>
      <c r="I687" s="577"/>
      <c r="J687" s="613"/>
      <c r="K687" s="581"/>
      <c r="L687" s="581"/>
      <c r="M687" s="613"/>
      <c r="N687" s="613"/>
      <c r="O687" s="613"/>
      <c r="P687" s="580"/>
      <c r="Q687" s="580"/>
      <c r="R687" s="581"/>
      <c r="S687" s="581"/>
      <c r="T687" s="581"/>
      <c r="U687" s="582"/>
      <c r="V687" s="614"/>
      <c r="W687" s="581"/>
      <c r="X687" s="615"/>
      <c r="Y687" s="613"/>
      <c r="Z687" s="580"/>
      <c r="AA687" s="634"/>
      <c r="AB687" s="577"/>
      <c r="AC687" s="673"/>
      <c r="AD687" s="634"/>
      <c r="AE687" s="587"/>
      <c r="AF687" s="587"/>
      <c r="AG687" s="582"/>
      <c r="AH687" s="582"/>
      <c r="AI687" s="582"/>
      <c r="AJ687" s="582"/>
      <c r="AK687" s="588"/>
      <c r="AL687" s="582"/>
      <c r="AM687" s="582"/>
      <c r="AN687" s="589"/>
      <c r="AO687" s="616"/>
      <c r="AP687" s="592"/>
      <c r="AQ687" s="358"/>
      <c r="AR687" s="592"/>
      <c r="AS687" s="592"/>
      <c r="AT687" s="592"/>
      <c r="AU687" s="592"/>
      <c r="AV687" s="592"/>
      <c r="AW687" s="592"/>
      <c r="AX687" s="592"/>
      <c r="AY687" s="592"/>
      <c r="AZ687" s="592"/>
      <c r="BA687" s="617"/>
      <c r="BB687" s="592"/>
      <c r="BC687" s="592"/>
      <c r="BD687" s="592"/>
      <c r="BE687" s="592"/>
      <c r="BF687" s="592"/>
      <c r="BG687" s="358"/>
      <c r="BH687" s="592"/>
      <c r="BI687" s="592"/>
      <c r="BJ687" s="592"/>
      <c r="BK687" s="592"/>
      <c r="BL687" s="592"/>
      <c r="BM687" s="592"/>
      <c r="BN687" s="592"/>
      <c r="BO687" s="592"/>
      <c r="BP687" s="592"/>
      <c r="BQ687" s="594"/>
      <c r="BR687" s="594"/>
      <c r="BS687" s="394"/>
      <c r="BT687" s="594"/>
      <c r="BU687" s="594"/>
      <c r="BV687" s="594"/>
      <c r="BW687" s="618"/>
      <c r="BX687" s="644"/>
      <c r="BY687" s="644"/>
    </row>
    <row r="688" ht="25.5" customHeight="1">
      <c r="A688" s="635"/>
      <c r="B688" s="695"/>
      <c r="C688" s="642"/>
      <c r="D688" s="642"/>
      <c r="E688" s="696"/>
      <c r="F688" s="696"/>
      <c r="G688" s="621"/>
      <c r="H688" s="577"/>
      <c r="I688" s="577"/>
      <c r="J688" s="613"/>
      <c r="K688" s="581"/>
      <c r="L688" s="581"/>
      <c r="M688" s="613"/>
      <c r="N688" s="613"/>
      <c r="O688" s="613"/>
      <c r="P688" s="580"/>
      <c r="Q688" s="580"/>
      <c r="R688" s="581"/>
      <c r="S688" s="581"/>
      <c r="T688" s="581"/>
      <c r="U688" s="582"/>
      <c r="V688" s="614"/>
      <c r="W688" s="581"/>
      <c r="X688" s="615"/>
      <c r="Y688" s="613"/>
      <c r="Z688" s="580"/>
      <c r="AA688" s="634"/>
      <c r="AB688" s="577"/>
      <c r="AC688" s="673"/>
      <c r="AD688" s="634"/>
      <c r="AE688" s="587"/>
      <c r="AF688" s="587"/>
      <c r="AG688" s="582"/>
      <c r="AH688" s="582"/>
      <c r="AI688" s="582"/>
      <c r="AJ688" s="582"/>
      <c r="AK688" s="588"/>
      <c r="AL688" s="582"/>
      <c r="AM688" s="582"/>
      <c r="AN688" s="589"/>
      <c r="AO688" s="616"/>
      <c r="AP688" s="592"/>
      <c r="AQ688" s="358"/>
      <c r="AR688" s="592"/>
      <c r="AS688" s="592"/>
      <c r="AT688" s="592"/>
      <c r="AU688" s="592"/>
      <c r="AV688" s="592"/>
      <c r="AW688" s="592"/>
      <c r="AX688" s="592"/>
      <c r="AY688" s="592"/>
      <c r="AZ688" s="592"/>
      <c r="BA688" s="617"/>
      <c r="BB688" s="592"/>
      <c r="BC688" s="592"/>
      <c r="BD688" s="592"/>
      <c r="BE688" s="592"/>
      <c r="BF688" s="592"/>
      <c r="BG688" s="358"/>
      <c r="BH688" s="592"/>
      <c r="BI688" s="592"/>
      <c r="BJ688" s="592"/>
      <c r="BK688" s="592"/>
      <c r="BL688" s="592"/>
      <c r="BM688" s="592"/>
      <c r="BN688" s="592"/>
      <c r="BO688" s="592"/>
      <c r="BP688" s="592"/>
      <c r="BQ688" s="594"/>
      <c r="BR688" s="594"/>
      <c r="BS688" s="394"/>
      <c r="BT688" s="594"/>
      <c r="BU688" s="594"/>
      <c r="BV688" s="594"/>
      <c r="BW688" s="618"/>
      <c r="BX688" s="644"/>
      <c r="BY688" s="644"/>
    </row>
    <row r="689" ht="25.5" customHeight="1">
      <c r="A689" s="635"/>
      <c r="B689" s="695"/>
      <c r="C689" s="642"/>
      <c r="D689" s="642"/>
      <c r="E689" s="696"/>
      <c r="F689" s="696"/>
      <c r="G689" s="621"/>
      <c r="H689" s="577"/>
      <c r="I689" s="577"/>
      <c r="J689" s="613"/>
      <c r="K689" s="581"/>
      <c r="L689" s="581"/>
      <c r="M689" s="613"/>
      <c r="N689" s="613"/>
      <c r="O689" s="613"/>
      <c r="P689" s="580"/>
      <c r="Q689" s="580"/>
      <c r="R689" s="581"/>
      <c r="S689" s="581"/>
      <c r="T689" s="581"/>
      <c r="U689" s="582"/>
      <c r="V689" s="614"/>
      <c r="W689" s="581"/>
      <c r="X689" s="615"/>
      <c r="Y689" s="613"/>
      <c r="Z689" s="580"/>
      <c r="AA689" s="634"/>
      <c r="AB689" s="577"/>
      <c r="AC689" s="673"/>
      <c r="AD689" s="634"/>
      <c r="AE689" s="587"/>
      <c r="AF689" s="587"/>
      <c r="AG689" s="582"/>
      <c r="AH689" s="582"/>
      <c r="AI689" s="582"/>
      <c r="AJ689" s="582"/>
      <c r="AK689" s="588"/>
      <c r="AL689" s="582"/>
      <c r="AM689" s="582"/>
      <c r="AN689" s="589"/>
      <c r="AO689" s="616"/>
      <c r="AP689" s="592"/>
      <c r="AQ689" s="358"/>
      <c r="AR689" s="592"/>
      <c r="AS689" s="592"/>
      <c r="AT689" s="592"/>
      <c r="AU689" s="592"/>
      <c r="AV689" s="592"/>
      <c r="AW689" s="592"/>
      <c r="AX689" s="592"/>
      <c r="AY689" s="592"/>
      <c r="AZ689" s="592"/>
      <c r="BA689" s="617"/>
      <c r="BB689" s="592"/>
      <c r="BC689" s="592"/>
      <c r="BD689" s="592"/>
      <c r="BE689" s="592"/>
      <c r="BF689" s="592"/>
      <c r="BG689" s="358"/>
      <c r="BH689" s="592"/>
      <c r="BI689" s="592"/>
      <c r="BJ689" s="592"/>
      <c r="BK689" s="592"/>
      <c r="BL689" s="592"/>
      <c r="BM689" s="592"/>
      <c r="BN689" s="592"/>
      <c r="BO689" s="592"/>
      <c r="BP689" s="592"/>
      <c r="BQ689" s="594"/>
      <c r="BR689" s="594"/>
      <c r="BS689" s="394"/>
      <c r="BT689" s="594"/>
      <c r="BU689" s="594"/>
      <c r="BV689" s="594"/>
      <c r="BW689" s="618"/>
      <c r="BX689" s="644"/>
      <c r="BY689" s="644"/>
    </row>
    <row r="690" ht="25.5" customHeight="1">
      <c r="A690" s="635"/>
      <c r="B690" s="695"/>
      <c r="C690" s="642"/>
      <c r="D690" s="642"/>
      <c r="E690" s="696"/>
      <c r="F690" s="696"/>
      <c r="G690" s="621"/>
      <c r="H690" s="577"/>
      <c r="I690" s="577"/>
      <c r="J690" s="613"/>
      <c r="K690" s="581"/>
      <c r="L690" s="581"/>
      <c r="M690" s="613"/>
      <c r="N690" s="613"/>
      <c r="O690" s="613"/>
      <c r="P690" s="580"/>
      <c r="Q690" s="580"/>
      <c r="R690" s="581"/>
      <c r="S690" s="581"/>
      <c r="T690" s="581"/>
      <c r="U690" s="582"/>
      <c r="V690" s="614"/>
      <c r="W690" s="581"/>
      <c r="X690" s="615"/>
      <c r="Y690" s="613"/>
      <c r="Z690" s="580"/>
      <c r="AA690" s="634"/>
      <c r="AB690" s="577"/>
      <c r="AC690" s="673"/>
      <c r="AD690" s="634"/>
      <c r="AE690" s="587"/>
      <c r="AF690" s="587"/>
      <c r="AG690" s="582"/>
      <c r="AH690" s="582"/>
      <c r="AI690" s="582"/>
      <c r="AJ690" s="582"/>
      <c r="AK690" s="588"/>
      <c r="AL690" s="582"/>
      <c r="AM690" s="582"/>
      <c r="AN690" s="589"/>
      <c r="AO690" s="616"/>
      <c r="AP690" s="592"/>
      <c r="AQ690" s="358"/>
      <c r="AR690" s="592"/>
      <c r="AS690" s="592"/>
      <c r="AT690" s="592"/>
      <c r="AU690" s="592"/>
      <c r="AV690" s="592"/>
      <c r="AW690" s="592"/>
      <c r="AX690" s="592"/>
      <c r="AY690" s="592"/>
      <c r="AZ690" s="592"/>
      <c r="BA690" s="617"/>
      <c r="BB690" s="592"/>
      <c r="BC690" s="592"/>
      <c r="BD690" s="592"/>
      <c r="BE690" s="592"/>
      <c r="BF690" s="592"/>
      <c r="BG690" s="358"/>
      <c r="BH690" s="592"/>
      <c r="BI690" s="592"/>
      <c r="BJ690" s="592"/>
      <c r="BK690" s="592"/>
      <c r="BL690" s="592"/>
      <c r="BM690" s="592"/>
      <c r="BN690" s="592"/>
      <c r="BO690" s="592"/>
      <c r="BP690" s="592"/>
      <c r="BQ690" s="594"/>
      <c r="BR690" s="594"/>
      <c r="BS690" s="394"/>
      <c r="BT690" s="594"/>
      <c r="BU690" s="594"/>
      <c r="BV690" s="594"/>
      <c r="BW690" s="618"/>
      <c r="BX690" s="644"/>
      <c r="BY690" s="644"/>
    </row>
    <row r="691" ht="25.5" customHeight="1">
      <c r="A691" s="635"/>
      <c r="B691" s="695"/>
      <c r="C691" s="642"/>
      <c r="D691" s="642"/>
      <c r="E691" s="696"/>
      <c r="F691" s="696"/>
      <c r="G691" s="621"/>
      <c r="H691" s="577"/>
      <c r="I691" s="577"/>
      <c r="J691" s="613"/>
      <c r="K691" s="581"/>
      <c r="L691" s="581"/>
      <c r="M691" s="613"/>
      <c r="N691" s="613"/>
      <c r="O691" s="613"/>
      <c r="P691" s="580"/>
      <c r="Q691" s="580"/>
      <c r="R691" s="581"/>
      <c r="S691" s="581"/>
      <c r="T691" s="581"/>
      <c r="U691" s="582"/>
      <c r="V691" s="614"/>
      <c r="W691" s="581"/>
      <c r="X691" s="615"/>
      <c r="Y691" s="613"/>
      <c r="Z691" s="580"/>
      <c r="AA691" s="634"/>
      <c r="AB691" s="577"/>
      <c r="AC691" s="673"/>
      <c r="AD691" s="634"/>
      <c r="AE691" s="587"/>
      <c r="AF691" s="587"/>
      <c r="AG691" s="582"/>
      <c r="AH691" s="582"/>
      <c r="AI691" s="582"/>
      <c r="AJ691" s="582"/>
      <c r="AK691" s="588"/>
      <c r="AL691" s="582"/>
      <c r="AM691" s="582"/>
      <c r="AN691" s="589"/>
      <c r="AO691" s="616"/>
      <c r="AP691" s="592"/>
      <c r="AQ691" s="358"/>
      <c r="AR691" s="592"/>
      <c r="AS691" s="592"/>
      <c r="AT691" s="592"/>
      <c r="AU691" s="592"/>
      <c r="AV691" s="592"/>
      <c r="AW691" s="592"/>
      <c r="AX691" s="592"/>
      <c r="AY691" s="592"/>
      <c r="AZ691" s="592"/>
      <c r="BA691" s="617"/>
      <c r="BB691" s="592"/>
      <c r="BC691" s="592"/>
      <c r="BD691" s="592"/>
      <c r="BE691" s="592"/>
      <c r="BF691" s="592"/>
      <c r="BG691" s="358"/>
      <c r="BH691" s="592"/>
      <c r="BI691" s="592"/>
      <c r="BJ691" s="592"/>
      <c r="BK691" s="592"/>
      <c r="BL691" s="592"/>
      <c r="BM691" s="592"/>
      <c r="BN691" s="592"/>
      <c r="BO691" s="592"/>
      <c r="BP691" s="592"/>
      <c r="BQ691" s="594"/>
      <c r="BR691" s="594"/>
      <c r="BS691" s="394"/>
      <c r="BT691" s="594"/>
      <c r="BU691" s="594"/>
      <c r="BV691" s="594"/>
      <c r="BW691" s="618"/>
      <c r="BX691" s="644"/>
      <c r="BY691" s="644"/>
    </row>
    <row r="692" ht="25.5" customHeight="1">
      <c r="A692" s="635"/>
      <c r="B692" s="695"/>
      <c r="C692" s="642"/>
      <c r="D692" s="642"/>
      <c r="E692" s="696"/>
      <c r="F692" s="696"/>
      <c r="G692" s="621"/>
      <c r="H692" s="577"/>
      <c r="I692" s="577"/>
      <c r="J692" s="613"/>
      <c r="K692" s="581"/>
      <c r="L692" s="581"/>
      <c r="M692" s="613"/>
      <c r="N692" s="613"/>
      <c r="O692" s="613"/>
      <c r="P692" s="580"/>
      <c r="Q692" s="580"/>
      <c r="R692" s="581"/>
      <c r="S692" s="581"/>
      <c r="T692" s="581"/>
      <c r="U692" s="582"/>
      <c r="V692" s="614"/>
      <c r="W692" s="581"/>
      <c r="X692" s="615"/>
      <c r="Y692" s="613"/>
      <c r="Z692" s="580"/>
      <c r="AA692" s="634"/>
      <c r="AB692" s="577"/>
      <c r="AC692" s="673"/>
      <c r="AD692" s="634"/>
      <c r="AE692" s="587"/>
      <c r="AF692" s="587"/>
      <c r="AG692" s="582"/>
      <c r="AH692" s="582"/>
      <c r="AI692" s="582"/>
      <c r="AJ692" s="582"/>
      <c r="AK692" s="588"/>
      <c r="AL692" s="582"/>
      <c r="AM692" s="582"/>
      <c r="AN692" s="589"/>
      <c r="AO692" s="616"/>
      <c r="AP692" s="592"/>
      <c r="AQ692" s="358"/>
      <c r="AR692" s="592"/>
      <c r="AS692" s="592"/>
      <c r="AT692" s="592"/>
      <c r="AU692" s="592"/>
      <c r="AV692" s="592"/>
      <c r="AW692" s="592"/>
      <c r="AX692" s="592"/>
      <c r="AY692" s="592"/>
      <c r="AZ692" s="592"/>
      <c r="BA692" s="617"/>
      <c r="BB692" s="592"/>
      <c r="BC692" s="592"/>
      <c r="BD692" s="592"/>
      <c r="BE692" s="592"/>
      <c r="BF692" s="592"/>
      <c r="BG692" s="358"/>
      <c r="BH692" s="592"/>
      <c r="BI692" s="592"/>
      <c r="BJ692" s="592"/>
      <c r="BK692" s="592"/>
      <c r="BL692" s="592"/>
      <c r="BM692" s="592"/>
      <c r="BN692" s="592"/>
      <c r="BO692" s="592"/>
      <c r="BP692" s="592"/>
      <c r="BQ692" s="594"/>
      <c r="BR692" s="594"/>
      <c r="BS692" s="394"/>
      <c r="BT692" s="594"/>
      <c r="BU692" s="594"/>
      <c r="BV692" s="594"/>
      <c r="BW692" s="618"/>
      <c r="BX692" s="644"/>
      <c r="BY692" s="644"/>
    </row>
    <row r="693" ht="25.5" customHeight="1">
      <c r="A693" s="635"/>
      <c r="B693" s="695"/>
      <c r="C693" s="642"/>
      <c r="D693" s="642"/>
      <c r="E693" s="696"/>
      <c r="F693" s="696"/>
      <c r="G693" s="621"/>
      <c r="H693" s="577"/>
      <c r="I693" s="577"/>
      <c r="J693" s="613"/>
      <c r="K693" s="581"/>
      <c r="L693" s="581"/>
      <c r="M693" s="613"/>
      <c r="N693" s="613"/>
      <c r="O693" s="613"/>
      <c r="P693" s="580"/>
      <c r="Q693" s="580"/>
      <c r="R693" s="581"/>
      <c r="S693" s="581"/>
      <c r="T693" s="581"/>
      <c r="U693" s="582"/>
      <c r="V693" s="614"/>
      <c r="W693" s="581"/>
      <c r="X693" s="615"/>
      <c r="Y693" s="613"/>
      <c r="Z693" s="580"/>
      <c r="AA693" s="634"/>
      <c r="AB693" s="577"/>
      <c r="AC693" s="673"/>
      <c r="AD693" s="634"/>
      <c r="AE693" s="587"/>
      <c r="AF693" s="587"/>
      <c r="AG693" s="582"/>
      <c r="AH693" s="582"/>
      <c r="AI693" s="582"/>
      <c r="AJ693" s="582"/>
      <c r="AK693" s="588"/>
      <c r="AL693" s="582"/>
      <c r="AM693" s="582"/>
      <c r="AN693" s="589"/>
      <c r="AO693" s="616"/>
      <c r="AP693" s="592"/>
      <c r="AQ693" s="358"/>
      <c r="AR693" s="592"/>
      <c r="AS693" s="592"/>
      <c r="AT693" s="592"/>
      <c r="AU693" s="592"/>
      <c r="AV693" s="592"/>
      <c r="AW693" s="592"/>
      <c r="AX693" s="592"/>
      <c r="AY693" s="592"/>
      <c r="AZ693" s="592"/>
      <c r="BA693" s="617"/>
      <c r="BB693" s="592"/>
      <c r="BC693" s="592"/>
      <c r="BD693" s="592"/>
      <c r="BE693" s="592"/>
      <c r="BF693" s="592"/>
      <c r="BG693" s="358"/>
      <c r="BH693" s="592"/>
      <c r="BI693" s="592"/>
      <c r="BJ693" s="592"/>
      <c r="BK693" s="592"/>
      <c r="BL693" s="592"/>
      <c r="BM693" s="592"/>
      <c r="BN693" s="592"/>
      <c r="BO693" s="592"/>
      <c r="BP693" s="592"/>
      <c r="BQ693" s="594"/>
      <c r="BR693" s="594"/>
      <c r="BS693" s="394"/>
      <c r="BT693" s="594"/>
      <c r="BU693" s="594"/>
      <c r="BV693" s="594"/>
      <c r="BW693" s="618"/>
      <c r="BX693" s="644"/>
      <c r="BY693" s="644"/>
    </row>
    <row r="694" ht="25.5" customHeight="1">
      <c r="A694" s="635"/>
      <c r="B694" s="695"/>
      <c r="C694" s="642"/>
      <c r="D694" s="642"/>
      <c r="E694" s="696"/>
      <c r="F694" s="696"/>
      <c r="G694" s="621"/>
      <c r="H694" s="577"/>
      <c r="I694" s="577"/>
      <c r="J694" s="613"/>
      <c r="K694" s="581"/>
      <c r="L694" s="581"/>
      <c r="M694" s="613"/>
      <c r="N694" s="613"/>
      <c r="O694" s="613"/>
      <c r="P694" s="580"/>
      <c r="Q694" s="580"/>
      <c r="R694" s="581"/>
      <c r="S694" s="581"/>
      <c r="T694" s="581"/>
      <c r="U694" s="582"/>
      <c r="V694" s="614"/>
      <c r="W694" s="581"/>
      <c r="X694" s="615"/>
      <c r="Y694" s="613"/>
      <c r="Z694" s="580"/>
      <c r="AA694" s="634"/>
      <c r="AB694" s="577"/>
      <c r="AC694" s="673"/>
      <c r="AD694" s="634"/>
      <c r="AE694" s="587"/>
      <c r="AF694" s="587"/>
      <c r="AG694" s="582"/>
      <c r="AH694" s="582"/>
      <c r="AI694" s="582"/>
      <c r="AJ694" s="582"/>
      <c r="AK694" s="588"/>
      <c r="AL694" s="582"/>
      <c r="AM694" s="582"/>
      <c r="AN694" s="589"/>
      <c r="AO694" s="616"/>
      <c r="AP694" s="592"/>
      <c r="AQ694" s="358"/>
      <c r="AR694" s="592"/>
      <c r="AS694" s="592"/>
      <c r="AT694" s="592"/>
      <c r="AU694" s="592"/>
      <c r="AV694" s="592"/>
      <c r="AW694" s="592"/>
      <c r="AX694" s="592"/>
      <c r="AY694" s="592"/>
      <c r="AZ694" s="592"/>
      <c r="BA694" s="617"/>
      <c r="BB694" s="592"/>
      <c r="BC694" s="592"/>
      <c r="BD694" s="592"/>
      <c r="BE694" s="592"/>
      <c r="BF694" s="592"/>
      <c r="BG694" s="358"/>
      <c r="BH694" s="592"/>
      <c r="BI694" s="592"/>
      <c r="BJ694" s="592"/>
      <c r="BK694" s="592"/>
      <c r="BL694" s="592"/>
      <c r="BM694" s="592"/>
      <c r="BN694" s="592"/>
      <c r="BO694" s="592"/>
      <c r="BP694" s="592"/>
      <c r="BQ694" s="594"/>
      <c r="BR694" s="594"/>
      <c r="BS694" s="394"/>
      <c r="BT694" s="594"/>
      <c r="BU694" s="594"/>
      <c r="BV694" s="594"/>
      <c r="BW694" s="618"/>
      <c r="BX694" s="644"/>
      <c r="BY694" s="644"/>
    </row>
    <row r="695" ht="25.5" customHeight="1">
      <c r="A695" s="635"/>
      <c r="B695" s="695"/>
      <c r="C695" s="642"/>
      <c r="D695" s="642"/>
      <c r="E695" s="696"/>
      <c r="F695" s="696"/>
      <c r="G695" s="621"/>
      <c r="H695" s="577"/>
      <c r="I695" s="577"/>
      <c r="J695" s="613"/>
      <c r="K695" s="581"/>
      <c r="L695" s="581"/>
      <c r="M695" s="613"/>
      <c r="N695" s="613"/>
      <c r="O695" s="613"/>
      <c r="P695" s="580"/>
      <c r="Q695" s="580"/>
      <c r="R695" s="581"/>
      <c r="S695" s="581"/>
      <c r="T695" s="581"/>
      <c r="U695" s="582"/>
      <c r="V695" s="614"/>
      <c r="W695" s="581"/>
      <c r="X695" s="615"/>
      <c r="Y695" s="613"/>
      <c r="Z695" s="580"/>
      <c r="AA695" s="634"/>
      <c r="AB695" s="577"/>
      <c r="AC695" s="673"/>
      <c r="AD695" s="634"/>
      <c r="AE695" s="587"/>
      <c r="AF695" s="587"/>
      <c r="AG695" s="582"/>
      <c r="AH695" s="582"/>
      <c r="AI695" s="582"/>
      <c r="AJ695" s="582"/>
      <c r="AK695" s="588"/>
      <c r="AL695" s="582"/>
      <c r="AM695" s="582"/>
      <c r="AN695" s="589"/>
      <c r="AO695" s="616"/>
      <c r="AP695" s="592"/>
      <c r="AQ695" s="358"/>
      <c r="AR695" s="592"/>
      <c r="AS695" s="592"/>
      <c r="AT695" s="592"/>
      <c r="AU695" s="592"/>
      <c r="AV695" s="592"/>
      <c r="AW695" s="592"/>
      <c r="AX695" s="592"/>
      <c r="AY695" s="592"/>
      <c r="AZ695" s="592"/>
      <c r="BA695" s="617"/>
      <c r="BB695" s="592"/>
      <c r="BC695" s="592"/>
      <c r="BD695" s="592"/>
      <c r="BE695" s="592"/>
      <c r="BF695" s="592"/>
      <c r="BG695" s="358"/>
      <c r="BH695" s="592"/>
      <c r="BI695" s="592"/>
      <c r="BJ695" s="592"/>
      <c r="BK695" s="592"/>
      <c r="BL695" s="592"/>
      <c r="BM695" s="592"/>
      <c r="BN695" s="592"/>
      <c r="BO695" s="592"/>
      <c r="BP695" s="592"/>
      <c r="BQ695" s="594"/>
      <c r="BR695" s="594"/>
      <c r="BS695" s="394"/>
      <c r="BT695" s="594"/>
      <c r="BU695" s="594"/>
      <c r="BV695" s="594"/>
      <c r="BW695" s="618"/>
      <c r="BX695" s="644"/>
      <c r="BY695" s="644"/>
    </row>
    <row r="696" ht="25.5" customHeight="1">
      <c r="A696" s="635"/>
      <c r="B696" s="695"/>
      <c r="C696" s="642"/>
      <c r="D696" s="642"/>
      <c r="E696" s="696"/>
      <c r="F696" s="696"/>
      <c r="G696" s="621"/>
      <c r="H696" s="577"/>
      <c r="I696" s="577"/>
      <c r="J696" s="613"/>
      <c r="K696" s="581"/>
      <c r="L696" s="581"/>
      <c r="M696" s="613"/>
      <c r="N696" s="613"/>
      <c r="O696" s="613"/>
      <c r="P696" s="580"/>
      <c r="Q696" s="580"/>
      <c r="R696" s="581"/>
      <c r="S696" s="581"/>
      <c r="T696" s="581"/>
      <c r="U696" s="582"/>
      <c r="V696" s="614"/>
      <c r="W696" s="581"/>
      <c r="X696" s="615"/>
      <c r="Y696" s="613"/>
      <c r="Z696" s="580"/>
      <c r="AA696" s="634"/>
      <c r="AB696" s="577"/>
      <c r="AC696" s="673"/>
      <c r="AD696" s="634"/>
      <c r="AE696" s="587"/>
      <c r="AF696" s="587"/>
      <c r="AG696" s="582"/>
      <c r="AH696" s="582"/>
      <c r="AI696" s="582"/>
      <c r="AJ696" s="582"/>
      <c r="AK696" s="588"/>
      <c r="AL696" s="582"/>
      <c r="AM696" s="582"/>
      <c r="AN696" s="589"/>
      <c r="AO696" s="616"/>
      <c r="AP696" s="592"/>
      <c r="AQ696" s="358"/>
      <c r="AR696" s="592"/>
      <c r="AS696" s="592"/>
      <c r="AT696" s="592"/>
      <c r="AU696" s="592"/>
      <c r="AV696" s="592"/>
      <c r="AW696" s="592"/>
      <c r="AX696" s="592"/>
      <c r="AY696" s="592"/>
      <c r="AZ696" s="592"/>
      <c r="BA696" s="617"/>
      <c r="BB696" s="592"/>
      <c r="BC696" s="592"/>
      <c r="BD696" s="592"/>
      <c r="BE696" s="592"/>
      <c r="BF696" s="592"/>
      <c r="BG696" s="358"/>
      <c r="BH696" s="592"/>
      <c r="BI696" s="592"/>
      <c r="BJ696" s="592"/>
      <c r="BK696" s="592"/>
      <c r="BL696" s="592"/>
      <c r="BM696" s="592"/>
      <c r="BN696" s="592"/>
      <c r="BO696" s="592"/>
      <c r="BP696" s="592"/>
      <c r="BQ696" s="594"/>
      <c r="BR696" s="594"/>
      <c r="BS696" s="394"/>
      <c r="BT696" s="594"/>
      <c r="BU696" s="594"/>
      <c r="BV696" s="594"/>
      <c r="BW696" s="618"/>
      <c r="BX696" s="644"/>
      <c r="BY696" s="644"/>
    </row>
    <row r="697" ht="25.5" customHeight="1">
      <c r="A697" s="635"/>
      <c r="B697" s="695"/>
      <c r="C697" s="642"/>
      <c r="D697" s="642"/>
      <c r="E697" s="696"/>
      <c r="F697" s="696"/>
      <c r="G697" s="621"/>
      <c r="H697" s="577"/>
      <c r="I697" s="577"/>
      <c r="J697" s="613"/>
      <c r="K697" s="581"/>
      <c r="L697" s="581"/>
      <c r="M697" s="613"/>
      <c r="N697" s="613"/>
      <c r="O697" s="613"/>
      <c r="P697" s="580"/>
      <c r="Q697" s="580"/>
      <c r="R697" s="581"/>
      <c r="S697" s="581"/>
      <c r="T697" s="581"/>
      <c r="U697" s="582"/>
      <c r="V697" s="614"/>
      <c r="W697" s="581"/>
      <c r="X697" s="615"/>
      <c r="Y697" s="613"/>
      <c r="Z697" s="580"/>
      <c r="AA697" s="634"/>
      <c r="AB697" s="577"/>
      <c r="AC697" s="673"/>
      <c r="AD697" s="634"/>
      <c r="AE697" s="587"/>
      <c r="AF697" s="587"/>
      <c r="AG697" s="582"/>
      <c r="AH697" s="582"/>
      <c r="AI697" s="582"/>
      <c r="AJ697" s="582"/>
      <c r="AK697" s="588"/>
      <c r="AL697" s="582"/>
      <c r="AM697" s="582"/>
      <c r="AN697" s="589"/>
      <c r="AO697" s="616"/>
      <c r="AP697" s="592"/>
      <c r="AQ697" s="358"/>
      <c r="AR697" s="592"/>
      <c r="AS697" s="592"/>
      <c r="AT697" s="592"/>
      <c r="AU697" s="592"/>
      <c r="AV697" s="592"/>
      <c r="AW697" s="592"/>
      <c r="AX697" s="592"/>
      <c r="AY697" s="592"/>
      <c r="AZ697" s="592"/>
      <c r="BA697" s="617"/>
      <c r="BB697" s="592"/>
      <c r="BC697" s="592"/>
      <c r="BD697" s="592"/>
      <c r="BE697" s="592"/>
      <c r="BF697" s="592"/>
      <c r="BG697" s="358"/>
      <c r="BH697" s="592"/>
      <c r="BI697" s="592"/>
      <c r="BJ697" s="592"/>
      <c r="BK697" s="592"/>
      <c r="BL697" s="592"/>
      <c r="BM697" s="592"/>
      <c r="BN697" s="592"/>
      <c r="BO697" s="592"/>
      <c r="BP697" s="592"/>
      <c r="BQ697" s="594"/>
      <c r="BR697" s="594"/>
      <c r="BS697" s="394"/>
      <c r="BT697" s="594"/>
      <c r="BU697" s="594"/>
      <c r="BV697" s="594"/>
      <c r="BW697" s="618"/>
      <c r="BX697" s="644"/>
      <c r="BY697" s="644"/>
    </row>
    <row r="698" ht="25.5" customHeight="1">
      <c r="A698" s="635"/>
      <c r="B698" s="695"/>
      <c r="C698" s="642"/>
      <c r="D698" s="642"/>
      <c r="E698" s="696"/>
      <c r="F698" s="696"/>
      <c r="G698" s="621"/>
      <c r="H698" s="577"/>
      <c r="I698" s="577"/>
      <c r="J698" s="613"/>
      <c r="K698" s="581"/>
      <c r="L698" s="581"/>
      <c r="M698" s="613"/>
      <c r="N698" s="613"/>
      <c r="O698" s="613"/>
      <c r="P698" s="580"/>
      <c r="Q698" s="580"/>
      <c r="R698" s="581"/>
      <c r="S698" s="581"/>
      <c r="T698" s="581"/>
      <c r="U698" s="582"/>
      <c r="V698" s="614"/>
      <c r="W698" s="581"/>
      <c r="X698" s="615"/>
      <c r="Y698" s="613"/>
      <c r="Z698" s="580"/>
      <c r="AA698" s="634"/>
      <c r="AB698" s="577"/>
      <c r="AC698" s="673"/>
      <c r="AD698" s="634"/>
      <c r="AE698" s="587"/>
      <c r="AF698" s="587"/>
      <c r="AG698" s="582"/>
      <c r="AH698" s="582"/>
      <c r="AI698" s="582"/>
      <c r="AJ698" s="582"/>
      <c r="AK698" s="588"/>
      <c r="AL698" s="582"/>
      <c r="AM698" s="582"/>
      <c r="AN698" s="589"/>
      <c r="AO698" s="616"/>
      <c r="AP698" s="592"/>
      <c r="AQ698" s="358"/>
      <c r="AR698" s="592"/>
      <c r="AS698" s="592"/>
      <c r="AT698" s="592"/>
      <c r="AU698" s="592"/>
      <c r="AV698" s="592"/>
      <c r="AW698" s="592"/>
      <c r="AX698" s="592"/>
      <c r="AY698" s="592"/>
      <c r="AZ698" s="592"/>
      <c r="BA698" s="617"/>
      <c r="BB698" s="592"/>
      <c r="BC698" s="592"/>
      <c r="BD698" s="592"/>
      <c r="BE698" s="592"/>
      <c r="BF698" s="592"/>
      <c r="BG698" s="358"/>
      <c r="BH698" s="592"/>
      <c r="BI698" s="592"/>
      <c r="BJ698" s="592"/>
      <c r="BK698" s="592"/>
      <c r="BL698" s="592"/>
      <c r="BM698" s="592"/>
      <c r="BN698" s="592"/>
      <c r="BO698" s="592"/>
      <c r="BP698" s="592"/>
      <c r="BQ698" s="594"/>
      <c r="BR698" s="594"/>
      <c r="BS698" s="394"/>
      <c r="BT698" s="594"/>
      <c r="BU698" s="594"/>
      <c r="BV698" s="594"/>
      <c r="BW698" s="618"/>
      <c r="BX698" s="644"/>
      <c r="BY698" s="644"/>
    </row>
    <row r="699" ht="25.5" customHeight="1">
      <c r="A699" s="635"/>
      <c r="B699" s="695"/>
      <c r="C699" s="642"/>
      <c r="D699" s="642"/>
      <c r="E699" s="696"/>
      <c r="F699" s="696"/>
      <c r="G699" s="621"/>
      <c r="H699" s="577"/>
      <c r="I699" s="577"/>
      <c r="J699" s="613"/>
      <c r="K699" s="581"/>
      <c r="L699" s="581"/>
      <c r="M699" s="613"/>
      <c r="N699" s="613"/>
      <c r="O699" s="613"/>
      <c r="P699" s="580"/>
      <c r="Q699" s="580"/>
      <c r="R699" s="581"/>
      <c r="S699" s="581"/>
      <c r="T699" s="581"/>
      <c r="U699" s="582"/>
      <c r="V699" s="614"/>
      <c r="W699" s="581"/>
      <c r="X699" s="615"/>
      <c r="Y699" s="613"/>
      <c r="Z699" s="580"/>
      <c r="AA699" s="634"/>
      <c r="AB699" s="577"/>
      <c r="AC699" s="673"/>
      <c r="AD699" s="634"/>
      <c r="AE699" s="587"/>
      <c r="AF699" s="587"/>
      <c r="AG699" s="582"/>
      <c r="AH699" s="582"/>
      <c r="AI699" s="582"/>
      <c r="AJ699" s="582"/>
      <c r="AK699" s="588"/>
      <c r="AL699" s="582"/>
      <c r="AM699" s="582"/>
      <c r="AN699" s="589"/>
      <c r="AO699" s="616"/>
      <c r="AP699" s="592"/>
      <c r="AQ699" s="358"/>
      <c r="AR699" s="592"/>
      <c r="AS699" s="592"/>
      <c r="AT699" s="592"/>
      <c r="AU699" s="592"/>
      <c r="AV699" s="592"/>
      <c r="AW699" s="592"/>
      <c r="AX699" s="592"/>
      <c r="AY699" s="592"/>
      <c r="AZ699" s="592"/>
      <c r="BA699" s="617"/>
      <c r="BB699" s="592"/>
      <c r="BC699" s="592"/>
      <c r="BD699" s="592"/>
      <c r="BE699" s="592"/>
      <c r="BF699" s="592"/>
      <c r="BG699" s="358"/>
      <c r="BH699" s="592"/>
      <c r="BI699" s="592"/>
      <c r="BJ699" s="592"/>
      <c r="BK699" s="592"/>
      <c r="BL699" s="592"/>
      <c r="BM699" s="592"/>
      <c r="BN699" s="592"/>
      <c r="BO699" s="592"/>
      <c r="BP699" s="592"/>
      <c r="BQ699" s="594"/>
      <c r="BR699" s="594"/>
      <c r="BS699" s="394"/>
      <c r="BT699" s="594"/>
      <c r="BU699" s="594"/>
      <c r="BV699" s="594"/>
      <c r="BW699" s="618"/>
      <c r="BX699" s="644"/>
      <c r="BY699" s="644"/>
    </row>
    <row r="700" ht="25.5" customHeight="1">
      <c r="A700" s="635"/>
      <c r="B700" s="695"/>
      <c r="C700" s="642"/>
      <c r="D700" s="642"/>
      <c r="E700" s="696"/>
      <c r="F700" s="696"/>
      <c r="G700" s="621"/>
      <c r="H700" s="577"/>
      <c r="I700" s="577"/>
      <c r="J700" s="613"/>
      <c r="K700" s="581"/>
      <c r="L700" s="581"/>
      <c r="M700" s="613"/>
      <c r="N700" s="613"/>
      <c r="O700" s="613"/>
      <c r="P700" s="580"/>
      <c r="Q700" s="580"/>
      <c r="R700" s="581"/>
      <c r="S700" s="581"/>
      <c r="T700" s="581"/>
      <c r="U700" s="582"/>
      <c r="V700" s="614"/>
      <c r="W700" s="581"/>
      <c r="X700" s="615"/>
      <c r="Y700" s="613"/>
      <c r="Z700" s="580"/>
      <c r="AA700" s="634"/>
      <c r="AB700" s="577"/>
      <c r="AC700" s="673"/>
      <c r="AD700" s="634"/>
      <c r="AE700" s="587"/>
      <c r="AF700" s="587"/>
      <c r="AG700" s="582"/>
      <c r="AH700" s="582"/>
      <c r="AI700" s="582"/>
      <c r="AJ700" s="582"/>
      <c r="AK700" s="588"/>
      <c r="AL700" s="582"/>
      <c r="AM700" s="582"/>
      <c r="AN700" s="589"/>
      <c r="AO700" s="616"/>
      <c r="AP700" s="592"/>
      <c r="AQ700" s="358"/>
      <c r="AR700" s="592"/>
      <c r="AS700" s="592"/>
      <c r="AT700" s="592"/>
      <c r="AU700" s="592"/>
      <c r="AV700" s="592"/>
      <c r="AW700" s="592"/>
      <c r="AX700" s="592"/>
      <c r="AY700" s="592"/>
      <c r="AZ700" s="592"/>
      <c r="BA700" s="617"/>
      <c r="BB700" s="592"/>
      <c r="BC700" s="592"/>
      <c r="BD700" s="592"/>
      <c r="BE700" s="592"/>
      <c r="BF700" s="592"/>
      <c r="BG700" s="358"/>
      <c r="BH700" s="592"/>
      <c r="BI700" s="592"/>
      <c r="BJ700" s="592"/>
      <c r="BK700" s="592"/>
      <c r="BL700" s="592"/>
      <c r="BM700" s="592"/>
      <c r="BN700" s="592"/>
      <c r="BO700" s="592"/>
      <c r="BP700" s="592"/>
      <c r="BQ700" s="594"/>
      <c r="BR700" s="594"/>
      <c r="BS700" s="394"/>
      <c r="BT700" s="594"/>
      <c r="BU700" s="594"/>
      <c r="BV700" s="594"/>
      <c r="BW700" s="618"/>
      <c r="BX700" s="644"/>
      <c r="BY700" s="644"/>
    </row>
    <row r="701" ht="25.5" customHeight="1">
      <c r="A701" s="635"/>
      <c r="B701" s="695"/>
      <c r="C701" s="642"/>
      <c r="D701" s="642"/>
      <c r="E701" s="696"/>
      <c r="F701" s="696"/>
      <c r="G701" s="621"/>
      <c r="H701" s="577"/>
      <c r="I701" s="577"/>
      <c r="J701" s="613"/>
      <c r="K701" s="581"/>
      <c r="L701" s="581"/>
      <c r="M701" s="613"/>
      <c r="N701" s="613"/>
      <c r="O701" s="613"/>
      <c r="P701" s="580"/>
      <c r="Q701" s="580"/>
      <c r="R701" s="581"/>
      <c r="S701" s="581"/>
      <c r="T701" s="581"/>
      <c r="U701" s="582"/>
      <c r="V701" s="614"/>
      <c r="W701" s="581"/>
      <c r="X701" s="615"/>
      <c r="Y701" s="613"/>
      <c r="Z701" s="580"/>
      <c r="AA701" s="634"/>
      <c r="AB701" s="577"/>
      <c r="AC701" s="673"/>
      <c r="AD701" s="634"/>
      <c r="AE701" s="587"/>
      <c r="AF701" s="587"/>
      <c r="AG701" s="582"/>
      <c r="AH701" s="582"/>
      <c r="AI701" s="582"/>
      <c r="AJ701" s="582"/>
      <c r="AK701" s="588"/>
      <c r="AL701" s="582"/>
      <c r="AM701" s="582"/>
      <c r="AN701" s="589"/>
      <c r="AO701" s="616"/>
      <c r="AP701" s="592"/>
      <c r="AQ701" s="358"/>
      <c r="AR701" s="592"/>
      <c r="AS701" s="592"/>
      <c r="AT701" s="592"/>
      <c r="AU701" s="592"/>
      <c r="AV701" s="592"/>
      <c r="AW701" s="592"/>
      <c r="AX701" s="592"/>
      <c r="AY701" s="592"/>
      <c r="AZ701" s="592"/>
      <c r="BA701" s="617"/>
      <c r="BB701" s="592"/>
      <c r="BC701" s="592"/>
      <c r="BD701" s="592"/>
      <c r="BE701" s="592"/>
      <c r="BF701" s="592"/>
      <c r="BG701" s="358"/>
      <c r="BH701" s="592"/>
      <c r="BI701" s="592"/>
      <c r="BJ701" s="592"/>
      <c r="BK701" s="592"/>
      <c r="BL701" s="592"/>
      <c r="BM701" s="592"/>
      <c r="BN701" s="592"/>
      <c r="BO701" s="592"/>
      <c r="BP701" s="592"/>
      <c r="BQ701" s="594"/>
      <c r="BR701" s="594"/>
      <c r="BS701" s="394"/>
      <c r="BT701" s="594"/>
      <c r="BU701" s="594"/>
      <c r="BV701" s="594"/>
      <c r="BW701" s="618"/>
      <c r="BX701" s="644"/>
      <c r="BY701" s="644"/>
    </row>
    <row r="702" ht="25.5" customHeight="1">
      <c r="A702" s="635"/>
      <c r="B702" s="695"/>
      <c r="C702" s="642"/>
      <c r="D702" s="642"/>
      <c r="E702" s="696"/>
      <c r="F702" s="696"/>
      <c r="G702" s="621"/>
      <c r="H702" s="577"/>
      <c r="I702" s="577"/>
      <c r="J702" s="613"/>
      <c r="K702" s="581"/>
      <c r="L702" s="581"/>
      <c r="M702" s="613"/>
      <c r="N702" s="613"/>
      <c r="O702" s="613"/>
      <c r="P702" s="580"/>
      <c r="Q702" s="580"/>
      <c r="R702" s="581"/>
      <c r="S702" s="581"/>
      <c r="T702" s="581"/>
      <c r="U702" s="582"/>
      <c r="V702" s="614"/>
      <c r="W702" s="581"/>
      <c r="X702" s="615"/>
      <c r="Y702" s="613"/>
      <c r="Z702" s="580"/>
      <c r="AA702" s="634"/>
      <c r="AB702" s="577"/>
      <c r="AC702" s="673"/>
      <c r="AD702" s="634"/>
      <c r="AE702" s="587"/>
      <c r="AF702" s="587"/>
      <c r="AG702" s="582"/>
      <c r="AH702" s="582"/>
      <c r="AI702" s="582"/>
      <c r="AJ702" s="582"/>
      <c r="AK702" s="588"/>
      <c r="AL702" s="582"/>
      <c r="AM702" s="582"/>
      <c r="AN702" s="589"/>
      <c r="AO702" s="616"/>
      <c r="AP702" s="592"/>
      <c r="AQ702" s="358"/>
      <c r="AR702" s="592"/>
      <c r="AS702" s="592"/>
      <c r="AT702" s="592"/>
      <c r="AU702" s="592"/>
      <c r="AV702" s="592"/>
      <c r="AW702" s="592"/>
      <c r="AX702" s="592"/>
      <c r="AY702" s="592"/>
      <c r="AZ702" s="592"/>
      <c r="BA702" s="617"/>
      <c r="BB702" s="592"/>
      <c r="BC702" s="592"/>
      <c r="BD702" s="592"/>
      <c r="BE702" s="592"/>
      <c r="BF702" s="592"/>
      <c r="BG702" s="358"/>
      <c r="BH702" s="592"/>
      <c r="BI702" s="592"/>
      <c r="BJ702" s="592"/>
      <c r="BK702" s="592"/>
      <c r="BL702" s="592"/>
      <c r="BM702" s="592"/>
      <c r="BN702" s="592"/>
      <c r="BO702" s="592"/>
      <c r="BP702" s="592"/>
      <c r="BQ702" s="594"/>
      <c r="BR702" s="594"/>
      <c r="BS702" s="394"/>
      <c r="BT702" s="594"/>
      <c r="BU702" s="594"/>
      <c r="BV702" s="594"/>
      <c r="BW702" s="618"/>
      <c r="BX702" s="644"/>
      <c r="BY702" s="644"/>
    </row>
    <row r="703" ht="25.5" customHeight="1">
      <c r="A703" s="635"/>
      <c r="B703" s="695"/>
      <c r="C703" s="642"/>
      <c r="D703" s="642"/>
      <c r="E703" s="696"/>
      <c r="F703" s="696"/>
      <c r="G703" s="621"/>
      <c r="H703" s="577"/>
      <c r="I703" s="577"/>
      <c r="J703" s="613"/>
      <c r="K703" s="581"/>
      <c r="L703" s="581"/>
      <c r="M703" s="613"/>
      <c r="N703" s="613"/>
      <c r="O703" s="613"/>
      <c r="P703" s="580"/>
      <c r="Q703" s="580"/>
      <c r="R703" s="581"/>
      <c r="S703" s="581"/>
      <c r="T703" s="581"/>
      <c r="U703" s="582"/>
      <c r="V703" s="614"/>
      <c r="W703" s="581"/>
      <c r="X703" s="615"/>
      <c r="Y703" s="613"/>
      <c r="Z703" s="580"/>
      <c r="AA703" s="634"/>
      <c r="AB703" s="577"/>
      <c r="AC703" s="673"/>
      <c r="AD703" s="634"/>
      <c r="AE703" s="587"/>
      <c r="AF703" s="587"/>
      <c r="AG703" s="582"/>
      <c r="AH703" s="582"/>
      <c r="AI703" s="582"/>
      <c r="AJ703" s="582"/>
      <c r="AK703" s="588"/>
      <c r="AL703" s="582"/>
      <c r="AM703" s="582"/>
      <c r="AN703" s="589"/>
      <c r="AO703" s="616"/>
      <c r="AP703" s="592"/>
      <c r="AQ703" s="358"/>
      <c r="AR703" s="592"/>
      <c r="AS703" s="592"/>
      <c r="AT703" s="592"/>
      <c r="AU703" s="592"/>
      <c r="AV703" s="592"/>
      <c r="AW703" s="592"/>
      <c r="AX703" s="592"/>
      <c r="AY703" s="592"/>
      <c r="AZ703" s="592"/>
      <c r="BA703" s="617"/>
      <c r="BB703" s="592"/>
      <c r="BC703" s="592"/>
      <c r="BD703" s="592"/>
      <c r="BE703" s="592"/>
      <c r="BF703" s="592"/>
      <c r="BG703" s="358"/>
      <c r="BH703" s="592"/>
      <c r="BI703" s="592"/>
      <c r="BJ703" s="592"/>
      <c r="BK703" s="592"/>
      <c r="BL703" s="592"/>
      <c r="BM703" s="592"/>
      <c r="BN703" s="592"/>
      <c r="BO703" s="592"/>
      <c r="BP703" s="592"/>
      <c r="BQ703" s="594"/>
      <c r="BR703" s="594"/>
      <c r="BS703" s="394"/>
      <c r="BT703" s="594"/>
      <c r="BU703" s="594"/>
      <c r="BV703" s="594"/>
      <c r="BW703" s="618"/>
      <c r="BX703" s="644"/>
      <c r="BY703" s="644"/>
    </row>
    <row r="704" ht="25.5" customHeight="1">
      <c r="A704" s="635"/>
      <c r="B704" s="695"/>
      <c r="C704" s="642"/>
      <c r="D704" s="642"/>
      <c r="E704" s="696"/>
      <c r="F704" s="696"/>
      <c r="G704" s="621"/>
      <c r="H704" s="577"/>
      <c r="I704" s="577"/>
      <c r="J704" s="613"/>
      <c r="K704" s="581"/>
      <c r="L704" s="581"/>
      <c r="M704" s="613"/>
      <c r="N704" s="613"/>
      <c r="O704" s="613"/>
      <c r="P704" s="580"/>
      <c r="Q704" s="580"/>
      <c r="R704" s="581"/>
      <c r="S704" s="581"/>
      <c r="T704" s="581"/>
      <c r="U704" s="582"/>
      <c r="V704" s="614"/>
      <c r="W704" s="581"/>
      <c r="X704" s="615"/>
      <c r="Y704" s="613"/>
      <c r="Z704" s="580"/>
      <c r="AA704" s="634"/>
      <c r="AB704" s="577"/>
      <c r="AC704" s="673"/>
      <c r="AD704" s="634"/>
      <c r="AE704" s="587"/>
      <c r="AF704" s="587"/>
      <c r="AG704" s="582"/>
      <c r="AH704" s="582"/>
      <c r="AI704" s="582"/>
      <c r="AJ704" s="582"/>
      <c r="AK704" s="588"/>
      <c r="AL704" s="582"/>
      <c r="AM704" s="582"/>
      <c r="AN704" s="589"/>
      <c r="AO704" s="616"/>
      <c r="AP704" s="592"/>
      <c r="AQ704" s="358"/>
      <c r="AR704" s="592"/>
      <c r="AS704" s="592"/>
      <c r="AT704" s="592"/>
      <c r="AU704" s="592"/>
      <c r="AV704" s="592"/>
      <c r="AW704" s="592"/>
      <c r="AX704" s="592"/>
      <c r="AY704" s="592"/>
      <c r="AZ704" s="592"/>
      <c r="BA704" s="617"/>
      <c r="BB704" s="592"/>
      <c r="BC704" s="592"/>
      <c r="BD704" s="592"/>
      <c r="BE704" s="592"/>
      <c r="BF704" s="592"/>
      <c r="BG704" s="358"/>
      <c r="BH704" s="592"/>
      <c r="BI704" s="592"/>
      <c r="BJ704" s="592"/>
      <c r="BK704" s="592"/>
      <c r="BL704" s="592"/>
      <c r="BM704" s="592"/>
      <c r="BN704" s="592"/>
      <c r="BO704" s="592"/>
      <c r="BP704" s="592"/>
      <c r="BQ704" s="594"/>
      <c r="BR704" s="594"/>
      <c r="BS704" s="394"/>
      <c r="BT704" s="594"/>
      <c r="BU704" s="594"/>
      <c r="BV704" s="594"/>
      <c r="BW704" s="618"/>
      <c r="BX704" s="644"/>
      <c r="BY704" s="644"/>
    </row>
    <row r="705" ht="25.5" customHeight="1">
      <c r="A705" s="635"/>
      <c r="B705" s="695"/>
      <c r="C705" s="642"/>
      <c r="D705" s="642"/>
      <c r="E705" s="696"/>
      <c r="F705" s="696"/>
      <c r="G705" s="621"/>
      <c r="H705" s="577"/>
      <c r="I705" s="577"/>
      <c r="J705" s="613"/>
      <c r="K705" s="581"/>
      <c r="L705" s="581"/>
      <c r="M705" s="613"/>
      <c r="N705" s="613"/>
      <c r="O705" s="613"/>
      <c r="P705" s="580"/>
      <c r="Q705" s="580"/>
      <c r="R705" s="581"/>
      <c r="S705" s="581"/>
      <c r="T705" s="581"/>
      <c r="U705" s="582"/>
      <c r="V705" s="614"/>
      <c r="W705" s="581"/>
      <c r="X705" s="615"/>
      <c r="Y705" s="613"/>
      <c r="Z705" s="580"/>
      <c r="AA705" s="634"/>
      <c r="AB705" s="577"/>
      <c r="AC705" s="673"/>
      <c r="AD705" s="634"/>
      <c r="AE705" s="587"/>
      <c r="AF705" s="587"/>
      <c r="AG705" s="582"/>
      <c r="AH705" s="582"/>
      <c r="AI705" s="582"/>
      <c r="AJ705" s="582"/>
      <c r="AK705" s="588"/>
      <c r="AL705" s="582"/>
      <c r="AM705" s="582"/>
      <c r="AN705" s="589"/>
      <c r="AO705" s="616"/>
      <c r="AP705" s="592"/>
      <c r="AQ705" s="358"/>
      <c r="AR705" s="592"/>
      <c r="AS705" s="592"/>
      <c r="AT705" s="592"/>
      <c r="AU705" s="592"/>
      <c r="AV705" s="592"/>
      <c r="AW705" s="592"/>
      <c r="AX705" s="592"/>
      <c r="AY705" s="592"/>
      <c r="AZ705" s="592"/>
      <c r="BA705" s="617"/>
      <c r="BB705" s="592"/>
      <c r="BC705" s="592"/>
      <c r="BD705" s="592"/>
      <c r="BE705" s="592"/>
      <c r="BF705" s="592"/>
      <c r="BG705" s="358"/>
      <c r="BH705" s="592"/>
      <c r="BI705" s="592"/>
      <c r="BJ705" s="592"/>
      <c r="BK705" s="592"/>
      <c r="BL705" s="592"/>
      <c r="BM705" s="592"/>
      <c r="BN705" s="592"/>
      <c r="BO705" s="592"/>
      <c r="BP705" s="592"/>
      <c r="BQ705" s="594"/>
      <c r="BR705" s="594"/>
      <c r="BS705" s="394"/>
      <c r="BT705" s="594"/>
      <c r="BU705" s="594"/>
      <c r="BV705" s="594"/>
      <c r="BW705" s="618"/>
      <c r="BX705" s="644"/>
      <c r="BY705" s="644"/>
    </row>
    <row r="706" ht="25.5" customHeight="1">
      <c r="A706" s="635"/>
      <c r="B706" s="695"/>
      <c r="C706" s="642"/>
      <c r="D706" s="642"/>
      <c r="E706" s="696"/>
      <c r="F706" s="696"/>
      <c r="G706" s="621"/>
      <c r="H706" s="577"/>
      <c r="I706" s="577"/>
      <c r="J706" s="613"/>
      <c r="K706" s="581"/>
      <c r="L706" s="581"/>
      <c r="M706" s="613"/>
      <c r="N706" s="613"/>
      <c r="O706" s="613"/>
      <c r="P706" s="580"/>
      <c r="Q706" s="580"/>
      <c r="R706" s="581"/>
      <c r="S706" s="581"/>
      <c r="T706" s="581"/>
      <c r="U706" s="582"/>
      <c r="V706" s="614"/>
      <c r="W706" s="581"/>
      <c r="X706" s="615"/>
      <c r="Y706" s="613"/>
      <c r="Z706" s="580"/>
      <c r="AA706" s="634"/>
      <c r="AB706" s="577"/>
      <c r="AC706" s="673"/>
      <c r="AD706" s="634"/>
      <c r="AE706" s="587"/>
      <c r="AF706" s="587"/>
      <c r="AG706" s="582"/>
      <c r="AH706" s="582"/>
      <c r="AI706" s="582"/>
      <c r="AJ706" s="582"/>
      <c r="AK706" s="588"/>
      <c r="AL706" s="582"/>
      <c r="AM706" s="582"/>
      <c r="AN706" s="589"/>
      <c r="AO706" s="616"/>
      <c r="AP706" s="592"/>
      <c r="AQ706" s="358"/>
      <c r="AR706" s="592"/>
      <c r="AS706" s="592"/>
      <c r="AT706" s="592"/>
      <c r="AU706" s="592"/>
      <c r="AV706" s="592"/>
      <c r="AW706" s="592"/>
      <c r="AX706" s="592"/>
      <c r="AY706" s="592"/>
      <c r="AZ706" s="592"/>
      <c r="BA706" s="617"/>
      <c r="BB706" s="592"/>
      <c r="BC706" s="592"/>
      <c r="BD706" s="592"/>
      <c r="BE706" s="592"/>
      <c r="BF706" s="592"/>
      <c r="BG706" s="358"/>
      <c r="BH706" s="592"/>
      <c r="BI706" s="592"/>
      <c r="BJ706" s="592"/>
      <c r="BK706" s="592"/>
      <c r="BL706" s="592"/>
      <c r="BM706" s="592"/>
      <c r="BN706" s="592"/>
      <c r="BO706" s="592"/>
      <c r="BP706" s="592"/>
      <c r="BQ706" s="594"/>
      <c r="BR706" s="594"/>
      <c r="BS706" s="394"/>
      <c r="BT706" s="594"/>
      <c r="BU706" s="594"/>
      <c r="BV706" s="594"/>
      <c r="BW706" s="618"/>
      <c r="BX706" s="644"/>
      <c r="BY706" s="644"/>
    </row>
    <row r="707" ht="25.5" customHeight="1">
      <c r="A707" s="635"/>
      <c r="B707" s="695"/>
      <c r="C707" s="642"/>
      <c r="D707" s="642"/>
      <c r="E707" s="696"/>
      <c r="F707" s="696"/>
      <c r="G707" s="621"/>
      <c r="H707" s="577"/>
      <c r="I707" s="577"/>
      <c r="J707" s="613"/>
      <c r="K707" s="581"/>
      <c r="L707" s="581"/>
      <c r="M707" s="613"/>
      <c r="N707" s="613"/>
      <c r="O707" s="613"/>
      <c r="P707" s="580"/>
      <c r="Q707" s="580"/>
      <c r="R707" s="581"/>
      <c r="S707" s="581"/>
      <c r="T707" s="581"/>
      <c r="U707" s="582"/>
      <c r="V707" s="614"/>
      <c r="W707" s="581"/>
      <c r="X707" s="615"/>
      <c r="Y707" s="613"/>
      <c r="Z707" s="580"/>
      <c r="AA707" s="634"/>
      <c r="AB707" s="577"/>
      <c r="AC707" s="673"/>
      <c r="AD707" s="634"/>
      <c r="AE707" s="587"/>
      <c r="AF707" s="587"/>
      <c r="AG707" s="582"/>
      <c r="AH707" s="582"/>
      <c r="AI707" s="582"/>
      <c r="AJ707" s="582"/>
      <c r="AK707" s="588"/>
      <c r="AL707" s="582"/>
      <c r="AM707" s="582"/>
      <c r="AN707" s="589"/>
      <c r="AO707" s="616"/>
      <c r="AP707" s="592"/>
      <c r="AQ707" s="358"/>
      <c r="AR707" s="592"/>
      <c r="AS707" s="592"/>
      <c r="AT707" s="592"/>
      <c r="AU707" s="592"/>
      <c r="AV707" s="592"/>
      <c r="AW707" s="592"/>
      <c r="AX707" s="592"/>
      <c r="AY707" s="592"/>
      <c r="AZ707" s="592"/>
      <c r="BA707" s="617"/>
      <c r="BB707" s="592"/>
      <c r="BC707" s="592"/>
      <c r="BD707" s="592"/>
      <c r="BE707" s="592"/>
      <c r="BF707" s="592"/>
      <c r="BG707" s="358"/>
      <c r="BH707" s="592"/>
      <c r="BI707" s="592"/>
      <c r="BJ707" s="592"/>
      <c r="BK707" s="592"/>
      <c r="BL707" s="592"/>
      <c r="BM707" s="592"/>
      <c r="BN707" s="592"/>
      <c r="BO707" s="592"/>
      <c r="BP707" s="592"/>
      <c r="BQ707" s="594"/>
      <c r="BR707" s="594"/>
      <c r="BS707" s="394"/>
      <c r="BT707" s="594"/>
      <c r="BU707" s="594"/>
      <c r="BV707" s="594"/>
      <c r="BW707" s="618"/>
      <c r="BX707" s="644"/>
      <c r="BY707" s="644"/>
    </row>
    <row r="708" ht="25.5" customHeight="1">
      <c r="A708" s="635"/>
      <c r="B708" s="695"/>
      <c r="C708" s="642"/>
      <c r="D708" s="642"/>
      <c r="E708" s="696"/>
      <c r="F708" s="696"/>
      <c r="G708" s="621"/>
      <c r="H708" s="577"/>
      <c r="I708" s="577"/>
      <c r="J708" s="613"/>
      <c r="K708" s="581"/>
      <c r="L708" s="581"/>
      <c r="M708" s="613"/>
      <c r="N708" s="613"/>
      <c r="O708" s="613"/>
      <c r="P708" s="580"/>
      <c r="Q708" s="580"/>
      <c r="R708" s="581"/>
      <c r="S708" s="581"/>
      <c r="T708" s="581"/>
      <c r="U708" s="582"/>
      <c r="V708" s="614"/>
      <c r="W708" s="581"/>
      <c r="X708" s="615"/>
      <c r="Y708" s="613"/>
      <c r="Z708" s="580"/>
      <c r="AA708" s="634"/>
      <c r="AB708" s="577"/>
      <c r="AC708" s="673"/>
      <c r="AD708" s="634"/>
      <c r="AE708" s="587"/>
      <c r="AF708" s="587"/>
      <c r="AG708" s="582"/>
      <c r="AH708" s="582"/>
      <c r="AI708" s="582"/>
      <c r="AJ708" s="582"/>
      <c r="AK708" s="588"/>
      <c r="AL708" s="582"/>
      <c r="AM708" s="582"/>
      <c r="AN708" s="589"/>
      <c r="AO708" s="616"/>
      <c r="AP708" s="592"/>
      <c r="AQ708" s="358"/>
      <c r="AR708" s="592"/>
      <c r="AS708" s="592"/>
      <c r="AT708" s="592"/>
      <c r="AU708" s="592"/>
      <c r="AV708" s="592"/>
      <c r="AW708" s="592"/>
      <c r="AX708" s="592"/>
      <c r="AY708" s="592"/>
      <c r="AZ708" s="592"/>
      <c r="BA708" s="617"/>
      <c r="BB708" s="592"/>
      <c r="BC708" s="592"/>
      <c r="BD708" s="592"/>
      <c r="BE708" s="592"/>
      <c r="BF708" s="592"/>
      <c r="BG708" s="358"/>
      <c r="BH708" s="592"/>
      <c r="BI708" s="592"/>
      <c r="BJ708" s="592"/>
      <c r="BK708" s="592"/>
      <c r="BL708" s="592"/>
      <c r="BM708" s="592"/>
      <c r="BN708" s="592"/>
      <c r="BO708" s="592"/>
      <c r="BP708" s="592"/>
      <c r="BQ708" s="594"/>
      <c r="BR708" s="594"/>
      <c r="BS708" s="394"/>
      <c r="BT708" s="594"/>
      <c r="BU708" s="594"/>
      <c r="BV708" s="594"/>
      <c r="BW708" s="618"/>
      <c r="BX708" s="644"/>
      <c r="BY708" s="644"/>
    </row>
    <row r="709" ht="25.5" customHeight="1">
      <c r="A709" s="635"/>
      <c r="B709" s="695"/>
      <c r="C709" s="642"/>
      <c r="D709" s="642"/>
      <c r="E709" s="696"/>
      <c r="F709" s="696"/>
      <c r="G709" s="621"/>
      <c r="H709" s="577"/>
      <c r="I709" s="577"/>
      <c r="J709" s="613"/>
      <c r="K709" s="581"/>
      <c r="L709" s="581"/>
      <c r="M709" s="613"/>
      <c r="N709" s="613"/>
      <c r="O709" s="613"/>
      <c r="P709" s="580"/>
      <c r="Q709" s="580"/>
      <c r="R709" s="581"/>
      <c r="S709" s="581"/>
      <c r="T709" s="581"/>
      <c r="U709" s="582"/>
      <c r="V709" s="614"/>
      <c r="W709" s="581"/>
      <c r="X709" s="615"/>
      <c r="Y709" s="613"/>
      <c r="Z709" s="580"/>
      <c r="AA709" s="634"/>
      <c r="AB709" s="577"/>
      <c r="AC709" s="673"/>
      <c r="AD709" s="634"/>
      <c r="AE709" s="587"/>
      <c r="AF709" s="587"/>
      <c r="AG709" s="582"/>
      <c r="AH709" s="582"/>
      <c r="AI709" s="582"/>
      <c r="AJ709" s="582"/>
      <c r="AK709" s="588"/>
      <c r="AL709" s="582"/>
      <c r="AM709" s="582"/>
      <c r="AN709" s="589"/>
      <c r="AO709" s="616"/>
      <c r="AP709" s="592"/>
      <c r="AQ709" s="358"/>
      <c r="AR709" s="592"/>
      <c r="AS709" s="592"/>
      <c r="AT709" s="592"/>
      <c r="AU709" s="592"/>
      <c r="AV709" s="592"/>
      <c r="AW709" s="592"/>
      <c r="AX709" s="592"/>
      <c r="AY709" s="592"/>
      <c r="AZ709" s="592"/>
      <c r="BA709" s="617"/>
      <c r="BB709" s="592"/>
      <c r="BC709" s="592"/>
      <c r="BD709" s="592"/>
      <c r="BE709" s="592"/>
      <c r="BF709" s="592"/>
      <c r="BG709" s="358"/>
      <c r="BH709" s="592"/>
      <c r="BI709" s="592"/>
      <c r="BJ709" s="592"/>
      <c r="BK709" s="592"/>
      <c r="BL709" s="592"/>
      <c r="BM709" s="592"/>
      <c r="BN709" s="592"/>
      <c r="BO709" s="592"/>
      <c r="BP709" s="592"/>
      <c r="BQ709" s="594"/>
      <c r="BR709" s="594"/>
      <c r="BS709" s="394"/>
      <c r="BT709" s="594"/>
      <c r="BU709" s="594"/>
      <c r="BV709" s="594"/>
      <c r="BW709" s="618"/>
      <c r="BX709" s="644"/>
      <c r="BY709" s="644"/>
    </row>
    <row r="710" ht="25.5" customHeight="1">
      <c r="A710" s="635"/>
      <c r="B710" s="695"/>
      <c r="C710" s="642"/>
      <c r="D710" s="642"/>
      <c r="E710" s="696"/>
      <c r="F710" s="696"/>
      <c r="G710" s="621"/>
      <c r="H710" s="577"/>
      <c r="I710" s="577"/>
      <c r="J710" s="613"/>
      <c r="K710" s="581"/>
      <c r="L710" s="581"/>
      <c r="M710" s="613"/>
      <c r="N710" s="613"/>
      <c r="O710" s="613"/>
      <c r="P710" s="580"/>
      <c r="Q710" s="580"/>
      <c r="R710" s="581"/>
      <c r="S710" s="581"/>
      <c r="T710" s="581"/>
      <c r="U710" s="582"/>
      <c r="V710" s="614"/>
      <c r="W710" s="581"/>
      <c r="X710" s="615"/>
      <c r="Y710" s="613"/>
      <c r="Z710" s="580"/>
      <c r="AA710" s="634"/>
      <c r="AB710" s="577"/>
      <c r="AC710" s="673"/>
      <c r="AD710" s="634"/>
      <c r="AE710" s="587"/>
      <c r="AF710" s="587"/>
      <c r="AG710" s="582"/>
      <c r="AH710" s="582"/>
      <c r="AI710" s="582"/>
      <c r="AJ710" s="582"/>
      <c r="AK710" s="588"/>
      <c r="AL710" s="582"/>
      <c r="AM710" s="582"/>
      <c r="AN710" s="589"/>
      <c r="AO710" s="616"/>
      <c r="AP710" s="592"/>
      <c r="AQ710" s="358"/>
      <c r="AR710" s="592"/>
      <c r="AS710" s="592"/>
      <c r="AT710" s="592"/>
      <c r="AU710" s="592"/>
      <c r="AV710" s="592"/>
      <c r="AW710" s="592"/>
      <c r="AX710" s="592"/>
      <c r="AY710" s="592"/>
      <c r="AZ710" s="592"/>
      <c r="BA710" s="617"/>
      <c r="BB710" s="592"/>
      <c r="BC710" s="592"/>
      <c r="BD710" s="592"/>
      <c r="BE710" s="592"/>
      <c r="BF710" s="592"/>
      <c r="BG710" s="358"/>
      <c r="BH710" s="592"/>
      <c r="BI710" s="592"/>
      <c r="BJ710" s="592"/>
      <c r="BK710" s="592"/>
      <c r="BL710" s="592"/>
      <c r="BM710" s="592"/>
      <c r="BN710" s="592"/>
      <c r="BO710" s="592"/>
      <c r="BP710" s="592"/>
      <c r="BQ710" s="594"/>
      <c r="BR710" s="594"/>
      <c r="BS710" s="394"/>
      <c r="BT710" s="594"/>
      <c r="BU710" s="594"/>
      <c r="BV710" s="594"/>
      <c r="BW710" s="618"/>
      <c r="BX710" s="644"/>
      <c r="BY710" s="644"/>
    </row>
    <row r="711" ht="25.5" customHeight="1">
      <c r="A711" s="635"/>
      <c r="B711" s="695"/>
      <c r="C711" s="642"/>
      <c r="D711" s="642"/>
      <c r="E711" s="696"/>
      <c r="F711" s="696"/>
      <c r="G711" s="621"/>
      <c r="H711" s="577"/>
      <c r="I711" s="577"/>
      <c r="J711" s="613"/>
      <c r="K711" s="581"/>
      <c r="L711" s="581"/>
      <c r="M711" s="613"/>
      <c r="N711" s="613"/>
      <c r="O711" s="613"/>
      <c r="P711" s="580"/>
      <c r="Q711" s="580"/>
      <c r="R711" s="581"/>
      <c r="S711" s="581"/>
      <c r="T711" s="581"/>
      <c r="U711" s="582"/>
      <c r="V711" s="614"/>
      <c r="W711" s="581"/>
      <c r="X711" s="615"/>
      <c r="Y711" s="613"/>
      <c r="Z711" s="580"/>
      <c r="AA711" s="634"/>
      <c r="AB711" s="577"/>
      <c r="AC711" s="673"/>
      <c r="AD711" s="634"/>
      <c r="AE711" s="587"/>
      <c r="AF711" s="587"/>
      <c r="AG711" s="582"/>
      <c r="AH711" s="582"/>
      <c r="AI711" s="582"/>
      <c r="AJ711" s="582"/>
      <c r="AK711" s="588"/>
      <c r="AL711" s="582"/>
      <c r="AM711" s="582"/>
      <c r="AN711" s="589"/>
      <c r="AO711" s="616"/>
      <c r="AP711" s="592"/>
      <c r="AQ711" s="358"/>
      <c r="AR711" s="592"/>
      <c r="AS711" s="592"/>
      <c r="AT711" s="592"/>
      <c r="AU711" s="592"/>
      <c r="AV711" s="592"/>
      <c r="AW711" s="592"/>
      <c r="AX711" s="592"/>
      <c r="AY711" s="592"/>
      <c r="AZ711" s="592"/>
      <c r="BA711" s="617"/>
      <c r="BB711" s="592"/>
      <c r="BC711" s="592"/>
      <c r="BD711" s="592"/>
      <c r="BE711" s="592"/>
      <c r="BF711" s="592"/>
      <c r="BG711" s="358"/>
      <c r="BH711" s="592"/>
      <c r="BI711" s="592"/>
      <c r="BJ711" s="592"/>
      <c r="BK711" s="592"/>
      <c r="BL711" s="592"/>
      <c r="BM711" s="592"/>
      <c r="BN711" s="592"/>
      <c r="BO711" s="592"/>
      <c r="BP711" s="592"/>
      <c r="BQ711" s="594"/>
      <c r="BR711" s="594"/>
      <c r="BS711" s="394"/>
      <c r="BT711" s="594"/>
      <c r="BU711" s="594"/>
      <c r="BV711" s="594"/>
      <c r="BW711" s="618"/>
      <c r="BX711" s="644"/>
      <c r="BY711" s="644"/>
    </row>
    <row r="712" ht="25.5" customHeight="1">
      <c r="A712" s="635"/>
      <c r="B712" s="695"/>
      <c r="C712" s="642"/>
      <c r="D712" s="642"/>
      <c r="E712" s="696"/>
      <c r="F712" s="696"/>
      <c r="G712" s="621"/>
      <c r="H712" s="577"/>
      <c r="I712" s="577"/>
      <c r="J712" s="613"/>
      <c r="K712" s="581"/>
      <c r="L712" s="581"/>
      <c r="M712" s="613"/>
      <c r="N712" s="613"/>
      <c r="O712" s="613"/>
      <c r="P712" s="580"/>
      <c r="Q712" s="580"/>
      <c r="R712" s="581"/>
      <c r="S712" s="581"/>
      <c r="T712" s="581"/>
      <c r="U712" s="582"/>
      <c r="V712" s="614"/>
      <c r="W712" s="581"/>
      <c r="X712" s="615"/>
      <c r="Y712" s="613"/>
      <c r="Z712" s="580"/>
      <c r="AA712" s="634"/>
      <c r="AB712" s="577"/>
      <c r="AC712" s="673"/>
      <c r="AD712" s="634"/>
      <c r="AE712" s="587"/>
      <c r="AF712" s="587"/>
      <c r="AG712" s="582"/>
      <c r="AH712" s="582"/>
      <c r="AI712" s="582"/>
      <c r="AJ712" s="582"/>
      <c r="AK712" s="588"/>
      <c r="AL712" s="582"/>
      <c r="AM712" s="582"/>
      <c r="AN712" s="589"/>
      <c r="AO712" s="616"/>
      <c r="AP712" s="592"/>
      <c r="AQ712" s="358"/>
      <c r="AR712" s="592"/>
      <c r="AS712" s="592"/>
      <c r="AT712" s="592"/>
      <c r="AU712" s="592"/>
      <c r="AV712" s="592"/>
      <c r="AW712" s="592"/>
      <c r="AX712" s="592"/>
      <c r="AY712" s="592"/>
      <c r="AZ712" s="592"/>
      <c r="BA712" s="617"/>
      <c r="BB712" s="592"/>
      <c r="BC712" s="592"/>
      <c r="BD712" s="592"/>
      <c r="BE712" s="592"/>
      <c r="BF712" s="592"/>
      <c r="BG712" s="358"/>
      <c r="BH712" s="592"/>
      <c r="BI712" s="592"/>
      <c r="BJ712" s="592"/>
      <c r="BK712" s="592"/>
      <c r="BL712" s="592"/>
      <c r="BM712" s="592"/>
      <c r="BN712" s="592"/>
      <c r="BO712" s="592"/>
      <c r="BP712" s="592"/>
      <c r="BQ712" s="594"/>
      <c r="BR712" s="594"/>
      <c r="BS712" s="394"/>
      <c r="BT712" s="594"/>
      <c r="BU712" s="594"/>
      <c r="BV712" s="594"/>
      <c r="BW712" s="618"/>
      <c r="BX712" s="644"/>
      <c r="BY712" s="644"/>
    </row>
    <row r="713" ht="25.5" customHeight="1">
      <c r="A713" s="635"/>
      <c r="B713" s="695"/>
      <c r="C713" s="642"/>
      <c r="D713" s="642"/>
      <c r="E713" s="696"/>
      <c r="F713" s="696"/>
      <c r="G713" s="621"/>
      <c r="H713" s="577"/>
      <c r="I713" s="577"/>
      <c r="J713" s="613"/>
      <c r="K713" s="581"/>
      <c r="L713" s="581"/>
      <c r="M713" s="613"/>
      <c r="N713" s="613"/>
      <c r="O713" s="613"/>
      <c r="P713" s="580"/>
      <c r="Q713" s="580"/>
      <c r="R713" s="581"/>
      <c r="S713" s="581"/>
      <c r="T713" s="581"/>
      <c r="U713" s="582"/>
      <c r="V713" s="614"/>
      <c r="W713" s="581"/>
      <c r="X713" s="615"/>
      <c r="Y713" s="613"/>
      <c r="Z713" s="580"/>
      <c r="AA713" s="634"/>
      <c r="AB713" s="577"/>
      <c r="AC713" s="673"/>
      <c r="AD713" s="634"/>
      <c r="AE713" s="587"/>
      <c r="AF713" s="587"/>
      <c r="AG713" s="582"/>
      <c r="AH713" s="582"/>
      <c r="AI713" s="582"/>
      <c r="AJ713" s="582"/>
      <c r="AK713" s="588"/>
      <c r="AL713" s="582"/>
      <c r="AM713" s="582"/>
      <c r="AN713" s="589"/>
      <c r="AO713" s="616"/>
      <c r="AP713" s="592"/>
      <c r="AQ713" s="358"/>
      <c r="AR713" s="592"/>
      <c r="AS713" s="592"/>
      <c r="AT713" s="592"/>
      <c r="AU713" s="592"/>
      <c r="AV713" s="592"/>
      <c r="AW713" s="592"/>
      <c r="AX713" s="592"/>
      <c r="AY713" s="592"/>
      <c r="AZ713" s="592"/>
      <c r="BA713" s="617"/>
      <c r="BB713" s="592"/>
      <c r="BC713" s="592"/>
      <c r="BD713" s="592"/>
      <c r="BE713" s="592"/>
      <c r="BF713" s="592"/>
      <c r="BG713" s="358"/>
      <c r="BH713" s="592"/>
      <c r="BI713" s="592"/>
      <c r="BJ713" s="592"/>
      <c r="BK713" s="592"/>
      <c r="BL713" s="592"/>
      <c r="BM713" s="592"/>
      <c r="BN713" s="592"/>
      <c r="BO713" s="592"/>
      <c r="BP713" s="592"/>
      <c r="BQ713" s="594"/>
      <c r="BR713" s="594"/>
      <c r="BS713" s="394"/>
      <c r="BT713" s="594"/>
      <c r="BU713" s="594"/>
      <c r="BV713" s="594"/>
      <c r="BW713" s="618"/>
      <c r="BX713" s="644"/>
      <c r="BY713" s="644"/>
    </row>
    <row r="714" ht="25.5" customHeight="1">
      <c r="A714" s="635"/>
      <c r="B714" s="695"/>
      <c r="C714" s="642"/>
      <c r="D714" s="642"/>
      <c r="E714" s="696"/>
      <c r="F714" s="696"/>
      <c r="G714" s="621"/>
      <c r="H714" s="577"/>
      <c r="I714" s="577"/>
      <c r="J714" s="613"/>
      <c r="K714" s="581"/>
      <c r="L714" s="581"/>
      <c r="M714" s="613"/>
      <c r="N714" s="613"/>
      <c r="O714" s="613"/>
      <c r="P714" s="580"/>
      <c r="Q714" s="580"/>
      <c r="R714" s="581"/>
      <c r="S714" s="581"/>
      <c r="T714" s="581"/>
      <c r="U714" s="582"/>
      <c r="V714" s="614"/>
      <c r="W714" s="581"/>
      <c r="X714" s="615"/>
      <c r="Y714" s="613"/>
      <c r="Z714" s="580"/>
      <c r="AA714" s="634"/>
      <c r="AB714" s="577"/>
      <c r="AC714" s="673"/>
      <c r="AD714" s="634"/>
      <c r="AE714" s="587"/>
      <c r="AF714" s="587"/>
      <c r="AG714" s="582"/>
      <c r="AH714" s="582"/>
      <c r="AI714" s="582"/>
      <c r="AJ714" s="582"/>
      <c r="AK714" s="588"/>
      <c r="AL714" s="582"/>
      <c r="AM714" s="582"/>
      <c r="AN714" s="589"/>
      <c r="AO714" s="616"/>
      <c r="AP714" s="592"/>
      <c r="AQ714" s="358"/>
      <c r="AR714" s="592"/>
      <c r="AS714" s="592"/>
      <c r="AT714" s="592"/>
      <c r="AU714" s="592"/>
      <c r="AV714" s="592"/>
      <c r="AW714" s="592"/>
      <c r="AX714" s="592"/>
      <c r="AY714" s="592"/>
      <c r="AZ714" s="592"/>
      <c r="BA714" s="617"/>
      <c r="BB714" s="592"/>
      <c r="BC714" s="592"/>
      <c r="BD714" s="592"/>
      <c r="BE714" s="592"/>
      <c r="BF714" s="592"/>
      <c r="BG714" s="358"/>
      <c r="BH714" s="592"/>
      <c r="BI714" s="592"/>
      <c r="BJ714" s="592"/>
      <c r="BK714" s="592"/>
      <c r="BL714" s="592"/>
      <c r="BM714" s="592"/>
      <c r="BN714" s="592"/>
      <c r="BO714" s="592"/>
      <c r="BP714" s="592"/>
      <c r="BQ714" s="594"/>
      <c r="BR714" s="594"/>
      <c r="BS714" s="394"/>
      <c r="BT714" s="594"/>
      <c r="BU714" s="594"/>
      <c r="BV714" s="594"/>
      <c r="BW714" s="618"/>
      <c r="BX714" s="644"/>
      <c r="BY714" s="644"/>
    </row>
    <row r="715" ht="25.5" customHeight="1">
      <c r="A715" s="635"/>
      <c r="B715" s="695"/>
      <c r="C715" s="642"/>
      <c r="D715" s="642"/>
      <c r="E715" s="696"/>
      <c r="F715" s="696"/>
      <c r="G715" s="621"/>
      <c r="H715" s="577"/>
      <c r="I715" s="577"/>
      <c r="J715" s="613"/>
      <c r="K715" s="581"/>
      <c r="L715" s="581"/>
      <c r="M715" s="613"/>
      <c r="N715" s="613"/>
      <c r="O715" s="613"/>
      <c r="P715" s="580"/>
      <c r="Q715" s="580"/>
      <c r="R715" s="581"/>
      <c r="S715" s="581"/>
      <c r="T715" s="581"/>
      <c r="U715" s="582"/>
      <c r="V715" s="614"/>
      <c r="W715" s="581"/>
      <c r="X715" s="615"/>
      <c r="Y715" s="613"/>
      <c r="Z715" s="580"/>
      <c r="AA715" s="634"/>
      <c r="AB715" s="577"/>
      <c r="AC715" s="673"/>
      <c r="AD715" s="634"/>
      <c r="AE715" s="587"/>
      <c r="AF715" s="587"/>
      <c r="AG715" s="582"/>
      <c r="AH715" s="582"/>
      <c r="AI715" s="582"/>
      <c r="AJ715" s="582"/>
      <c r="AK715" s="588"/>
      <c r="AL715" s="582"/>
      <c r="AM715" s="582"/>
      <c r="AN715" s="589"/>
      <c r="AO715" s="616"/>
      <c r="AP715" s="592"/>
      <c r="AQ715" s="358"/>
      <c r="AR715" s="592"/>
      <c r="AS715" s="592"/>
      <c r="AT715" s="592"/>
      <c r="AU715" s="592"/>
      <c r="AV715" s="592"/>
      <c r="AW715" s="592"/>
      <c r="AX715" s="592"/>
      <c r="AY715" s="592"/>
      <c r="AZ715" s="592"/>
      <c r="BA715" s="617"/>
      <c r="BB715" s="592"/>
      <c r="BC715" s="592"/>
      <c r="BD715" s="592"/>
      <c r="BE715" s="592"/>
      <c r="BF715" s="592"/>
      <c r="BG715" s="358"/>
      <c r="BH715" s="592"/>
      <c r="BI715" s="592"/>
      <c r="BJ715" s="592"/>
      <c r="BK715" s="592"/>
      <c r="BL715" s="592"/>
      <c r="BM715" s="592"/>
      <c r="BN715" s="592"/>
      <c r="BO715" s="592"/>
      <c r="BP715" s="592"/>
      <c r="BQ715" s="594"/>
      <c r="BR715" s="594"/>
      <c r="BS715" s="394"/>
      <c r="BT715" s="594"/>
      <c r="BU715" s="594"/>
      <c r="BV715" s="594"/>
      <c r="BW715" s="618"/>
      <c r="BX715" s="644"/>
      <c r="BY715" s="644"/>
    </row>
    <row r="716" ht="25.5" customHeight="1">
      <c r="A716" s="635"/>
      <c r="B716" s="695"/>
      <c r="C716" s="642"/>
      <c r="D716" s="642"/>
      <c r="E716" s="696"/>
      <c r="F716" s="696"/>
      <c r="G716" s="621"/>
      <c r="H716" s="577"/>
      <c r="I716" s="577"/>
      <c r="J716" s="613"/>
      <c r="K716" s="581"/>
      <c r="L716" s="581"/>
      <c r="M716" s="613"/>
      <c r="N716" s="613"/>
      <c r="O716" s="613"/>
      <c r="P716" s="580"/>
      <c r="Q716" s="580"/>
      <c r="R716" s="581"/>
      <c r="S716" s="581"/>
      <c r="T716" s="581"/>
      <c r="U716" s="582"/>
      <c r="V716" s="614"/>
      <c r="W716" s="581"/>
      <c r="X716" s="615"/>
      <c r="Y716" s="613"/>
      <c r="Z716" s="580"/>
      <c r="AA716" s="634"/>
      <c r="AB716" s="577"/>
      <c r="AC716" s="673"/>
      <c r="AD716" s="634"/>
      <c r="AE716" s="587"/>
      <c r="AF716" s="587"/>
      <c r="AG716" s="582"/>
      <c r="AH716" s="582"/>
      <c r="AI716" s="582"/>
      <c r="AJ716" s="582"/>
      <c r="AK716" s="588"/>
      <c r="AL716" s="582"/>
      <c r="AM716" s="582"/>
      <c r="AN716" s="589"/>
      <c r="AO716" s="616"/>
      <c r="AP716" s="592"/>
      <c r="AQ716" s="358"/>
      <c r="AR716" s="592"/>
      <c r="AS716" s="592"/>
      <c r="AT716" s="592"/>
      <c r="AU716" s="592"/>
      <c r="AV716" s="592"/>
      <c r="AW716" s="592"/>
      <c r="AX716" s="592"/>
      <c r="AY716" s="592"/>
      <c r="AZ716" s="592"/>
      <c r="BA716" s="617"/>
      <c r="BB716" s="592"/>
      <c r="BC716" s="592"/>
      <c r="BD716" s="592"/>
      <c r="BE716" s="592"/>
      <c r="BF716" s="592"/>
      <c r="BG716" s="358"/>
      <c r="BH716" s="592"/>
      <c r="BI716" s="592"/>
      <c r="BJ716" s="592"/>
      <c r="BK716" s="592"/>
      <c r="BL716" s="592"/>
      <c r="BM716" s="592"/>
      <c r="BN716" s="592"/>
      <c r="BO716" s="592"/>
      <c r="BP716" s="592"/>
      <c r="BQ716" s="594"/>
      <c r="BR716" s="594"/>
      <c r="BS716" s="394"/>
      <c r="BT716" s="594"/>
      <c r="BU716" s="594"/>
      <c r="BV716" s="594"/>
      <c r="BW716" s="618"/>
      <c r="BX716" s="644"/>
      <c r="BY716" s="644"/>
    </row>
    <row r="717" ht="25.5" customHeight="1">
      <c r="A717" s="635"/>
      <c r="B717" s="695"/>
      <c r="C717" s="642"/>
      <c r="D717" s="642"/>
      <c r="E717" s="696"/>
      <c r="F717" s="696"/>
      <c r="G717" s="621"/>
      <c r="H717" s="577"/>
      <c r="I717" s="577"/>
      <c r="J717" s="613"/>
      <c r="K717" s="581"/>
      <c r="L717" s="581"/>
      <c r="M717" s="613"/>
      <c r="N717" s="613"/>
      <c r="O717" s="613"/>
      <c r="P717" s="580"/>
      <c r="Q717" s="580"/>
      <c r="R717" s="581"/>
      <c r="S717" s="581"/>
      <c r="T717" s="581"/>
      <c r="U717" s="582"/>
      <c r="V717" s="614"/>
      <c r="W717" s="581"/>
      <c r="X717" s="615"/>
      <c r="Y717" s="613"/>
      <c r="Z717" s="580"/>
      <c r="AA717" s="634"/>
      <c r="AB717" s="577"/>
      <c r="AC717" s="673"/>
      <c r="AD717" s="634"/>
      <c r="AE717" s="587"/>
      <c r="AF717" s="587"/>
      <c r="AG717" s="582"/>
      <c r="AH717" s="582"/>
      <c r="AI717" s="582"/>
      <c r="AJ717" s="582"/>
      <c r="AK717" s="588"/>
      <c r="AL717" s="582"/>
      <c r="AM717" s="582"/>
      <c r="AN717" s="589"/>
      <c r="AO717" s="616"/>
      <c r="AP717" s="592"/>
      <c r="AQ717" s="358"/>
      <c r="AR717" s="592"/>
      <c r="AS717" s="592"/>
      <c r="AT717" s="592"/>
      <c r="AU717" s="592"/>
      <c r="AV717" s="592"/>
      <c r="AW717" s="592"/>
      <c r="AX717" s="592"/>
      <c r="AY717" s="592"/>
      <c r="AZ717" s="592"/>
      <c r="BA717" s="617"/>
      <c r="BB717" s="592"/>
      <c r="BC717" s="592"/>
      <c r="BD717" s="592"/>
      <c r="BE717" s="592"/>
      <c r="BF717" s="592"/>
      <c r="BG717" s="358"/>
      <c r="BH717" s="592"/>
      <c r="BI717" s="592"/>
      <c r="BJ717" s="592"/>
      <c r="BK717" s="592"/>
      <c r="BL717" s="592"/>
      <c r="BM717" s="592"/>
      <c r="BN717" s="592"/>
      <c r="BO717" s="592"/>
      <c r="BP717" s="592"/>
      <c r="BQ717" s="594"/>
      <c r="BR717" s="594"/>
      <c r="BS717" s="394"/>
      <c r="BT717" s="594"/>
      <c r="BU717" s="594"/>
      <c r="BV717" s="594"/>
      <c r="BW717" s="618"/>
      <c r="BX717" s="644"/>
      <c r="BY717" s="644"/>
    </row>
    <row r="718" ht="25.5" customHeight="1">
      <c r="A718" s="635"/>
      <c r="B718" s="695"/>
      <c r="C718" s="642"/>
      <c r="D718" s="642"/>
      <c r="E718" s="696"/>
      <c r="F718" s="696"/>
      <c r="G718" s="621"/>
      <c r="H718" s="577"/>
      <c r="I718" s="577"/>
      <c r="J718" s="613"/>
      <c r="K718" s="581"/>
      <c r="L718" s="581"/>
      <c r="M718" s="613"/>
      <c r="N718" s="613"/>
      <c r="O718" s="613"/>
      <c r="P718" s="580"/>
      <c r="Q718" s="580"/>
      <c r="R718" s="581"/>
      <c r="S718" s="581"/>
      <c r="T718" s="581"/>
      <c r="U718" s="582"/>
      <c r="V718" s="614"/>
      <c r="W718" s="581"/>
      <c r="X718" s="615"/>
      <c r="Y718" s="613"/>
      <c r="Z718" s="580"/>
      <c r="AA718" s="634"/>
      <c r="AB718" s="577"/>
      <c r="AC718" s="673"/>
      <c r="AD718" s="634"/>
      <c r="AE718" s="587"/>
      <c r="AF718" s="587"/>
      <c r="AG718" s="582"/>
      <c r="AH718" s="582"/>
      <c r="AI718" s="582"/>
      <c r="AJ718" s="582"/>
      <c r="AK718" s="588"/>
      <c r="AL718" s="582"/>
      <c r="AM718" s="582"/>
      <c r="AN718" s="589"/>
      <c r="AO718" s="616"/>
      <c r="AP718" s="592"/>
      <c r="AQ718" s="358"/>
      <c r="AR718" s="592"/>
      <c r="AS718" s="592"/>
      <c r="AT718" s="592"/>
      <c r="AU718" s="592"/>
      <c r="AV718" s="592"/>
      <c r="AW718" s="592"/>
      <c r="AX718" s="592"/>
      <c r="AY718" s="592"/>
      <c r="AZ718" s="592"/>
      <c r="BA718" s="617"/>
      <c r="BB718" s="592"/>
      <c r="BC718" s="592"/>
      <c r="BD718" s="592"/>
      <c r="BE718" s="592"/>
      <c r="BF718" s="592"/>
      <c r="BG718" s="358"/>
      <c r="BH718" s="592"/>
      <c r="BI718" s="592"/>
      <c r="BJ718" s="592"/>
      <c r="BK718" s="592"/>
      <c r="BL718" s="592"/>
      <c r="BM718" s="592"/>
      <c r="BN718" s="592"/>
      <c r="BO718" s="592"/>
      <c r="BP718" s="592"/>
      <c r="BQ718" s="594"/>
      <c r="BR718" s="594"/>
      <c r="BS718" s="394"/>
      <c r="BT718" s="594"/>
      <c r="BU718" s="594"/>
      <c r="BV718" s="594"/>
      <c r="BW718" s="618"/>
      <c r="BX718" s="644"/>
      <c r="BY718" s="644"/>
    </row>
    <row r="719" ht="25.5" customHeight="1">
      <c r="A719" s="635"/>
      <c r="B719" s="695"/>
      <c r="C719" s="642"/>
      <c r="D719" s="642"/>
      <c r="E719" s="696"/>
      <c r="F719" s="696"/>
      <c r="G719" s="621"/>
      <c r="H719" s="577"/>
      <c r="I719" s="577"/>
      <c r="J719" s="613"/>
      <c r="K719" s="581"/>
      <c r="L719" s="581"/>
      <c r="M719" s="613"/>
      <c r="N719" s="613"/>
      <c r="O719" s="613"/>
      <c r="P719" s="580"/>
      <c r="Q719" s="580"/>
      <c r="R719" s="581"/>
      <c r="S719" s="581"/>
      <c r="T719" s="581"/>
      <c r="U719" s="582"/>
      <c r="V719" s="614"/>
      <c r="W719" s="581"/>
      <c r="X719" s="615"/>
      <c r="Y719" s="613"/>
      <c r="Z719" s="580"/>
      <c r="AA719" s="634"/>
      <c r="AB719" s="577"/>
      <c r="AC719" s="673"/>
      <c r="AD719" s="634"/>
      <c r="AE719" s="587"/>
      <c r="AF719" s="587"/>
      <c r="AG719" s="582"/>
      <c r="AH719" s="582"/>
      <c r="AI719" s="582"/>
      <c r="AJ719" s="582"/>
      <c r="AK719" s="588"/>
      <c r="AL719" s="582"/>
      <c r="AM719" s="582"/>
      <c r="AN719" s="589"/>
      <c r="AO719" s="616"/>
      <c r="AP719" s="592"/>
      <c r="AQ719" s="358"/>
      <c r="AR719" s="592"/>
      <c r="AS719" s="592"/>
      <c r="AT719" s="592"/>
      <c r="AU719" s="592"/>
      <c r="AV719" s="592"/>
      <c r="AW719" s="592"/>
      <c r="AX719" s="592"/>
      <c r="AY719" s="592"/>
      <c r="AZ719" s="592"/>
      <c r="BA719" s="617"/>
      <c r="BB719" s="592"/>
      <c r="BC719" s="592"/>
      <c r="BD719" s="592"/>
      <c r="BE719" s="592"/>
      <c r="BF719" s="592"/>
      <c r="BG719" s="358"/>
      <c r="BH719" s="592"/>
      <c r="BI719" s="592"/>
      <c r="BJ719" s="592"/>
      <c r="BK719" s="592"/>
      <c r="BL719" s="592"/>
      <c r="BM719" s="592"/>
      <c r="BN719" s="592"/>
      <c r="BO719" s="592"/>
      <c r="BP719" s="592"/>
      <c r="BQ719" s="594"/>
      <c r="BR719" s="594"/>
      <c r="BS719" s="394"/>
      <c r="BT719" s="594"/>
      <c r="BU719" s="594"/>
      <c r="BV719" s="594"/>
      <c r="BW719" s="618"/>
      <c r="BX719" s="644"/>
      <c r="BY719" s="644"/>
    </row>
    <row r="720" ht="25.5" customHeight="1">
      <c r="A720" s="635"/>
      <c r="B720" s="695"/>
      <c r="C720" s="642"/>
      <c r="D720" s="642"/>
      <c r="E720" s="696"/>
      <c r="F720" s="696"/>
      <c r="G720" s="621"/>
      <c r="H720" s="577"/>
      <c r="I720" s="577"/>
      <c r="J720" s="613"/>
      <c r="K720" s="581"/>
      <c r="L720" s="581"/>
      <c r="M720" s="613"/>
      <c r="N720" s="613"/>
      <c r="O720" s="613"/>
      <c r="P720" s="580"/>
      <c r="Q720" s="580"/>
      <c r="R720" s="581"/>
      <c r="S720" s="581"/>
      <c r="T720" s="581"/>
      <c r="U720" s="582"/>
      <c r="V720" s="614"/>
      <c r="W720" s="581"/>
      <c r="X720" s="615"/>
      <c r="Y720" s="613"/>
      <c r="Z720" s="580"/>
      <c r="AA720" s="634"/>
      <c r="AB720" s="577"/>
      <c r="AC720" s="673"/>
      <c r="AD720" s="634"/>
      <c r="AE720" s="587"/>
      <c r="AF720" s="587"/>
      <c r="AG720" s="582"/>
      <c r="AH720" s="582"/>
      <c r="AI720" s="582"/>
      <c r="AJ720" s="582"/>
      <c r="AK720" s="588"/>
      <c r="AL720" s="582"/>
      <c r="AM720" s="582"/>
      <c r="AN720" s="589"/>
      <c r="AO720" s="616"/>
      <c r="AP720" s="592"/>
      <c r="AQ720" s="358"/>
      <c r="AR720" s="592"/>
      <c r="AS720" s="592"/>
      <c r="AT720" s="592"/>
      <c r="AU720" s="592"/>
      <c r="AV720" s="592"/>
      <c r="AW720" s="592"/>
      <c r="AX720" s="592"/>
      <c r="AY720" s="592"/>
      <c r="AZ720" s="592"/>
      <c r="BA720" s="617"/>
      <c r="BB720" s="592"/>
      <c r="BC720" s="592"/>
      <c r="BD720" s="592"/>
      <c r="BE720" s="592"/>
      <c r="BF720" s="592"/>
      <c r="BG720" s="358"/>
      <c r="BH720" s="592"/>
      <c r="BI720" s="592"/>
      <c r="BJ720" s="592"/>
      <c r="BK720" s="592"/>
      <c r="BL720" s="592"/>
      <c r="BM720" s="592"/>
      <c r="BN720" s="592"/>
      <c r="BO720" s="592"/>
      <c r="BP720" s="592"/>
      <c r="BQ720" s="594"/>
      <c r="BR720" s="594"/>
      <c r="BS720" s="394"/>
      <c r="BT720" s="594"/>
      <c r="BU720" s="594"/>
      <c r="BV720" s="594"/>
      <c r="BW720" s="618"/>
      <c r="BX720" s="644"/>
      <c r="BY720" s="644"/>
    </row>
    <row r="721" ht="25.5" customHeight="1">
      <c r="A721" s="635"/>
      <c r="B721" s="695"/>
      <c r="C721" s="642"/>
      <c r="D721" s="642"/>
      <c r="E721" s="696"/>
      <c r="F721" s="696"/>
      <c r="G721" s="621"/>
      <c r="H721" s="577"/>
      <c r="I721" s="577"/>
      <c r="J721" s="613"/>
      <c r="K721" s="581"/>
      <c r="L721" s="581"/>
      <c r="M721" s="613"/>
      <c r="N721" s="613"/>
      <c r="O721" s="613"/>
      <c r="P721" s="580"/>
      <c r="Q721" s="580"/>
      <c r="R721" s="581"/>
      <c r="S721" s="581"/>
      <c r="T721" s="581"/>
      <c r="U721" s="582"/>
      <c r="V721" s="614"/>
      <c r="W721" s="581"/>
      <c r="X721" s="615"/>
      <c r="Y721" s="613"/>
      <c r="Z721" s="580"/>
      <c r="AA721" s="634"/>
      <c r="AB721" s="577"/>
      <c r="AC721" s="673"/>
      <c r="AD721" s="634"/>
      <c r="AE721" s="587"/>
      <c r="AF721" s="587"/>
      <c r="AG721" s="582"/>
      <c r="AH721" s="582"/>
      <c r="AI721" s="582"/>
      <c r="AJ721" s="582"/>
      <c r="AK721" s="588"/>
      <c r="AL721" s="582"/>
      <c r="AM721" s="582"/>
      <c r="AN721" s="589"/>
      <c r="AO721" s="616"/>
      <c r="AP721" s="592"/>
      <c r="AQ721" s="358"/>
      <c r="AR721" s="592"/>
      <c r="AS721" s="592"/>
      <c r="AT721" s="592"/>
      <c r="AU721" s="592"/>
      <c r="AV721" s="592"/>
      <c r="AW721" s="592"/>
      <c r="AX721" s="592"/>
      <c r="AY721" s="592"/>
      <c r="AZ721" s="592"/>
      <c r="BA721" s="617"/>
      <c r="BB721" s="592"/>
      <c r="BC721" s="592"/>
      <c r="BD721" s="592"/>
      <c r="BE721" s="592"/>
      <c r="BF721" s="592"/>
      <c r="BG721" s="358"/>
      <c r="BH721" s="592"/>
      <c r="BI721" s="592"/>
      <c r="BJ721" s="592"/>
      <c r="BK721" s="592"/>
      <c r="BL721" s="592"/>
      <c r="BM721" s="592"/>
      <c r="BN721" s="592"/>
      <c r="BO721" s="592"/>
      <c r="BP721" s="592"/>
      <c r="BQ721" s="594"/>
      <c r="BR721" s="594"/>
      <c r="BS721" s="394"/>
      <c r="BT721" s="594"/>
      <c r="BU721" s="594"/>
      <c r="BV721" s="594"/>
      <c r="BW721" s="618"/>
      <c r="BX721" s="644"/>
      <c r="BY721" s="644"/>
    </row>
    <row r="722" ht="25.5" customHeight="1">
      <c r="A722" s="635"/>
      <c r="B722" s="695"/>
      <c r="C722" s="642"/>
      <c r="D722" s="642"/>
      <c r="E722" s="696"/>
      <c r="F722" s="696"/>
      <c r="G722" s="621"/>
      <c r="H722" s="577"/>
      <c r="I722" s="577"/>
      <c r="J722" s="613"/>
      <c r="K722" s="581"/>
      <c r="L722" s="581"/>
      <c r="M722" s="613"/>
      <c r="N722" s="613"/>
      <c r="O722" s="613"/>
      <c r="P722" s="580"/>
      <c r="Q722" s="580"/>
      <c r="R722" s="581"/>
      <c r="S722" s="581"/>
      <c r="T722" s="581"/>
      <c r="U722" s="582"/>
      <c r="V722" s="614"/>
      <c r="W722" s="581"/>
      <c r="X722" s="615"/>
      <c r="Y722" s="613"/>
      <c r="Z722" s="580"/>
      <c r="AA722" s="634"/>
      <c r="AB722" s="577"/>
      <c r="AC722" s="673"/>
      <c r="AD722" s="634"/>
      <c r="AE722" s="587"/>
      <c r="AF722" s="587"/>
      <c r="AG722" s="582"/>
      <c r="AH722" s="582"/>
      <c r="AI722" s="582"/>
      <c r="AJ722" s="582"/>
      <c r="AK722" s="588"/>
      <c r="AL722" s="582"/>
      <c r="AM722" s="582"/>
      <c r="AN722" s="589"/>
      <c r="AO722" s="616"/>
      <c r="AP722" s="592"/>
      <c r="AQ722" s="358"/>
      <c r="AR722" s="592"/>
      <c r="AS722" s="592"/>
      <c r="AT722" s="592"/>
      <c r="AU722" s="592"/>
      <c r="AV722" s="592"/>
      <c r="AW722" s="592"/>
      <c r="AX722" s="592"/>
      <c r="AY722" s="592"/>
      <c r="AZ722" s="592"/>
      <c r="BA722" s="617"/>
      <c r="BB722" s="592"/>
      <c r="BC722" s="592"/>
      <c r="BD722" s="592"/>
      <c r="BE722" s="592"/>
      <c r="BF722" s="592"/>
      <c r="BG722" s="358"/>
      <c r="BH722" s="592"/>
      <c r="BI722" s="592"/>
      <c r="BJ722" s="592"/>
      <c r="BK722" s="592"/>
      <c r="BL722" s="592"/>
      <c r="BM722" s="592"/>
      <c r="BN722" s="592"/>
      <c r="BO722" s="592"/>
      <c r="BP722" s="592"/>
      <c r="BQ722" s="594"/>
      <c r="BR722" s="594"/>
      <c r="BS722" s="394"/>
      <c r="BT722" s="594"/>
      <c r="BU722" s="594"/>
      <c r="BV722" s="594"/>
      <c r="BW722" s="618"/>
      <c r="BX722" s="644"/>
      <c r="BY722" s="644"/>
    </row>
    <row r="723" ht="25.5" customHeight="1">
      <c r="A723" s="635"/>
      <c r="B723" s="695"/>
      <c r="C723" s="642"/>
      <c r="D723" s="642"/>
      <c r="E723" s="696"/>
      <c r="F723" s="696"/>
      <c r="G723" s="621"/>
      <c r="H723" s="577"/>
      <c r="I723" s="577"/>
      <c r="J723" s="613"/>
      <c r="K723" s="581"/>
      <c r="L723" s="581"/>
      <c r="M723" s="613"/>
      <c r="N723" s="613"/>
      <c r="O723" s="613"/>
      <c r="P723" s="580"/>
      <c r="Q723" s="580"/>
      <c r="R723" s="581"/>
      <c r="S723" s="581"/>
      <c r="T723" s="581"/>
      <c r="U723" s="582"/>
      <c r="V723" s="614"/>
      <c r="W723" s="581"/>
      <c r="X723" s="615"/>
      <c r="Y723" s="613"/>
      <c r="Z723" s="580"/>
      <c r="AA723" s="634"/>
      <c r="AB723" s="577"/>
      <c r="AC723" s="673"/>
      <c r="AD723" s="634"/>
      <c r="AE723" s="587"/>
      <c r="AF723" s="587"/>
      <c r="AG723" s="582"/>
      <c r="AH723" s="582"/>
      <c r="AI723" s="582"/>
      <c r="AJ723" s="582"/>
      <c r="AK723" s="588"/>
      <c r="AL723" s="582"/>
      <c r="AM723" s="582"/>
      <c r="AN723" s="589"/>
      <c r="AO723" s="616"/>
      <c r="AP723" s="592"/>
      <c r="AQ723" s="358"/>
      <c r="AR723" s="592"/>
      <c r="AS723" s="592"/>
      <c r="AT723" s="592"/>
      <c r="AU723" s="592"/>
      <c r="AV723" s="592"/>
      <c r="AW723" s="592"/>
      <c r="AX723" s="592"/>
      <c r="AY723" s="592"/>
      <c r="AZ723" s="592"/>
      <c r="BA723" s="617"/>
      <c r="BB723" s="592"/>
      <c r="BC723" s="592"/>
      <c r="BD723" s="592"/>
      <c r="BE723" s="592"/>
      <c r="BF723" s="592"/>
      <c r="BG723" s="358"/>
      <c r="BH723" s="592"/>
      <c r="BI723" s="592"/>
      <c r="BJ723" s="592"/>
      <c r="BK723" s="592"/>
      <c r="BL723" s="592"/>
      <c r="BM723" s="592"/>
      <c r="BN723" s="592"/>
      <c r="BO723" s="592"/>
      <c r="BP723" s="592"/>
      <c r="BQ723" s="594"/>
      <c r="BR723" s="594"/>
      <c r="BS723" s="394"/>
      <c r="BT723" s="594"/>
      <c r="BU723" s="594"/>
      <c r="BV723" s="594"/>
      <c r="BW723" s="618"/>
      <c r="BX723" s="644"/>
      <c r="BY723" s="644"/>
    </row>
    <row r="724" ht="25.5" customHeight="1">
      <c r="A724" s="635"/>
      <c r="B724" s="695"/>
      <c r="C724" s="642"/>
      <c r="D724" s="642"/>
      <c r="E724" s="696"/>
      <c r="F724" s="696"/>
      <c r="G724" s="621"/>
      <c r="H724" s="577"/>
      <c r="I724" s="577"/>
      <c r="J724" s="613"/>
      <c r="K724" s="581"/>
      <c r="L724" s="581"/>
      <c r="M724" s="613"/>
      <c r="N724" s="613"/>
      <c r="O724" s="613"/>
      <c r="P724" s="580"/>
      <c r="Q724" s="580"/>
      <c r="R724" s="581"/>
      <c r="S724" s="581"/>
      <c r="T724" s="581"/>
      <c r="U724" s="582"/>
      <c r="V724" s="614"/>
      <c r="W724" s="581"/>
      <c r="X724" s="615"/>
      <c r="Y724" s="613"/>
      <c r="Z724" s="580"/>
      <c r="AA724" s="634"/>
      <c r="AB724" s="577"/>
      <c r="AC724" s="673"/>
      <c r="AD724" s="634"/>
      <c r="AE724" s="587"/>
      <c r="AF724" s="587"/>
      <c r="AG724" s="582"/>
      <c r="AH724" s="582"/>
      <c r="AI724" s="582"/>
      <c r="AJ724" s="582"/>
      <c r="AK724" s="588"/>
      <c r="AL724" s="582"/>
      <c r="AM724" s="582"/>
      <c r="AN724" s="589"/>
      <c r="AO724" s="616"/>
      <c r="AP724" s="592"/>
      <c r="AQ724" s="358"/>
      <c r="AR724" s="592"/>
      <c r="AS724" s="592"/>
      <c r="AT724" s="592"/>
      <c r="AU724" s="592"/>
      <c r="AV724" s="592"/>
      <c r="AW724" s="592"/>
      <c r="AX724" s="592"/>
      <c r="AY724" s="592"/>
      <c r="AZ724" s="592"/>
      <c r="BA724" s="617"/>
      <c r="BB724" s="592"/>
      <c r="BC724" s="592"/>
      <c r="BD724" s="592"/>
      <c r="BE724" s="592"/>
      <c r="BF724" s="592"/>
      <c r="BG724" s="358"/>
      <c r="BH724" s="592"/>
      <c r="BI724" s="592"/>
      <c r="BJ724" s="592"/>
      <c r="BK724" s="592"/>
      <c r="BL724" s="592"/>
      <c r="BM724" s="592"/>
      <c r="BN724" s="592"/>
      <c r="BO724" s="592"/>
      <c r="BP724" s="592"/>
      <c r="BQ724" s="594"/>
      <c r="BR724" s="594"/>
      <c r="BS724" s="394"/>
      <c r="BT724" s="594"/>
      <c r="BU724" s="594"/>
      <c r="BV724" s="594"/>
      <c r="BW724" s="618"/>
      <c r="BX724" s="644"/>
      <c r="BY724" s="644"/>
    </row>
    <row r="725" ht="25.5" customHeight="1">
      <c r="A725" s="635"/>
      <c r="B725" s="695"/>
      <c r="C725" s="642"/>
      <c r="D725" s="642"/>
      <c r="E725" s="696"/>
      <c r="F725" s="696"/>
      <c r="G725" s="621"/>
      <c r="H725" s="577"/>
      <c r="I725" s="577"/>
      <c r="J725" s="613"/>
      <c r="K725" s="581"/>
      <c r="L725" s="581"/>
      <c r="M725" s="613"/>
      <c r="N725" s="613"/>
      <c r="O725" s="613"/>
      <c r="P725" s="580"/>
      <c r="Q725" s="580"/>
      <c r="R725" s="581"/>
      <c r="S725" s="581"/>
      <c r="T725" s="581"/>
      <c r="U725" s="582"/>
      <c r="V725" s="614"/>
      <c r="W725" s="581"/>
      <c r="X725" s="615"/>
      <c r="Y725" s="613"/>
      <c r="Z725" s="580"/>
      <c r="AA725" s="634"/>
      <c r="AB725" s="577"/>
      <c r="AC725" s="673"/>
      <c r="AD725" s="634"/>
      <c r="AE725" s="587"/>
      <c r="AF725" s="587"/>
      <c r="AG725" s="582"/>
      <c r="AH725" s="582"/>
      <c r="AI725" s="582"/>
      <c r="AJ725" s="582"/>
      <c r="AK725" s="588"/>
      <c r="AL725" s="582"/>
      <c r="AM725" s="582"/>
      <c r="AN725" s="589"/>
      <c r="AO725" s="616"/>
      <c r="AP725" s="592"/>
      <c r="AQ725" s="358"/>
      <c r="AR725" s="592"/>
      <c r="AS725" s="592"/>
      <c r="AT725" s="592"/>
      <c r="AU725" s="592"/>
      <c r="AV725" s="592"/>
      <c r="AW725" s="592"/>
      <c r="AX725" s="592"/>
      <c r="AY725" s="592"/>
      <c r="AZ725" s="592"/>
      <c r="BA725" s="617"/>
      <c r="BB725" s="592"/>
      <c r="BC725" s="592"/>
      <c r="BD725" s="592"/>
      <c r="BE725" s="592"/>
      <c r="BF725" s="592"/>
      <c r="BG725" s="358"/>
      <c r="BH725" s="592"/>
      <c r="BI725" s="592"/>
      <c r="BJ725" s="592"/>
      <c r="BK725" s="592"/>
      <c r="BL725" s="592"/>
      <c r="BM725" s="592"/>
      <c r="BN725" s="592"/>
      <c r="BO725" s="592"/>
      <c r="BP725" s="592"/>
      <c r="BQ725" s="594"/>
      <c r="BR725" s="594"/>
      <c r="BS725" s="394"/>
      <c r="BT725" s="594"/>
      <c r="BU725" s="594"/>
      <c r="BV725" s="594"/>
      <c r="BW725" s="618"/>
      <c r="BX725" s="644"/>
      <c r="BY725" s="644"/>
    </row>
    <row r="726" ht="25.5" customHeight="1">
      <c r="A726" s="635"/>
      <c r="B726" s="695"/>
      <c r="C726" s="642"/>
      <c r="D726" s="642"/>
      <c r="E726" s="696"/>
      <c r="F726" s="696"/>
      <c r="G726" s="621"/>
      <c r="H726" s="577"/>
      <c r="I726" s="577"/>
      <c r="J726" s="613"/>
      <c r="K726" s="581"/>
      <c r="L726" s="581"/>
      <c r="M726" s="613"/>
      <c r="N726" s="613"/>
      <c r="O726" s="613"/>
      <c r="P726" s="580"/>
      <c r="Q726" s="580"/>
      <c r="R726" s="581"/>
      <c r="S726" s="581"/>
      <c r="T726" s="581"/>
      <c r="U726" s="582"/>
      <c r="V726" s="614"/>
      <c r="W726" s="581"/>
      <c r="X726" s="615"/>
      <c r="Y726" s="613"/>
      <c r="Z726" s="580"/>
      <c r="AA726" s="634"/>
      <c r="AB726" s="577"/>
      <c r="AC726" s="673"/>
      <c r="AD726" s="634"/>
      <c r="AE726" s="587"/>
      <c r="AF726" s="587"/>
      <c r="AG726" s="582"/>
      <c r="AH726" s="582"/>
      <c r="AI726" s="582"/>
      <c r="AJ726" s="582"/>
      <c r="AK726" s="588"/>
      <c r="AL726" s="582"/>
      <c r="AM726" s="582"/>
      <c r="AN726" s="589"/>
      <c r="AO726" s="616"/>
      <c r="AP726" s="592"/>
      <c r="AQ726" s="358"/>
      <c r="AR726" s="592"/>
      <c r="AS726" s="592"/>
      <c r="AT726" s="592"/>
      <c r="AU726" s="592"/>
      <c r="AV726" s="592"/>
      <c r="AW726" s="592"/>
      <c r="AX726" s="592"/>
      <c r="AY726" s="592"/>
      <c r="AZ726" s="592"/>
      <c r="BA726" s="617"/>
      <c r="BB726" s="592"/>
      <c r="BC726" s="592"/>
      <c r="BD726" s="592"/>
      <c r="BE726" s="592"/>
      <c r="BF726" s="592"/>
      <c r="BG726" s="358"/>
      <c r="BH726" s="592"/>
      <c r="BI726" s="592"/>
      <c r="BJ726" s="592"/>
      <c r="BK726" s="592"/>
      <c r="BL726" s="592"/>
      <c r="BM726" s="592"/>
      <c r="BN726" s="592"/>
      <c r="BO726" s="592"/>
      <c r="BP726" s="592"/>
      <c r="BQ726" s="594"/>
      <c r="BR726" s="594"/>
      <c r="BS726" s="394"/>
      <c r="BT726" s="594"/>
      <c r="BU726" s="594"/>
      <c r="BV726" s="594"/>
      <c r="BW726" s="618"/>
      <c r="BX726" s="644"/>
      <c r="BY726" s="644"/>
    </row>
    <row r="727" ht="25.5" customHeight="1">
      <c r="A727" s="635"/>
      <c r="B727" s="695"/>
      <c r="C727" s="642"/>
      <c r="D727" s="642"/>
      <c r="E727" s="696"/>
      <c r="F727" s="696"/>
      <c r="G727" s="621"/>
      <c r="H727" s="577"/>
      <c r="I727" s="577"/>
      <c r="J727" s="613"/>
      <c r="K727" s="581"/>
      <c r="L727" s="581"/>
      <c r="M727" s="613"/>
      <c r="N727" s="613"/>
      <c r="O727" s="613"/>
      <c r="P727" s="580"/>
      <c r="Q727" s="580"/>
      <c r="R727" s="581"/>
      <c r="S727" s="581"/>
      <c r="T727" s="581"/>
      <c r="U727" s="582"/>
      <c r="V727" s="614"/>
      <c r="W727" s="581"/>
      <c r="X727" s="615"/>
      <c r="Y727" s="613"/>
      <c r="Z727" s="580"/>
      <c r="AA727" s="634"/>
      <c r="AB727" s="577"/>
      <c r="AC727" s="673"/>
      <c r="AD727" s="634"/>
      <c r="AE727" s="587"/>
      <c r="AF727" s="587"/>
      <c r="AG727" s="582"/>
      <c r="AH727" s="582"/>
      <c r="AI727" s="582"/>
      <c r="AJ727" s="582"/>
      <c r="AK727" s="588"/>
      <c r="AL727" s="582"/>
      <c r="AM727" s="582"/>
      <c r="AN727" s="589"/>
      <c r="AO727" s="616"/>
      <c r="AP727" s="592"/>
      <c r="AQ727" s="358"/>
      <c r="AR727" s="592"/>
      <c r="AS727" s="592"/>
      <c r="AT727" s="592"/>
      <c r="AU727" s="592"/>
      <c r="AV727" s="592"/>
      <c r="AW727" s="592"/>
      <c r="AX727" s="592"/>
      <c r="AY727" s="592"/>
      <c r="AZ727" s="592"/>
      <c r="BA727" s="617"/>
      <c r="BB727" s="592"/>
      <c r="BC727" s="592"/>
      <c r="BD727" s="592"/>
      <c r="BE727" s="592"/>
      <c r="BF727" s="592"/>
      <c r="BG727" s="358"/>
      <c r="BH727" s="592"/>
      <c r="BI727" s="592"/>
      <c r="BJ727" s="592"/>
      <c r="BK727" s="592"/>
      <c r="BL727" s="592"/>
      <c r="BM727" s="592"/>
      <c r="BN727" s="592"/>
      <c r="BO727" s="592"/>
      <c r="BP727" s="592"/>
      <c r="BQ727" s="594"/>
      <c r="BR727" s="594"/>
      <c r="BS727" s="394"/>
      <c r="BT727" s="594"/>
      <c r="BU727" s="594"/>
      <c r="BV727" s="594"/>
      <c r="BW727" s="618"/>
      <c r="BX727" s="644"/>
      <c r="BY727" s="644"/>
    </row>
    <row r="728" ht="25.5" customHeight="1">
      <c r="A728" s="635"/>
      <c r="B728" s="695"/>
      <c r="C728" s="642"/>
      <c r="D728" s="642"/>
      <c r="E728" s="696"/>
      <c r="F728" s="696"/>
      <c r="G728" s="621"/>
      <c r="H728" s="577"/>
      <c r="I728" s="577"/>
      <c r="J728" s="613"/>
      <c r="K728" s="581"/>
      <c r="L728" s="581"/>
      <c r="M728" s="613"/>
      <c r="N728" s="613"/>
      <c r="O728" s="613"/>
      <c r="P728" s="580"/>
      <c r="Q728" s="580"/>
      <c r="R728" s="581"/>
      <c r="S728" s="581"/>
      <c r="T728" s="581"/>
      <c r="U728" s="582"/>
      <c r="V728" s="614"/>
      <c r="W728" s="581"/>
      <c r="X728" s="615"/>
      <c r="Y728" s="613"/>
      <c r="Z728" s="580"/>
      <c r="AA728" s="634"/>
      <c r="AB728" s="577"/>
      <c r="AC728" s="673"/>
      <c r="AD728" s="634"/>
      <c r="AE728" s="587"/>
      <c r="AF728" s="587"/>
      <c r="AG728" s="582"/>
      <c r="AH728" s="582"/>
      <c r="AI728" s="582"/>
      <c r="AJ728" s="582"/>
      <c r="AK728" s="588"/>
      <c r="AL728" s="582"/>
      <c r="AM728" s="582"/>
      <c r="AN728" s="589"/>
      <c r="AO728" s="616"/>
      <c r="AP728" s="592"/>
      <c r="AQ728" s="358"/>
      <c r="AR728" s="592"/>
      <c r="AS728" s="592"/>
      <c r="AT728" s="592"/>
      <c r="AU728" s="592"/>
      <c r="AV728" s="592"/>
      <c r="AW728" s="592"/>
      <c r="AX728" s="592"/>
      <c r="AY728" s="592"/>
      <c r="AZ728" s="592"/>
      <c r="BA728" s="617"/>
      <c r="BB728" s="592"/>
      <c r="BC728" s="592"/>
      <c r="BD728" s="592"/>
      <c r="BE728" s="592"/>
      <c r="BF728" s="592"/>
      <c r="BG728" s="358"/>
      <c r="BH728" s="592"/>
      <c r="BI728" s="592"/>
      <c r="BJ728" s="592"/>
      <c r="BK728" s="592"/>
      <c r="BL728" s="592"/>
      <c r="BM728" s="592"/>
      <c r="BN728" s="592"/>
      <c r="BO728" s="592"/>
      <c r="BP728" s="592"/>
      <c r="BQ728" s="594"/>
      <c r="BR728" s="594"/>
      <c r="BS728" s="394"/>
      <c r="BT728" s="594"/>
      <c r="BU728" s="594"/>
      <c r="BV728" s="594"/>
      <c r="BW728" s="618"/>
      <c r="BX728" s="644"/>
      <c r="BY728" s="644"/>
    </row>
    <row r="729" ht="25.5" customHeight="1">
      <c r="A729" s="635"/>
      <c r="B729" s="695"/>
      <c r="C729" s="642"/>
      <c r="D729" s="642"/>
      <c r="E729" s="696"/>
      <c r="F729" s="696"/>
      <c r="G729" s="621"/>
      <c r="H729" s="577"/>
      <c r="I729" s="577"/>
      <c r="J729" s="613"/>
      <c r="K729" s="581"/>
      <c r="L729" s="581"/>
      <c r="M729" s="613"/>
      <c r="N729" s="613"/>
      <c r="O729" s="613"/>
      <c r="P729" s="580"/>
      <c r="Q729" s="580"/>
      <c r="R729" s="581"/>
      <c r="S729" s="581"/>
      <c r="T729" s="581"/>
      <c r="U729" s="582"/>
      <c r="V729" s="614"/>
      <c r="W729" s="581"/>
      <c r="X729" s="615"/>
      <c r="Y729" s="613"/>
      <c r="Z729" s="580"/>
      <c r="AA729" s="634"/>
      <c r="AB729" s="577"/>
      <c r="AC729" s="673"/>
      <c r="AD729" s="634"/>
      <c r="AE729" s="587"/>
      <c r="AF729" s="587"/>
      <c r="AG729" s="582"/>
      <c r="AH729" s="582"/>
      <c r="AI729" s="582"/>
      <c r="AJ729" s="582"/>
      <c r="AK729" s="588"/>
      <c r="AL729" s="582"/>
      <c r="AM729" s="582"/>
      <c r="AN729" s="589"/>
      <c r="AO729" s="616"/>
      <c r="AP729" s="592"/>
      <c r="AQ729" s="358"/>
      <c r="AR729" s="592"/>
      <c r="AS729" s="592"/>
      <c r="AT729" s="592"/>
      <c r="AU729" s="592"/>
      <c r="AV729" s="592"/>
      <c r="AW729" s="592"/>
      <c r="AX729" s="592"/>
      <c r="AY729" s="592"/>
      <c r="AZ729" s="592"/>
      <c r="BA729" s="617"/>
      <c r="BB729" s="592"/>
      <c r="BC729" s="592"/>
      <c r="BD729" s="592"/>
      <c r="BE729" s="592"/>
      <c r="BF729" s="592"/>
      <c r="BG729" s="358"/>
      <c r="BH729" s="592"/>
      <c r="BI729" s="592"/>
      <c r="BJ729" s="592"/>
      <c r="BK729" s="592"/>
      <c r="BL729" s="592"/>
      <c r="BM729" s="592"/>
      <c r="BN729" s="592"/>
      <c r="BO729" s="592"/>
      <c r="BP729" s="592"/>
      <c r="BQ729" s="594"/>
      <c r="BR729" s="594"/>
      <c r="BS729" s="394"/>
      <c r="BT729" s="594"/>
      <c r="BU729" s="594"/>
      <c r="BV729" s="594"/>
      <c r="BW729" s="618"/>
      <c r="BX729" s="644"/>
      <c r="BY729" s="644"/>
    </row>
    <row r="730" ht="25.5" customHeight="1">
      <c r="A730" s="635"/>
      <c r="B730" s="695"/>
      <c r="C730" s="642"/>
      <c r="D730" s="642"/>
      <c r="E730" s="696"/>
      <c r="F730" s="696"/>
      <c r="G730" s="621"/>
      <c r="H730" s="577"/>
      <c r="I730" s="577"/>
      <c r="J730" s="613"/>
      <c r="K730" s="581"/>
      <c r="L730" s="581"/>
      <c r="M730" s="613"/>
      <c r="N730" s="613"/>
      <c r="O730" s="613"/>
      <c r="P730" s="580"/>
      <c r="Q730" s="580"/>
      <c r="R730" s="581"/>
      <c r="S730" s="581"/>
      <c r="T730" s="581"/>
      <c r="U730" s="582"/>
      <c r="V730" s="614"/>
      <c r="W730" s="581"/>
      <c r="X730" s="615"/>
      <c r="Y730" s="613"/>
      <c r="Z730" s="580"/>
      <c r="AA730" s="634"/>
      <c r="AB730" s="577"/>
      <c r="AC730" s="673"/>
      <c r="AD730" s="634"/>
      <c r="AE730" s="587"/>
      <c r="AF730" s="587"/>
      <c r="AG730" s="582"/>
      <c r="AH730" s="582"/>
      <c r="AI730" s="582"/>
      <c r="AJ730" s="582"/>
      <c r="AK730" s="588"/>
      <c r="AL730" s="582"/>
      <c r="AM730" s="582"/>
      <c r="AN730" s="589"/>
      <c r="AO730" s="616"/>
      <c r="AP730" s="592"/>
      <c r="AQ730" s="358"/>
      <c r="AR730" s="592"/>
      <c r="AS730" s="592"/>
      <c r="AT730" s="592"/>
      <c r="AU730" s="592"/>
      <c r="AV730" s="592"/>
      <c r="AW730" s="592"/>
      <c r="AX730" s="592"/>
      <c r="AY730" s="592"/>
      <c r="AZ730" s="592"/>
      <c r="BA730" s="617"/>
      <c r="BB730" s="592"/>
      <c r="BC730" s="592"/>
      <c r="BD730" s="592"/>
      <c r="BE730" s="592"/>
      <c r="BF730" s="592"/>
      <c r="BG730" s="358"/>
      <c r="BH730" s="592"/>
      <c r="BI730" s="592"/>
      <c r="BJ730" s="592"/>
      <c r="BK730" s="592"/>
      <c r="BL730" s="592"/>
      <c r="BM730" s="592"/>
      <c r="BN730" s="592"/>
      <c r="BO730" s="592"/>
      <c r="BP730" s="592"/>
      <c r="BQ730" s="594"/>
      <c r="BR730" s="594"/>
      <c r="BS730" s="394"/>
      <c r="BT730" s="594"/>
      <c r="BU730" s="594"/>
      <c r="BV730" s="594"/>
      <c r="BW730" s="618"/>
      <c r="BX730" s="644"/>
      <c r="BY730" s="644"/>
    </row>
    <row r="731" ht="25.5" customHeight="1">
      <c r="A731" s="635"/>
      <c r="B731" s="695"/>
      <c r="C731" s="642"/>
      <c r="D731" s="642"/>
      <c r="E731" s="696"/>
      <c r="F731" s="696"/>
      <c r="G731" s="621"/>
      <c r="H731" s="577"/>
      <c r="I731" s="577"/>
      <c r="J731" s="613"/>
      <c r="K731" s="581"/>
      <c r="L731" s="581"/>
      <c r="M731" s="613"/>
      <c r="N731" s="613"/>
      <c r="O731" s="613"/>
      <c r="P731" s="580"/>
      <c r="Q731" s="580"/>
      <c r="R731" s="581"/>
      <c r="S731" s="581"/>
      <c r="T731" s="581"/>
      <c r="U731" s="582"/>
      <c r="V731" s="614"/>
      <c r="W731" s="581"/>
      <c r="X731" s="615"/>
      <c r="Y731" s="613"/>
      <c r="Z731" s="580"/>
      <c r="AA731" s="634"/>
      <c r="AB731" s="577"/>
      <c r="AC731" s="673"/>
      <c r="AD731" s="634"/>
      <c r="AE731" s="587"/>
      <c r="AF731" s="587"/>
      <c r="AG731" s="582"/>
      <c r="AH731" s="582"/>
      <c r="AI731" s="582"/>
      <c r="AJ731" s="582"/>
      <c r="AK731" s="588"/>
      <c r="AL731" s="582"/>
      <c r="AM731" s="582"/>
      <c r="AN731" s="589"/>
      <c r="AO731" s="616"/>
      <c r="AP731" s="592"/>
      <c r="AQ731" s="358"/>
      <c r="AR731" s="592"/>
      <c r="AS731" s="592"/>
      <c r="AT731" s="592"/>
      <c r="AU731" s="592"/>
      <c r="AV731" s="592"/>
      <c r="AW731" s="592"/>
      <c r="AX731" s="592"/>
      <c r="AY731" s="592"/>
      <c r="AZ731" s="592"/>
      <c r="BA731" s="617"/>
      <c r="BB731" s="592"/>
      <c r="BC731" s="592"/>
      <c r="BD731" s="592"/>
      <c r="BE731" s="592"/>
      <c r="BF731" s="592"/>
      <c r="BG731" s="358"/>
      <c r="BH731" s="592"/>
      <c r="BI731" s="592"/>
      <c r="BJ731" s="592"/>
      <c r="BK731" s="592"/>
      <c r="BL731" s="592"/>
      <c r="BM731" s="592"/>
      <c r="BN731" s="592"/>
      <c r="BO731" s="592"/>
      <c r="BP731" s="592"/>
      <c r="BQ731" s="594"/>
      <c r="BR731" s="594"/>
      <c r="BS731" s="394"/>
      <c r="BT731" s="594"/>
      <c r="BU731" s="594"/>
      <c r="BV731" s="594"/>
      <c r="BW731" s="618"/>
      <c r="BX731" s="644"/>
      <c r="BY731" s="644"/>
    </row>
    <row r="732" ht="25.5" customHeight="1">
      <c r="A732" s="635"/>
      <c r="B732" s="695"/>
      <c r="C732" s="642"/>
      <c r="D732" s="642"/>
      <c r="E732" s="696"/>
      <c r="F732" s="696"/>
      <c r="G732" s="621"/>
      <c r="H732" s="577"/>
      <c r="I732" s="577"/>
      <c r="J732" s="613"/>
      <c r="K732" s="581"/>
      <c r="L732" s="581"/>
      <c r="M732" s="613"/>
      <c r="N732" s="613"/>
      <c r="O732" s="613"/>
      <c r="P732" s="580"/>
      <c r="Q732" s="580"/>
      <c r="R732" s="581"/>
      <c r="S732" s="581"/>
      <c r="T732" s="581"/>
      <c r="U732" s="582"/>
      <c r="V732" s="614"/>
      <c r="W732" s="581"/>
      <c r="X732" s="615"/>
      <c r="Y732" s="613"/>
      <c r="Z732" s="580"/>
      <c r="AA732" s="634"/>
      <c r="AB732" s="577"/>
      <c r="AC732" s="673"/>
      <c r="AD732" s="634"/>
      <c r="AE732" s="587"/>
      <c r="AF732" s="587"/>
      <c r="AG732" s="582"/>
      <c r="AH732" s="582"/>
      <c r="AI732" s="582"/>
      <c r="AJ732" s="582"/>
      <c r="AK732" s="588"/>
      <c r="AL732" s="582"/>
      <c r="AM732" s="582"/>
      <c r="AN732" s="589"/>
      <c r="AO732" s="616"/>
      <c r="AP732" s="592"/>
      <c r="AQ732" s="358"/>
      <c r="AR732" s="592"/>
      <c r="AS732" s="592"/>
      <c r="AT732" s="592"/>
      <c r="AU732" s="592"/>
      <c r="AV732" s="592"/>
      <c r="AW732" s="592"/>
      <c r="AX732" s="592"/>
      <c r="AY732" s="592"/>
      <c r="AZ732" s="592"/>
      <c r="BA732" s="617"/>
      <c r="BB732" s="592"/>
      <c r="BC732" s="592"/>
      <c r="BD732" s="592"/>
      <c r="BE732" s="592"/>
      <c r="BF732" s="592"/>
      <c r="BG732" s="358"/>
      <c r="BH732" s="592"/>
      <c r="BI732" s="592"/>
      <c r="BJ732" s="592"/>
      <c r="BK732" s="592"/>
      <c r="BL732" s="592"/>
      <c r="BM732" s="592"/>
      <c r="BN732" s="592"/>
      <c r="BO732" s="592"/>
      <c r="BP732" s="592"/>
      <c r="BQ732" s="594"/>
      <c r="BR732" s="594"/>
      <c r="BS732" s="394"/>
      <c r="BT732" s="594"/>
      <c r="BU732" s="594"/>
      <c r="BV732" s="594"/>
      <c r="BW732" s="618"/>
      <c r="BX732" s="644"/>
      <c r="BY732" s="644"/>
    </row>
    <row r="733" ht="25.5" customHeight="1">
      <c r="A733" s="635"/>
      <c r="B733" s="695"/>
      <c r="C733" s="642"/>
      <c r="D733" s="642"/>
      <c r="E733" s="696"/>
      <c r="F733" s="696"/>
      <c r="G733" s="621"/>
      <c r="H733" s="577"/>
      <c r="I733" s="577"/>
      <c r="J733" s="613"/>
      <c r="K733" s="581"/>
      <c r="L733" s="581"/>
      <c r="M733" s="613"/>
      <c r="N733" s="613"/>
      <c r="O733" s="613"/>
      <c r="P733" s="580"/>
      <c r="Q733" s="580"/>
      <c r="R733" s="581"/>
      <c r="S733" s="581"/>
      <c r="T733" s="581"/>
      <c r="U733" s="582"/>
      <c r="V733" s="614"/>
      <c r="W733" s="581"/>
      <c r="X733" s="615"/>
      <c r="Y733" s="613"/>
      <c r="Z733" s="580"/>
      <c r="AA733" s="634"/>
      <c r="AB733" s="577"/>
      <c r="AC733" s="673"/>
      <c r="AD733" s="634"/>
      <c r="AE733" s="587"/>
      <c r="AF733" s="587"/>
      <c r="AG733" s="582"/>
      <c r="AH733" s="582"/>
      <c r="AI733" s="582"/>
      <c r="AJ733" s="582"/>
      <c r="AK733" s="588"/>
      <c r="AL733" s="582"/>
      <c r="AM733" s="582"/>
      <c r="AN733" s="589"/>
      <c r="AO733" s="616"/>
      <c r="AP733" s="592"/>
      <c r="AQ733" s="358"/>
      <c r="AR733" s="592"/>
      <c r="AS733" s="592"/>
      <c r="AT733" s="592"/>
      <c r="AU733" s="592"/>
      <c r="AV733" s="592"/>
      <c r="AW733" s="592"/>
      <c r="AX733" s="592"/>
      <c r="AY733" s="592"/>
      <c r="AZ733" s="592"/>
      <c r="BA733" s="617"/>
      <c r="BB733" s="592"/>
      <c r="BC733" s="592"/>
      <c r="BD733" s="592"/>
      <c r="BE733" s="592"/>
      <c r="BF733" s="592"/>
      <c r="BG733" s="358"/>
      <c r="BH733" s="592"/>
      <c r="BI733" s="592"/>
      <c r="BJ733" s="592"/>
      <c r="BK733" s="592"/>
      <c r="BL733" s="592"/>
      <c r="BM733" s="592"/>
      <c r="BN733" s="592"/>
      <c r="BO733" s="592"/>
      <c r="BP733" s="592"/>
      <c r="BQ733" s="594"/>
      <c r="BR733" s="594"/>
      <c r="BS733" s="394"/>
      <c r="BT733" s="594"/>
      <c r="BU733" s="594"/>
      <c r="BV733" s="594"/>
      <c r="BW733" s="618"/>
      <c r="BX733" s="644"/>
      <c r="BY733" s="644"/>
    </row>
    <row r="734" ht="25.5" customHeight="1">
      <c r="A734" s="635"/>
      <c r="B734" s="695"/>
      <c r="C734" s="642"/>
      <c r="D734" s="642"/>
      <c r="E734" s="696"/>
      <c r="F734" s="696"/>
      <c r="G734" s="621"/>
      <c r="H734" s="577"/>
      <c r="I734" s="577"/>
      <c r="J734" s="613"/>
      <c r="K734" s="581"/>
      <c r="L734" s="581"/>
      <c r="M734" s="613"/>
      <c r="N734" s="613"/>
      <c r="O734" s="613"/>
      <c r="P734" s="580"/>
      <c r="Q734" s="580"/>
      <c r="R734" s="581"/>
      <c r="S734" s="581"/>
      <c r="T734" s="581"/>
      <c r="U734" s="582"/>
      <c r="V734" s="614"/>
      <c r="W734" s="581"/>
      <c r="X734" s="615"/>
      <c r="Y734" s="613"/>
      <c r="Z734" s="580"/>
      <c r="AA734" s="634"/>
      <c r="AB734" s="577"/>
      <c r="AC734" s="673"/>
      <c r="AD734" s="634"/>
      <c r="AE734" s="587"/>
      <c r="AF734" s="587"/>
      <c r="AG734" s="582"/>
      <c r="AH734" s="582"/>
      <c r="AI734" s="582"/>
      <c r="AJ734" s="582"/>
      <c r="AK734" s="588"/>
      <c r="AL734" s="582"/>
      <c r="AM734" s="582"/>
      <c r="AN734" s="589"/>
      <c r="AO734" s="616"/>
      <c r="AP734" s="592"/>
      <c r="AQ734" s="358"/>
      <c r="AR734" s="592"/>
      <c r="AS734" s="592"/>
      <c r="AT734" s="592"/>
      <c r="AU734" s="592"/>
      <c r="AV734" s="592"/>
      <c r="AW734" s="592"/>
      <c r="AX734" s="592"/>
      <c r="AY734" s="592"/>
      <c r="AZ734" s="592"/>
      <c r="BA734" s="617"/>
      <c r="BB734" s="592"/>
      <c r="BC734" s="592"/>
      <c r="BD734" s="592"/>
      <c r="BE734" s="592"/>
      <c r="BF734" s="592"/>
      <c r="BG734" s="358"/>
      <c r="BH734" s="592"/>
      <c r="BI734" s="592"/>
      <c r="BJ734" s="592"/>
      <c r="BK734" s="592"/>
      <c r="BL734" s="592"/>
      <c r="BM734" s="592"/>
      <c r="BN734" s="592"/>
      <c r="BO734" s="592"/>
      <c r="BP734" s="592"/>
      <c r="BQ734" s="594"/>
      <c r="BR734" s="594"/>
      <c r="BS734" s="394"/>
      <c r="BT734" s="594"/>
      <c r="BU734" s="594"/>
      <c r="BV734" s="594"/>
      <c r="BW734" s="618"/>
      <c r="BX734" s="644"/>
      <c r="BY734" s="644"/>
    </row>
    <row r="735" ht="25.5" customHeight="1">
      <c r="A735" s="635"/>
      <c r="B735" s="695"/>
      <c r="C735" s="642"/>
      <c r="D735" s="642"/>
      <c r="E735" s="696"/>
      <c r="F735" s="696"/>
      <c r="G735" s="621"/>
      <c r="H735" s="577"/>
      <c r="I735" s="577"/>
      <c r="J735" s="613"/>
      <c r="K735" s="581"/>
      <c r="L735" s="581"/>
      <c r="M735" s="613"/>
      <c r="N735" s="613"/>
      <c r="O735" s="613"/>
      <c r="P735" s="580"/>
      <c r="Q735" s="580"/>
      <c r="R735" s="581"/>
      <c r="S735" s="581"/>
      <c r="T735" s="581"/>
      <c r="U735" s="582"/>
      <c r="V735" s="614"/>
      <c r="W735" s="581"/>
      <c r="X735" s="615"/>
      <c r="Y735" s="613"/>
      <c r="Z735" s="580"/>
      <c r="AA735" s="634"/>
      <c r="AB735" s="577"/>
      <c r="AC735" s="673"/>
      <c r="AD735" s="634"/>
      <c r="AE735" s="587"/>
      <c r="AF735" s="587"/>
      <c r="AG735" s="582"/>
      <c r="AH735" s="582"/>
      <c r="AI735" s="582"/>
      <c r="AJ735" s="582"/>
      <c r="AK735" s="588"/>
      <c r="AL735" s="582"/>
      <c r="AM735" s="582"/>
      <c r="AN735" s="589"/>
      <c r="AO735" s="616"/>
      <c r="AP735" s="592"/>
      <c r="AQ735" s="358"/>
      <c r="AR735" s="592"/>
      <c r="AS735" s="592"/>
      <c r="AT735" s="592"/>
      <c r="AU735" s="592"/>
      <c r="AV735" s="592"/>
      <c r="AW735" s="592"/>
      <c r="AX735" s="592"/>
      <c r="AY735" s="592"/>
      <c r="AZ735" s="592"/>
      <c r="BA735" s="617"/>
      <c r="BB735" s="592"/>
      <c r="BC735" s="592"/>
      <c r="BD735" s="592"/>
      <c r="BE735" s="592"/>
      <c r="BF735" s="592"/>
      <c r="BG735" s="358"/>
      <c r="BH735" s="592"/>
      <c r="BI735" s="592"/>
      <c r="BJ735" s="592"/>
      <c r="BK735" s="592"/>
      <c r="BL735" s="592"/>
      <c r="BM735" s="592"/>
      <c r="BN735" s="592"/>
      <c r="BO735" s="592"/>
      <c r="BP735" s="592"/>
      <c r="BQ735" s="594"/>
      <c r="BR735" s="594"/>
      <c r="BS735" s="394"/>
      <c r="BT735" s="594"/>
      <c r="BU735" s="594"/>
      <c r="BV735" s="594"/>
      <c r="BW735" s="618"/>
      <c r="BX735" s="644"/>
      <c r="BY735" s="644"/>
    </row>
    <row r="736" ht="25.5" customHeight="1">
      <c r="A736" s="635"/>
      <c r="B736" s="695"/>
      <c r="C736" s="642"/>
      <c r="D736" s="642"/>
      <c r="E736" s="696"/>
      <c r="F736" s="696"/>
      <c r="G736" s="621"/>
      <c r="H736" s="577"/>
      <c r="I736" s="577"/>
      <c r="J736" s="613"/>
      <c r="K736" s="581"/>
      <c r="L736" s="581"/>
      <c r="M736" s="613"/>
      <c r="N736" s="613"/>
      <c r="O736" s="613"/>
      <c r="P736" s="580"/>
      <c r="Q736" s="580"/>
      <c r="R736" s="581"/>
      <c r="S736" s="581"/>
      <c r="T736" s="581"/>
      <c r="U736" s="582"/>
      <c r="V736" s="614"/>
      <c r="W736" s="581"/>
      <c r="X736" s="615"/>
      <c r="Y736" s="613"/>
      <c r="Z736" s="580"/>
      <c r="AA736" s="634"/>
      <c r="AB736" s="577"/>
      <c r="AC736" s="673"/>
      <c r="AD736" s="634"/>
      <c r="AE736" s="587"/>
      <c r="AF736" s="587"/>
      <c r="AG736" s="582"/>
      <c r="AH736" s="582"/>
      <c r="AI736" s="582"/>
      <c r="AJ736" s="582"/>
      <c r="AK736" s="588"/>
      <c r="AL736" s="582"/>
      <c r="AM736" s="582"/>
      <c r="AN736" s="589"/>
      <c r="AO736" s="616"/>
      <c r="AP736" s="592"/>
      <c r="AQ736" s="358"/>
      <c r="AR736" s="592"/>
      <c r="AS736" s="592"/>
      <c r="AT736" s="592"/>
      <c r="AU736" s="592"/>
      <c r="AV736" s="592"/>
      <c r="AW736" s="592"/>
      <c r="AX736" s="592"/>
      <c r="AY736" s="592"/>
      <c r="AZ736" s="592"/>
      <c r="BA736" s="617"/>
      <c r="BB736" s="592"/>
      <c r="BC736" s="592"/>
      <c r="BD736" s="592"/>
      <c r="BE736" s="592"/>
      <c r="BF736" s="592"/>
      <c r="BG736" s="358"/>
      <c r="BH736" s="592"/>
      <c r="BI736" s="592"/>
      <c r="BJ736" s="592"/>
      <c r="BK736" s="592"/>
      <c r="BL736" s="592"/>
      <c r="BM736" s="592"/>
      <c r="BN736" s="592"/>
      <c r="BO736" s="592"/>
      <c r="BP736" s="592"/>
      <c r="BQ736" s="594"/>
      <c r="BR736" s="594"/>
      <c r="BS736" s="394"/>
      <c r="BT736" s="594"/>
      <c r="BU736" s="594"/>
      <c r="BV736" s="594"/>
      <c r="BW736" s="618"/>
      <c r="BX736" s="644"/>
      <c r="BY736" s="644"/>
    </row>
    <row r="737" ht="25.5" customHeight="1">
      <c r="A737" s="635"/>
      <c r="B737" s="695"/>
      <c r="C737" s="642"/>
      <c r="D737" s="642"/>
      <c r="E737" s="696"/>
      <c r="F737" s="696"/>
      <c r="G737" s="621"/>
      <c r="H737" s="577"/>
      <c r="I737" s="577"/>
      <c r="J737" s="613"/>
      <c r="K737" s="581"/>
      <c r="L737" s="581"/>
      <c r="M737" s="613"/>
      <c r="N737" s="613"/>
      <c r="O737" s="613"/>
      <c r="P737" s="580"/>
      <c r="Q737" s="580"/>
      <c r="R737" s="581"/>
      <c r="S737" s="581"/>
      <c r="T737" s="581"/>
      <c r="U737" s="582"/>
      <c r="V737" s="614"/>
      <c r="W737" s="581"/>
      <c r="X737" s="615"/>
      <c r="Y737" s="613"/>
      <c r="Z737" s="580"/>
      <c r="AA737" s="634"/>
      <c r="AB737" s="577"/>
      <c r="AC737" s="673"/>
      <c r="AD737" s="634"/>
      <c r="AE737" s="587"/>
      <c r="AF737" s="587"/>
      <c r="AG737" s="582"/>
      <c r="AH737" s="582"/>
      <c r="AI737" s="582"/>
      <c r="AJ737" s="582"/>
      <c r="AK737" s="588"/>
      <c r="AL737" s="582"/>
      <c r="AM737" s="582"/>
      <c r="AN737" s="589"/>
      <c r="AO737" s="616"/>
      <c r="AP737" s="592"/>
      <c r="AQ737" s="358"/>
      <c r="AR737" s="592"/>
      <c r="AS737" s="592"/>
      <c r="AT737" s="592"/>
      <c r="AU737" s="592"/>
      <c r="AV737" s="592"/>
      <c r="AW737" s="592"/>
      <c r="AX737" s="592"/>
      <c r="AY737" s="592"/>
      <c r="AZ737" s="592"/>
      <c r="BA737" s="617"/>
      <c r="BB737" s="592"/>
      <c r="BC737" s="592"/>
      <c r="BD737" s="592"/>
      <c r="BE737" s="592"/>
      <c r="BF737" s="592"/>
      <c r="BG737" s="358"/>
      <c r="BH737" s="592"/>
      <c r="BI737" s="592"/>
      <c r="BJ737" s="592"/>
      <c r="BK737" s="592"/>
      <c r="BL737" s="592"/>
      <c r="BM737" s="592"/>
      <c r="BN737" s="592"/>
      <c r="BO737" s="592"/>
      <c r="BP737" s="592"/>
      <c r="BQ737" s="594"/>
      <c r="BR737" s="594"/>
      <c r="BS737" s="394"/>
      <c r="BT737" s="594"/>
      <c r="BU737" s="594"/>
      <c r="BV737" s="594"/>
      <c r="BW737" s="618"/>
      <c r="BX737" s="644"/>
      <c r="BY737" s="644"/>
    </row>
    <row r="738" ht="25.5" customHeight="1">
      <c r="A738" s="635"/>
      <c r="B738" s="695"/>
      <c r="C738" s="642"/>
      <c r="D738" s="642"/>
      <c r="E738" s="696"/>
      <c r="F738" s="696"/>
      <c r="G738" s="621"/>
      <c r="H738" s="577"/>
      <c r="I738" s="577"/>
      <c r="J738" s="613"/>
      <c r="K738" s="581"/>
      <c r="L738" s="581"/>
      <c r="M738" s="613"/>
      <c r="N738" s="613"/>
      <c r="O738" s="613"/>
      <c r="P738" s="580"/>
      <c r="Q738" s="580"/>
      <c r="R738" s="581"/>
      <c r="S738" s="581"/>
      <c r="T738" s="581"/>
      <c r="U738" s="582"/>
      <c r="V738" s="614"/>
      <c r="W738" s="581"/>
      <c r="X738" s="615"/>
      <c r="Y738" s="613"/>
      <c r="Z738" s="580"/>
      <c r="AA738" s="634"/>
      <c r="AB738" s="577"/>
      <c r="AC738" s="673"/>
      <c r="AD738" s="634"/>
      <c r="AE738" s="587"/>
      <c r="AF738" s="587"/>
      <c r="AG738" s="582"/>
      <c r="AH738" s="582"/>
      <c r="AI738" s="582"/>
      <c r="AJ738" s="582"/>
      <c r="AK738" s="588"/>
      <c r="AL738" s="582"/>
      <c r="AM738" s="582"/>
      <c r="AN738" s="589"/>
      <c r="AO738" s="616"/>
      <c r="AP738" s="592"/>
      <c r="AQ738" s="358"/>
      <c r="AR738" s="592"/>
      <c r="AS738" s="592"/>
      <c r="AT738" s="592"/>
      <c r="AU738" s="592"/>
      <c r="AV738" s="592"/>
      <c r="AW738" s="592"/>
      <c r="AX738" s="592"/>
      <c r="AY738" s="592"/>
      <c r="AZ738" s="592"/>
      <c r="BA738" s="617"/>
      <c r="BB738" s="592"/>
      <c r="BC738" s="592"/>
      <c r="BD738" s="592"/>
      <c r="BE738" s="592"/>
      <c r="BF738" s="592"/>
      <c r="BG738" s="358"/>
      <c r="BH738" s="592"/>
      <c r="BI738" s="592"/>
      <c r="BJ738" s="592"/>
      <c r="BK738" s="592"/>
      <c r="BL738" s="592"/>
      <c r="BM738" s="592"/>
      <c r="BN738" s="592"/>
      <c r="BO738" s="592"/>
      <c r="BP738" s="592"/>
      <c r="BQ738" s="594"/>
      <c r="BR738" s="594"/>
      <c r="BS738" s="394"/>
      <c r="BT738" s="594"/>
      <c r="BU738" s="594"/>
      <c r="BV738" s="594"/>
      <c r="BW738" s="618"/>
      <c r="BX738" s="644"/>
      <c r="BY738" s="644"/>
    </row>
    <row r="739" ht="25.5" customHeight="1">
      <c r="A739" s="635"/>
      <c r="B739" s="695"/>
      <c r="C739" s="642"/>
      <c r="D739" s="642"/>
      <c r="E739" s="696"/>
      <c r="F739" s="696"/>
      <c r="G739" s="621"/>
      <c r="H739" s="577"/>
      <c r="I739" s="577"/>
      <c r="J739" s="613"/>
      <c r="K739" s="581"/>
      <c r="L739" s="581"/>
      <c r="M739" s="613"/>
      <c r="N739" s="613"/>
      <c r="O739" s="613"/>
      <c r="P739" s="580"/>
      <c r="Q739" s="580"/>
      <c r="R739" s="581"/>
      <c r="S739" s="581"/>
      <c r="T739" s="581"/>
      <c r="U739" s="582"/>
      <c r="V739" s="614"/>
      <c r="W739" s="581"/>
      <c r="X739" s="615"/>
      <c r="Y739" s="613"/>
      <c r="Z739" s="580"/>
      <c r="AA739" s="634"/>
      <c r="AB739" s="577"/>
      <c r="AC739" s="673"/>
      <c r="AD739" s="634"/>
      <c r="AE739" s="587"/>
      <c r="AF739" s="587"/>
      <c r="AG739" s="582"/>
      <c r="AH739" s="582"/>
      <c r="AI739" s="582"/>
      <c r="AJ739" s="582"/>
      <c r="AK739" s="588"/>
      <c r="AL739" s="582"/>
      <c r="AM739" s="582"/>
      <c r="AN739" s="589"/>
      <c r="AO739" s="616"/>
      <c r="AP739" s="592"/>
      <c r="AQ739" s="358"/>
      <c r="AR739" s="592"/>
      <c r="AS739" s="592"/>
      <c r="AT739" s="592"/>
      <c r="AU739" s="592"/>
      <c r="AV739" s="592"/>
      <c r="AW739" s="592"/>
      <c r="AX739" s="592"/>
      <c r="AY739" s="592"/>
      <c r="AZ739" s="592"/>
      <c r="BA739" s="617"/>
      <c r="BB739" s="592"/>
      <c r="BC739" s="592"/>
      <c r="BD739" s="592"/>
      <c r="BE739" s="592"/>
      <c r="BF739" s="592"/>
      <c r="BG739" s="358"/>
      <c r="BH739" s="592"/>
      <c r="BI739" s="592"/>
      <c r="BJ739" s="592"/>
      <c r="BK739" s="592"/>
      <c r="BL739" s="592"/>
      <c r="BM739" s="592"/>
      <c r="BN739" s="592"/>
      <c r="BO739" s="592"/>
      <c r="BP739" s="592"/>
      <c r="BQ739" s="594"/>
      <c r="BR739" s="594"/>
      <c r="BS739" s="394"/>
      <c r="BT739" s="594"/>
      <c r="BU739" s="594"/>
      <c r="BV739" s="594"/>
      <c r="BW739" s="618"/>
      <c r="BX739" s="644"/>
      <c r="BY739" s="644"/>
    </row>
    <row r="740" ht="25.5" customHeight="1">
      <c r="A740" s="635"/>
      <c r="B740" s="695"/>
      <c r="C740" s="642"/>
      <c r="D740" s="642"/>
      <c r="E740" s="696"/>
      <c r="F740" s="696"/>
      <c r="G740" s="621"/>
      <c r="H740" s="577"/>
      <c r="I740" s="577"/>
      <c r="J740" s="613"/>
      <c r="K740" s="581"/>
      <c r="L740" s="581"/>
      <c r="M740" s="613"/>
      <c r="N740" s="613"/>
      <c r="O740" s="613"/>
      <c r="P740" s="580"/>
      <c r="Q740" s="580"/>
      <c r="R740" s="581"/>
      <c r="S740" s="581"/>
      <c r="T740" s="581"/>
      <c r="U740" s="582"/>
      <c r="V740" s="614"/>
      <c r="W740" s="581"/>
      <c r="X740" s="615"/>
      <c r="Y740" s="613"/>
      <c r="Z740" s="580"/>
      <c r="AA740" s="634"/>
      <c r="AB740" s="577"/>
      <c r="AC740" s="673"/>
      <c r="AD740" s="634"/>
      <c r="AE740" s="587"/>
      <c r="AF740" s="587"/>
      <c r="AG740" s="582"/>
      <c r="AH740" s="582"/>
      <c r="AI740" s="582"/>
      <c r="AJ740" s="582"/>
      <c r="AK740" s="588"/>
      <c r="AL740" s="582"/>
      <c r="AM740" s="582"/>
      <c r="AN740" s="589"/>
      <c r="AO740" s="616"/>
      <c r="AP740" s="592"/>
      <c r="AQ740" s="358"/>
      <c r="AR740" s="592"/>
      <c r="AS740" s="592"/>
      <c r="AT740" s="592"/>
      <c r="AU740" s="592"/>
      <c r="AV740" s="592"/>
      <c r="AW740" s="592"/>
      <c r="AX740" s="592"/>
      <c r="AY740" s="592"/>
      <c r="AZ740" s="592"/>
      <c r="BA740" s="617"/>
      <c r="BB740" s="592"/>
      <c r="BC740" s="592"/>
      <c r="BD740" s="592"/>
      <c r="BE740" s="592"/>
      <c r="BF740" s="592"/>
      <c r="BG740" s="358"/>
      <c r="BH740" s="592"/>
      <c r="BI740" s="592"/>
      <c r="BJ740" s="592"/>
      <c r="BK740" s="592"/>
      <c r="BL740" s="592"/>
      <c r="BM740" s="592"/>
      <c r="BN740" s="592"/>
      <c r="BO740" s="592"/>
      <c r="BP740" s="592"/>
      <c r="BQ740" s="594"/>
      <c r="BR740" s="594"/>
      <c r="BS740" s="394"/>
      <c r="BT740" s="594"/>
      <c r="BU740" s="594"/>
      <c r="BV740" s="594"/>
      <c r="BW740" s="618"/>
      <c r="BX740" s="644"/>
      <c r="BY740" s="644"/>
    </row>
    <row r="741" ht="25.5" customHeight="1">
      <c r="A741" s="635"/>
      <c r="B741" s="695"/>
      <c r="C741" s="642"/>
      <c r="D741" s="642"/>
      <c r="E741" s="696"/>
      <c r="F741" s="696"/>
      <c r="G741" s="621"/>
      <c r="H741" s="577"/>
      <c r="I741" s="577"/>
      <c r="J741" s="613"/>
      <c r="K741" s="581"/>
      <c r="L741" s="581"/>
      <c r="M741" s="613"/>
      <c r="N741" s="613"/>
      <c r="O741" s="613"/>
      <c r="P741" s="580"/>
      <c r="Q741" s="580"/>
      <c r="R741" s="581"/>
      <c r="S741" s="581"/>
      <c r="T741" s="581"/>
      <c r="U741" s="582"/>
      <c r="V741" s="614"/>
      <c r="W741" s="581"/>
      <c r="X741" s="615"/>
      <c r="Y741" s="613"/>
      <c r="Z741" s="580"/>
      <c r="AA741" s="634"/>
      <c r="AB741" s="577"/>
      <c r="AC741" s="673"/>
      <c r="AD741" s="634"/>
      <c r="AE741" s="587"/>
      <c r="AF741" s="587"/>
      <c r="AG741" s="582"/>
      <c r="AH741" s="582"/>
      <c r="AI741" s="582"/>
      <c r="AJ741" s="582"/>
      <c r="AK741" s="588"/>
      <c r="AL741" s="582"/>
      <c r="AM741" s="582"/>
      <c r="AN741" s="589"/>
      <c r="AO741" s="616"/>
      <c r="AP741" s="592"/>
      <c r="AQ741" s="358"/>
      <c r="AR741" s="592"/>
      <c r="AS741" s="592"/>
      <c r="AT741" s="592"/>
      <c r="AU741" s="592"/>
      <c r="AV741" s="592"/>
      <c r="AW741" s="592"/>
      <c r="AX741" s="592"/>
      <c r="AY741" s="592"/>
      <c r="AZ741" s="592"/>
      <c r="BA741" s="617"/>
      <c r="BB741" s="592"/>
      <c r="BC741" s="592"/>
      <c r="BD741" s="592"/>
      <c r="BE741" s="592"/>
      <c r="BF741" s="592"/>
      <c r="BG741" s="358"/>
      <c r="BH741" s="592"/>
      <c r="BI741" s="592"/>
      <c r="BJ741" s="592"/>
      <c r="BK741" s="592"/>
      <c r="BL741" s="592"/>
      <c r="BM741" s="592"/>
      <c r="BN741" s="592"/>
      <c r="BO741" s="592"/>
      <c r="BP741" s="592"/>
      <c r="BQ741" s="594"/>
      <c r="BR741" s="594"/>
      <c r="BS741" s="394"/>
      <c r="BT741" s="594"/>
      <c r="BU741" s="594"/>
      <c r="BV741" s="594"/>
      <c r="BW741" s="618"/>
      <c r="BX741" s="644"/>
      <c r="BY741" s="644"/>
    </row>
    <row r="742" ht="25.5" customHeight="1">
      <c r="A742" s="635"/>
      <c r="B742" s="695"/>
      <c r="C742" s="642"/>
      <c r="D742" s="642"/>
      <c r="E742" s="696"/>
      <c r="F742" s="696"/>
      <c r="G742" s="621"/>
      <c r="H742" s="577"/>
      <c r="I742" s="577"/>
      <c r="J742" s="613"/>
      <c r="K742" s="581"/>
      <c r="L742" s="581"/>
      <c r="M742" s="613"/>
      <c r="N742" s="613"/>
      <c r="O742" s="613"/>
      <c r="P742" s="580"/>
      <c r="Q742" s="580"/>
      <c r="R742" s="581"/>
      <c r="S742" s="581"/>
      <c r="T742" s="581"/>
      <c r="U742" s="582"/>
      <c r="V742" s="614"/>
      <c r="W742" s="581"/>
      <c r="X742" s="615"/>
      <c r="Y742" s="613"/>
      <c r="Z742" s="580"/>
      <c r="AA742" s="634"/>
      <c r="AB742" s="577"/>
      <c r="AC742" s="673"/>
      <c r="AD742" s="634"/>
      <c r="AE742" s="587"/>
      <c r="AF742" s="587"/>
      <c r="AG742" s="582"/>
      <c r="AH742" s="582"/>
      <c r="AI742" s="582"/>
      <c r="AJ742" s="582"/>
      <c r="AK742" s="588"/>
      <c r="AL742" s="582"/>
      <c r="AM742" s="582"/>
      <c r="AN742" s="589"/>
      <c r="AO742" s="616"/>
      <c r="AP742" s="592"/>
      <c r="AQ742" s="358"/>
      <c r="AR742" s="592"/>
      <c r="AS742" s="592"/>
      <c r="AT742" s="592"/>
      <c r="AU742" s="592"/>
      <c r="AV742" s="592"/>
      <c r="AW742" s="592"/>
      <c r="AX742" s="592"/>
      <c r="AY742" s="592"/>
      <c r="AZ742" s="592"/>
      <c r="BA742" s="617"/>
      <c r="BB742" s="592"/>
      <c r="BC742" s="592"/>
      <c r="BD742" s="592"/>
      <c r="BE742" s="592"/>
      <c r="BF742" s="592"/>
      <c r="BG742" s="358"/>
      <c r="BH742" s="592"/>
      <c r="BI742" s="592"/>
      <c r="BJ742" s="592"/>
      <c r="BK742" s="592"/>
      <c r="BL742" s="592"/>
      <c r="BM742" s="592"/>
      <c r="BN742" s="592"/>
      <c r="BO742" s="592"/>
      <c r="BP742" s="592"/>
      <c r="BQ742" s="594"/>
      <c r="BR742" s="594"/>
      <c r="BS742" s="394"/>
      <c r="BT742" s="594"/>
      <c r="BU742" s="594"/>
      <c r="BV742" s="594"/>
      <c r="BW742" s="618"/>
      <c r="BX742" s="644"/>
      <c r="BY742" s="644"/>
    </row>
    <row r="743" ht="25.5" customHeight="1">
      <c r="A743" s="635"/>
      <c r="B743" s="695"/>
      <c r="C743" s="642"/>
      <c r="D743" s="642"/>
      <c r="E743" s="696"/>
      <c r="F743" s="696"/>
      <c r="G743" s="621"/>
      <c r="H743" s="577"/>
      <c r="I743" s="577"/>
      <c r="J743" s="613"/>
      <c r="K743" s="581"/>
      <c r="L743" s="581"/>
      <c r="M743" s="613"/>
      <c r="N743" s="613"/>
      <c r="O743" s="613"/>
      <c r="P743" s="580"/>
      <c r="Q743" s="580"/>
      <c r="R743" s="581"/>
      <c r="S743" s="581"/>
      <c r="T743" s="581"/>
      <c r="U743" s="582"/>
      <c r="V743" s="614"/>
      <c r="W743" s="581"/>
      <c r="X743" s="615"/>
      <c r="Y743" s="613"/>
      <c r="Z743" s="580"/>
      <c r="AA743" s="634"/>
      <c r="AB743" s="577"/>
      <c r="AC743" s="673"/>
      <c r="AD743" s="634"/>
      <c r="AE743" s="587"/>
      <c r="AF743" s="587"/>
      <c r="AG743" s="582"/>
      <c r="AH743" s="582"/>
      <c r="AI743" s="582"/>
      <c r="AJ743" s="582"/>
      <c r="AK743" s="588"/>
      <c r="AL743" s="582"/>
      <c r="AM743" s="582"/>
      <c r="AN743" s="589"/>
      <c r="AO743" s="616"/>
      <c r="AP743" s="592"/>
      <c r="AQ743" s="358"/>
      <c r="AR743" s="592"/>
      <c r="AS743" s="592"/>
      <c r="AT743" s="592"/>
      <c r="AU743" s="592"/>
      <c r="AV743" s="592"/>
      <c r="AW743" s="592"/>
      <c r="AX743" s="592"/>
      <c r="AY743" s="592"/>
      <c r="AZ743" s="592"/>
      <c r="BA743" s="617"/>
      <c r="BB743" s="592"/>
      <c r="BC743" s="592"/>
      <c r="BD743" s="592"/>
      <c r="BE743" s="592"/>
      <c r="BF743" s="592"/>
      <c r="BG743" s="358"/>
      <c r="BH743" s="592"/>
      <c r="BI743" s="592"/>
      <c r="BJ743" s="592"/>
      <c r="BK743" s="592"/>
      <c r="BL743" s="592"/>
      <c r="BM743" s="592"/>
      <c r="BN743" s="592"/>
      <c r="BO743" s="592"/>
      <c r="BP743" s="592"/>
      <c r="BQ743" s="594"/>
      <c r="BR743" s="594"/>
      <c r="BS743" s="394"/>
      <c r="BT743" s="594"/>
      <c r="BU743" s="594"/>
      <c r="BV743" s="594"/>
      <c r="BW743" s="618"/>
      <c r="BX743" s="644"/>
      <c r="BY743" s="644"/>
    </row>
    <row r="744" ht="25.5" customHeight="1">
      <c r="A744" s="635"/>
      <c r="B744" s="695"/>
      <c r="C744" s="642"/>
      <c r="D744" s="642"/>
      <c r="E744" s="696"/>
      <c r="F744" s="696"/>
      <c r="G744" s="621"/>
      <c r="H744" s="577"/>
      <c r="I744" s="577"/>
      <c r="J744" s="613"/>
      <c r="K744" s="581"/>
      <c r="L744" s="581"/>
      <c r="M744" s="613"/>
      <c r="N744" s="613"/>
      <c r="O744" s="613"/>
      <c r="P744" s="580"/>
      <c r="Q744" s="580"/>
      <c r="R744" s="581"/>
      <c r="S744" s="581"/>
      <c r="T744" s="581"/>
      <c r="U744" s="582"/>
      <c r="V744" s="614"/>
      <c r="W744" s="581"/>
      <c r="X744" s="615"/>
      <c r="Y744" s="613"/>
      <c r="Z744" s="580"/>
      <c r="AA744" s="634"/>
      <c r="AB744" s="577"/>
      <c r="AC744" s="673"/>
      <c r="AD744" s="634"/>
      <c r="AE744" s="587"/>
      <c r="AF744" s="587"/>
      <c r="AG744" s="582"/>
      <c r="AH744" s="582"/>
      <c r="AI744" s="582"/>
      <c r="AJ744" s="582"/>
      <c r="AK744" s="588"/>
      <c r="AL744" s="582"/>
      <c r="AM744" s="582"/>
      <c r="AN744" s="589"/>
      <c r="AO744" s="616"/>
      <c r="AP744" s="592"/>
      <c r="AQ744" s="358"/>
      <c r="AR744" s="592"/>
      <c r="AS744" s="592"/>
      <c r="AT744" s="592"/>
      <c r="AU744" s="592"/>
      <c r="AV744" s="592"/>
      <c r="AW744" s="592"/>
      <c r="AX744" s="592"/>
      <c r="AY744" s="592"/>
      <c r="AZ744" s="592"/>
      <c r="BA744" s="617"/>
      <c r="BB744" s="592"/>
      <c r="BC744" s="592"/>
      <c r="BD744" s="592"/>
      <c r="BE744" s="592"/>
      <c r="BF744" s="592"/>
      <c r="BG744" s="358"/>
      <c r="BH744" s="592"/>
      <c r="BI744" s="592"/>
      <c r="BJ744" s="592"/>
      <c r="BK744" s="592"/>
      <c r="BL744" s="592"/>
      <c r="BM744" s="592"/>
      <c r="BN744" s="592"/>
      <c r="BO744" s="592"/>
      <c r="BP744" s="592"/>
      <c r="BQ744" s="594"/>
      <c r="BR744" s="594"/>
      <c r="BS744" s="394"/>
      <c r="BT744" s="594"/>
      <c r="BU744" s="594"/>
      <c r="BV744" s="594"/>
      <c r="BW744" s="618"/>
      <c r="BX744" s="644"/>
      <c r="BY744" s="644"/>
    </row>
    <row r="745" ht="25.5" customHeight="1">
      <c r="A745" s="635"/>
      <c r="B745" s="695"/>
      <c r="C745" s="642"/>
      <c r="D745" s="642"/>
      <c r="E745" s="696"/>
      <c r="F745" s="696"/>
      <c r="G745" s="621"/>
      <c r="H745" s="577"/>
      <c r="I745" s="577"/>
      <c r="J745" s="613"/>
      <c r="K745" s="581"/>
      <c r="L745" s="581"/>
      <c r="M745" s="613"/>
      <c r="N745" s="613"/>
      <c r="O745" s="613"/>
      <c r="P745" s="580"/>
      <c r="Q745" s="580"/>
      <c r="R745" s="581"/>
      <c r="S745" s="581"/>
      <c r="T745" s="581"/>
      <c r="U745" s="582"/>
      <c r="V745" s="614"/>
      <c r="W745" s="581"/>
      <c r="X745" s="615"/>
      <c r="Y745" s="613"/>
      <c r="Z745" s="580"/>
      <c r="AA745" s="634"/>
      <c r="AB745" s="577"/>
      <c r="AC745" s="673"/>
      <c r="AD745" s="634"/>
      <c r="AE745" s="587"/>
      <c r="AF745" s="587"/>
      <c r="AG745" s="582"/>
      <c r="AH745" s="582"/>
      <c r="AI745" s="582"/>
      <c r="AJ745" s="582"/>
      <c r="AK745" s="588"/>
      <c r="AL745" s="582"/>
      <c r="AM745" s="582"/>
      <c r="AN745" s="589"/>
      <c r="AO745" s="616"/>
      <c r="AP745" s="592"/>
      <c r="AQ745" s="358"/>
      <c r="AR745" s="592"/>
      <c r="AS745" s="592"/>
      <c r="AT745" s="592"/>
      <c r="AU745" s="592"/>
      <c r="AV745" s="592"/>
      <c r="AW745" s="592"/>
      <c r="AX745" s="592"/>
      <c r="AY745" s="592"/>
      <c r="AZ745" s="592"/>
      <c r="BA745" s="617"/>
      <c r="BB745" s="592"/>
      <c r="BC745" s="592"/>
      <c r="BD745" s="592"/>
      <c r="BE745" s="592"/>
      <c r="BF745" s="592"/>
      <c r="BG745" s="358"/>
      <c r="BH745" s="592"/>
      <c r="BI745" s="592"/>
      <c r="BJ745" s="592"/>
      <c r="BK745" s="592"/>
      <c r="BL745" s="592"/>
      <c r="BM745" s="592"/>
      <c r="BN745" s="592"/>
      <c r="BO745" s="592"/>
      <c r="BP745" s="592"/>
      <c r="BQ745" s="594"/>
      <c r="BR745" s="594"/>
      <c r="BS745" s="394"/>
      <c r="BT745" s="594"/>
      <c r="BU745" s="594"/>
      <c r="BV745" s="594"/>
      <c r="BW745" s="618"/>
      <c r="BX745" s="644"/>
      <c r="BY745" s="644"/>
    </row>
    <row r="746" ht="25.5" customHeight="1">
      <c r="A746" s="635"/>
      <c r="B746" s="695"/>
      <c r="C746" s="642"/>
      <c r="D746" s="642"/>
      <c r="E746" s="696"/>
      <c r="F746" s="696"/>
      <c r="G746" s="621"/>
      <c r="H746" s="577"/>
      <c r="I746" s="577"/>
      <c r="J746" s="613"/>
      <c r="K746" s="581"/>
      <c r="L746" s="581"/>
      <c r="M746" s="613"/>
      <c r="N746" s="613"/>
      <c r="O746" s="613"/>
      <c r="P746" s="580"/>
      <c r="Q746" s="580"/>
      <c r="R746" s="581"/>
      <c r="S746" s="581"/>
      <c r="T746" s="581"/>
      <c r="U746" s="582"/>
      <c r="V746" s="614"/>
      <c r="W746" s="581"/>
      <c r="X746" s="615"/>
      <c r="Y746" s="613"/>
      <c r="Z746" s="580"/>
      <c r="AA746" s="634"/>
      <c r="AB746" s="577"/>
      <c r="AC746" s="673"/>
      <c r="AD746" s="634"/>
      <c r="AE746" s="587"/>
      <c r="AF746" s="587"/>
      <c r="AG746" s="582"/>
      <c r="AH746" s="582"/>
      <c r="AI746" s="582"/>
      <c r="AJ746" s="582"/>
      <c r="AK746" s="588"/>
      <c r="AL746" s="582"/>
      <c r="AM746" s="582"/>
      <c r="AN746" s="589"/>
      <c r="AO746" s="616"/>
      <c r="AP746" s="592"/>
      <c r="AQ746" s="358"/>
      <c r="AR746" s="592"/>
      <c r="AS746" s="592"/>
      <c r="AT746" s="592"/>
      <c r="AU746" s="592"/>
      <c r="AV746" s="592"/>
      <c r="AW746" s="592"/>
      <c r="AX746" s="592"/>
      <c r="AY746" s="592"/>
      <c r="AZ746" s="592"/>
      <c r="BA746" s="617"/>
      <c r="BB746" s="592"/>
      <c r="BC746" s="592"/>
      <c r="BD746" s="592"/>
      <c r="BE746" s="592"/>
      <c r="BF746" s="592"/>
      <c r="BG746" s="358"/>
      <c r="BH746" s="592"/>
      <c r="BI746" s="592"/>
      <c r="BJ746" s="592"/>
      <c r="BK746" s="592"/>
      <c r="BL746" s="592"/>
      <c r="BM746" s="592"/>
      <c r="BN746" s="592"/>
      <c r="BO746" s="592"/>
      <c r="BP746" s="592"/>
      <c r="BQ746" s="594"/>
      <c r="BR746" s="594"/>
      <c r="BS746" s="394"/>
      <c r="BT746" s="594"/>
      <c r="BU746" s="594"/>
      <c r="BV746" s="594"/>
      <c r="BW746" s="618"/>
      <c r="BX746" s="644"/>
      <c r="BY746" s="644"/>
    </row>
    <row r="747" ht="25.5" customHeight="1">
      <c r="A747" s="635"/>
      <c r="B747" s="695"/>
      <c r="C747" s="642"/>
      <c r="D747" s="642"/>
      <c r="E747" s="696"/>
      <c r="F747" s="696"/>
      <c r="G747" s="621"/>
      <c r="H747" s="577"/>
      <c r="I747" s="577"/>
      <c r="J747" s="613"/>
      <c r="K747" s="581"/>
      <c r="L747" s="581"/>
      <c r="M747" s="613"/>
      <c r="N747" s="613"/>
      <c r="O747" s="613"/>
      <c r="P747" s="580"/>
      <c r="Q747" s="580"/>
      <c r="R747" s="581"/>
      <c r="S747" s="581"/>
      <c r="T747" s="581"/>
      <c r="U747" s="582"/>
      <c r="V747" s="614"/>
      <c r="W747" s="581"/>
      <c r="X747" s="615"/>
      <c r="Y747" s="613"/>
      <c r="Z747" s="580"/>
      <c r="AA747" s="634"/>
      <c r="AB747" s="577"/>
      <c r="AC747" s="673"/>
      <c r="AD747" s="634"/>
      <c r="AE747" s="587"/>
      <c r="AF747" s="587"/>
      <c r="AG747" s="582"/>
      <c r="AH747" s="582"/>
      <c r="AI747" s="582"/>
      <c r="AJ747" s="582"/>
      <c r="AK747" s="588"/>
      <c r="AL747" s="582"/>
      <c r="AM747" s="582"/>
      <c r="AN747" s="589"/>
      <c r="AO747" s="616"/>
      <c r="AP747" s="592"/>
      <c r="AQ747" s="358"/>
      <c r="AR747" s="592"/>
      <c r="AS747" s="592"/>
      <c r="AT747" s="592"/>
      <c r="AU747" s="592"/>
      <c r="AV747" s="592"/>
      <c r="AW747" s="592"/>
      <c r="AX747" s="592"/>
      <c r="AY747" s="592"/>
      <c r="AZ747" s="592"/>
      <c r="BA747" s="617"/>
      <c r="BB747" s="592"/>
      <c r="BC747" s="592"/>
      <c r="BD747" s="592"/>
      <c r="BE747" s="592"/>
      <c r="BF747" s="592"/>
      <c r="BG747" s="358"/>
      <c r="BH747" s="592"/>
      <c r="BI747" s="592"/>
      <c r="BJ747" s="592"/>
      <c r="BK747" s="592"/>
      <c r="BL747" s="592"/>
      <c r="BM747" s="592"/>
      <c r="BN747" s="592"/>
      <c r="BO747" s="592"/>
      <c r="BP747" s="592"/>
      <c r="BQ747" s="594"/>
      <c r="BR747" s="594"/>
      <c r="BS747" s="394"/>
      <c r="BT747" s="594"/>
      <c r="BU747" s="594"/>
      <c r="BV747" s="594"/>
      <c r="BW747" s="618"/>
      <c r="BX747" s="644"/>
      <c r="BY747" s="644"/>
    </row>
    <row r="748" ht="25.5" customHeight="1">
      <c r="A748" s="635"/>
      <c r="B748" s="695"/>
      <c r="C748" s="642"/>
      <c r="D748" s="642"/>
      <c r="E748" s="696"/>
      <c r="F748" s="696"/>
      <c r="G748" s="621"/>
      <c r="H748" s="577"/>
      <c r="I748" s="577"/>
      <c r="J748" s="613"/>
      <c r="K748" s="581"/>
      <c r="L748" s="581"/>
      <c r="M748" s="613"/>
      <c r="N748" s="613"/>
      <c r="O748" s="613"/>
      <c r="P748" s="580"/>
      <c r="Q748" s="580"/>
      <c r="R748" s="581"/>
      <c r="S748" s="581"/>
      <c r="T748" s="581"/>
      <c r="U748" s="582"/>
      <c r="V748" s="614"/>
      <c r="W748" s="581"/>
      <c r="X748" s="615"/>
      <c r="Y748" s="613"/>
      <c r="Z748" s="580"/>
      <c r="AA748" s="634"/>
      <c r="AB748" s="577"/>
      <c r="AC748" s="673"/>
      <c r="AD748" s="634"/>
      <c r="AE748" s="587"/>
      <c r="AF748" s="587"/>
      <c r="AG748" s="582"/>
      <c r="AH748" s="582"/>
      <c r="AI748" s="582"/>
      <c r="AJ748" s="582"/>
      <c r="AK748" s="588"/>
      <c r="AL748" s="582"/>
      <c r="AM748" s="582"/>
      <c r="AN748" s="589"/>
      <c r="AO748" s="616"/>
      <c r="AP748" s="592"/>
      <c r="AQ748" s="358"/>
      <c r="AR748" s="592"/>
      <c r="AS748" s="592"/>
      <c r="AT748" s="592"/>
      <c r="AU748" s="592"/>
      <c r="AV748" s="592"/>
      <c r="AW748" s="592"/>
      <c r="AX748" s="592"/>
      <c r="AY748" s="592"/>
      <c r="AZ748" s="592"/>
      <c r="BA748" s="617"/>
      <c r="BB748" s="592"/>
      <c r="BC748" s="592"/>
      <c r="BD748" s="592"/>
      <c r="BE748" s="592"/>
      <c r="BF748" s="592"/>
      <c r="BG748" s="358"/>
      <c r="BH748" s="592"/>
      <c r="BI748" s="592"/>
      <c r="BJ748" s="592"/>
      <c r="BK748" s="592"/>
      <c r="BL748" s="592"/>
      <c r="BM748" s="592"/>
      <c r="BN748" s="592"/>
      <c r="BO748" s="592"/>
      <c r="BP748" s="592"/>
      <c r="BQ748" s="594"/>
      <c r="BR748" s="594"/>
      <c r="BS748" s="394"/>
      <c r="BT748" s="594"/>
      <c r="BU748" s="594"/>
      <c r="BV748" s="594"/>
      <c r="BW748" s="618"/>
      <c r="BX748" s="644"/>
      <c r="BY748" s="644"/>
    </row>
    <row r="749" ht="25.5" customHeight="1">
      <c r="A749" s="635"/>
      <c r="B749" s="695"/>
      <c r="C749" s="642"/>
      <c r="D749" s="642"/>
      <c r="E749" s="696"/>
      <c r="F749" s="696"/>
      <c r="G749" s="621"/>
      <c r="H749" s="577"/>
      <c r="I749" s="577"/>
      <c r="J749" s="613"/>
      <c r="K749" s="581"/>
      <c r="L749" s="581"/>
      <c r="M749" s="613"/>
      <c r="N749" s="613"/>
      <c r="O749" s="613"/>
      <c r="P749" s="580"/>
      <c r="Q749" s="580"/>
      <c r="R749" s="581"/>
      <c r="S749" s="581"/>
      <c r="T749" s="581"/>
      <c r="U749" s="582"/>
      <c r="V749" s="614"/>
      <c r="W749" s="581"/>
      <c r="X749" s="615"/>
      <c r="Y749" s="613"/>
      <c r="Z749" s="580"/>
      <c r="AA749" s="634"/>
      <c r="AB749" s="577"/>
      <c r="AC749" s="673"/>
      <c r="AD749" s="634"/>
      <c r="AE749" s="587"/>
      <c r="AF749" s="587"/>
      <c r="AG749" s="582"/>
      <c r="AH749" s="582"/>
      <c r="AI749" s="582"/>
      <c r="AJ749" s="582"/>
      <c r="AK749" s="588"/>
      <c r="AL749" s="582"/>
      <c r="AM749" s="582"/>
      <c r="AN749" s="589"/>
      <c r="AO749" s="616"/>
      <c r="AP749" s="592"/>
      <c r="AQ749" s="358"/>
      <c r="AR749" s="592"/>
      <c r="AS749" s="592"/>
      <c r="AT749" s="592"/>
      <c r="AU749" s="592"/>
      <c r="AV749" s="592"/>
      <c r="AW749" s="592"/>
      <c r="AX749" s="592"/>
      <c r="AY749" s="592"/>
      <c r="AZ749" s="592"/>
      <c r="BA749" s="617"/>
      <c r="BB749" s="592"/>
      <c r="BC749" s="592"/>
      <c r="BD749" s="592"/>
      <c r="BE749" s="592"/>
      <c r="BF749" s="592"/>
      <c r="BG749" s="358"/>
      <c r="BH749" s="592"/>
      <c r="BI749" s="592"/>
      <c r="BJ749" s="592"/>
      <c r="BK749" s="592"/>
      <c r="BL749" s="592"/>
      <c r="BM749" s="592"/>
      <c r="BN749" s="592"/>
      <c r="BO749" s="592"/>
      <c r="BP749" s="592"/>
      <c r="BQ749" s="594"/>
      <c r="BR749" s="594"/>
      <c r="BS749" s="394"/>
      <c r="BT749" s="594"/>
      <c r="BU749" s="594"/>
      <c r="BV749" s="594"/>
      <c r="BW749" s="618"/>
      <c r="BX749" s="644"/>
      <c r="BY749" s="644"/>
    </row>
    <row r="750" ht="25.5" customHeight="1">
      <c r="A750" s="635"/>
      <c r="B750" s="695"/>
      <c r="C750" s="642"/>
      <c r="D750" s="642"/>
      <c r="E750" s="696"/>
      <c r="F750" s="696"/>
      <c r="G750" s="621"/>
      <c r="H750" s="577"/>
      <c r="I750" s="577"/>
      <c r="J750" s="613"/>
      <c r="K750" s="581"/>
      <c r="L750" s="581"/>
      <c r="M750" s="613"/>
      <c r="N750" s="613"/>
      <c r="O750" s="613"/>
      <c r="P750" s="580"/>
      <c r="Q750" s="580"/>
      <c r="R750" s="581"/>
      <c r="S750" s="581"/>
      <c r="T750" s="581"/>
      <c r="U750" s="582"/>
      <c r="V750" s="614"/>
      <c r="W750" s="581"/>
      <c r="X750" s="615"/>
      <c r="Y750" s="613"/>
      <c r="Z750" s="580"/>
      <c r="AA750" s="634"/>
      <c r="AB750" s="577"/>
      <c r="AC750" s="673"/>
      <c r="AD750" s="634"/>
      <c r="AE750" s="587"/>
      <c r="AF750" s="587"/>
      <c r="AG750" s="582"/>
      <c r="AH750" s="582"/>
      <c r="AI750" s="582"/>
      <c r="AJ750" s="582"/>
      <c r="AK750" s="588"/>
      <c r="AL750" s="582"/>
      <c r="AM750" s="582"/>
      <c r="AN750" s="589"/>
      <c r="AO750" s="616"/>
      <c r="AP750" s="592"/>
      <c r="AQ750" s="358"/>
      <c r="AR750" s="592"/>
      <c r="AS750" s="592"/>
      <c r="AT750" s="592"/>
      <c r="AU750" s="592"/>
      <c r="AV750" s="592"/>
      <c r="AW750" s="592"/>
      <c r="AX750" s="592"/>
      <c r="AY750" s="592"/>
      <c r="AZ750" s="592"/>
      <c r="BA750" s="617"/>
      <c r="BB750" s="592"/>
      <c r="BC750" s="592"/>
      <c r="BD750" s="592"/>
      <c r="BE750" s="592"/>
      <c r="BF750" s="592"/>
      <c r="BG750" s="358"/>
      <c r="BH750" s="592"/>
      <c r="BI750" s="592"/>
      <c r="BJ750" s="592"/>
      <c r="BK750" s="592"/>
      <c r="BL750" s="592"/>
      <c r="BM750" s="592"/>
      <c r="BN750" s="592"/>
      <c r="BO750" s="592"/>
      <c r="BP750" s="592"/>
      <c r="BQ750" s="594"/>
      <c r="BR750" s="594"/>
      <c r="BS750" s="394"/>
      <c r="BT750" s="594"/>
      <c r="BU750" s="594"/>
      <c r="BV750" s="594"/>
      <c r="BW750" s="618"/>
      <c r="BX750" s="644"/>
      <c r="BY750" s="644"/>
    </row>
    <row r="751" ht="25.5" customHeight="1">
      <c r="A751" s="635"/>
      <c r="B751" s="695"/>
      <c r="C751" s="642"/>
      <c r="D751" s="642"/>
      <c r="E751" s="696"/>
      <c r="F751" s="696"/>
      <c r="G751" s="621"/>
      <c r="H751" s="577"/>
      <c r="I751" s="577"/>
      <c r="J751" s="613"/>
      <c r="K751" s="581"/>
      <c r="L751" s="581"/>
      <c r="M751" s="613"/>
      <c r="N751" s="613"/>
      <c r="O751" s="613"/>
      <c r="P751" s="580"/>
      <c r="Q751" s="580"/>
      <c r="R751" s="581"/>
      <c r="S751" s="581"/>
      <c r="T751" s="581"/>
      <c r="U751" s="582"/>
      <c r="V751" s="614"/>
      <c r="W751" s="581"/>
      <c r="X751" s="615"/>
      <c r="Y751" s="613"/>
      <c r="Z751" s="580"/>
      <c r="AA751" s="634"/>
      <c r="AB751" s="577"/>
      <c r="AC751" s="673"/>
      <c r="AD751" s="634"/>
      <c r="AE751" s="587"/>
      <c r="AF751" s="587"/>
      <c r="AG751" s="582"/>
      <c r="AH751" s="582"/>
      <c r="AI751" s="582"/>
      <c r="AJ751" s="582"/>
      <c r="AK751" s="588"/>
      <c r="AL751" s="582"/>
      <c r="AM751" s="582"/>
      <c r="AN751" s="589"/>
      <c r="AO751" s="616"/>
      <c r="AP751" s="592"/>
      <c r="AQ751" s="358"/>
      <c r="AR751" s="592"/>
      <c r="AS751" s="592"/>
      <c r="AT751" s="592"/>
      <c r="AU751" s="592"/>
      <c r="AV751" s="592"/>
      <c r="AW751" s="592"/>
      <c r="AX751" s="592"/>
      <c r="AY751" s="592"/>
      <c r="AZ751" s="592"/>
      <c r="BA751" s="617"/>
      <c r="BB751" s="592"/>
      <c r="BC751" s="592"/>
      <c r="BD751" s="592"/>
      <c r="BE751" s="592"/>
      <c r="BF751" s="592"/>
      <c r="BG751" s="358"/>
      <c r="BH751" s="592"/>
      <c r="BI751" s="592"/>
      <c r="BJ751" s="592"/>
      <c r="BK751" s="592"/>
      <c r="BL751" s="592"/>
      <c r="BM751" s="592"/>
      <c r="BN751" s="592"/>
      <c r="BO751" s="592"/>
      <c r="BP751" s="592"/>
      <c r="BQ751" s="594"/>
      <c r="BR751" s="594"/>
      <c r="BS751" s="394"/>
      <c r="BT751" s="594"/>
      <c r="BU751" s="594"/>
      <c r="BV751" s="594"/>
      <c r="BW751" s="618"/>
      <c r="BX751" s="644"/>
      <c r="BY751" s="644"/>
    </row>
    <row r="752" ht="25.5" customHeight="1">
      <c r="A752" s="635"/>
      <c r="B752" s="695"/>
      <c r="C752" s="642"/>
      <c r="D752" s="642"/>
      <c r="E752" s="696"/>
      <c r="F752" s="696"/>
      <c r="G752" s="621"/>
      <c r="H752" s="577"/>
      <c r="I752" s="577"/>
      <c r="J752" s="613"/>
      <c r="K752" s="581"/>
      <c r="L752" s="581"/>
      <c r="M752" s="613"/>
      <c r="N752" s="613"/>
      <c r="O752" s="613"/>
      <c r="P752" s="580"/>
      <c r="Q752" s="580"/>
      <c r="R752" s="581"/>
      <c r="S752" s="581"/>
      <c r="T752" s="581"/>
      <c r="U752" s="582"/>
      <c r="V752" s="614"/>
      <c r="W752" s="581"/>
      <c r="X752" s="615"/>
      <c r="Y752" s="613"/>
      <c r="Z752" s="580"/>
      <c r="AA752" s="634"/>
      <c r="AB752" s="577"/>
      <c r="AC752" s="673"/>
      <c r="AD752" s="634"/>
      <c r="AE752" s="587"/>
      <c r="AF752" s="587"/>
      <c r="AG752" s="582"/>
      <c r="AH752" s="582"/>
      <c r="AI752" s="582"/>
      <c r="AJ752" s="582"/>
      <c r="AK752" s="588"/>
      <c r="AL752" s="582"/>
      <c r="AM752" s="582"/>
      <c r="AN752" s="589"/>
      <c r="AO752" s="616"/>
      <c r="AP752" s="592"/>
      <c r="AQ752" s="358"/>
      <c r="AR752" s="592"/>
      <c r="AS752" s="592"/>
      <c r="AT752" s="592"/>
      <c r="AU752" s="592"/>
      <c r="AV752" s="592"/>
      <c r="AW752" s="592"/>
      <c r="AX752" s="592"/>
      <c r="AY752" s="592"/>
      <c r="AZ752" s="592"/>
      <c r="BA752" s="617"/>
      <c r="BB752" s="592"/>
      <c r="BC752" s="592"/>
      <c r="BD752" s="592"/>
      <c r="BE752" s="592"/>
      <c r="BF752" s="592"/>
      <c r="BG752" s="358"/>
      <c r="BH752" s="592"/>
      <c r="BI752" s="592"/>
      <c r="BJ752" s="592"/>
      <c r="BK752" s="592"/>
      <c r="BL752" s="592"/>
      <c r="BM752" s="592"/>
      <c r="BN752" s="592"/>
      <c r="BO752" s="592"/>
      <c r="BP752" s="592"/>
      <c r="BQ752" s="594"/>
      <c r="BR752" s="594"/>
      <c r="BS752" s="394"/>
      <c r="BT752" s="594"/>
      <c r="BU752" s="594"/>
      <c r="BV752" s="594"/>
      <c r="BW752" s="618"/>
      <c r="BX752" s="644"/>
      <c r="BY752" s="644"/>
    </row>
    <row r="753" ht="25.5" customHeight="1">
      <c r="A753" s="635"/>
      <c r="B753" s="695"/>
      <c r="C753" s="642"/>
      <c r="D753" s="642"/>
      <c r="E753" s="696"/>
      <c r="F753" s="696"/>
      <c r="G753" s="621"/>
      <c r="H753" s="577"/>
      <c r="I753" s="577"/>
      <c r="J753" s="613"/>
      <c r="K753" s="581"/>
      <c r="L753" s="581"/>
      <c r="M753" s="613"/>
      <c r="N753" s="613"/>
      <c r="O753" s="613"/>
      <c r="P753" s="580"/>
      <c r="Q753" s="580"/>
      <c r="R753" s="581"/>
      <c r="S753" s="581"/>
      <c r="T753" s="581"/>
      <c r="U753" s="582"/>
      <c r="V753" s="614"/>
      <c r="W753" s="581"/>
      <c r="X753" s="615"/>
      <c r="Y753" s="613"/>
      <c r="Z753" s="580"/>
      <c r="AA753" s="634"/>
      <c r="AB753" s="577"/>
      <c r="AC753" s="673"/>
      <c r="AD753" s="634"/>
      <c r="AE753" s="587"/>
      <c r="AF753" s="587"/>
      <c r="AG753" s="582"/>
      <c r="AH753" s="582"/>
      <c r="AI753" s="582"/>
      <c r="AJ753" s="582"/>
      <c r="AK753" s="588"/>
      <c r="AL753" s="582"/>
      <c r="AM753" s="582"/>
      <c r="AN753" s="589"/>
      <c r="AO753" s="616"/>
      <c r="AP753" s="592"/>
      <c r="AQ753" s="358"/>
      <c r="AR753" s="592"/>
      <c r="AS753" s="592"/>
      <c r="AT753" s="592"/>
      <c r="AU753" s="592"/>
      <c r="AV753" s="592"/>
      <c r="AW753" s="592"/>
      <c r="AX753" s="592"/>
      <c r="AY753" s="592"/>
      <c r="AZ753" s="592"/>
      <c r="BA753" s="617"/>
      <c r="BB753" s="592"/>
      <c r="BC753" s="592"/>
      <c r="BD753" s="592"/>
      <c r="BE753" s="592"/>
      <c r="BF753" s="592"/>
      <c r="BG753" s="358"/>
      <c r="BH753" s="592"/>
      <c r="BI753" s="592"/>
      <c r="BJ753" s="592"/>
      <c r="BK753" s="592"/>
      <c r="BL753" s="592"/>
      <c r="BM753" s="592"/>
      <c r="BN753" s="592"/>
      <c r="BO753" s="592"/>
      <c r="BP753" s="592"/>
      <c r="BQ753" s="594"/>
      <c r="BR753" s="594"/>
      <c r="BS753" s="394"/>
      <c r="BT753" s="594"/>
      <c r="BU753" s="594"/>
      <c r="BV753" s="594"/>
      <c r="BW753" s="618"/>
      <c r="BX753" s="644"/>
      <c r="BY753" s="644"/>
    </row>
    <row r="754" ht="25.5" customHeight="1">
      <c r="A754" s="635"/>
      <c r="B754" s="695"/>
      <c r="C754" s="642"/>
      <c r="D754" s="642"/>
      <c r="E754" s="696"/>
      <c r="F754" s="696"/>
      <c r="G754" s="621"/>
      <c r="H754" s="577"/>
      <c r="I754" s="577"/>
      <c r="J754" s="613"/>
      <c r="K754" s="581"/>
      <c r="L754" s="581"/>
      <c r="M754" s="613"/>
      <c r="N754" s="613"/>
      <c r="O754" s="613"/>
      <c r="P754" s="580"/>
      <c r="Q754" s="580"/>
      <c r="R754" s="581"/>
      <c r="S754" s="581"/>
      <c r="T754" s="581"/>
      <c r="U754" s="582"/>
      <c r="V754" s="614"/>
      <c r="W754" s="581"/>
      <c r="X754" s="615"/>
      <c r="Y754" s="613"/>
      <c r="Z754" s="580"/>
      <c r="AA754" s="634"/>
      <c r="AB754" s="577"/>
      <c r="AC754" s="673"/>
      <c r="AD754" s="634"/>
      <c r="AE754" s="587"/>
      <c r="AF754" s="587"/>
      <c r="AG754" s="582"/>
      <c r="AH754" s="582"/>
      <c r="AI754" s="582"/>
      <c r="AJ754" s="582"/>
      <c r="AK754" s="588"/>
      <c r="AL754" s="582"/>
      <c r="AM754" s="582"/>
      <c r="AN754" s="589"/>
      <c r="AO754" s="616"/>
      <c r="AP754" s="592"/>
      <c r="AQ754" s="358"/>
      <c r="AR754" s="592"/>
      <c r="AS754" s="592"/>
      <c r="AT754" s="592"/>
      <c r="AU754" s="592"/>
      <c r="AV754" s="592"/>
      <c r="AW754" s="592"/>
      <c r="AX754" s="592"/>
      <c r="AY754" s="592"/>
      <c r="AZ754" s="592"/>
      <c r="BA754" s="617"/>
      <c r="BB754" s="592"/>
      <c r="BC754" s="592"/>
      <c r="BD754" s="592"/>
      <c r="BE754" s="592"/>
      <c r="BF754" s="592"/>
      <c r="BG754" s="358"/>
      <c r="BH754" s="592"/>
      <c r="BI754" s="592"/>
      <c r="BJ754" s="592"/>
      <c r="BK754" s="592"/>
      <c r="BL754" s="592"/>
      <c r="BM754" s="592"/>
      <c r="BN754" s="592"/>
      <c r="BO754" s="592"/>
      <c r="BP754" s="592"/>
      <c r="BQ754" s="594"/>
      <c r="BR754" s="594"/>
      <c r="BS754" s="394"/>
      <c r="BT754" s="594"/>
      <c r="BU754" s="594"/>
      <c r="BV754" s="594"/>
      <c r="BW754" s="618"/>
      <c r="BX754" s="644"/>
      <c r="BY754" s="644"/>
    </row>
    <row r="755" ht="25.5" customHeight="1">
      <c r="A755" s="635"/>
      <c r="B755" s="695"/>
      <c r="C755" s="642"/>
      <c r="D755" s="642"/>
      <c r="E755" s="696"/>
      <c r="F755" s="696"/>
      <c r="G755" s="621"/>
      <c r="H755" s="577"/>
      <c r="I755" s="577"/>
      <c r="J755" s="613"/>
      <c r="K755" s="581"/>
      <c r="L755" s="581"/>
      <c r="M755" s="613"/>
      <c r="N755" s="613"/>
      <c r="O755" s="613"/>
      <c r="P755" s="580"/>
      <c r="Q755" s="580"/>
      <c r="R755" s="581"/>
      <c r="S755" s="581"/>
      <c r="T755" s="581"/>
      <c r="U755" s="582"/>
      <c r="V755" s="614"/>
      <c r="W755" s="581"/>
      <c r="X755" s="615"/>
      <c r="Y755" s="613"/>
      <c r="Z755" s="580"/>
      <c r="AA755" s="634"/>
      <c r="AB755" s="577"/>
      <c r="AC755" s="673"/>
      <c r="AD755" s="634"/>
      <c r="AE755" s="587"/>
      <c r="AF755" s="587"/>
      <c r="AG755" s="582"/>
      <c r="AH755" s="582"/>
      <c r="AI755" s="582"/>
      <c r="AJ755" s="582"/>
      <c r="AK755" s="588"/>
      <c r="AL755" s="582"/>
      <c r="AM755" s="582"/>
      <c r="AN755" s="589"/>
      <c r="AO755" s="616"/>
      <c r="AP755" s="592"/>
      <c r="AQ755" s="358"/>
      <c r="AR755" s="592"/>
      <c r="AS755" s="592"/>
      <c r="AT755" s="592"/>
      <c r="AU755" s="592"/>
      <c r="AV755" s="592"/>
      <c r="AW755" s="592"/>
      <c r="AX755" s="592"/>
      <c r="AY755" s="592"/>
      <c r="AZ755" s="592"/>
      <c r="BA755" s="617"/>
      <c r="BB755" s="592"/>
      <c r="BC755" s="592"/>
      <c r="BD755" s="592"/>
      <c r="BE755" s="592"/>
      <c r="BF755" s="592"/>
      <c r="BG755" s="358"/>
      <c r="BH755" s="592"/>
      <c r="BI755" s="592"/>
      <c r="BJ755" s="592"/>
      <c r="BK755" s="592"/>
      <c r="BL755" s="592"/>
      <c r="BM755" s="592"/>
      <c r="BN755" s="592"/>
      <c r="BO755" s="592"/>
      <c r="BP755" s="592"/>
      <c r="BQ755" s="594"/>
      <c r="BR755" s="594"/>
      <c r="BS755" s="394"/>
      <c r="BT755" s="594"/>
      <c r="BU755" s="594"/>
      <c r="BV755" s="594"/>
      <c r="BW755" s="618"/>
      <c r="BX755" s="644"/>
      <c r="BY755" s="644"/>
    </row>
    <row r="756" ht="25.5" customHeight="1">
      <c r="A756" s="635"/>
      <c r="B756" s="695"/>
      <c r="C756" s="642"/>
      <c r="D756" s="642"/>
      <c r="E756" s="696"/>
      <c r="F756" s="696"/>
      <c r="G756" s="621"/>
      <c r="H756" s="577"/>
      <c r="I756" s="577"/>
      <c r="J756" s="613"/>
      <c r="K756" s="581"/>
      <c r="L756" s="581"/>
      <c r="M756" s="613"/>
      <c r="N756" s="613"/>
      <c r="O756" s="613"/>
      <c r="P756" s="580"/>
      <c r="Q756" s="580"/>
      <c r="R756" s="581"/>
      <c r="S756" s="581"/>
      <c r="T756" s="581"/>
      <c r="U756" s="582"/>
      <c r="V756" s="614"/>
      <c r="W756" s="581"/>
      <c r="X756" s="615"/>
      <c r="Y756" s="613"/>
      <c r="Z756" s="580"/>
      <c r="AA756" s="634"/>
      <c r="AB756" s="577"/>
      <c r="AC756" s="673"/>
      <c r="AD756" s="634"/>
      <c r="AE756" s="587"/>
      <c r="AF756" s="587"/>
      <c r="AG756" s="582"/>
      <c r="AH756" s="582"/>
      <c r="AI756" s="582"/>
      <c r="AJ756" s="582"/>
      <c r="AK756" s="588"/>
      <c r="AL756" s="582"/>
      <c r="AM756" s="582"/>
      <c r="AN756" s="589"/>
      <c r="AO756" s="616"/>
      <c r="AP756" s="592"/>
      <c r="AQ756" s="358"/>
      <c r="AR756" s="592"/>
      <c r="AS756" s="592"/>
      <c r="AT756" s="592"/>
      <c r="AU756" s="592"/>
      <c r="AV756" s="592"/>
      <c r="AW756" s="592"/>
      <c r="AX756" s="592"/>
      <c r="AY756" s="592"/>
      <c r="AZ756" s="592"/>
      <c r="BA756" s="617"/>
      <c r="BB756" s="592"/>
      <c r="BC756" s="592"/>
      <c r="BD756" s="592"/>
      <c r="BE756" s="592"/>
      <c r="BF756" s="592"/>
      <c r="BG756" s="358"/>
      <c r="BH756" s="592"/>
      <c r="BI756" s="592"/>
      <c r="BJ756" s="592"/>
      <c r="BK756" s="592"/>
      <c r="BL756" s="592"/>
      <c r="BM756" s="592"/>
      <c r="BN756" s="592"/>
      <c r="BO756" s="592"/>
      <c r="BP756" s="592"/>
      <c r="BQ756" s="594"/>
      <c r="BR756" s="594"/>
      <c r="BS756" s="394"/>
      <c r="BT756" s="594"/>
      <c r="BU756" s="594"/>
      <c r="BV756" s="594"/>
      <c r="BW756" s="618"/>
      <c r="BX756" s="644"/>
      <c r="BY756" s="644"/>
    </row>
    <row r="757" ht="25.5" customHeight="1">
      <c r="A757" s="635"/>
      <c r="B757" s="695"/>
      <c r="C757" s="642"/>
      <c r="D757" s="642"/>
      <c r="E757" s="696"/>
      <c r="F757" s="696"/>
      <c r="G757" s="621"/>
      <c r="H757" s="577"/>
      <c r="I757" s="577"/>
      <c r="J757" s="613"/>
      <c r="K757" s="581"/>
      <c r="L757" s="581"/>
      <c r="M757" s="613"/>
      <c r="N757" s="613"/>
      <c r="O757" s="613"/>
      <c r="P757" s="580"/>
      <c r="Q757" s="580"/>
      <c r="R757" s="581"/>
      <c r="S757" s="581"/>
      <c r="T757" s="581"/>
      <c r="U757" s="582"/>
      <c r="V757" s="614"/>
      <c r="W757" s="581"/>
      <c r="X757" s="615"/>
      <c r="Y757" s="613"/>
      <c r="Z757" s="580"/>
      <c r="AA757" s="634"/>
      <c r="AB757" s="577"/>
      <c r="AC757" s="673"/>
      <c r="AD757" s="634"/>
      <c r="AE757" s="587"/>
      <c r="AF757" s="587"/>
      <c r="AG757" s="582"/>
      <c r="AH757" s="582"/>
      <c r="AI757" s="582"/>
      <c r="AJ757" s="582"/>
      <c r="AK757" s="588"/>
      <c r="AL757" s="582"/>
      <c r="AM757" s="582"/>
      <c r="AN757" s="589"/>
      <c r="AO757" s="616"/>
      <c r="AP757" s="592"/>
      <c r="AQ757" s="358"/>
      <c r="AR757" s="592"/>
      <c r="AS757" s="592"/>
      <c r="AT757" s="592"/>
      <c r="AU757" s="592"/>
      <c r="AV757" s="592"/>
      <c r="AW757" s="592"/>
      <c r="AX757" s="592"/>
      <c r="AY757" s="592"/>
      <c r="AZ757" s="592"/>
      <c r="BA757" s="617"/>
      <c r="BB757" s="592"/>
      <c r="BC757" s="592"/>
      <c r="BD757" s="592"/>
      <c r="BE757" s="592"/>
      <c r="BF757" s="592"/>
      <c r="BG757" s="358"/>
      <c r="BH757" s="592"/>
      <c r="BI757" s="592"/>
      <c r="BJ757" s="592"/>
      <c r="BK757" s="592"/>
      <c r="BL757" s="592"/>
      <c r="BM757" s="592"/>
      <c r="BN757" s="592"/>
      <c r="BO757" s="592"/>
      <c r="BP757" s="592"/>
      <c r="BQ757" s="594"/>
      <c r="BR757" s="594"/>
      <c r="BS757" s="394"/>
      <c r="BT757" s="594"/>
      <c r="BU757" s="594"/>
      <c r="BV757" s="594"/>
      <c r="BW757" s="618"/>
      <c r="BX757" s="644"/>
      <c r="BY757" s="644"/>
    </row>
    <row r="758" ht="25.5" customHeight="1">
      <c r="A758" s="635"/>
      <c r="B758" s="695"/>
      <c r="C758" s="642"/>
      <c r="D758" s="642"/>
      <c r="E758" s="696"/>
      <c r="F758" s="696"/>
      <c r="G758" s="621"/>
      <c r="H758" s="577"/>
      <c r="I758" s="577"/>
      <c r="J758" s="613"/>
      <c r="K758" s="581"/>
      <c r="L758" s="581"/>
      <c r="M758" s="613"/>
      <c r="N758" s="613"/>
      <c r="O758" s="613"/>
      <c r="P758" s="580"/>
      <c r="Q758" s="580"/>
      <c r="R758" s="581"/>
      <c r="S758" s="581"/>
      <c r="T758" s="581"/>
      <c r="U758" s="582"/>
      <c r="V758" s="614"/>
      <c r="W758" s="581"/>
      <c r="X758" s="615"/>
      <c r="Y758" s="613"/>
      <c r="Z758" s="580"/>
      <c r="AA758" s="634"/>
      <c r="AB758" s="577"/>
      <c r="AC758" s="673"/>
      <c r="AD758" s="634"/>
      <c r="AE758" s="587"/>
      <c r="AF758" s="587"/>
      <c r="AG758" s="582"/>
      <c r="AH758" s="582"/>
      <c r="AI758" s="582"/>
      <c r="AJ758" s="582"/>
      <c r="AK758" s="588"/>
      <c r="AL758" s="582"/>
      <c r="AM758" s="582"/>
      <c r="AN758" s="589"/>
      <c r="AO758" s="616"/>
      <c r="AP758" s="592"/>
      <c r="AQ758" s="358"/>
      <c r="AR758" s="592"/>
      <c r="AS758" s="592"/>
      <c r="AT758" s="592"/>
      <c r="AU758" s="592"/>
      <c r="AV758" s="592"/>
      <c r="AW758" s="592"/>
      <c r="AX758" s="592"/>
      <c r="AY758" s="592"/>
      <c r="AZ758" s="592"/>
      <c r="BA758" s="617"/>
      <c r="BB758" s="592"/>
      <c r="BC758" s="592"/>
      <c r="BD758" s="592"/>
      <c r="BE758" s="592"/>
      <c r="BF758" s="592"/>
      <c r="BG758" s="358"/>
      <c r="BH758" s="592"/>
      <c r="BI758" s="592"/>
      <c r="BJ758" s="592"/>
      <c r="BK758" s="592"/>
      <c r="BL758" s="592"/>
      <c r="BM758" s="592"/>
      <c r="BN758" s="592"/>
      <c r="BO758" s="592"/>
      <c r="BP758" s="592"/>
      <c r="BQ758" s="594"/>
      <c r="BR758" s="594"/>
      <c r="BS758" s="394"/>
      <c r="BT758" s="594"/>
      <c r="BU758" s="594"/>
      <c r="BV758" s="594"/>
      <c r="BW758" s="618"/>
      <c r="BX758" s="644"/>
      <c r="BY758" s="644"/>
    </row>
    <row r="759" ht="25.5" customHeight="1">
      <c r="A759" s="635"/>
      <c r="B759" s="695"/>
      <c r="C759" s="642"/>
      <c r="D759" s="642"/>
      <c r="E759" s="696"/>
      <c r="F759" s="696"/>
      <c r="G759" s="621"/>
      <c r="H759" s="577"/>
      <c r="I759" s="577"/>
      <c r="J759" s="613"/>
      <c r="K759" s="581"/>
      <c r="L759" s="581"/>
      <c r="M759" s="613"/>
      <c r="N759" s="613"/>
      <c r="O759" s="613"/>
      <c r="P759" s="580"/>
      <c r="Q759" s="580"/>
      <c r="R759" s="581"/>
      <c r="S759" s="581"/>
      <c r="T759" s="581"/>
      <c r="U759" s="582"/>
      <c r="V759" s="614"/>
      <c r="W759" s="581"/>
      <c r="X759" s="615"/>
      <c r="Y759" s="613"/>
      <c r="Z759" s="580"/>
      <c r="AA759" s="634"/>
      <c r="AB759" s="577"/>
      <c r="AC759" s="673"/>
      <c r="AD759" s="634"/>
      <c r="AE759" s="587"/>
      <c r="AF759" s="587"/>
      <c r="AG759" s="582"/>
      <c r="AH759" s="582"/>
      <c r="AI759" s="582"/>
      <c r="AJ759" s="582"/>
      <c r="AK759" s="588"/>
      <c r="AL759" s="582"/>
      <c r="AM759" s="582"/>
      <c r="AN759" s="589"/>
      <c r="AO759" s="616"/>
      <c r="AP759" s="592"/>
      <c r="AQ759" s="358"/>
      <c r="AR759" s="592"/>
      <c r="AS759" s="592"/>
      <c r="AT759" s="592"/>
      <c r="AU759" s="592"/>
      <c r="AV759" s="592"/>
      <c r="AW759" s="592"/>
      <c r="AX759" s="592"/>
      <c r="AY759" s="592"/>
      <c r="AZ759" s="592"/>
      <c r="BA759" s="617"/>
      <c r="BB759" s="592"/>
      <c r="BC759" s="592"/>
      <c r="BD759" s="592"/>
      <c r="BE759" s="592"/>
      <c r="BF759" s="592"/>
      <c r="BG759" s="358"/>
      <c r="BH759" s="592"/>
      <c r="BI759" s="592"/>
      <c r="BJ759" s="592"/>
      <c r="BK759" s="592"/>
      <c r="BL759" s="592"/>
      <c r="BM759" s="592"/>
      <c r="BN759" s="592"/>
      <c r="BO759" s="592"/>
      <c r="BP759" s="592"/>
      <c r="BQ759" s="594"/>
      <c r="BR759" s="594"/>
      <c r="BS759" s="394"/>
      <c r="BT759" s="594"/>
      <c r="BU759" s="594"/>
      <c r="BV759" s="594"/>
      <c r="BW759" s="618"/>
      <c r="BX759" s="644"/>
      <c r="BY759" s="644"/>
    </row>
    <row r="760" ht="25.5" customHeight="1">
      <c r="A760" s="635"/>
      <c r="B760" s="695"/>
      <c r="C760" s="642"/>
      <c r="D760" s="642"/>
      <c r="E760" s="696"/>
      <c r="F760" s="696"/>
      <c r="G760" s="621"/>
      <c r="H760" s="577"/>
      <c r="I760" s="577"/>
      <c r="J760" s="613"/>
      <c r="K760" s="581"/>
      <c r="L760" s="581"/>
      <c r="M760" s="613"/>
      <c r="N760" s="613"/>
      <c r="O760" s="613"/>
      <c r="P760" s="580"/>
      <c r="Q760" s="580"/>
      <c r="R760" s="581"/>
      <c r="S760" s="581"/>
      <c r="T760" s="581"/>
      <c r="U760" s="582"/>
      <c r="V760" s="614"/>
      <c r="W760" s="581"/>
      <c r="X760" s="615"/>
      <c r="Y760" s="613"/>
      <c r="Z760" s="580"/>
      <c r="AA760" s="634"/>
      <c r="AB760" s="577"/>
      <c r="AC760" s="673"/>
      <c r="AD760" s="634"/>
      <c r="AE760" s="587"/>
      <c r="AF760" s="587"/>
      <c r="AG760" s="582"/>
      <c r="AH760" s="582"/>
      <c r="AI760" s="582"/>
      <c r="AJ760" s="582"/>
      <c r="AK760" s="588"/>
      <c r="AL760" s="582"/>
      <c r="AM760" s="582"/>
      <c r="AN760" s="589"/>
      <c r="AO760" s="616"/>
      <c r="AP760" s="592"/>
      <c r="AQ760" s="358"/>
      <c r="AR760" s="592"/>
      <c r="AS760" s="592"/>
      <c r="AT760" s="592"/>
      <c r="AU760" s="592"/>
      <c r="AV760" s="592"/>
      <c r="AW760" s="592"/>
      <c r="AX760" s="592"/>
      <c r="AY760" s="592"/>
      <c r="AZ760" s="592"/>
      <c r="BA760" s="617"/>
      <c r="BB760" s="592"/>
      <c r="BC760" s="592"/>
      <c r="BD760" s="592"/>
      <c r="BE760" s="592"/>
      <c r="BF760" s="592"/>
      <c r="BG760" s="358"/>
      <c r="BH760" s="592"/>
      <c r="BI760" s="592"/>
      <c r="BJ760" s="592"/>
      <c r="BK760" s="592"/>
      <c r="BL760" s="592"/>
      <c r="BM760" s="592"/>
      <c r="BN760" s="592"/>
      <c r="BO760" s="592"/>
      <c r="BP760" s="592"/>
      <c r="BQ760" s="594"/>
      <c r="BR760" s="594"/>
      <c r="BS760" s="394"/>
      <c r="BT760" s="594"/>
      <c r="BU760" s="594"/>
      <c r="BV760" s="594"/>
      <c r="BW760" s="618"/>
      <c r="BX760" s="644"/>
      <c r="BY760" s="644"/>
    </row>
    <row r="761" ht="25.5" customHeight="1">
      <c r="A761" s="635"/>
      <c r="B761" s="695"/>
      <c r="C761" s="642"/>
      <c r="D761" s="642"/>
      <c r="E761" s="696"/>
      <c r="F761" s="696"/>
      <c r="G761" s="621"/>
      <c r="H761" s="577"/>
      <c r="I761" s="577"/>
      <c r="J761" s="613"/>
      <c r="K761" s="581"/>
      <c r="L761" s="581"/>
      <c r="M761" s="613"/>
      <c r="N761" s="613"/>
      <c r="O761" s="613"/>
      <c r="P761" s="580"/>
      <c r="Q761" s="580"/>
      <c r="R761" s="581"/>
      <c r="S761" s="581"/>
      <c r="T761" s="581"/>
      <c r="U761" s="582"/>
      <c r="V761" s="614"/>
      <c r="W761" s="581"/>
      <c r="X761" s="615"/>
      <c r="Y761" s="613"/>
      <c r="Z761" s="580"/>
      <c r="AA761" s="634"/>
      <c r="AB761" s="577"/>
      <c r="AC761" s="673"/>
      <c r="AD761" s="634"/>
      <c r="AE761" s="587"/>
      <c r="AF761" s="587"/>
      <c r="AG761" s="582"/>
      <c r="AH761" s="582"/>
      <c r="AI761" s="582"/>
      <c r="AJ761" s="582"/>
      <c r="AK761" s="588"/>
      <c r="AL761" s="582"/>
      <c r="AM761" s="582"/>
      <c r="AN761" s="589"/>
      <c r="AO761" s="616"/>
      <c r="AP761" s="592"/>
      <c r="AQ761" s="358"/>
      <c r="AR761" s="592"/>
      <c r="AS761" s="592"/>
      <c r="AT761" s="592"/>
      <c r="AU761" s="592"/>
      <c r="AV761" s="592"/>
      <c r="AW761" s="592"/>
      <c r="AX761" s="592"/>
      <c r="AY761" s="592"/>
      <c r="AZ761" s="592"/>
      <c r="BA761" s="617"/>
      <c r="BB761" s="592"/>
      <c r="BC761" s="592"/>
      <c r="BD761" s="592"/>
      <c r="BE761" s="592"/>
      <c r="BF761" s="592"/>
      <c r="BG761" s="358"/>
      <c r="BH761" s="592"/>
      <c r="BI761" s="592"/>
      <c r="BJ761" s="592"/>
      <c r="BK761" s="592"/>
      <c r="BL761" s="592"/>
      <c r="BM761" s="592"/>
      <c r="BN761" s="592"/>
      <c r="BO761" s="592"/>
      <c r="BP761" s="592"/>
      <c r="BQ761" s="594"/>
      <c r="BR761" s="594"/>
      <c r="BS761" s="394"/>
      <c r="BT761" s="594"/>
      <c r="BU761" s="594"/>
      <c r="BV761" s="594"/>
      <c r="BW761" s="618"/>
      <c r="BX761" s="644"/>
      <c r="BY761" s="644"/>
    </row>
    <row r="762" ht="25.5" customHeight="1">
      <c r="A762" s="635"/>
      <c r="B762" s="695"/>
      <c r="C762" s="642"/>
      <c r="D762" s="642"/>
      <c r="E762" s="696"/>
      <c r="F762" s="696"/>
      <c r="G762" s="621"/>
      <c r="H762" s="577"/>
      <c r="I762" s="577"/>
      <c r="J762" s="613"/>
      <c r="K762" s="581"/>
      <c r="L762" s="581"/>
      <c r="M762" s="613"/>
      <c r="N762" s="613"/>
      <c r="O762" s="613"/>
      <c r="P762" s="580"/>
      <c r="Q762" s="580"/>
      <c r="R762" s="581"/>
      <c r="S762" s="581"/>
      <c r="T762" s="581"/>
      <c r="U762" s="582"/>
      <c r="V762" s="614"/>
      <c r="W762" s="581"/>
      <c r="X762" s="615"/>
      <c r="Y762" s="613"/>
      <c r="Z762" s="580"/>
      <c r="AA762" s="634"/>
      <c r="AB762" s="577"/>
      <c r="AC762" s="673"/>
      <c r="AD762" s="634"/>
      <c r="AE762" s="587"/>
      <c r="AF762" s="587"/>
      <c r="AG762" s="582"/>
      <c r="AH762" s="582"/>
      <c r="AI762" s="582"/>
      <c r="AJ762" s="582"/>
      <c r="AK762" s="588"/>
      <c r="AL762" s="582"/>
      <c r="AM762" s="582"/>
      <c r="AN762" s="589"/>
      <c r="AO762" s="616"/>
      <c r="AP762" s="592"/>
      <c r="AQ762" s="358"/>
      <c r="AR762" s="592"/>
      <c r="AS762" s="592"/>
      <c r="AT762" s="592"/>
      <c r="AU762" s="592"/>
      <c r="AV762" s="592"/>
      <c r="AW762" s="592"/>
      <c r="AX762" s="592"/>
      <c r="AY762" s="592"/>
      <c r="AZ762" s="592"/>
      <c r="BA762" s="617"/>
      <c r="BB762" s="592"/>
      <c r="BC762" s="592"/>
      <c r="BD762" s="592"/>
      <c r="BE762" s="592"/>
      <c r="BF762" s="592"/>
      <c r="BG762" s="358"/>
      <c r="BH762" s="592"/>
      <c r="BI762" s="592"/>
      <c r="BJ762" s="592"/>
      <c r="BK762" s="592"/>
      <c r="BL762" s="592"/>
      <c r="BM762" s="592"/>
      <c r="BN762" s="592"/>
      <c r="BO762" s="592"/>
      <c r="BP762" s="592"/>
      <c r="BQ762" s="594"/>
      <c r="BR762" s="594"/>
      <c r="BS762" s="394"/>
      <c r="BT762" s="594"/>
      <c r="BU762" s="594"/>
      <c r="BV762" s="594"/>
      <c r="BW762" s="618"/>
      <c r="BX762" s="644"/>
      <c r="BY762" s="644"/>
    </row>
    <row r="763" ht="25.5" customHeight="1">
      <c r="A763" s="635"/>
      <c r="B763" s="695"/>
      <c r="C763" s="642"/>
      <c r="D763" s="642"/>
      <c r="E763" s="696"/>
      <c r="F763" s="696"/>
      <c r="G763" s="621"/>
      <c r="H763" s="577"/>
      <c r="I763" s="577"/>
      <c r="J763" s="613"/>
      <c r="K763" s="581"/>
      <c r="L763" s="581"/>
      <c r="M763" s="613"/>
      <c r="N763" s="613"/>
      <c r="O763" s="613"/>
      <c r="P763" s="580"/>
      <c r="Q763" s="580"/>
      <c r="R763" s="581"/>
      <c r="S763" s="581"/>
      <c r="T763" s="581"/>
      <c r="U763" s="582"/>
      <c r="V763" s="614"/>
      <c r="W763" s="581"/>
      <c r="X763" s="615"/>
      <c r="Y763" s="613"/>
      <c r="Z763" s="580"/>
      <c r="AA763" s="634"/>
      <c r="AB763" s="577"/>
      <c r="AC763" s="673"/>
      <c r="AD763" s="634"/>
      <c r="AE763" s="587"/>
      <c r="AF763" s="587"/>
      <c r="AG763" s="582"/>
      <c r="AH763" s="582"/>
      <c r="AI763" s="582"/>
      <c r="AJ763" s="582"/>
      <c r="AK763" s="588"/>
      <c r="AL763" s="582"/>
      <c r="AM763" s="582"/>
      <c r="AN763" s="589"/>
      <c r="AO763" s="616"/>
      <c r="AP763" s="592"/>
      <c r="AQ763" s="358"/>
      <c r="AR763" s="592"/>
      <c r="AS763" s="592"/>
      <c r="AT763" s="592"/>
      <c r="AU763" s="592"/>
      <c r="AV763" s="592"/>
      <c r="AW763" s="592"/>
      <c r="AX763" s="592"/>
      <c r="AY763" s="592"/>
      <c r="AZ763" s="592"/>
      <c r="BA763" s="617"/>
      <c r="BB763" s="592"/>
      <c r="BC763" s="592"/>
      <c r="BD763" s="592"/>
      <c r="BE763" s="592"/>
      <c r="BF763" s="592"/>
      <c r="BG763" s="358"/>
      <c r="BH763" s="592"/>
      <c r="BI763" s="592"/>
      <c r="BJ763" s="592"/>
      <c r="BK763" s="592"/>
      <c r="BL763" s="592"/>
      <c r="BM763" s="592"/>
      <c r="BN763" s="592"/>
      <c r="BO763" s="592"/>
      <c r="BP763" s="592"/>
      <c r="BQ763" s="594"/>
      <c r="BR763" s="594"/>
      <c r="BS763" s="394"/>
      <c r="BT763" s="594"/>
      <c r="BU763" s="594"/>
      <c r="BV763" s="594"/>
      <c r="BW763" s="618"/>
      <c r="BX763" s="644"/>
      <c r="BY763" s="644"/>
    </row>
    <row r="764" ht="25.5" customHeight="1">
      <c r="A764" s="635"/>
      <c r="B764" s="695"/>
      <c r="C764" s="642"/>
      <c r="D764" s="642"/>
      <c r="E764" s="696"/>
      <c r="F764" s="696"/>
      <c r="G764" s="621"/>
      <c r="H764" s="577"/>
      <c r="I764" s="577"/>
      <c r="J764" s="613"/>
      <c r="K764" s="581"/>
      <c r="L764" s="581"/>
      <c r="M764" s="613"/>
      <c r="N764" s="613"/>
      <c r="O764" s="613"/>
      <c r="P764" s="580"/>
      <c r="Q764" s="580"/>
      <c r="R764" s="581"/>
      <c r="S764" s="581"/>
      <c r="T764" s="581"/>
      <c r="U764" s="582"/>
      <c r="V764" s="614"/>
      <c r="W764" s="581"/>
      <c r="X764" s="615"/>
      <c r="Y764" s="613"/>
      <c r="Z764" s="580"/>
      <c r="AA764" s="634"/>
      <c r="AB764" s="577"/>
      <c r="AC764" s="673"/>
      <c r="AD764" s="634"/>
      <c r="AE764" s="587"/>
      <c r="AF764" s="587"/>
      <c r="AG764" s="582"/>
      <c r="AH764" s="582"/>
      <c r="AI764" s="582"/>
      <c r="AJ764" s="582"/>
      <c r="AK764" s="588"/>
      <c r="AL764" s="582"/>
      <c r="AM764" s="582"/>
      <c r="AN764" s="589"/>
      <c r="AO764" s="616"/>
      <c r="AP764" s="592"/>
      <c r="AQ764" s="358"/>
      <c r="AR764" s="592"/>
      <c r="AS764" s="592"/>
      <c r="AT764" s="592"/>
      <c r="AU764" s="592"/>
      <c r="AV764" s="592"/>
      <c r="AW764" s="592"/>
      <c r="AX764" s="592"/>
      <c r="AY764" s="592"/>
      <c r="AZ764" s="592"/>
      <c r="BA764" s="617"/>
      <c r="BB764" s="592"/>
      <c r="BC764" s="592"/>
      <c r="BD764" s="592"/>
      <c r="BE764" s="592"/>
      <c r="BF764" s="592"/>
      <c r="BG764" s="358"/>
      <c r="BH764" s="592"/>
      <c r="BI764" s="592"/>
      <c r="BJ764" s="592"/>
      <c r="BK764" s="592"/>
      <c r="BL764" s="592"/>
      <c r="BM764" s="592"/>
      <c r="BN764" s="592"/>
      <c r="BO764" s="592"/>
      <c r="BP764" s="592"/>
      <c r="BQ764" s="594"/>
      <c r="BR764" s="594"/>
      <c r="BS764" s="394"/>
      <c r="BT764" s="594"/>
      <c r="BU764" s="594"/>
      <c r="BV764" s="594"/>
      <c r="BW764" s="618"/>
      <c r="BX764" s="644"/>
      <c r="BY764" s="644"/>
    </row>
    <row r="765" ht="25.5" customHeight="1">
      <c r="A765" s="635"/>
      <c r="B765" s="695"/>
      <c r="C765" s="642"/>
      <c r="D765" s="642"/>
      <c r="E765" s="696"/>
      <c r="F765" s="696"/>
      <c r="G765" s="621"/>
      <c r="H765" s="577"/>
      <c r="I765" s="577"/>
      <c r="J765" s="613"/>
      <c r="K765" s="581"/>
      <c r="L765" s="581"/>
      <c r="M765" s="613"/>
      <c r="N765" s="613"/>
      <c r="O765" s="613"/>
      <c r="P765" s="580"/>
      <c r="Q765" s="580"/>
      <c r="R765" s="581"/>
      <c r="S765" s="581"/>
      <c r="T765" s="581"/>
      <c r="U765" s="582"/>
      <c r="V765" s="614"/>
      <c r="W765" s="581"/>
      <c r="X765" s="615"/>
      <c r="Y765" s="613"/>
      <c r="Z765" s="580"/>
      <c r="AA765" s="634"/>
      <c r="AB765" s="577"/>
      <c r="AC765" s="673"/>
      <c r="AD765" s="634"/>
      <c r="AE765" s="587"/>
      <c r="AF765" s="587"/>
      <c r="AG765" s="582"/>
      <c r="AH765" s="582"/>
      <c r="AI765" s="582"/>
      <c r="AJ765" s="582"/>
      <c r="AK765" s="588"/>
      <c r="AL765" s="582"/>
      <c r="AM765" s="582"/>
      <c r="AN765" s="589"/>
      <c r="AO765" s="616"/>
      <c r="AP765" s="592"/>
      <c r="AQ765" s="358"/>
      <c r="AR765" s="592"/>
      <c r="AS765" s="592"/>
      <c r="AT765" s="592"/>
      <c r="AU765" s="592"/>
      <c r="AV765" s="592"/>
      <c r="AW765" s="592"/>
      <c r="AX765" s="592"/>
      <c r="AY765" s="592"/>
      <c r="AZ765" s="592"/>
      <c r="BA765" s="617"/>
      <c r="BB765" s="592"/>
      <c r="BC765" s="592"/>
      <c r="BD765" s="592"/>
      <c r="BE765" s="592"/>
      <c r="BF765" s="592"/>
      <c r="BG765" s="358"/>
      <c r="BH765" s="592"/>
      <c r="BI765" s="592"/>
      <c r="BJ765" s="592"/>
      <c r="BK765" s="592"/>
      <c r="BL765" s="592"/>
      <c r="BM765" s="592"/>
      <c r="BN765" s="592"/>
      <c r="BO765" s="592"/>
      <c r="BP765" s="592"/>
      <c r="BQ765" s="594"/>
      <c r="BR765" s="594"/>
      <c r="BS765" s="394"/>
      <c r="BT765" s="594"/>
      <c r="BU765" s="594"/>
      <c r="BV765" s="594"/>
      <c r="BW765" s="618"/>
      <c r="BX765" s="644"/>
      <c r="BY765" s="644"/>
    </row>
    <row r="766" ht="25.5" customHeight="1">
      <c r="A766" s="635"/>
      <c r="B766" s="695"/>
      <c r="C766" s="642"/>
      <c r="D766" s="642"/>
      <c r="E766" s="696"/>
      <c r="F766" s="696"/>
      <c r="G766" s="621"/>
      <c r="H766" s="577"/>
      <c r="I766" s="577"/>
      <c r="J766" s="613"/>
      <c r="K766" s="581"/>
      <c r="L766" s="581"/>
      <c r="M766" s="613"/>
      <c r="N766" s="613"/>
      <c r="O766" s="613"/>
      <c r="P766" s="580"/>
      <c r="Q766" s="580"/>
      <c r="R766" s="581"/>
      <c r="S766" s="581"/>
      <c r="T766" s="581"/>
      <c r="U766" s="582"/>
      <c r="V766" s="614"/>
      <c r="W766" s="581"/>
      <c r="X766" s="615"/>
      <c r="Y766" s="613"/>
      <c r="Z766" s="580"/>
      <c r="AA766" s="634"/>
      <c r="AB766" s="577"/>
      <c r="AC766" s="673"/>
      <c r="AD766" s="634"/>
      <c r="AE766" s="587"/>
      <c r="AF766" s="587"/>
      <c r="AG766" s="582"/>
      <c r="AH766" s="582"/>
      <c r="AI766" s="582"/>
      <c r="AJ766" s="582"/>
      <c r="AK766" s="588"/>
      <c r="AL766" s="582"/>
      <c r="AM766" s="582"/>
      <c r="AN766" s="589"/>
      <c r="AO766" s="616"/>
      <c r="AP766" s="592"/>
      <c r="AQ766" s="358"/>
      <c r="AR766" s="592"/>
      <c r="AS766" s="592"/>
      <c r="AT766" s="592"/>
      <c r="AU766" s="592"/>
      <c r="AV766" s="592"/>
      <c r="AW766" s="592"/>
      <c r="AX766" s="592"/>
      <c r="AY766" s="592"/>
      <c r="AZ766" s="592"/>
      <c r="BA766" s="617"/>
      <c r="BB766" s="592"/>
      <c r="BC766" s="592"/>
      <c r="BD766" s="592"/>
      <c r="BE766" s="592"/>
      <c r="BF766" s="592"/>
      <c r="BG766" s="358"/>
      <c r="BH766" s="592"/>
      <c r="BI766" s="592"/>
      <c r="BJ766" s="592"/>
      <c r="BK766" s="592"/>
      <c r="BL766" s="592"/>
      <c r="BM766" s="592"/>
      <c r="BN766" s="592"/>
      <c r="BO766" s="592"/>
      <c r="BP766" s="592"/>
      <c r="BQ766" s="594"/>
      <c r="BR766" s="594"/>
      <c r="BS766" s="394"/>
      <c r="BT766" s="594"/>
      <c r="BU766" s="594"/>
      <c r="BV766" s="594"/>
      <c r="BW766" s="618"/>
      <c r="BX766" s="644"/>
      <c r="BY766" s="644"/>
    </row>
    <row r="767" ht="25.5" customHeight="1">
      <c r="A767" s="635"/>
      <c r="B767" s="695"/>
      <c r="C767" s="642"/>
      <c r="D767" s="642"/>
      <c r="E767" s="696"/>
      <c r="F767" s="696"/>
      <c r="G767" s="621"/>
      <c r="H767" s="577"/>
      <c r="I767" s="577"/>
      <c r="J767" s="613"/>
      <c r="K767" s="581"/>
      <c r="L767" s="581"/>
      <c r="M767" s="613"/>
      <c r="N767" s="613"/>
      <c r="O767" s="613"/>
      <c r="P767" s="580"/>
      <c r="Q767" s="580"/>
      <c r="R767" s="581"/>
      <c r="S767" s="581"/>
      <c r="T767" s="581"/>
      <c r="U767" s="582"/>
      <c r="V767" s="614"/>
      <c r="W767" s="581"/>
      <c r="X767" s="615"/>
      <c r="Y767" s="613"/>
      <c r="Z767" s="580"/>
      <c r="AA767" s="634"/>
      <c r="AB767" s="577"/>
      <c r="AC767" s="673"/>
      <c r="AD767" s="634"/>
      <c r="AE767" s="587"/>
      <c r="AF767" s="587"/>
      <c r="AG767" s="582"/>
      <c r="AH767" s="582"/>
      <c r="AI767" s="582"/>
      <c r="AJ767" s="582"/>
      <c r="AK767" s="588"/>
      <c r="AL767" s="582"/>
      <c r="AM767" s="582"/>
      <c r="AN767" s="589"/>
      <c r="AO767" s="616"/>
      <c r="AP767" s="592"/>
      <c r="AQ767" s="358"/>
      <c r="AR767" s="592"/>
      <c r="AS767" s="592"/>
      <c r="AT767" s="592"/>
      <c r="AU767" s="592"/>
      <c r="AV767" s="592"/>
      <c r="AW767" s="592"/>
      <c r="AX767" s="592"/>
      <c r="AY767" s="592"/>
      <c r="AZ767" s="592"/>
      <c r="BA767" s="617"/>
      <c r="BB767" s="592"/>
      <c r="BC767" s="592"/>
      <c r="BD767" s="592"/>
      <c r="BE767" s="592"/>
      <c r="BF767" s="592"/>
      <c r="BG767" s="358"/>
      <c r="BH767" s="592"/>
      <c r="BI767" s="592"/>
      <c r="BJ767" s="592"/>
      <c r="BK767" s="592"/>
      <c r="BL767" s="592"/>
      <c r="BM767" s="592"/>
      <c r="BN767" s="592"/>
      <c r="BO767" s="592"/>
      <c r="BP767" s="592"/>
      <c r="BQ767" s="594"/>
      <c r="BR767" s="594"/>
      <c r="BS767" s="394"/>
      <c r="BT767" s="594"/>
      <c r="BU767" s="594"/>
      <c r="BV767" s="594"/>
      <c r="BW767" s="618"/>
      <c r="BX767" s="644"/>
      <c r="BY767" s="644"/>
    </row>
    <row r="768" ht="25.5" customHeight="1">
      <c r="A768" s="635"/>
      <c r="B768" s="695"/>
      <c r="C768" s="642"/>
      <c r="D768" s="642"/>
      <c r="E768" s="696"/>
      <c r="F768" s="696"/>
      <c r="G768" s="621"/>
      <c r="H768" s="577"/>
      <c r="I768" s="577"/>
      <c r="J768" s="613"/>
      <c r="K768" s="581"/>
      <c r="L768" s="581"/>
      <c r="M768" s="613"/>
      <c r="N768" s="613"/>
      <c r="O768" s="613"/>
      <c r="P768" s="580"/>
      <c r="Q768" s="580"/>
      <c r="R768" s="581"/>
      <c r="S768" s="581"/>
      <c r="T768" s="581"/>
      <c r="U768" s="582"/>
      <c r="V768" s="614"/>
      <c r="W768" s="581"/>
      <c r="X768" s="615"/>
      <c r="Y768" s="613"/>
      <c r="Z768" s="580"/>
      <c r="AA768" s="634"/>
      <c r="AB768" s="577"/>
      <c r="AC768" s="673"/>
      <c r="AD768" s="634"/>
      <c r="AE768" s="587"/>
      <c r="AF768" s="587"/>
      <c r="AG768" s="582"/>
      <c r="AH768" s="582"/>
      <c r="AI768" s="582"/>
      <c r="AJ768" s="582"/>
      <c r="AK768" s="588"/>
      <c r="AL768" s="582"/>
      <c r="AM768" s="582"/>
      <c r="AN768" s="589"/>
      <c r="AO768" s="616"/>
      <c r="AP768" s="592"/>
      <c r="AQ768" s="358"/>
      <c r="AR768" s="592"/>
      <c r="AS768" s="592"/>
      <c r="AT768" s="592"/>
      <c r="AU768" s="592"/>
      <c r="AV768" s="592"/>
      <c r="AW768" s="592"/>
      <c r="AX768" s="592"/>
      <c r="AY768" s="592"/>
      <c r="AZ768" s="592"/>
      <c r="BA768" s="617"/>
      <c r="BB768" s="592"/>
      <c r="BC768" s="592"/>
      <c r="BD768" s="592"/>
      <c r="BE768" s="592"/>
      <c r="BF768" s="592"/>
      <c r="BG768" s="358"/>
      <c r="BH768" s="592"/>
      <c r="BI768" s="592"/>
      <c r="BJ768" s="592"/>
      <c r="BK768" s="592"/>
      <c r="BL768" s="592"/>
      <c r="BM768" s="592"/>
      <c r="BN768" s="592"/>
      <c r="BO768" s="592"/>
      <c r="BP768" s="592"/>
      <c r="BQ768" s="594"/>
      <c r="BR768" s="594"/>
      <c r="BS768" s="394"/>
      <c r="BT768" s="594"/>
      <c r="BU768" s="594"/>
      <c r="BV768" s="594"/>
      <c r="BW768" s="618"/>
      <c r="BX768" s="644"/>
      <c r="BY768" s="644"/>
    </row>
    <row r="769" ht="25.5" customHeight="1">
      <c r="A769" s="635"/>
      <c r="B769" s="695"/>
      <c r="C769" s="642"/>
      <c r="D769" s="642"/>
      <c r="E769" s="696"/>
      <c r="F769" s="696"/>
      <c r="G769" s="621"/>
      <c r="H769" s="577"/>
      <c r="I769" s="577"/>
      <c r="J769" s="613"/>
      <c r="K769" s="581"/>
      <c r="L769" s="581"/>
      <c r="M769" s="613"/>
      <c r="N769" s="613"/>
      <c r="O769" s="613"/>
      <c r="P769" s="580"/>
      <c r="Q769" s="580"/>
      <c r="R769" s="581"/>
      <c r="S769" s="581"/>
      <c r="T769" s="581"/>
      <c r="U769" s="582"/>
      <c r="V769" s="614"/>
      <c r="W769" s="581"/>
      <c r="X769" s="615"/>
      <c r="Y769" s="613"/>
      <c r="Z769" s="580"/>
      <c r="AA769" s="634"/>
      <c r="AB769" s="577"/>
      <c r="AC769" s="673"/>
      <c r="AD769" s="634"/>
      <c r="AE769" s="587"/>
      <c r="AF769" s="587"/>
      <c r="AG769" s="582"/>
      <c r="AH769" s="582"/>
      <c r="AI769" s="582"/>
      <c r="AJ769" s="582"/>
      <c r="AK769" s="588"/>
      <c r="AL769" s="582"/>
      <c r="AM769" s="582"/>
      <c r="AN769" s="589"/>
      <c r="AO769" s="616"/>
      <c r="AP769" s="592"/>
      <c r="AQ769" s="358"/>
      <c r="AR769" s="592"/>
      <c r="AS769" s="592"/>
      <c r="AT769" s="592"/>
      <c r="AU769" s="592"/>
      <c r="AV769" s="592"/>
      <c r="AW769" s="592"/>
      <c r="AX769" s="592"/>
      <c r="AY769" s="592"/>
      <c r="AZ769" s="592"/>
      <c r="BA769" s="617"/>
      <c r="BB769" s="592"/>
      <c r="BC769" s="592"/>
      <c r="BD769" s="592"/>
      <c r="BE769" s="592"/>
      <c r="BF769" s="592"/>
      <c r="BG769" s="358"/>
      <c r="BH769" s="592"/>
      <c r="BI769" s="592"/>
      <c r="BJ769" s="592"/>
      <c r="BK769" s="592"/>
      <c r="BL769" s="592"/>
      <c r="BM769" s="592"/>
      <c r="BN769" s="592"/>
      <c r="BO769" s="592"/>
      <c r="BP769" s="592"/>
      <c r="BQ769" s="594"/>
      <c r="BR769" s="594"/>
      <c r="BS769" s="394"/>
      <c r="BT769" s="594"/>
      <c r="BU769" s="594"/>
      <c r="BV769" s="594"/>
      <c r="BW769" s="618"/>
      <c r="BX769" s="644"/>
      <c r="BY769" s="644"/>
    </row>
    <row r="770" ht="25.5" customHeight="1">
      <c r="A770" s="635"/>
      <c r="B770" s="695"/>
      <c r="C770" s="642"/>
      <c r="D770" s="642"/>
      <c r="E770" s="696"/>
      <c r="F770" s="696"/>
      <c r="G770" s="621"/>
      <c r="H770" s="577"/>
      <c r="I770" s="577"/>
      <c r="J770" s="613"/>
      <c r="K770" s="581"/>
      <c r="L770" s="581"/>
      <c r="M770" s="613"/>
      <c r="N770" s="613"/>
      <c r="O770" s="613"/>
      <c r="P770" s="580"/>
      <c r="Q770" s="580"/>
      <c r="R770" s="581"/>
      <c r="S770" s="581"/>
      <c r="T770" s="581"/>
      <c r="U770" s="582"/>
      <c r="V770" s="614"/>
      <c r="W770" s="581"/>
      <c r="X770" s="615"/>
      <c r="Y770" s="613"/>
      <c r="Z770" s="580"/>
      <c r="AA770" s="634"/>
      <c r="AB770" s="577"/>
      <c r="AC770" s="673"/>
      <c r="AD770" s="634"/>
      <c r="AE770" s="587"/>
      <c r="AF770" s="587"/>
      <c r="AG770" s="582"/>
      <c r="AH770" s="582"/>
      <c r="AI770" s="582"/>
      <c r="AJ770" s="582"/>
      <c r="AK770" s="588"/>
      <c r="AL770" s="582"/>
      <c r="AM770" s="582"/>
      <c r="AN770" s="589"/>
      <c r="AO770" s="616"/>
      <c r="AP770" s="592"/>
      <c r="AQ770" s="358"/>
      <c r="AR770" s="592"/>
      <c r="AS770" s="592"/>
      <c r="AT770" s="592"/>
      <c r="AU770" s="592"/>
      <c r="AV770" s="592"/>
      <c r="AW770" s="592"/>
      <c r="AX770" s="592"/>
      <c r="AY770" s="592"/>
      <c r="AZ770" s="592"/>
      <c r="BA770" s="617"/>
      <c r="BB770" s="592"/>
      <c r="BC770" s="592"/>
      <c r="BD770" s="592"/>
      <c r="BE770" s="592"/>
      <c r="BF770" s="592"/>
      <c r="BG770" s="358"/>
      <c r="BH770" s="592"/>
      <c r="BI770" s="592"/>
      <c r="BJ770" s="592"/>
      <c r="BK770" s="592"/>
      <c r="BL770" s="592"/>
      <c r="BM770" s="592"/>
      <c r="BN770" s="592"/>
      <c r="BO770" s="592"/>
      <c r="BP770" s="592"/>
      <c r="BQ770" s="594"/>
      <c r="BR770" s="594"/>
      <c r="BS770" s="394"/>
      <c r="BT770" s="594"/>
      <c r="BU770" s="594"/>
      <c r="BV770" s="594"/>
      <c r="BW770" s="618"/>
      <c r="BX770" s="644"/>
      <c r="BY770" s="644"/>
    </row>
    <row r="771" ht="25.5" customHeight="1">
      <c r="A771" s="635"/>
      <c r="B771" s="695"/>
      <c r="C771" s="642"/>
      <c r="D771" s="642"/>
      <c r="E771" s="696"/>
      <c r="F771" s="696"/>
      <c r="G771" s="621"/>
      <c r="H771" s="577"/>
      <c r="I771" s="577"/>
      <c r="J771" s="613"/>
      <c r="K771" s="581"/>
      <c r="L771" s="581"/>
      <c r="M771" s="613"/>
      <c r="N771" s="613"/>
      <c r="O771" s="613"/>
      <c r="P771" s="580"/>
      <c r="Q771" s="580"/>
      <c r="R771" s="581"/>
      <c r="S771" s="581"/>
      <c r="T771" s="581"/>
      <c r="U771" s="582"/>
      <c r="V771" s="614"/>
      <c r="W771" s="581"/>
      <c r="X771" s="615"/>
      <c r="Y771" s="613"/>
      <c r="Z771" s="580"/>
      <c r="AA771" s="634"/>
      <c r="AB771" s="577"/>
      <c r="AC771" s="673"/>
      <c r="AD771" s="634"/>
      <c r="AE771" s="587"/>
      <c r="AF771" s="587"/>
      <c r="AG771" s="582"/>
      <c r="AH771" s="582"/>
      <c r="AI771" s="582"/>
      <c r="AJ771" s="582"/>
      <c r="AK771" s="588"/>
      <c r="AL771" s="582"/>
      <c r="AM771" s="582"/>
      <c r="AN771" s="589"/>
      <c r="AO771" s="616"/>
      <c r="AP771" s="592"/>
      <c r="AQ771" s="358"/>
      <c r="AR771" s="592"/>
      <c r="AS771" s="592"/>
      <c r="AT771" s="592"/>
      <c r="AU771" s="592"/>
      <c r="AV771" s="592"/>
      <c r="AW771" s="592"/>
      <c r="AX771" s="592"/>
      <c r="AY771" s="592"/>
      <c r="AZ771" s="592"/>
      <c r="BA771" s="617"/>
      <c r="BB771" s="592"/>
      <c r="BC771" s="592"/>
      <c r="BD771" s="592"/>
      <c r="BE771" s="592"/>
      <c r="BF771" s="592"/>
      <c r="BG771" s="358"/>
      <c r="BH771" s="592"/>
      <c r="BI771" s="592"/>
      <c r="BJ771" s="592"/>
      <c r="BK771" s="592"/>
      <c r="BL771" s="592"/>
      <c r="BM771" s="592"/>
      <c r="BN771" s="592"/>
      <c r="BO771" s="592"/>
      <c r="BP771" s="592"/>
      <c r="BQ771" s="594"/>
      <c r="BR771" s="594"/>
      <c r="BS771" s="394"/>
      <c r="BT771" s="594"/>
      <c r="BU771" s="594"/>
      <c r="BV771" s="594"/>
      <c r="BW771" s="618"/>
      <c r="BX771" s="644"/>
      <c r="BY771" s="644"/>
    </row>
    <row r="772" ht="25.5" customHeight="1">
      <c r="A772" s="635"/>
      <c r="B772" s="695"/>
      <c r="C772" s="642"/>
      <c r="D772" s="642"/>
      <c r="E772" s="696"/>
      <c r="F772" s="696"/>
      <c r="G772" s="621"/>
      <c r="H772" s="577"/>
      <c r="I772" s="577"/>
      <c r="J772" s="613"/>
      <c r="K772" s="581"/>
      <c r="L772" s="581"/>
      <c r="M772" s="613"/>
      <c r="N772" s="613"/>
      <c r="O772" s="613"/>
      <c r="P772" s="580"/>
      <c r="Q772" s="580"/>
      <c r="R772" s="581"/>
      <c r="S772" s="581"/>
      <c r="T772" s="581"/>
      <c r="U772" s="582"/>
      <c r="V772" s="614"/>
      <c r="W772" s="581"/>
      <c r="X772" s="615"/>
      <c r="Y772" s="613"/>
      <c r="Z772" s="580"/>
      <c r="AA772" s="634"/>
      <c r="AB772" s="577"/>
      <c r="AC772" s="673"/>
      <c r="AD772" s="634"/>
      <c r="AE772" s="587"/>
      <c r="AF772" s="587"/>
      <c r="AG772" s="582"/>
      <c r="AH772" s="582"/>
      <c r="AI772" s="582"/>
      <c r="AJ772" s="582"/>
      <c r="AK772" s="588"/>
      <c r="AL772" s="582"/>
      <c r="AM772" s="582"/>
      <c r="AN772" s="589"/>
      <c r="AO772" s="616"/>
      <c r="AP772" s="592"/>
      <c r="AQ772" s="358"/>
      <c r="AR772" s="592"/>
      <c r="AS772" s="592"/>
      <c r="AT772" s="592"/>
      <c r="AU772" s="592"/>
      <c r="AV772" s="592"/>
      <c r="AW772" s="592"/>
      <c r="AX772" s="592"/>
      <c r="AY772" s="592"/>
      <c r="AZ772" s="592"/>
      <c r="BA772" s="617"/>
      <c r="BB772" s="592"/>
      <c r="BC772" s="592"/>
      <c r="BD772" s="592"/>
      <c r="BE772" s="592"/>
      <c r="BF772" s="592"/>
      <c r="BG772" s="358"/>
      <c r="BH772" s="592"/>
      <c r="BI772" s="592"/>
      <c r="BJ772" s="592"/>
      <c r="BK772" s="592"/>
      <c r="BL772" s="592"/>
      <c r="BM772" s="592"/>
      <c r="BN772" s="592"/>
      <c r="BO772" s="592"/>
      <c r="BP772" s="592"/>
      <c r="BQ772" s="594"/>
      <c r="BR772" s="594"/>
      <c r="BS772" s="394"/>
      <c r="BT772" s="594"/>
      <c r="BU772" s="594"/>
      <c r="BV772" s="594"/>
      <c r="BW772" s="618"/>
      <c r="BX772" s="644"/>
      <c r="BY772" s="644"/>
    </row>
    <row r="773" ht="25.5" customHeight="1">
      <c r="A773" s="635"/>
      <c r="B773" s="695"/>
      <c r="C773" s="642"/>
      <c r="D773" s="642"/>
      <c r="E773" s="696"/>
      <c r="F773" s="696"/>
      <c r="G773" s="621"/>
      <c r="H773" s="577"/>
      <c r="I773" s="577"/>
      <c r="J773" s="613"/>
      <c r="K773" s="581"/>
      <c r="L773" s="581"/>
      <c r="M773" s="613"/>
      <c r="N773" s="613"/>
      <c r="O773" s="613"/>
      <c r="P773" s="580"/>
      <c r="Q773" s="580"/>
      <c r="R773" s="581"/>
      <c r="S773" s="581"/>
      <c r="T773" s="581"/>
      <c r="U773" s="582"/>
      <c r="V773" s="614"/>
      <c r="W773" s="581"/>
      <c r="X773" s="615"/>
      <c r="Y773" s="613"/>
      <c r="Z773" s="580"/>
      <c r="AA773" s="634"/>
      <c r="AB773" s="577"/>
      <c r="AC773" s="673"/>
      <c r="AD773" s="634"/>
      <c r="AE773" s="587"/>
      <c r="AF773" s="587"/>
      <c r="AG773" s="582"/>
      <c r="AH773" s="582"/>
      <c r="AI773" s="582"/>
      <c r="AJ773" s="582"/>
      <c r="AK773" s="588"/>
      <c r="AL773" s="582"/>
      <c r="AM773" s="582"/>
      <c r="AN773" s="589"/>
      <c r="AO773" s="616"/>
      <c r="AP773" s="592"/>
      <c r="AQ773" s="358"/>
      <c r="AR773" s="592"/>
      <c r="AS773" s="592"/>
      <c r="AT773" s="592"/>
      <c r="AU773" s="592"/>
      <c r="AV773" s="592"/>
      <c r="AW773" s="592"/>
      <c r="AX773" s="592"/>
      <c r="AY773" s="592"/>
      <c r="AZ773" s="592"/>
      <c r="BA773" s="617"/>
      <c r="BB773" s="592"/>
      <c r="BC773" s="592"/>
      <c r="BD773" s="592"/>
      <c r="BE773" s="592"/>
      <c r="BF773" s="592"/>
      <c r="BG773" s="358"/>
      <c r="BH773" s="592"/>
      <c r="BI773" s="592"/>
      <c r="BJ773" s="592"/>
      <c r="BK773" s="592"/>
      <c r="BL773" s="592"/>
      <c r="BM773" s="592"/>
      <c r="BN773" s="592"/>
      <c r="BO773" s="592"/>
      <c r="BP773" s="592"/>
      <c r="BQ773" s="594"/>
      <c r="BR773" s="594"/>
      <c r="BS773" s="394"/>
      <c r="BT773" s="594"/>
      <c r="BU773" s="594"/>
      <c r="BV773" s="594"/>
      <c r="BW773" s="618"/>
      <c r="BX773" s="644"/>
      <c r="BY773" s="644"/>
    </row>
    <row r="774" ht="25.5" customHeight="1">
      <c r="A774" s="635"/>
      <c r="B774" s="695"/>
      <c r="C774" s="642"/>
      <c r="D774" s="642"/>
      <c r="E774" s="696"/>
      <c r="F774" s="696"/>
      <c r="G774" s="621"/>
      <c r="H774" s="577"/>
      <c r="I774" s="577"/>
      <c r="J774" s="613"/>
      <c r="K774" s="581"/>
      <c r="L774" s="581"/>
      <c r="M774" s="613"/>
      <c r="N774" s="613"/>
      <c r="O774" s="613"/>
      <c r="P774" s="580"/>
      <c r="Q774" s="580"/>
      <c r="R774" s="581"/>
      <c r="S774" s="581"/>
      <c r="T774" s="581"/>
      <c r="U774" s="582"/>
      <c r="V774" s="614"/>
      <c r="W774" s="581"/>
      <c r="X774" s="615"/>
      <c r="Y774" s="613"/>
      <c r="Z774" s="580"/>
      <c r="AA774" s="634"/>
      <c r="AB774" s="577"/>
      <c r="AC774" s="673"/>
      <c r="AD774" s="634"/>
      <c r="AE774" s="587"/>
      <c r="AF774" s="587"/>
      <c r="AG774" s="582"/>
      <c r="AH774" s="582"/>
      <c r="AI774" s="582"/>
      <c r="AJ774" s="582"/>
      <c r="AK774" s="588"/>
      <c r="AL774" s="582"/>
      <c r="AM774" s="582"/>
      <c r="AN774" s="589"/>
      <c r="AO774" s="616"/>
      <c r="AP774" s="592"/>
      <c r="AQ774" s="358"/>
      <c r="AR774" s="592"/>
      <c r="AS774" s="592"/>
      <c r="AT774" s="592"/>
      <c r="AU774" s="592"/>
      <c r="AV774" s="592"/>
      <c r="AW774" s="592"/>
      <c r="AX774" s="592"/>
      <c r="AY774" s="592"/>
      <c r="AZ774" s="592"/>
      <c r="BA774" s="617"/>
      <c r="BB774" s="592"/>
      <c r="BC774" s="592"/>
      <c r="BD774" s="592"/>
      <c r="BE774" s="592"/>
      <c r="BF774" s="592"/>
      <c r="BG774" s="358"/>
      <c r="BH774" s="592"/>
      <c r="BI774" s="592"/>
      <c r="BJ774" s="592"/>
      <c r="BK774" s="592"/>
      <c r="BL774" s="592"/>
      <c r="BM774" s="592"/>
      <c r="BN774" s="592"/>
      <c r="BO774" s="592"/>
      <c r="BP774" s="592"/>
      <c r="BQ774" s="594"/>
      <c r="BR774" s="594"/>
      <c r="BS774" s="394"/>
      <c r="BT774" s="594"/>
      <c r="BU774" s="594"/>
      <c r="BV774" s="594"/>
      <c r="BW774" s="618"/>
      <c r="BX774" s="644"/>
      <c r="BY774" s="644"/>
    </row>
    <row r="775" ht="25.5" customHeight="1">
      <c r="A775" s="635"/>
      <c r="B775" s="695"/>
      <c r="C775" s="642"/>
      <c r="D775" s="642"/>
      <c r="E775" s="696"/>
      <c r="F775" s="696"/>
      <c r="G775" s="621"/>
      <c r="H775" s="577"/>
      <c r="I775" s="577"/>
      <c r="J775" s="613"/>
      <c r="K775" s="581"/>
      <c r="L775" s="581"/>
      <c r="M775" s="613"/>
      <c r="N775" s="613"/>
      <c r="O775" s="613"/>
      <c r="P775" s="580"/>
      <c r="Q775" s="580"/>
      <c r="R775" s="581"/>
      <c r="S775" s="581"/>
      <c r="T775" s="581"/>
      <c r="U775" s="582"/>
      <c r="V775" s="614"/>
      <c r="W775" s="581"/>
      <c r="X775" s="615"/>
      <c r="Y775" s="613"/>
      <c r="Z775" s="580"/>
      <c r="AA775" s="634"/>
      <c r="AB775" s="577"/>
      <c r="AC775" s="673"/>
      <c r="AD775" s="634"/>
      <c r="AE775" s="587"/>
      <c r="AF775" s="587"/>
      <c r="AG775" s="582"/>
      <c r="AH775" s="582"/>
      <c r="AI775" s="582"/>
      <c r="AJ775" s="582"/>
      <c r="AK775" s="588"/>
      <c r="AL775" s="582"/>
      <c r="AM775" s="582"/>
      <c r="AN775" s="589"/>
      <c r="AO775" s="616"/>
      <c r="AP775" s="592"/>
      <c r="AQ775" s="358"/>
      <c r="AR775" s="592"/>
      <c r="AS775" s="592"/>
      <c r="AT775" s="592"/>
      <c r="AU775" s="592"/>
      <c r="AV775" s="592"/>
      <c r="AW775" s="592"/>
      <c r="AX775" s="592"/>
      <c r="AY775" s="592"/>
      <c r="AZ775" s="592"/>
      <c r="BA775" s="617"/>
      <c r="BB775" s="592"/>
      <c r="BC775" s="592"/>
      <c r="BD775" s="592"/>
      <c r="BE775" s="592"/>
      <c r="BF775" s="592"/>
      <c r="BG775" s="358"/>
      <c r="BH775" s="592"/>
      <c r="BI775" s="592"/>
      <c r="BJ775" s="592"/>
      <c r="BK775" s="592"/>
      <c r="BL775" s="592"/>
      <c r="BM775" s="592"/>
      <c r="BN775" s="592"/>
      <c r="BO775" s="592"/>
      <c r="BP775" s="592"/>
      <c r="BQ775" s="594"/>
      <c r="BR775" s="594"/>
      <c r="BS775" s="394"/>
      <c r="BT775" s="594"/>
      <c r="BU775" s="594"/>
      <c r="BV775" s="594"/>
      <c r="BW775" s="618"/>
      <c r="BX775" s="644"/>
      <c r="BY775" s="644"/>
    </row>
    <row r="776" ht="25.5" customHeight="1">
      <c r="A776" s="635"/>
      <c r="B776" s="695"/>
      <c r="C776" s="642"/>
      <c r="D776" s="642"/>
      <c r="E776" s="696"/>
      <c r="F776" s="696"/>
      <c r="G776" s="621"/>
      <c r="H776" s="577"/>
      <c r="I776" s="577"/>
      <c r="J776" s="613"/>
      <c r="K776" s="581"/>
      <c r="L776" s="581"/>
      <c r="M776" s="613"/>
      <c r="N776" s="613"/>
      <c r="O776" s="613"/>
      <c r="P776" s="580"/>
      <c r="Q776" s="580"/>
      <c r="R776" s="581"/>
      <c r="S776" s="581"/>
      <c r="T776" s="581"/>
      <c r="U776" s="582"/>
      <c r="V776" s="614"/>
      <c r="W776" s="581"/>
      <c r="X776" s="615"/>
      <c r="Y776" s="613"/>
      <c r="Z776" s="580"/>
      <c r="AA776" s="634"/>
      <c r="AB776" s="577"/>
      <c r="AC776" s="673"/>
      <c r="AD776" s="634"/>
      <c r="AE776" s="587"/>
      <c r="AF776" s="587"/>
      <c r="AG776" s="582"/>
      <c r="AH776" s="582"/>
      <c r="AI776" s="582"/>
      <c r="AJ776" s="582"/>
      <c r="AK776" s="588"/>
      <c r="AL776" s="582"/>
      <c r="AM776" s="582"/>
      <c r="AN776" s="589"/>
      <c r="AO776" s="616"/>
      <c r="AP776" s="592"/>
      <c r="AQ776" s="358"/>
      <c r="AR776" s="592"/>
      <c r="AS776" s="592"/>
      <c r="AT776" s="592"/>
      <c r="AU776" s="592"/>
      <c r="AV776" s="592"/>
      <c r="AW776" s="592"/>
      <c r="AX776" s="592"/>
      <c r="AY776" s="592"/>
      <c r="AZ776" s="592"/>
      <c r="BA776" s="617"/>
      <c r="BB776" s="592"/>
      <c r="BC776" s="592"/>
      <c r="BD776" s="592"/>
      <c r="BE776" s="592"/>
      <c r="BF776" s="592"/>
      <c r="BG776" s="358"/>
      <c r="BH776" s="592"/>
      <c r="BI776" s="592"/>
      <c r="BJ776" s="592"/>
      <c r="BK776" s="592"/>
      <c r="BL776" s="592"/>
      <c r="BM776" s="592"/>
      <c r="BN776" s="592"/>
      <c r="BO776" s="592"/>
      <c r="BP776" s="592"/>
      <c r="BQ776" s="594"/>
      <c r="BR776" s="594"/>
      <c r="BS776" s="394"/>
      <c r="BT776" s="594"/>
      <c r="BU776" s="594"/>
      <c r="BV776" s="594"/>
      <c r="BW776" s="618"/>
      <c r="BX776" s="644"/>
      <c r="BY776" s="644"/>
    </row>
    <row r="777" ht="25.5" customHeight="1">
      <c r="A777" s="635"/>
      <c r="B777" s="695"/>
      <c r="C777" s="642"/>
      <c r="D777" s="642"/>
      <c r="E777" s="696"/>
      <c r="F777" s="696"/>
      <c r="G777" s="621"/>
      <c r="H777" s="577"/>
      <c r="I777" s="577"/>
      <c r="J777" s="613"/>
      <c r="K777" s="581"/>
      <c r="L777" s="581"/>
      <c r="M777" s="613"/>
      <c r="N777" s="613"/>
      <c r="O777" s="613"/>
      <c r="P777" s="580"/>
      <c r="Q777" s="580"/>
      <c r="R777" s="581"/>
      <c r="S777" s="581"/>
      <c r="T777" s="581"/>
      <c r="U777" s="582"/>
      <c r="V777" s="614"/>
      <c r="W777" s="581"/>
      <c r="X777" s="615"/>
      <c r="Y777" s="613"/>
      <c r="Z777" s="580"/>
      <c r="AA777" s="634"/>
      <c r="AB777" s="577"/>
      <c r="AC777" s="673"/>
      <c r="AD777" s="634"/>
      <c r="AE777" s="587"/>
      <c r="AF777" s="587"/>
      <c r="AG777" s="582"/>
      <c r="AH777" s="582"/>
      <c r="AI777" s="582"/>
      <c r="AJ777" s="582"/>
      <c r="AK777" s="588"/>
      <c r="AL777" s="582"/>
      <c r="AM777" s="582"/>
      <c r="AN777" s="589"/>
      <c r="AO777" s="616"/>
      <c r="AP777" s="592"/>
      <c r="AQ777" s="358"/>
      <c r="AR777" s="592"/>
      <c r="AS777" s="592"/>
      <c r="AT777" s="592"/>
      <c r="AU777" s="592"/>
      <c r="AV777" s="592"/>
      <c r="AW777" s="592"/>
      <c r="AX777" s="592"/>
      <c r="AY777" s="592"/>
      <c r="AZ777" s="592"/>
      <c r="BA777" s="617"/>
      <c r="BB777" s="592"/>
      <c r="BC777" s="592"/>
      <c r="BD777" s="592"/>
      <c r="BE777" s="592"/>
      <c r="BF777" s="592"/>
      <c r="BG777" s="358"/>
      <c r="BH777" s="592"/>
      <c r="BI777" s="592"/>
      <c r="BJ777" s="592"/>
      <c r="BK777" s="592"/>
      <c r="BL777" s="592"/>
      <c r="BM777" s="592"/>
      <c r="BN777" s="592"/>
      <c r="BO777" s="592"/>
      <c r="BP777" s="592"/>
      <c r="BQ777" s="594"/>
      <c r="BR777" s="594"/>
      <c r="BS777" s="394"/>
      <c r="BT777" s="594"/>
      <c r="BU777" s="594"/>
      <c r="BV777" s="594"/>
      <c r="BW777" s="618"/>
      <c r="BX777" s="644"/>
      <c r="BY777" s="644"/>
    </row>
    <row r="778" ht="25.5" customHeight="1">
      <c r="A778" s="635"/>
      <c r="B778" s="695"/>
      <c r="C778" s="642"/>
      <c r="D778" s="642"/>
      <c r="E778" s="696"/>
      <c r="F778" s="696"/>
      <c r="G778" s="621"/>
      <c r="H778" s="577"/>
      <c r="I778" s="577"/>
      <c r="J778" s="613"/>
      <c r="K778" s="581"/>
      <c r="L778" s="581"/>
      <c r="M778" s="613"/>
      <c r="N778" s="613"/>
      <c r="O778" s="613"/>
      <c r="P778" s="580"/>
      <c r="Q778" s="580"/>
      <c r="R778" s="581"/>
      <c r="S778" s="581"/>
      <c r="T778" s="581"/>
      <c r="U778" s="582"/>
      <c r="V778" s="614"/>
      <c r="W778" s="581"/>
      <c r="X778" s="615"/>
      <c r="Y778" s="613"/>
      <c r="Z778" s="580"/>
      <c r="AA778" s="634"/>
      <c r="AB778" s="577"/>
      <c r="AC778" s="673"/>
      <c r="AD778" s="634"/>
      <c r="AE778" s="587"/>
      <c r="AF778" s="587"/>
      <c r="AG778" s="582"/>
      <c r="AH778" s="582"/>
      <c r="AI778" s="582"/>
      <c r="AJ778" s="582"/>
      <c r="AK778" s="588"/>
      <c r="AL778" s="582"/>
      <c r="AM778" s="582"/>
      <c r="AN778" s="589"/>
      <c r="AO778" s="616"/>
      <c r="AP778" s="592"/>
      <c r="AQ778" s="358"/>
      <c r="AR778" s="592"/>
      <c r="AS778" s="592"/>
      <c r="AT778" s="592"/>
      <c r="AU778" s="592"/>
      <c r="AV778" s="592"/>
      <c r="AW778" s="592"/>
      <c r="AX778" s="592"/>
      <c r="AY778" s="592"/>
      <c r="AZ778" s="592"/>
      <c r="BA778" s="617"/>
      <c r="BB778" s="592"/>
      <c r="BC778" s="592"/>
      <c r="BD778" s="592"/>
      <c r="BE778" s="592"/>
      <c r="BF778" s="592"/>
      <c r="BG778" s="358"/>
      <c r="BH778" s="592"/>
      <c r="BI778" s="592"/>
      <c r="BJ778" s="592"/>
      <c r="BK778" s="592"/>
      <c r="BL778" s="592"/>
      <c r="BM778" s="592"/>
      <c r="BN778" s="592"/>
      <c r="BO778" s="592"/>
      <c r="BP778" s="592"/>
      <c r="BQ778" s="594"/>
      <c r="BR778" s="594"/>
      <c r="BS778" s="394"/>
      <c r="BT778" s="594"/>
      <c r="BU778" s="594"/>
      <c r="BV778" s="594"/>
      <c r="BW778" s="618"/>
      <c r="BX778" s="644"/>
      <c r="BY778" s="644"/>
    </row>
    <row r="779" ht="25.5" customHeight="1">
      <c r="A779" s="635"/>
      <c r="B779" s="695"/>
      <c r="C779" s="642"/>
      <c r="D779" s="642"/>
      <c r="E779" s="696"/>
      <c r="F779" s="696"/>
      <c r="G779" s="621"/>
      <c r="H779" s="577"/>
      <c r="I779" s="577"/>
      <c r="J779" s="613"/>
      <c r="K779" s="581"/>
      <c r="L779" s="581"/>
      <c r="M779" s="613"/>
      <c r="N779" s="613"/>
      <c r="O779" s="613"/>
      <c r="P779" s="580"/>
      <c r="Q779" s="580"/>
      <c r="R779" s="581"/>
      <c r="S779" s="581"/>
      <c r="T779" s="581"/>
      <c r="U779" s="582"/>
      <c r="V779" s="614"/>
      <c r="W779" s="581"/>
      <c r="X779" s="615"/>
      <c r="Y779" s="613"/>
      <c r="Z779" s="580"/>
      <c r="AA779" s="634"/>
      <c r="AB779" s="577"/>
      <c r="AC779" s="673"/>
      <c r="AD779" s="634"/>
      <c r="AE779" s="587"/>
      <c r="AF779" s="587"/>
      <c r="AG779" s="582"/>
      <c r="AH779" s="582"/>
      <c r="AI779" s="582"/>
      <c r="AJ779" s="582"/>
      <c r="AK779" s="588"/>
      <c r="AL779" s="582"/>
      <c r="AM779" s="582"/>
      <c r="AN779" s="589"/>
      <c r="AO779" s="616"/>
      <c r="AP779" s="592"/>
      <c r="AQ779" s="358"/>
      <c r="AR779" s="592"/>
      <c r="AS779" s="592"/>
      <c r="AT779" s="592"/>
      <c r="AU779" s="592"/>
      <c r="AV779" s="592"/>
      <c r="AW779" s="592"/>
      <c r="AX779" s="592"/>
      <c r="AY779" s="592"/>
      <c r="AZ779" s="592"/>
      <c r="BA779" s="617"/>
      <c r="BB779" s="592"/>
      <c r="BC779" s="592"/>
      <c r="BD779" s="592"/>
      <c r="BE779" s="592"/>
      <c r="BF779" s="592"/>
      <c r="BG779" s="358"/>
      <c r="BH779" s="592"/>
      <c r="BI779" s="592"/>
      <c r="BJ779" s="592"/>
      <c r="BK779" s="592"/>
      <c r="BL779" s="592"/>
      <c r="BM779" s="592"/>
      <c r="BN779" s="592"/>
      <c r="BO779" s="592"/>
      <c r="BP779" s="592"/>
      <c r="BQ779" s="594"/>
      <c r="BR779" s="594"/>
      <c r="BS779" s="394"/>
      <c r="BT779" s="594"/>
      <c r="BU779" s="594"/>
      <c r="BV779" s="594"/>
      <c r="BW779" s="618"/>
      <c r="BX779" s="644"/>
      <c r="BY779" s="644"/>
    </row>
    <row r="780" ht="25.5" customHeight="1">
      <c r="A780" s="635"/>
      <c r="B780" s="695"/>
      <c r="C780" s="642"/>
      <c r="D780" s="642"/>
      <c r="E780" s="696"/>
      <c r="F780" s="696"/>
      <c r="G780" s="621"/>
      <c r="H780" s="577"/>
      <c r="I780" s="577"/>
      <c r="J780" s="613"/>
      <c r="K780" s="581"/>
      <c r="L780" s="581"/>
      <c r="M780" s="613"/>
      <c r="N780" s="613"/>
      <c r="O780" s="613"/>
      <c r="P780" s="580"/>
      <c r="Q780" s="580"/>
      <c r="R780" s="581"/>
      <c r="S780" s="581"/>
      <c r="T780" s="581"/>
      <c r="U780" s="582"/>
      <c r="V780" s="614"/>
      <c r="W780" s="581"/>
      <c r="X780" s="615"/>
      <c r="Y780" s="613"/>
      <c r="Z780" s="580"/>
      <c r="AA780" s="634"/>
      <c r="AB780" s="577"/>
      <c r="AC780" s="673"/>
      <c r="AD780" s="634"/>
      <c r="AE780" s="587"/>
      <c r="AF780" s="587"/>
      <c r="AG780" s="582"/>
      <c r="AH780" s="582"/>
      <c r="AI780" s="582"/>
      <c r="AJ780" s="582"/>
      <c r="AK780" s="588"/>
      <c r="AL780" s="582"/>
      <c r="AM780" s="582"/>
      <c r="AN780" s="589"/>
      <c r="AO780" s="616"/>
      <c r="AP780" s="592"/>
      <c r="AQ780" s="358"/>
      <c r="AR780" s="592"/>
      <c r="AS780" s="592"/>
      <c r="AT780" s="592"/>
      <c r="AU780" s="592"/>
      <c r="AV780" s="592"/>
      <c r="AW780" s="592"/>
      <c r="AX780" s="592"/>
      <c r="AY780" s="592"/>
      <c r="AZ780" s="592"/>
      <c r="BA780" s="617"/>
      <c r="BB780" s="592"/>
      <c r="BC780" s="592"/>
      <c r="BD780" s="592"/>
      <c r="BE780" s="592"/>
      <c r="BF780" s="592"/>
      <c r="BG780" s="358"/>
      <c r="BH780" s="592"/>
      <c r="BI780" s="592"/>
      <c r="BJ780" s="592"/>
      <c r="BK780" s="592"/>
      <c r="BL780" s="592"/>
      <c r="BM780" s="592"/>
      <c r="BN780" s="592"/>
      <c r="BO780" s="592"/>
      <c r="BP780" s="592"/>
      <c r="BQ780" s="594"/>
      <c r="BR780" s="594"/>
      <c r="BS780" s="394"/>
      <c r="BT780" s="594"/>
      <c r="BU780" s="594"/>
      <c r="BV780" s="594"/>
      <c r="BW780" s="618"/>
      <c r="BX780" s="644"/>
      <c r="BY780" s="644"/>
    </row>
    <row r="781" ht="25.5" customHeight="1">
      <c r="A781" s="635"/>
      <c r="B781" s="695"/>
      <c r="C781" s="642"/>
      <c r="D781" s="642"/>
      <c r="E781" s="696"/>
      <c r="F781" s="696"/>
      <c r="G781" s="621"/>
      <c r="H781" s="577"/>
      <c r="I781" s="577"/>
      <c r="J781" s="613"/>
      <c r="K781" s="581"/>
      <c r="L781" s="581"/>
      <c r="M781" s="613"/>
      <c r="N781" s="613"/>
      <c r="O781" s="613"/>
      <c r="P781" s="580"/>
      <c r="Q781" s="580"/>
      <c r="R781" s="581"/>
      <c r="S781" s="581"/>
      <c r="T781" s="581"/>
      <c r="U781" s="582"/>
      <c r="V781" s="614"/>
      <c r="W781" s="581"/>
      <c r="X781" s="615"/>
      <c r="Y781" s="613"/>
      <c r="Z781" s="580"/>
      <c r="AA781" s="634"/>
      <c r="AB781" s="577"/>
      <c r="AC781" s="673"/>
      <c r="AD781" s="634"/>
      <c r="AE781" s="587"/>
      <c r="AF781" s="587"/>
      <c r="AG781" s="582"/>
      <c r="AH781" s="582"/>
      <c r="AI781" s="582"/>
      <c r="AJ781" s="582"/>
      <c r="AK781" s="588"/>
      <c r="AL781" s="582"/>
      <c r="AM781" s="582"/>
      <c r="AN781" s="589"/>
      <c r="AO781" s="616"/>
      <c r="AP781" s="592"/>
      <c r="AQ781" s="358"/>
      <c r="AR781" s="592"/>
      <c r="AS781" s="592"/>
      <c r="AT781" s="592"/>
      <c r="AU781" s="592"/>
      <c r="AV781" s="592"/>
      <c r="AW781" s="592"/>
      <c r="AX781" s="592"/>
      <c r="AY781" s="592"/>
      <c r="AZ781" s="592"/>
      <c r="BA781" s="617"/>
      <c r="BB781" s="592"/>
      <c r="BC781" s="592"/>
      <c r="BD781" s="592"/>
      <c r="BE781" s="592"/>
      <c r="BF781" s="592"/>
      <c r="BG781" s="358"/>
      <c r="BH781" s="592"/>
      <c r="BI781" s="592"/>
      <c r="BJ781" s="592"/>
      <c r="BK781" s="592"/>
      <c r="BL781" s="592"/>
      <c r="BM781" s="592"/>
      <c r="BN781" s="592"/>
      <c r="BO781" s="592"/>
      <c r="BP781" s="592"/>
      <c r="BQ781" s="594"/>
      <c r="BR781" s="594"/>
      <c r="BS781" s="394"/>
      <c r="BT781" s="594"/>
      <c r="BU781" s="594"/>
      <c r="BV781" s="594"/>
      <c r="BW781" s="618"/>
      <c r="BX781" s="644"/>
      <c r="BY781" s="644"/>
    </row>
    <row r="782" ht="25.5" customHeight="1">
      <c r="A782" s="635"/>
      <c r="B782" s="695"/>
      <c r="C782" s="642"/>
      <c r="D782" s="642"/>
      <c r="E782" s="696"/>
      <c r="F782" s="696"/>
      <c r="G782" s="621"/>
      <c r="H782" s="577"/>
      <c r="I782" s="577"/>
      <c r="J782" s="613"/>
      <c r="K782" s="581"/>
      <c r="L782" s="581"/>
      <c r="M782" s="613"/>
      <c r="N782" s="613"/>
      <c r="O782" s="613"/>
      <c r="P782" s="580"/>
      <c r="Q782" s="580"/>
      <c r="R782" s="581"/>
      <c r="S782" s="581"/>
      <c r="T782" s="581"/>
      <c r="U782" s="582"/>
      <c r="V782" s="614"/>
      <c r="W782" s="581"/>
      <c r="X782" s="615"/>
      <c r="Y782" s="613"/>
      <c r="Z782" s="580"/>
      <c r="AA782" s="634"/>
      <c r="AB782" s="577"/>
      <c r="AC782" s="673"/>
      <c r="AD782" s="634"/>
      <c r="AE782" s="587"/>
      <c r="AF782" s="587"/>
      <c r="AG782" s="582"/>
      <c r="AH782" s="582"/>
      <c r="AI782" s="582"/>
      <c r="AJ782" s="582"/>
      <c r="AK782" s="588"/>
      <c r="AL782" s="582"/>
      <c r="AM782" s="582"/>
      <c r="AN782" s="589"/>
      <c r="AO782" s="616"/>
      <c r="AP782" s="592"/>
      <c r="AQ782" s="358"/>
      <c r="AR782" s="592"/>
      <c r="AS782" s="592"/>
      <c r="AT782" s="592"/>
      <c r="AU782" s="592"/>
      <c r="AV782" s="592"/>
      <c r="AW782" s="592"/>
      <c r="AX782" s="592"/>
      <c r="AY782" s="592"/>
      <c r="AZ782" s="592"/>
      <c r="BA782" s="617"/>
      <c r="BB782" s="592"/>
      <c r="BC782" s="592"/>
      <c r="BD782" s="592"/>
      <c r="BE782" s="592"/>
      <c r="BF782" s="592"/>
      <c r="BG782" s="358"/>
      <c r="BH782" s="592"/>
      <c r="BI782" s="592"/>
      <c r="BJ782" s="592"/>
      <c r="BK782" s="592"/>
      <c r="BL782" s="592"/>
      <c r="BM782" s="592"/>
      <c r="BN782" s="592"/>
      <c r="BO782" s="592"/>
      <c r="BP782" s="592"/>
      <c r="BQ782" s="594"/>
      <c r="BR782" s="594"/>
      <c r="BS782" s="394"/>
      <c r="BT782" s="594"/>
      <c r="BU782" s="594"/>
      <c r="BV782" s="594"/>
      <c r="BW782" s="618"/>
      <c r="BX782" s="644"/>
      <c r="BY782" s="644"/>
    </row>
    <row r="783" ht="25.5" customHeight="1">
      <c r="A783" s="635"/>
      <c r="B783" s="695"/>
      <c r="C783" s="642"/>
      <c r="D783" s="642"/>
      <c r="E783" s="696"/>
      <c r="F783" s="696"/>
      <c r="G783" s="621"/>
      <c r="H783" s="577"/>
      <c r="I783" s="577"/>
      <c r="J783" s="613"/>
      <c r="K783" s="581"/>
      <c r="L783" s="581"/>
      <c r="M783" s="613"/>
      <c r="N783" s="613"/>
      <c r="O783" s="613"/>
      <c r="P783" s="580"/>
      <c r="Q783" s="580"/>
      <c r="R783" s="581"/>
      <c r="S783" s="581"/>
      <c r="T783" s="581"/>
      <c r="U783" s="582"/>
      <c r="V783" s="614"/>
      <c r="W783" s="581"/>
      <c r="X783" s="615"/>
      <c r="Y783" s="613"/>
      <c r="Z783" s="580"/>
      <c r="AA783" s="634"/>
      <c r="AB783" s="577"/>
      <c r="AC783" s="673"/>
      <c r="AD783" s="634"/>
      <c r="AE783" s="587"/>
      <c r="AF783" s="587"/>
      <c r="AG783" s="582"/>
      <c r="AH783" s="582"/>
      <c r="AI783" s="582"/>
      <c r="AJ783" s="582"/>
      <c r="AK783" s="588"/>
      <c r="AL783" s="582"/>
      <c r="AM783" s="582"/>
      <c r="AN783" s="589"/>
      <c r="AO783" s="616"/>
      <c r="AP783" s="592"/>
      <c r="AQ783" s="358"/>
      <c r="AR783" s="592"/>
      <c r="AS783" s="592"/>
      <c r="AT783" s="592"/>
      <c r="AU783" s="592"/>
      <c r="AV783" s="592"/>
      <c r="AW783" s="592"/>
      <c r="AX783" s="592"/>
      <c r="AY783" s="592"/>
      <c r="AZ783" s="592"/>
      <c r="BA783" s="617"/>
      <c r="BB783" s="592"/>
      <c r="BC783" s="592"/>
      <c r="BD783" s="592"/>
      <c r="BE783" s="592"/>
      <c r="BF783" s="592"/>
      <c r="BG783" s="358"/>
      <c r="BH783" s="592"/>
      <c r="BI783" s="592"/>
      <c r="BJ783" s="592"/>
      <c r="BK783" s="592"/>
      <c r="BL783" s="592"/>
      <c r="BM783" s="592"/>
      <c r="BN783" s="592"/>
      <c r="BO783" s="592"/>
      <c r="BP783" s="592"/>
      <c r="BQ783" s="594"/>
      <c r="BR783" s="594"/>
      <c r="BS783" s="394"/>
      <c r="BT783" s="594"/>
      <c r="BU783" s="594"/>
      <c r="BV783" s="594"/>
      <c r="BW783" s="618"/>
      <c r="BX783" s="644"/>
      <c r="BY783" s="644"/>
    </row>
    <row r="784" ht="25.5" customHeight="1">
      <c r="A784" s="635"/>
      <c r="B784" s="695"/>
      <c r="C784" s="642"/>
      <c r="D784" s="642"/>
      <c r="E784" s="696"/>
      <c r="F784" s="696"/>
      <c r="G784" s="621"/>
      <c r="H784" s="577"/>
      <c r="I784" s="577"/>
      <c r="J784" s="613"/>
      <c r="K784" s="581"/>
      <c r="L784" s="581"/>
      <c r="M784" s="613"/>
      <c r="N784" s="613"/>
      <c r="O784" s="613"/>
      <c r="P784" s="580"/>
      <c r="Q784" s="580"/>
      <c r="R784" s="581"/>
      <c r="S784" s="581"/>
      <c r="T784" s="581"/>
      <c r="U784" s="582"/>
      <c r="V784" s="614"/>
      <c r="W784" s="581"/>
      <c r="X784" s="615"/>
      <c r="Y784" s="613"/>
      <c r="Z784" s="580"/>
      <c r="AA784" s="634"/>
      <c r="AB784" s="577"/>
      <c r="AC784" s="673"/>
      <c r="AD784" s="634"/>
      <c r="AE784" s="587"/>
      <c r="AF784" s="587"/>
      <c r="AG784" s="582"/>
      <c r="AH784" s="582"/>
      <c r="AI784" s="582"/>
      <c r="AJ784" s="582"/>
      <c r="AK784" s="588"/>
      <c r="AL784" s="582"/>
      <c r="AM784" s="582"/>
      <c r="AN784" s="589"/>
      <c r="AO784" s="616"/>
      <c r="AP784" s="592"/>
      <c r="AQ784" s="358"/>
      <c r="AR784" s="592"/>
      <c r="AS784" s="592"/>
      <c r="AT784" s="592"/>
      <c r="AU784" s="592"/>
      <c r="AV784" s="592"/>
      <c r="AW784" s="592"/>
      <c r="AX784" s="592"/>
      <c r="AY784" s="592"/>
      <c r="AZ784" s="592"/>
      <c r="BA784" s="617"/>
      <c r="BB784" s="592"/>
      <c r="BC784" s="592"/>
      <c r="BD784" s="592"/>
      <c r="BE784" s="592"/>
      <c r="BF784" s="592"/>
      <c r="BG784" s="358"/>
      <c r="BH784" s="592"/>
      <c r="BI784" s="592"/>
      <c r="BJ784" s="592"/>
      <c r="BK784" s="592"/>
      <c r="BL784" s="592"/>
      <c r="BM784" s="592"/>
      <c r="BN784" s="592"/>
      <c r="BO784" s="592"/>
      <c r="BP784" s="592"/>
      <c r="BQ784" s="594"/>
      <c r="BR784" s="594"/>
      <c r="BS784" s="394"/>
      <c r="BT784" s="594"/>
      <c r="BU784" s="594"/>
      <c r="BV784" s="594"/>
      <c r="BW784" s="618"/>
      <c r="BX784" s="644"/>
      <c r="BY784" s="644"/>
    </row>
    <row r="785" ht="25.5" customHeight="1">
      <c r="A785" s="635"/>
      <c r="B785" s="695"/>
      <c r="C785" s="642"/>
      <c r="D785" s="642"/>
      <c r="E785" s="696"/>
      <c r="F785" s="696"/>
      <c r="G785" s="621"/>
      <c r="H785" s="577"/>
      <c r="I785" s="577"/>
      <c r="J785" s="613"/>
      <c r="K785" s="581"/>
      <c r="L785" s="581"/>
      <c r="M785" s="613"/>
      <c r="N785" s="613"/>
      <c r="O785" s="613"/>
      <c r="P785" s="580"/>
      <c r="Q785" s="580"/>
      <c r="R785" s="581"/>
      <c r="S785" s="581"/>
      <c r="T785" s="581"/>
      <c r="U785" s="582"/>
      <c r="V785" s="614"/>
      <c r="W785" s="581"/>
      <c r="X785" s="615"/>
      <c r="Y785" s="613"/>
      <c r="Z785" s="580"/>
      <c r="AA785" s="634"/>
      <c r="AB785" s="577"/>
      <c r="AC785" s="673"/>
      <c r="AD785" s="634"/>
      <c r="AE785" s="587"/>
      <c r="AF785" s="587"/>
      <c r="AG785" s="582"/>
      <c r="AH785" s="582"/>
      <c r="AI785" s="582"/>
      <c r="AJ785" s="582"/>
      <c r="AK785" s="588"/>
      <c r="AL785" s="582"/>
      <c r="AM785" s="582"/>
      <c r="AN785" s="589"/>
      <c r="AO785" s="616"/>
      <c r="AP785" s="592"/>
      <c r="AQ785" s="358"/>
      <c r="AR785" s="592"/>
      <c r="AS785" s="592"/>
      <c r="AT785" s="592"/>
      <c r="AU785" s="592"/>
      <c r="AV785" s="592"/>
      <c r="AW785" s="592"/>
      <c r="AX785" s="592"/>
      <c r="AY785" s="592"/>
      <c r="AZ785" s="592"/>
      <c r="BA785" s="617"/>
      <c r="BB785" s="592"/>
      <c r="BC785" s="592"/>
      <c r="BD785" s="592"/>
      <c r="BE785" s="592"/>
      <c r="BF785" s="592"/>
      <c r="BG785" s="358"/>
      <c r="BH785" s="592"/>
      <c r="BI785" s="592"/>
      <c r="BJ785" s="592"/>
      <c r="BK785" s="592"/>
      <c r="BL785" s="592"/>
      <c r="BM785" s="592"/>
      <c r="BN785" s="592"/>
      <c r="BO785" s="592"/>
      <c r="BP785" s="592"/>
      <c r="BQ785" s="594"/>
      <c r="BR785" s="594"/>
      <c r="BS785" s="394"/>
      <c r="BT785" s="594"/>
      <c r="BU785" s="594"/>
      <c r="BV785" s="594"/>
      <c r="BW785" s="618"/>
      <c r="BX785" s="644"/>
      <c r="BY785" s="644"/>
    </row>
    <row r="786" ht="25.5" customHeight="1">
      <c r="A786" s="635"/>
      <c r="B786" s="695"/>
      <c r="C786" s="642"/>
      <c r="D786" s="642"/>
      <c r="E786" s="696"/>
      <c r="F786" s="696"/>
      <c r="G786" s="621"/>
      <c r="H786" s="577"/>
      <c r="I786" s="577"/>
      <c r="J786" s="613"/>
      <c r="K786" s="581"/>
      <c r="L786" s="581"/>
      <c r="M786" s="613"/>
      <c r="N786" s="613"/>
      <c r="O786" s="613"/>
      <c r="P786" s="580"/>
      <c r="Q786" s="580"/>
      <c r="R786" s="581"/>
      <c r="S786" s="581"/>
      <c r="T786" s="581"/>
      <c r="U786" s="582"/>
      <c r="V786" s="614"/>
      <c r="W786" s="581"/>
      <c r="X786" s="615"/>
      <c r="Y786" s="613"/>
      <c r="Z786" s="580"/>
      <c r="AA786" s="634"/>
      <c r="AB786" s="577"/>
      <c r="AC786" s="673"/>
      <c r="AD786" s="634"/>
      <c r="AE786" s="587"/>
      <c r="AF786" s="587"/>
      <c r="AG786" s="582"/>
      <c r="AH786" s="582"/>
      <c r="AI786" s="582"/>
      <c r="AJ786" s="582"/>
      <c r="AK786" s="588"/>
      <c r="AL786" s="582"/>
      <c r="AM786" s="582"/>
      <c r="AN786" s="589"/>
      <c r="AO786" s="616"/>
      <c r="AP786" s="592"/>
      <c r="AQ786" s="358"/>
      <c r="AR786" s="592"/>
      <c r="AS786" s="592"/>
      <c r="AT786" s="592"/>
      <c r="AU786" s="592"/>
      <c r="AV786" s="592"/>
      <c r="AW786" s="592"/>
      <c r="AX786" s="592"/>
      <c r="AY786" s="592"/>
      <c r="AZ786" s="592"/>
      <c r="BA786" s="617"/>
      <c r="BB786" s="592"/>
      <c r="BC786" s="592"/>
      <c r="BD786" s="592"/>
      <c r="BE786" s="592"/>
      <c r="BF786" s="592"/>
      <c r="BG786" s="358"/>
      <c r="BH786" s="592"/>
      <c r="BI786" s="592"/>
      <c r="BJ786" s="592"/>
      <c r="BK786" s="592"/>
      <c r="BL786" s="592"/>
      <c r="BM786" s="592"/>
      <c r="BN786" s="592"/>
      <c r="BO786" s="592"/>
      <c r="BP786" s="592"/>
      <c r="BQ786" s="594"/>
      <c r="BR786" s="594"/>
      <c r="BS786" s="394"/>
      <c r="BT786" s="594"/>
      <c r="BU786" s="594"/>
      <c r="BV786" s="594"/>
      <c r="BW786" s="618"/>
      <c r="BX786" s="644"/>
      <c r="BY786" s="644"/>
    </row>
    <row r="787" ht="25.5" customHeight="1">
      <c r="A787" s="635"/>
      <c r="B787" s="695"/>
      <c r="C787" s="642"/>
      <c r="D787" s="642"/>
      <c r="E787" s="696"/>
      <c r="F787" s="696"/>
      <c r="G787" s="621"/>
      <c r="H787" s="577"/>
      <c r="I787" s="577"/>
      <c r="J787" s="613"/>
      <c r="K787" s="581"/>
      <c r="L787" s="581"/>
      <c r="M787" s="613"/>
      <c r="N787" s="613"/>
      <c r="O787" s="613"/>
      <c r="P787" s="580"/>
      <c r="Q787" s="580"/>
      <c r="R787" s="581"/>
      <c r="S787" s="581"/>
      <c r="T787" s="581"/>
      <c r="U787" s="582"/>
      <c r="V787" s="614"/>
      <c r="W787" s="581"/>
      <c r="X787" s="615"/>
      <c r="Y787" s="613"/>
      <c r="Z787" s="580"/>
      <c r="AA787" s="634"/>
      <c r="AB787" s="577"/>
      <c r="AC787" s="673"/>
      <c r="AD787" s="634"/>
      <c r="AE787" s="587"/>
      <c r="AF787" s="587"/>
      <c r="AG787" s="582"/>
      <c r="AH787" s="582"/>
      <c r="AI787" s="582"/>
      <c r="AJ787" s="582"/>
      <c r="AK787" s="588"/>
      <c r="AL787" s="582"/>
      <c r="AM787" s="582"/>
      <c r="AN787" s="589"/>
      <c r="AO787" s="616"/>
      <c r="AP787" s="592"/>
      <c r="AQ787" s="358"/>
      <c r="AR787" s="592"/>
      <c r="AS787" s="592"/>
      <c r="AT787" s="592"/>
      <c r="AU787" s="592"/>
      <c r="AV787" s="592"/>
      <c r="AW787" s="592"/>
      <c r="AX787" s="592"/>
      <c r="AY787" s="592"/>
      <c r="AZ787" s="592"/>
      <c r="BA787" s="617"/>
      <c r="BB787" s="592"/>
      <c r="BC787" s="592"/>
      <c r="BD787" s="592"/>
      <c r="BE787" s="592"/>
      <c r="BF787" s="592"/>
      <c r="BG787" s="358"/>
      <c r="BH787" s="592"/>
      <c r="BI787" s="592"/>
      <c r="BJ787" s="592"/>
      <c r="BK787" s="592"/>
      <c r="BL787" s="592"/>
      <c r="BM787" s="592"/>
      <c r="BN787" s="592"/>
      <c r="BO787" s="592"/>
      <c r="BP787" s="592"/>
      <c r="BQ787" s="594"/>
      <c r="BR787" s="594"/>
      <c r="BS787" s="394"/>
      <c r="BT787" s="594"/>
      <c r="BU787" s="594"/>
      <c r="BV787" s="594"/>
      <c r="BW787" s="618"/>
      <c r="BX787" s="644"/>
      <c r="BY787" s="644"/>
    </row>
    <row r="788" ht="25.5" customHeight="1">
      <c r="A788" s="635"/>
      <c r="B788" s="695"/>
      <c r="C788" s="642"/>
      <c r="D788" s="642"/>
      <c r="E788" s="696"/>
      <c r="F788" s="696"/>
      <c r="G788" s="621"/>
      <c r="H788" s="577"/>
      <c r="I788" s="577"/>
      <c r="J788" s="613"/>
      <c r="K788" s="581"/>
      <c r="L788" s="581"/>
      <c r="M788" s="613"/>
      <c r="N788" s="613"/>
      <c r="O788" s="613"/>
      <c r="P788" s="580"/>
      <c r="Q788" s="580"/>
      <c r="R788" s="581"/>
      <c r="S788" s="581"/>
      <c r="T788" s="581"/>
      <c r="U788" s="582"/>
      <c r="V788" s="614"/>
      <c r="W788" s="581"/>
      <c r="X788" s="615"/>
      <c r="Y788" s="613"/>
      <c r="Z788" s="580"/>
      <c r="AA788" s="634"/>
      <c r="AB788" s="577"/>
      <c r="AC788" s="673"/>
      <c r="AD788" s="634"/>
      <c r="AE788" s="587"/>
      <c r="AF788" s="587"/>
      <c r="AG788" s="582"/>
      <c r="AH788" s="582"/>
      <c r="AI788" s="582"/>
      <c r="AJ788" s="582"/>
      <c r="AK788" s="588"/>
      <c r="AL788" s="582"/>
      <c r="AM788" s="582"/>
      <c r="AN788" s="589"/>
      <c r="AO788" s="616"/>
      <c r="AP788" s="592"/>
      <c r="AQ788" s="358"/>
      <c r="AR788" s="592"/>
      <c r="AS788" s="592"/>
      <c r="AT788" s="592"/>
      <c r="AU788" s="592"/>
      <c r="AV788" s="592"/>
      <c r="AW788" s="592"/>
      <c r="AX788" s="592"/>
      <c r="AY788" s="592"/>
      <c r="AZ788" s="592"/>
      <c r="BA788" s="617"/>
      <c r="BB788" s="592"/>
      <c r="BC788" s="592"/>
      <c r="BD788" s="592"/>
      <c r="BE788" s="592"/>
      <c r="BF788" s="592"/>
      <c r="BG788" s="358"/>
      <c r="BH788" s="592"/>
      <c r="BI788" s="592"/>
      <c r="BJ788" s="592"/>
      <c r="BK788" s="592"/>
      <c r="BL788" s="592"/>
      <c r="BM788" s="592"/>
      <c r="BN788" s="592"/>
      <c r="BO788" s="592"/>
      <c r="BP788" s="592"/>
      <c r="BQ788" s="594"/>
      <c r="BR788" s="594"/>
      <c r="BS788" s="394"/>
      <c r="BT788" s="594"/>
      <c r="BU788" s="594"/>
      <c r="BV788" s="594"/>
      <c r="BW788" s="618"/>
      <c r="BX788" s="644"/>
      <c r="BY788" s="644"/>
    </row>
    <row r="789" ht="25.5" customHeight="1">
      <c r="A789" s="635"/>
      <c r="B789" s="695"/>
      <c r="C789" s="642"/>
      <c r="D789" s="642"/>
      <c r="E789" s="696"/>
      <c r="F789" s="696"/>
      <c r="G789" s="621"/>
      <c r="H789" s="577"/>
      <c r="I789" s="577"/>
      <c r="J789" s="613"/>
      <c r="K789" s="581"/>
      <c r="L789" s="581"/>
      <c r="M789" s="613"/>
      <c r="N789" s="613"/>
      <c r="O789" s="613"/>
      <c r="P789" s="580"/>
      <c r="Q789" s="580"/>
      <c r="R789" s="581"/>
      <c r="S789" s="581"/>
      <c r="T789" s="581"/>
      <c r="U789" s="582"/>
      <c r="V789" s="614"/>
      <c r="W789" s="581"/>
      <c r="X789" s="615"/>
      <c r="Y789" s="613"/>
      <c r="Z789" s="580"/>
      <c r="AA789" s="634"/>
      <c r="AB789" s="577"/>
      <c r="AC789" s="673"/>
      <c r="AD789" s="634"/>
      <c r="AE789" s="587"/>
      <c r="AF789" s="587"/>
      <c r="AG789" s="582"/>
      <c r="AH789" s="582"/>
      <c r="AI789" s="582"/>
      <c r="AJ789" s="582"/>
      <c r="AK789" s="588"/>
      <c r="AL789" s="582"/>
      <c r="AM789" s="582"/>
      <c r="AN789" s="589"/>
      <c r="AO789" s="616"/>
      <c r="AP789" s="592"/>
      <c r="AQ789" s="358"/>
      <c r="AR789" s="592"/>
      <c r="AS789" s="592"/>
      <c r="AT789" s="592"/>
      <c r="AU789" s="592"/>
      <c r="AV789" s="592"/>
      <c r="AW789" s="592"/>
      <c r="AX789" s="592"/>
      <c r="AY789" s="592"/>
      <c r="AZ789" s="592"/>
      <c r="BA789" s="617"/>
      <c r="BB789" s="592"/>
      <c r="BC789" s="592"/>
      <c r="BD789" s="592"/>
      <c r="BE789" s="592"/>
      <c r="BF789" s="592"/>
      <c r="BG789" s="358"/>
      <c r="BH789" s="592"/>
      <c r="BI789" s="592"/>
      <c r="BJ789" s="592"/>
      <c r="BK789" s="592"/>
      <c r="BL789" s="592"/>
      <c r="BM789" s="592"/>
      <c r="BN789" s="592"/>
      <c r="BO789" s="592"/>
      <c r="BP789" s="592"/>
      <c r="BQ789" s="594"/>
      <c r="BR789" s="594"/>
      <c r="BS789" s="394"/>
      <c r="BT789" s="594"/>
      <c r="BU789" s="594"/>
      <c r="BV789" s="594"/>
      <c r="BW789" s="618"/>
      <c r="BX789" s="644"/>
      <c r="BY789" s="644"/>
    </row>
    <row r="790" ht="25.5" customHeight="1">
      <c r="A790" s="635"/>
      <c r="B790" s="695"/>
      <c r="C790" s="642"/>
      <c r="D790" s="642"/>
      <c r="E790" s="696"/>
      <c r="F790" s="696"/>
      <c r="G790" s="621"/>
      <c r="H790" s="577"/>
      <c r="I790" s="577"/>
      <c r="J790" s="613"/>
      <c r="K790" s="581"/>
      <c r="L790" s="581"/>
      <c r="M790" s="613"/>
      <c r="N790" s="613"/>
      <c r="O790" s="613"/>
      <c r="P790" s="580"/>
      <c r="Q790" s="580"/>
      <c r="R790" s="581"/>
      <c r="S790" s="581"/>
      <c r="T790" s="581"/>
      <c r="U790" s="582"/>
      <c r="V790" s="614"/>
      <c r="W790" s="581"/>
      <c r="X790" s="615"/>
      <c r="Y790" s="613"/>
      <c r="Z790" s="580"/>
      <c r="AA790" s="634"/>
      <c r="AB790" s="577"/>
      <c r="AC790" s="673"/>
      <c r="AD790" s="634"/>
      <c r="AE790" s="587"/>
      <c r="AF790" s="587"/>
      <c r="AG790" s="582"/>
      <c r="AH790" s="582"/>
      <c r="AI790" s="582"/>
      <c r="AJ790" s="582"/>
      <c r="AK790" s="588"/>
      <c r="AL790" s="582"/>
      <c r="AM790" s="582"/>
      <c r="AN790" s="589"/>
      <c r="AO790" s="616"/>
      <c r="AP790" s="592"/>
      <c r="AQ790" s="358"/>
      <c r="AR790" s="592"/>
      <c r="AS790" s="592"/>
      <c r="AT790" s="592"/>
      <c r="AU790" s="592"/>
      <c r="AV790" s="592"/>
      <c r="AW790" s="592"/>
      <c r="AX790" s="592"/>
      <c r="AY790" s="592"/>
      <c r="AZ790" s="592"/>
      <c r="BA790" s="617"/>
      <c r="BB790" s="592"/>
      <c r="BC790" s="592"/>
      <c r="BD790" s="592"/>
      <c r="BE790" s="592"/>
      <c r="BF790" s="592"/>
      <c r="BG790" s="358"/>
      <c r="BH790" s="592"/>
      <c r="BI790" s="592"/>
      <c r="BJ790" s="592"/>
      <c r="BK790" s="592"/>
      <c r="BL790" s="592"/>
      <c r="BM790" s="592"/>
      <c r="BN790" s="592"/>
      <c r="BO790" s="592"/>
      <c r="BP790" s="592"/>
      <c r="BQ790" s="594"/>
      <c r="BR790" s="594"/>
      <c r="BS790" s="394"/>
      <c r="BT790" s="594"/>
      <c r="BU790" s="594"/>
      <c r="BV790" s="594"/>
      <c r="BW790" s="618"/>
      <c r="BX790" s="644"/>
      <c r="BY790" s="644"/>
    </row>
    <row r="791" ht="25.5" customHeight="1">
      <c r="A791" s="635"/>
      <c r="B791" s="695"/>
      <c r="C791" s="642"/>
      <c r="D791" s="642"/>
      <c r="E791" s="696"/>
      <c r="F791" s="696"/>
      <c r="G791" s="621"/>
      <c r="H791" s="577"/>
      <c r="I791" s="577"/>
      <c r="J791" s="613"/>
      <c r="K791" s="581"/>
      <c r="L791" s="581"/>
      <c r="M791" s="613"/>
      <c r="N791" s="613"/>
      <c r="O791" s="613"/>
      <c r="P791" s="580"/>
      <c r="Q791" s="580"/>
      <c r="R791" s="581"/>
      <c r="S791" s="581"/>
      <c r="T791" s="581"/>
      <c r="U791" s="582"/>
      <c r="V791" s="614"/>
      <c r="W791" s="581"/>
      <c r="X791" s="615"/>
      <c r="Y791" s="613"/>
      <c r="Z791" s="580"/>
      <c r="AA791" s="634"/>
      <c r="AB791" s="577"/>
      <c r="AC791" s="673"/>
      <c r="AD791" s="634"/>
      <c r="AE791" s="587"/>
      <c r="AF791" s="587"/>
      <c r="AG791" s="582"/>
      <c r="AH791" s="582"/>
      <c r="AI791" s="582"/>
      <c r="AJ791" s="582"/>
      <c r="AK791" s="588"/>
      <c r="AL791" s="582"/>
      <c r="AM791" s="582"/>
      <c r="AN791" s="589"/>
      <c r="AO791" s="616"/>
      <c r="AP791" s="592"/>
      <c r="AQ791" s="358"/>
      <c r="AR791" s="592"/>
      <c r="AS791" s="592"/>
      <c r="AT791" s="592"/>
      <c r="AU791" s="592"/>
      <c r="AV791" s="592"/>
      <c r="AW791" s="592"/>
      <c r="AX791" s="592"/>
      <c r="AY791" s="592"/>
      <c r="AZ791" s="592"/>
      <c r="BA791" s="617"/>
      <c r="BB791" s="592"/>
      <c r="BC791" s="592"/>
      <c r="BD791" s="592"/>
      <c r="BE791" s="592"/>
      <c r="BF791" s="592"/>
      <c r="BG791" s="358"/>
      <c r="BH791" s="592"/>
      <c r="BI791" s="592"/>
      <c r="BJ791" s="592"/>
      <c r="BK791" s="592"/>
      <c r="BL791" s="592"/>
      <c r="BM791" s="592"/>
      <c r="BN791" s="592"/>
      <c r="BO791" s="592"/>
      <c r="BP791" s="592"/>
      <c r="BQ791" s="594"/>
      <c r="BR791" s="594"/>
      <c r="BS791" s="394"/>
      <c r="BT791" s="594"/>
      <c r="BU791" s="594"/>
      <c r="BV791" s="594"/>
      <c r="BW791" s="618"/>
      <c r="BX791" s="644"/>
      <c r="BY791" s="644"/>
    </row>
    <row r="792" ht="25.5" customHeight="1">
      <c r="A792" s="635"/>
      <c r="B792" s="695"/>
      <c r="C792" s="642"/>
      <c r="D792" s="642"/>
      <c r="E792" s="696"/>
      <c r="F792" s="696"/>
      <c r="G792" s="621"/>
      <c r="H792" s="577"/>
      <c r="I792" s="577"/>
      <c r="J792" s="613"/>
      <c r="K792" s="581"/>
      <c r="L792" s="581"/>
      <c r="M792" s="613"/>
      <c r="N792" s="613"/>
      <c r="O792" s="613"/>
      <c r="P792" s="580"/>
      <c r="Q792" s="580"/>
      <c r="R792" s="581"/>
      <c r="S792" s="581"/>
      <c r="T792" s="581"/>
      <c r="U792" s="582"/>
      <c r="V792" s="614"/>
      <c r="W792" s="581"/>
      <c r="X792" s="615"/>
      <c r="Y792" s="613"/>
      <c r="Z792" s="580"/>
      <c r="AA792" s="634"/>
      <c r="AB792" s="577"/>
      <c r="AC792" s="673"/>
      <c r="AD792" s="634"/>
      <c r="AE792" s="587"/>
      <c r="AF792" s="587"/>
      <c r="AG792" s="582"/>
      <c r="AH792" s="582"/>
      <c r="AI792" s="582"/>
      <c r="AJ792" s="582"/>
      <c r="AK792" s="588"/>
      <c r="AL792" s="582"/>
      <c r="AM792" s="582"/>
      <c r="AN792" s="589"/>
      <c r="AO792" s="616"/>
      <c r="AP792" s="592"/>
      <c r="AQ792" s="358"/>
      <c r="AR792" s="592"/>
      <c r="AS792" s="592"/>
      <c r="AT792" s="592"/>
      <c r="AU792" s="592"/>
      <c r="AV792" s="592"/>
      <c r="AW792" s="592"/>
      <c r="AX792" s="592"/>
      <c r="AY792" s="592"/>
      <c r="AZ792" s="592"/>
      <c r="BA792" s="617"/>
      <c r="BB792" s="592"/>
      <c r="BC792" s="592"/>
      <c r="BD792" s="592"/>
      <c r="BE792" s="592"/>
      <c r="BF792" s="592"/>
      <c r="BG792" s="358"/>
      <c r="BH792" s="592"/>
      <c r="BI792" s="592"/>
      <c r="BJ792" s="592"/>
      <c r="BK792" s="592"/>
      <c r="BL792" s="592"/>
      <c r="BM792" s="592"/>
      <c r="BN792" s="592"/>
      <c r="BO792" s="592"/>
      <c r="BP792" s="592"/>
      <c r="BQ792" s="594"/>
      <c r="BR792" s="594"/>
      <c r="BS792" s="394"/>
      <c r="BT792" s="594"/>
      <c r="BU792" s="594"/>
      <c r="BV792" s="594"/>
      <c r="BW792" s="618"/>
      <c r="BX792" s="644"/>
      <c r="BY792" s="644"/>
    </row>
    <row r="793" ht="25.5" customHeight="1">
      <c r="A793" s="635"/>
      <c r="B793" s="695"/>
      <c r="C793" s="642"/>
      <c r="D793" s="642"/>
      <c r="E793" s="696"/>
      <c r="F793" s="696"/>
      <c r="G793" s="621"/>
      <c r="H793" s="577"/>
      <c r="I793" s="577"/>
      <c r="J793" s="613"/>
      <c r="K793" s="581"/>
      <c r="L793" s="581"/>
      <c r="M793" s="613"/>
      <c r="N793" s="613"/>
      <c r="O793" s="613"/>
      <c r="P793" s="580"/>
      <c r="Q793" s="580"/>
      <c r="R793" s="581"/>
      <c r="S793" s="581"/>
      <c r="T793" s="581"/>
      <c r="U793" s="582"/>
      <c r="V793" s="614"/>
      <c r="W793" s="581"/>
      <c r="X793" s="615"/>
      <c r="Y793" s="613"/>
      <c r="Z793" s="580"/>
      <c r="AA793" s="634"/>
      <c r="AB793" s="577"/>
      <c r="AC793" s="673"/>
      <c r="AD793" s="634"/>
      <c r="AE793" s="587"/>
      <c r="AF793" s="587"/>
      <c r="AG793" s="582"/>
      <c r="AH793" s="582"/>
      <c r="AI793" s="582"/>
      <c r="AJ793" s="582"/>
      <c r="AK793" s="588"/>
      <c r="AL793" s="582"/>
      <c r="AM793" s="582"/>
      <c r="AN793" s="589"/>
      <c r="AO793" s="616"/>
      <c r="AP793" s="592"/>
      <c r="AQ793" s="358"/>
      <c r="AR793" s="592"/>
      <c r="AS793" s="592"/>
      <c r="AT793" s="592"/>
      <c r="AU793" s="592"/>
      <c r="AV793" s="592"/>
      <c r="AW793" s="592"/>
      <c r="AX793" s="592"/>
      <c r="AY793" s="592"/>
      <c r="AZ793" s="592"/>
      <c r="BA793" s="617"/>
      <c r="BB793" s="592"/>
      <c r="BC793" s="592"/>
      <c r="BD793" s="592"/>
      <c r="BE793" s="592"/>
      <c r="BF793" s="592"/>
      <c r="BG793" s="358"/>
      <c r="BH793" s="592"/>
      <c r="BI793" s="592"/>
      <c r="BJ793" s="592"/>
      <c r="BK793" s="592"/>
      <c r="BL793" s="592"/>
      <c r="BM793" s="592"/>
      <c r="BN793" s="592"/>
      <c r="BO793" s="592"/>
      <c r="BP793" s="592"/>
      <c r="BQ793" s="594"/>
      <c r="BR793" s="594"/>
      <c r="BS793" s="394"/>
      <c r="BT793" s="594"/>
      <c r="BU793" s="594"/>
      <c r="BV793" s="594"/>
      <c r="BW793" s="618"/>
      <c r="BX793" s="644"/>
      <c r="BY793" s="644"/>
    </row>
    <row r="794" ht="25.5" customHeight="1">
      <c r="A794" s="635"/>
      <c r="B794" s="695"/>
      <c r="C794" s="642"/>
      <c r="D794" s="642"/>
      <c r="E794" s="696"/>
      <c r="F794" s="696"/>
      <c r="G794" s="621"/>
      <c r="H794" s="577"/>
      <c r="I794" s="577"/>
      <c r="J794" s="613"/>
      <c r="K794" s="581"/>
      <c r="L794" s="581"/>
      <c r="M794" s="613"/>
      <c r="N794" s="613"/>
      <c r="O794" s="613"/>
      <c r="P794" s="580"/>
      <c r="Q794" s="580"/>
      <c r="R794" s="581"/>
      <c r="S794" s="581"/>
      <c r="T794" s="581"/>
      <c r="U794" s="582"/>
      <c r="V794" s="614"/>
      <c r="W794" s="581"/>
      <c r="X794" s="615"/>
      <c r="Y794" s="613"/>
      <c r="Z794" s="580"/>
      <c r="AA794" s="634"/>
      <c r="AB794" s="577"/>
      <c r="AC794" s="673"/>
      <c r="AD794" s="634"/>
      <c r="AE794" s="587"/>
      <c r="AF794" s="587"/>
      <c r="AG794" s="582"/>
      <c r="AH794" s="582"/>
      <c r="AI794" s="582"/>
      <c r="AJ794" s="582"/>
      <c r="AK794" s="588"/>
      <c r="AL794" s="582"/>
      <c r="AM794" s="582"/>
      <c r="AN794" s="589"/>
      <c r="AO794" s="616"/>
      <c r="AP794" s="592"/>
      <c r="AQ794" s="358"/>
      <c r="AR794" s="592"/>
      <c r="AS794" s="592"/>
      <c r="AT794" s="592"/>
      <c r="AU794" s="592"/>
      <c r="AV794" s="592"/>
      <c r="AW794" s="592"/>
      <c r="AX794" s="592"/>
      <c r="AY794" s="592"/>
      <c r="AZ794" s="592"/>
      <c r="BA794" s="617"/>
      <c r="BB794" s="592"/>
      <c r="BC794" s="592"/>
      <c r="BD794" s="592"/>
      <c r="BE794" s="592"/>
      <c r="BF794" s="592"/>
      <c r="BG794" s="358"/>
      <c r="BH794" s="592"/>
      <c r="BI794" s="592"/>
      <c r="BJ794" s="592"/>
      <c r="BK794" s="592"/>
      <c r="BL794" s="592"/>
      <c r="BM794" s="592"/>
      <c r="BN794" s="592"/>
      <c r="BO794" s="592"/>
      <c r="BP794" s="592"/>
      <c r="BQ794" s="594"/>
      <c r="BR794" s="594"/>
      <c r="BS794" s="394"/>
      <c r="BT794" s="594"/>
      <c r="BU794" s="594"/>
      <c r="BV794" s="594"/>
      <c r="BW794" s="618"/>
      <c r="BX794" s="644"/>
      <c r="BY794" s="644"/>
    </row>
    <row r="795" ht="25.5" customHeight="1">
      <c r="A795" s="635"/>
      <c r="B795" s="695"/>
      <c r="C795" s="642"/>
      <c r="D795" s="642"/>
      <c r="E795" s="696"/>
      <c r="F795" s="696"/>
      <c r="G795" s="621"/>
      <c r="H795" s="577"/>
      <c r="I795" s="577"/>
      <c r="J795" s="613"/>
      <c r="K795" s="581"/>
      <c r="L795" s="581"/>
      <c r="M795" s="613"/>
      <c r="N795" s="613"/>
      <c r="O795" s="613"/>
      <c r="P795" s="580"/>
      <c r="Q795" s="580"/>
      <c r="R795" s="581"/>
      <c r="S795" s="581"/>
      <c r="T795" s="581"/>
      <c r="U795" s="582"/>
      <c r="V795" s="614"/>
      <c r="W795" s="581"/>
      <c r="X795" s="615"/>
      <c r="Y795" s="613"/>
      <c r="Z795" s="580"/>
      <c r="AA795" s="634"/>
      <c r="AB795" s="577"/>
      <c r="AC795" s="673"/>
      <c r="AD795" s="634"/>
      <c r="AE795" s="587"/>
      <c r="AF795" s="587"/>
      <c r="AG795" s="582"/>
      <c r="AH795" s="582"/>
      <c r="AI795" s="582"/>
      <c r="AJ795" s="582"/>
      <c r="AK795" s="588"/>
      <c r="AL795" s="582"/>
      <c r="AM795" s="582"/>
      <c r="AN795" s="589"/>
      <c r="AO795" s="616"/>
      <c r="AP795" s="592"/>
      <c r="AQ795" s="358"/>
      <c r="AR795" s="592"/>
      <c r="AS795" s="592"/>
      <c r="AT795" s="592"/>
      <c r="AU795" s="592"/>
      <c r="AV795" s="592"/>
      <c r="AW795" s="592"/>
      <c r="AX795" s="592"/>
      <c r="AY795" s="592"/>
      <c r="AZ795" s="592"/>
      <c r="BA795" s="617"/>
      <c r="BB795" s="592"/>
      <c r="BC795" s="592"/>
      <c r="BD795" s="592"/>
      <c r="BE795" s="592"/>
      <c r="BF795" s="592"/>
      <c r="BG795" s="358"/>
      <c r="BH795" s="592"/>
      <c r="BI795" s="592"/>
      <c r="BJ795" s="592"/>
      <c r="BK795" s="592"/>
      <c r="BL795" s="592"/>
      <c r="BM795" s="592"/>
      <c r="BN795" s="592"/>
      <c r="BO795" s="592"/>
      <c r="BP795" s="592"/>
      <c r="BQ795" s="594"/>
      <c r="BR795" s="594"/>
      <c r="BS795" s="394"/>
      <c r="BT795" s="594"/>
      <c r="BU795" s="594"/>
      <c r="BV795" s="594"/>
      <c r="BW795" s="618"/>
      <c r="BX795" s="644"/>
      <c r="BY795" s="644"/>
    </row>
    <row r="796" ht="25.5" customHeight="1">
      <c r="A796" s="635"/>
      <c r="B796" s="695"/>
      <c r="C796" s="642"/>
      <c r="D796" s="642"/>
      <c r="E796" s="696"/>
      <c r="F796" s="696"/>
      <c r="G796" s="621"/>
      <c r="H796" s="577"/>
      <c r="I796" s="577"/>
      <c r="J796" s="613"/>
      <c r="K796" s="581"/>
      <c r="L796" s="581"/>
      <c r="M796" s="613"/>
      <c r="N796" s="613"/>
      <c r="O796" s="613"/>
      <c r="P796" s="580"/>
      <c r="Q796" s="580"/>
      <c r="R796" s="581"/>
      <c r="S796" s="581"/>
      <c r="T796" s="581"/>
      <c r="U796" s="582"/>
      <c r="V796" s="614"/>
      <c r="W796" s="581"/>
      <c r="X796" s="615"/>
      <c r="Y796" s="613"/>
      <c r="Z796" s="580"/>
      <c r="AA796" s="634"/>
      <c r="AB796" s="577"/>
      <c r="AC796" s="673"/>
      <c r="AD796" s="634"/>
      <c r="AE796" s="587"/>
      <c r="AF796" s="587"/>
      <c r="AG796" s="582"/>
      <c r="AH796" s="582"/>
      <c r="AI796" s="582"/>
      <c r="AJ796" s="582"/>
      <c r="AK796" s="588"/>
      <c r="AL796" s="582"/>
      <c r="AM796" s="582"/>
      <c r="AN796" s="589"/>
      <c r="AO796" s="616"/>
      <c r="AP796" s="592"/>
      <c r="AQ796" s="358"/>
      <c r="AR796" s="592"/>
      <c r="AS796" s="592"/>
      <c r="AT796" s="592"/>
      <c r="AU796" s="592"/>
      <c r="AV796" s="592"/>
      <c r="AW796" s="592"/>
      <c r="AX796" s="592"/>
      <c r="AY796" s="592"/>
      <c r="AZ796" s="592"/>
      <c r="BA796" s="617"/>
      <c r="BB796" s="592"/>
      <c r="BC796" s="592"/>
      <c r="BD796" s="592"/>
      <c r="BE796" s="592"/>
      <c r="BF796" s="592"/>
      <c r="BG796" s="358"/>
      <c r="BH796" s="592"/>
      <c r="BI796" s="592"/>
      <c r="BJ796" s="592"/>
      <c r="BK796" s="592"/>
      <c r="BL796" s="592"/>
      <c r="BM796" s="592"/>
      <c r="BN796" s="592"/>
      <c r="BO796" s="592"/>
      <c r="BP796" s="592"/>
      <c r="BQ796" s="594"/>
      <c r="BR796" s="594"/>
      <c r="BS796" s="394"/>
      <c r="BT796" s="594"/>
      <c r="BU796" s="594"/>
      <c r="BV796" s="594"/>
      <c r="BW796" s="618"/>
      <c r="BX796" s="644"/>
      <c r="BY796" s="644"/>
    </row>
    <row r="797" ht="25.5" customHeight="1">
      <c r="A797" s="635"/>
      <c r="B797" s="695"/>
      <c r="C797" s="642"/>
      <c r="D797" s="642"/>
      <c r="E797" s="696"/>
      <c r="F797" s="696"/>
      <c r="G797" s="621"/>
      <c r="H797" s="577"/>
      <c r="I797" s="577"/>
      <c r="J797" s="613"/>
      <c r="K797" s="581"/>
      <c r="L797" s="581"/>
      <c r="M797" s="613"/>
      <c r="N797" s="613"/>
      <c r="O797" s="613"/>
      <c r="P797" s="580"/>
      <c r="Q797" s="580"/>
      <c r="R797" s="581"/>
      <c r="S797" s="581"/>
      <c r="T797" s="581"/>
      <c r="U797" s="582"/>
      <c r="V797" s="614"/>
      <c r="W797" s="581"/>
      <c r="X797" s="615"/>
      <c r="Y797" s="613"/>
      <c r="Z797" s="580"/>
      <c r="AA797" s="634"/>
      <c r="AB797" s="577"/>
      <c r="AC797" s="673"/>
      <c r="AD797" s="634"/>
      <c r="AE797" s="587"/>
      <c r="AF797" s="587"/>
      <c r="AG797" s="582"/>
      <c r="AH797" s="582"/>
      <c r="AI797" s="582"/>
      <c r="AJ797" s="582"/>
      <c r="AK797" s="588"/>
      <c r="AL797" s="582"/>
      <c r="AM797" s="582"/>
      <c r="AN797" s="589"/>
      <c r="AO797" s="616"/>
      <c r="AP797" s="592"/>
      <c r="AQ797" s="358"/>
      <c r="AR797" s="592"/>
      <c r="AS797" s="592"/>
      <c r="AT797" s="592"/>
      <c r="AU797" s="592"/>
      <c r="AV797" s="592"/>
      <c r="AW797" s="592"/>
      <c r="AX797" s="592"/>
      <c r="AY797" s="592"/>
      <c r="AZ797" s="592"/>
      <c r="BA797" s="617"/>
      <c r="BB797" s="592"/>
      <c r="BC797" s="592"/>
      <c r="BD797" s="592"/>
      <c r="BE797" s="592"/>
      <c r="BF797" s="592"/>
      <c r="BG797" s="358"/>
      <c r="BH797" s="592"/>
      <c r="BI797" s="592"/>
      <c r="BJ797" s="592"/>
      <c r="BK797" s="592"/>
      <c r="BL797" s="592"/>
      <c r="BM797" s="592"/>
      <c r="BN797" s="592"/>
      <c r="BO797" s="592"/>
      <c r="BP797" s="592"/>
      <c r="BQ797" s="594"/>
      <c r="BR797" s="594"/>
      <c r="BS797" s="394"/>
      <c r="BT797" s="594"/>
      <c r="BU797" s="594"/>
      <c r="BV797" s="594"/>
      <c r="BW797" s="618"/>
      <c r="BX797" s="644"/>
      <c r="BY797" s="644"/>
    </row>
    <row r="798" ht="25.5" customHeight="1">
      <c r="A798" s="635"/>
      <c r="B798" s="695"/>
      <c r="C798" s="642"/>
      <c r="D798" s="642"/>
      <c r="E798" s="696"/>
      <c r="F798" s="696"/>
      <c r="G798" s="621"/>
      <c r="H798" s="577"/>
      <c r="I798" s="577"/>
      <c r="J798" s="613"/>
      <c r="K798" s="581"/>
      <c r="L798" s="581"/>
      <c r="M798" s="613"/>
      <c r="N798" s="613"/>
      <c r="O798" s="613"/>
      <c r="P798" s="580"/>
      <c r="Q798" s="580"/>
      <c r="R798" s="581"/>
      <c r="S798" s="581"/>
      <c r="T798" s="581"/>
      <c r="U798" s="582"/>
      <c r="V798" s="614"/>
      <c r="W798" s="581"/>
      <c r="X798" s="615"/>
      <c r="Y798" s="613"/>
      <c r="Z798" s="580"/>
      <c r="AA798" s="634"/>
      <c r="AB798" s="577"/>
      <c r="AC798" s="673"/>
      <c r="AD798" s="634"/>
      <c r="AE798" s="587"/>
      <c r="AF798" s="587"/>
      <c r="AG798" s="582"/>
      <c r="AH798" s="582"/>
      <c r="AI798" s="582"/>
      <c r="AJ798" s="582"/>
      <c r="AK798" s="588"/>
      <c r="AL798" s="582"/>
      <c r="AM798" s="582"/>
      <c r="AN798" s="589"/>
      <c r="AO798" s="616"/>
      <c r="AP798" s="592"/>
      <c r="AQ798" s="358"/>
      <c r="AR798" s="592"/>
      <c r="AS798" s="592"/>
      <c r="AT798" s="592"/>
      <c r="AU798" s="592"/>
      <c r="AV798" s="592"/>
      <c r="AW798" s="592"/>
      <c r="AX798" s="592"/>
      <c r="AY798" s="592"/>
      <c r="AZ798" s="592"/>
      <c r="BA798" s="617"/>
      <c r="BB798" s="592"/>
      <c r="BC798" s="592"/>
      <c r="BD798" s="592"/>
      <c r="BE798" s="592"/>
      <c r="BF798" s="592"/>
      <c r="BG798" s="358"/>
      <c r="BH798" s="592"/>
      <c r="BI798" s="592"/>
      <c r="BJ798" s="592"/>
      <c r="BK798" s="592"/>
      <c r="BL798" s="592"/>
      <c r="BM798" s="592"/>
      <c r="BN798" s="592"/>
      <c r="BO798" s="592"/>
      <c r="BP798" s="592"/>
      <c r="BQ798" s="594"/>
      <c r="BR798" s="594"/>
      <c r="BS798" s="394"/>
      <c r="BT798" s="594"/>
      <c r="BU798" s="594"/>
      <c r="BV798" s="594"/>
      <c r="BW798" s="618"/>
      <c r="BX798" s="644"/>
      <c r="BY798" s="644"/>
    </row>
    <row r="799" ht="25.5" customHeight="1">
      <c r="A799" s="635"/>
      <c r="B799" s="695"/>
      <c r="C799" s="642"/>
      <c r="D799" s="642"/>
      <c r="E799" s="696"/>
      <c r="F799" s="696"/>
      <c r="G799" s="621"/>
      <c r="H799" s="577"/>
      <c r="I799" s="577"/>
      <c r="J799" s="613"/>
      <c r="K799" s="581"/>
      <c r="L799" s="581"/>
      <c r="M799" s="613"/>
      <c r="N799" s="613"/>
      <c r="O799" s="613"/>
      <c r="P799" s="580"/>
      <c r="Q799" s="580"/>
      <c r="R799" s="581"/>
      <c r="S799" s="581"/>
      <c r="T799" s="581"/>
      <c r="U799" s="582"/>
      <c r="V799" s="614"/>
      <c r="W799" s="581"/>
      <c r="X799" s="615"/>
      <c r="Y799" s="613"/>
      <c r="Z799" s="580"/>
      <c r="AA799" s="634"/>
      <c r="AB799" s="577"/>
      <c r="AC799" s="673"/>
      <c r="AD799" s="634"/>
      <c r="AE799" s="587"/>
      <c r="AF799" s="587"/>
      <c r="AG799" s="582"/>
      <c r="AH799" s="582"/>
      <c r="AI799" s="582"/>
      <c r="AJ799" s="582"/>
      <c r="AK799" s="588"/>
      <c r="AL799" s="582"/>
      <c r="AM799" s="582"/>
      <c r="AN799" s="589"/>
      <c r="AO799" s="616"/>
      <c r="AP799" s="592"/>
      <c r="AQ799" s="358"/>
      <c r="AR799" s="592"/>
      <c r="AS799" s="592"/>
      <c r="AT799" s="592"/>
      <c r="AU799" s="592"/>
      <c r="AV799" s="592"/>
      <c r="AW799" s="592"/>
      <c r="AX799" s="592"/>
      <c r="AY799" s="592"/>
      <c r="AZ799" s="592"/>
      <c r="BA799" s="617"/>
      <c r="BB799" s="592"/>
      <c r="BC799" s="592"/>
      <c r="BD799" s="592"/>
      <c r="BE799" s="592"/>
      <c r="BF799" s="592"/>
      <c r="BG799" s="358"/>
      <c r="BH799" s="592"/>
      <c r="BI799" s="592"/>
      <c r="BJ799" s="592"/>
      <c r="BK799" s="592"/>
      <c r="BL799" s="592"/>
      <c r="BM799" s="592"/>
      <c r="BN799" s="592"/>
      <c r="BO799" s="592"/>
      <c r="BP799" s="592"/>
      <c r="BQ799" s="594"/>
      <c r="BR799" s="594"/>
      <c r="BS799" s="394"/>
      <c r="BT799" s="594"/>
      <c r="BU799" s="594"/>
      <c r="BV799" s="594"/>
      <c r="BW799" s="618"/>
      <c r="BX799" s="644"/>
      <c r="BY799" s="644"/>
    </row>
    <row r="800" ht="25.5" customHeight="1">
      <c r="A800" s="635"/>
      <c r="B800" s="695"/>
      <c r="C800" s="642"/>
      <c r="D800" s="642"/>
      <c r="E800" s="696"/>
      <c r="F800" s="696"/>
      <c r="G800" s="621"/>
      <c r="H800" s="577"/>
      <c r="I800" s="577"/>
      <c r="J800" s="613"/>
      <c r="K800" s="581"/>
      <c r="L800" s="581"/>
      <c r="M800" s="613"/>
      <c r="N800" s="613"/>
      <c r="O800" s="613"/>
      <c r="P800" s="580"/>
      <c r="Q800" s="580"/>
      <c r="R800" s="581"/>
      <c r="S800" s="581"/>
      <c r="T800" s="581"/>
      <c r="U800" s="582"/>
      <c r="V800" s="614"/>
      <c r="W800" s="581"/>
      <c r="X800" s="615"/>
      <c r="Y800" s="613"/>
      <c r="Z800" s="580"/>
      <c r="AA800" s="634"/>
      <c r="AB800" s="577"/>
      <c r="AC800" s="673"/>
      <c r="AD800" s="634"/>
      <c r="AE800" s="587"/>
      <c r="AF800" s="587"/>
      <c r="AG800" s="582"/>
      <c r="AH800" s="582"/>
      <c r="AI800" s="582"/>
      <c r="AJ800" s="582"/>
      <c r="AK800" s="588"/>
      <c r="AL800" s="582"/>
      <c r="AM800" s="582"/>
      <c r="AN800" s="589"/>
      <c r="AO800" s="616"/>
      <c r="AP800" s="592"/>
      <c r="AQ800" s="358"/>
      <c r="AR800" s="592"/>
      <c r="AS800" s="592"/>
      <c r="AT800" s="592"/>
      <c r="AU800" s="592"/>
      <c r="AV800" s="592"/>
      <c r="AW800" s="592"/>
      <c r="AX800" s="592"/>
      <c r="AY800" s="592"/>
      <c r="AZ800" s="592"/>
      <c r="BA800" s="617"/>
      <c r="BB800" s="592"/>
      <c r="BC800" s="592"/>
      <c r="BD800" s="592"/>
      <c r="BE800" s="592"/>
      <c r="BF800" s="592"/>
      <c r="BG800" s="358"/>
      <c r="BH800" s="592"/>
      <c r="BI800" s="592"/>
      <c r="BJ800" s="592"/>
      <c r="BK800" s="592"/>
      <c r="BL800" s="592"/>
      <c r="BM800" s="592"/>
      <c r="BN800" s="592"/>
      <c r="BO800" s="592"/>
      <c r="BP800" s="592"/>
      <c r="BQ800" s="594"/>
      <c r="BR800" s="594"/>
      <c r="BS800" s="394"/>
      <c r="BT800" s="594"/>
      <c r="BU800" s="594"/>
      <c r="BV800" s="594"/>
      <c r="BW800" s="618"/>
      <c r="BX800" s="644"/>
      <c r="BY800" s="644"/>
    </row>
    <row r="801" ht="25.5" customHeight="1">
      <c r="A801" s="635"/>
      <c r="B801" s="695"/>
      <c r="C801" s="642"/>
      <c r="D801" s="642"/>
      <c r="E801" s="696"/>
      <c r="F801" s="696"/>
      <c r="G801" s="621"/>
      <c r="H801" s="577"/>
      <c r="I801" s="577"/>
      <c r="J801" s="613"/>
      <c r="K801" s="581"/>
      <c r="L801" s="581"/>
      <c r="M801" s="613"/>
      <c r="N801" s="613"/>
      <c r="O801" s="613"/>
      <c r="P801" s="580"/>
      <c r="Q801" s="580"/>
      <c r="R801" s="581"/>
      <c r="S801" s="581"/>
      <c r="T801" s="581"/>
      <c r="U801" s="582"/>
      <c r="V801" s="614"/>
      <c r="W801" s="581"/>
      <c r="X801" s="615"/>
      <c r="Y801" s="613"/>
      <c r="Z801" s="580"/>
      <c r="AA801" s="634"/>
      <c r="AB801" s="577"/>
      <c r="AC801" s="673"/>
      <c r="AD801" s="634"/>
      <c r="AE801" s="587"/>
      <c r="AF801" s="587"/>
      <c r="AG801" s="582"/>
      <c r="AH801" s="582"/>
      <c r="AI801" s="582"/>
      <c r="AJ801" s="582"/>
      <c r="AK801" s="588"/>
      <c r="AL801" s="582"/>
      <c r="AM801" s="582"/>
      <c r="AN801" s="589"/>
      <c r="AO801" s="616"/>
      <c r="AP801" s="592"/>
      <c r="AQ801" s="358"/>
      <c r="AR801" s="592"/>
      <c r="AS801" s="592"/>
      <c r="AT801" s="592"/>
      <c r="AU801" s="592"/>
      <c r="AV801" s="592"/>
      <c r="AW801" s="592"/>
      <c r="AX801" s="592"/>
      <c r="AY801" s="592"/>
      <c r="AZ801" s="592"/>
      <c r="BA801" s="617"/>
      <c r="BB801" s="592"/>
      <c r="BC801" s="592"/>
      <c r="BD801" s="592"/>
      <c r="BE801" s="592"/>
      <c r="BF801" s="592"/>
      <c r="BG801" s="358"/>
      <c r="BH801" s="592"/>
      <c r="BI801" s="592"/>
      <c r="BJ801" s="592"/>
      <c r="BK801" s="592"/>
      <c r="BL801" s="592"/>
      <c r="BM801" s="592"/>
      <c r="BN801" s="592"/>
      <c r="BO801" s="592"/>
      <c r="BP801" s="592"/>
      <c r="BQ801" s="594"/>
      <c r="BR801" s="594"/>
      <c r="BS801" s="394"/>
      <c r="BT801" s="594"/>
      <c r="BU801" s="594"/>
      <c r="BV801" s="594"/>
      <c r="BW801" s="618"/>
      <c r="BX801" s="644"/>
      <c r="BY801" s="644"/>
    </row>
    <row r="802" ht="25.5" customHeight="1">
      <c r="A802" s="635"/>
      <c r="B802" s="695"/>
      <c r="C802" s="642"/>
      <c r="D802" s="642"/>
      <c r="E802" s="696"/>
      <c r="F802" s="696"/>
      <c r="G802" s="621"/>
      <c r="H802" s="577"/>
      <c r="I802" s="577"/>
      <c r="J802" s="613"/>
      <c r="K802" s="581"/>
      <c r="L802" s="581"/>
      <c r="M802" s="613"/>
      <c r="N802" s="613"/>
      <c r="O802" s="613"/>
      <c r="P802" s="580"/>
      <c r="Q802" s="580"/>
      <c r="R802" s="581"/>
      <c r="S802" s="581"/>
      <c r="T802" s="581"/>
      <c r="U802" s="582"/>
      <c r="V802" s="614"/>
      <c r="W802" s="581"/>
      <c r="X802" s="615"/>
      <c r="Y802" s="613"/>
      <c r="Z802" s="580"/>
      <c r="AA802" s="634"/>
      <c r="AB802" s="577"/>
      <c r="AC802" s="673"/>
      <c r="AD802" s="634"/>
      <c r="AE802" s="587"/>
      <c r="AF802" s="587"/>
      <c r="AG802" s="582"/>
      <c r="AH802" s="582"/>
      <c r="AI802" s="582"/>
      <c r="AJ802" s="582"/>
      <c r="AK802" s="588"/>
      <c r="AL802" s="582"/>
      <c r="AM802" s="582"/>
      <c r="AN802" s="589"/>
      <c r="AO802" s="616"/>
      <c r="AP802" s="592"/>
      <c r="AQ802" s="358"/>
      <c r="AR802" s="592"/>
      <c r="AS802" s="592"/>
      <c r="AT802" s="592"/>
      <c r="AU802" s="592"/>
      <c r="AV802" s="592"/>
      <c r="AW802" s="592"/>
      <c r="AX802" s="592"/>
      <c r="AY802" s="592"/>
      <c r="AZ802" s="592"/>
      <c r="BA802" s="617"/>
      <c r="BB802" s="592"/>
      <c r="BC802" s="592"/>
      <c r="BD802" s="592"/>
      <c r="BE802" s="592"/>
      <c r="BF802" s="592"/>
      <c r="BG802" s="358"/>
      <c r="BH802" s="592"/>
      <c r="BI802" s="592"/>
      <c r="BJ802" s="592"/>
      <c r="BK802" s="592"/>
      <c r="BL802" s="592"/>
      <c r="BM802" s="592"/>
      <c r="BN802" s="592"/>
      <c r="BO802" s="592"/>
      <c r="BP802" s="592"/>
      <c r="BQ802" s="594"/>
      <c r="BR802" s="594"/>
      <c r="BS802" s="394"/>
      <c r="BT802" s="594"/>
      <c r="BU802" s="594"/>
      <c r="BV802" s="594"/>
      <c r="BW802" s="618"/>
      <c r="BX802" s="644"/>
      <c r="BY802" s="644"/>
    </row>
    <row r="803" ht="25.5" customHeight="1">
      <c r="A803" s="635"/>
      <c r="B803" s="695"/>
      <c r="C803" s="642"/>
      <c r="D803" s="642"/>
      <c r="E803" s="696"/>
      <c r="F803" s="696"/>
      <c r="G803" s="621"/>
      <c r="H803" s="577"/>
      <c r="I803" s="577"/>
      <c r="J803" s="613"/>
      <c r="K803" s="581"/>
      <c r="L803" s="581"/>
      <c r="M803" s="613"/>
      <c r="N803" s="613"/>
      <c r="O803" s="613"/>
      <c r="P803" s="580"/>
      <c r="Q803" s="580"/>
      <c r="R803" s="581"/>
      <c r="S803" s="581"/>
      <c r="T803" s="581"/>
      <c r="U803" s="582"/>
      <c r="V803" s="614"/>
      <c r="W803" s="581"/>
      <c r="X803" s="615"/>
      <c r="Y803" s="613"/>
      <c r="Z803" s="580"/>
      <c r="AA803" s="634"/>
      <c r="AB803" s="577"/>
      <c r="AC803" s="673"/>
      <c r="AD803" s="634"/>
      <c r="AE803" s="587"/>
      <c r="AF803" s="587"/>
      <c r="AG803" s="582"/>
      <c r="AH803" s="582"/>
      <c r="AI803" s="582"/>
      <c r="AJ803" s="582"/>
      <c r="AK803" s="588"/>
      <c r="AL803" s="582"/>
      <c r="AM803" s="582"/>
      <c r="AN803" s="589"/>
      <c r="AO803" s="616"/>
      <c r="AP803" s="592"/>
      <c r="AQ803" s="358"/>
      <c r="AR803" s="592"/>
      <c r="AS803" s="592"/>
      <c r="AT803" s="592"/>
      <c r="AU803" s="592"/>
      <c r="AV803" s="592"/>
      <c r="AW803" s="592"/>
      <c r="AX803" s="592"/>
      <c r="AY803" s="592"/>
      <c r="AZ803" s="592"/>
      <c r="BA803" s="617"/>
      <c r="BB803" s="592"/>
      <c r="BC803" s="592"/>
      <c r="BD803" s="592"/>
      <c r="BE803" s="592"/>
      <c r="BF803" s="592"/>
      <c r="BG803" s="358"/>
      <c r="BH803" s="592"/>
      <c r="BI803" s="592"/>
      <c r="BJ803" s="592"/>
      <c r="BK803" s="592"/>
      <c r="BL803" s="592"/>
      <c r="BM803" s="592"/>
      <c r="BN803" s="592"/>
      <c r="BO803" s="592"/>
      <c r="BP803" s="592"/>
      <c r="BQ803" s="594"/>
      <c r="BR803" s="594"/>
      <c r="BS803" s="394"/>
      <c r="BT803" s="594"/>
      <c r="BU803" s="594"/>
      <c r="BV803" s="594"/>
      <c r="BW803" s="618"/>
      <c r="BX803" s="644"/>
      <c r="BY803" s="644"/>
    </row>
    <row r="804" ht="25.5" customHeight="1">
      <c r="A804" s="635"/>
      <c r="B804" s="695"/>
      <c r="C804" s="642"/>
      <c r="D804" s="642"/>
      <c r="E804" s="696"/>
      <c r="F804" s="696"/>
      <c r="G804" s="621"/>
      <c r="H804" s="577"/>
      <c r="I804" s="577"/>
      <c r="J804" s="613"/>
      <c r="K804" s="581"/>
      <c r="L804" s="581"/>
      <c r="M804" s="613"/>
      <c r="N804" s="613"/>
      <c r="O804" s="613"/>
      <c r="P804" s="580"/>
      <c r="Q804" s="580"/>
      <c r="R804" s="581"/>
      <c r="S804" s="581"/>
      <c r="T804" s="581"/>
      <c r="U804" s="582"/>
      <c r="V804" s="614"/>
      <c r="W804" s="581"/>
      <c r="X804" s="615"/>
      <c r="Y804" s="613"/>
      <c r="Z804" s="580"/>
      <c r="AA804" s="634"/>
      <c r="AB804" s="577"/>
      <c r="AC804" s="673"/>
      <c r="AD804" s="634"/>
      <c r="AE804" s="587"/>
      <c r="AF804" s="587"/>
      <c r="AG804" s="582"/>
      <c r="AH804" s="582"/>
      <c r="AI804" s="582"/>
      <c r="AJ804" s="582"/>
      <c r="AK804" s="588"/>
      <c r="AL804" s="582"/>
      <c r="AM804" s="582"/>
      <c r="AN804" s="589"/>
      <c r="AO804" s="616"/>
      <c r="AP804" s="592"/>
      <c r="AQ804" s="358"/>
      <c r="AR804" s="592"/>
      <c r="AS804" s="592"/>
      <c r="AT804" s="592"/>
      <c r="AU804" s="592"/>
      <c r="AV804" s="592"/>
      <c r="AW804" s="592"/>
      <c r="AX804" s="592"/>
      <c r="AY804" s="592"/>
      <c r="AZ804" s="592"/>
      <c r="BA804" s="617"/>
      <c r="BB804" s="592"/>
      <c r="BC804" s="592"/>
      <c r="BD804" s="592"/>
      <c r="BE804" s="592"/>
      <c r="BF804" s="592"/>
      <c r="BG804" s="358"/>
      <c r="BH804" s="592"/>
      <c r="BI804" s="592"/>
      <c r="BJ804" s="592"/>
      <c r="BK804" s="592"/>
      <c r="BL804" s="592"/>
      <c r="BM804" s="592"/>
      <c r="BN804" s="592"/>
      <c r="BO804" s="592"/>
      <c r="BP804" s="592"/>
      <c r="BQ804" s="594"/>
      <c r="BR804" s="594"/>
      <c r="BS804" s="394"/>
      <c r="BT804" s="594"/>
      <c r="BU804" s="594"/>
      <c r="BV804" s="594"/>
      <c r="BW804" s="618"/>
      <c r="BX804" s="644"/>
      <c r="BY804" s="644"/>
    </row>
    <row r="805" ht="25.5" customHeight="1">
      <c r="A805" s="635"/>
      <c r="B805" s="695"/>
      <c r="C805" s="642"/>
      <c r="D805" s="642"/>
      <c r="E805" s="696"/>
      <c r="F805" s="696"/>
      <c r="G805" s="621"/>
      <c r="H805" s="577"/>
      <c r="I805" s="577"/>
      <c r="J805" s="613"/>
      <c r="K805" s="581"/>
      <c r="L805" s="581"/>
      <c r="M805" s="613"/>
      <c r="N805" s="613"/>
      <c r="O805" s="613"/>
      <c r="P805" s="580"/>
      <c r="Q805" s="580"/>
      <c r="R805" s="581"/>
      <c r="S805" s="581"/>
      <c r="T805" s="581"/>
      <c r="U805" s="582"/>
      <c r="V805" s="614"/>
      <c r="W805" s="581"/>
      <c r="X805" s="615"/>
      <c r="Y805" s="613"/>
      <c r="Z805" s="580"/>
      <c r="AA805" s="634"/>
      <c r="AB805" s="577"/>
      <c r="AC805" s="673"/>
      <c r="AD805" s="634"/>
      <c r="AE805" s="587"/>
      <c r="AF805" s="587"/>
      <c r="AG805" s="582"/>
      <c r="AH805" s="582"/>
      <c r="AI805" s="582"/>
      <c r="AJ805" s="582"/>
      <c r="AK805" s="588"/>
      <c r="AL805" s="582"/>
      <c r="AM805" s="582"/>
      <c r="AN805" s="589"/>
      <c r="AO805" s="616"/>
      <c r="AP805" s="592"/>
      <c r="AQ805" s="358"/>
      <c r="AR805" s="592"/>
      <c r="AS805" s="592"/>
      <c r="AT805" s="592"/>
      <c r="AU805" s="592"/>
      <c r="AV805" s="592"/>
      <c r="AW805" s="592"/>
      <c r="AX805" s="592"/>
      <c r="AY805" s="592"/>
      <c r="AZ805" s="592"/>
      <c r="BA805" s="617"/>
      <c r="BB805" s="592"/>
      <c r="BC805" s="592"/>
      <c r="BD805" s="592"/>
      <c r="BE805" s="592"/>
      <c r="BF805" s="592"/>
      <c r="BG805" s="358"/>
      <c r="BH805" s="592"/>
      <c r="BI805" s="592"/>
      <c r="BJ805" s="592"/>
      <c r="BK805" s="592"/>
      <c r="BL805" s="592"/>
      <c r="BM805" s="592"/>
      <c r="BN805" s="592"/>
      <c r="BO805" s="592"/>
      <c r="BP805" s="592"/>
      <c r="BQ805" s="594"/>
      <c r="BR805" s="594"/>
      <c r="BS805" s="394"/>
      <c r="BT805" s="594"/>
      <c r="BU805" s="594"/>
      <c r="BV805" s="594"/>
      <c r="BW805" s="618"/>
      <c r="BX805" s="644"/>
      <c r="BY805" s="644"/>
    </row>
    <row r="806" ht="25.5" customHeight="1">
      <c r="A806" s="635"/>
      <c r="B806" s="695"/>
      <c r="C806" s="642"/>
      <c r="D806" s="642"/>
      <c r="E806" s="696"/>
      <c r="F806" s="696"/>
      <c r="G806" s="621"/>
      <c r="H806" s="577"/>
      <c r="I806" s="577"/>
      <c r="J806" s="613"/>
      <c r="K806" s="581"/>
      <c r="L806" s="581"/>
      <c r="M806" s="613"/>
      <c r="N806" s="613"/>
      <c r="O806" s="613"/>
      <c r="P806" s="580"/>
      <c r="Q806" s="580"/>
      <c r="R806" s="581"/>
      <c r="S806" s="581"/>
      <c r="T806" s="581"/>
      <c r="U806" s="582"/>
      <c r="V806" s="614"/>
      <c r="W806" s="581"/>
      <c r="X806" s="615"/>
      <c r="Y806" s="613"/>
      <c r="Z806" s="580"/>
      <c r="AA806" s="634"/>
      <c r="AB806" s="577"/>
      <c r="AC806" s="673"/>
      <c r="AD806" s="634"/>
      <c r="AE806" s="587"/>
      <c r="AF806" s="587"/>
      <c r="AG806" s="582"/>
      <c r="AH806" s="582"/>
      <c r="AI806" s="582"/>
      <c r="AJ806" s="582"/>
      <c r="AK806" s="588"/>
      <c r="AL806" s="582"/>
      <c r="AM806" s="582"/>
      <c r="AN806" s="589"/>
      <c r="AO806" s="616"/>
      <c r="AP806" s="592"/>
      <c r="AQ806" s="358"/>
      <c r="AR806" s="592"/>
      <c r="AS806" s="592"/>
      <c r="AT806" s="592"/>
      <c r="AU806" s="592"/>
      <c r="AV806" s="592"/>
      <c r="AW806" s="592"/>
      <c r="AX806" s="592"/>
      <c r="AY806" s="592"/>
      <c r="AZ806" s="592"/>
      <c r="BA806" s="617"/>
      <c r="BB806" s="592"/>
      <c r="BC806" s="592"/>
      <c r="BD806" s="592"/>
      <c r="BE806" s="592"/>
      <c r="BF806" s="592"/>
      <c r="BG806" s="358"/>
      <c r="BH806" s="592"/>
      <c r="BI806" s="592"/>
      <c r="BJ806" s="592"/>
      <c r="BK806" s="592"/>
      <c r="BL806" s="592"/>
      <c r="BM806" s="592"/>
      <c r="BN806" s="592"/>
      <c r="BO806" s="592"/>
      <c r="BP806" s="592"/>
      <c r="BQ806" s="594"/>
      <c r="BR806" s="594"/>
      <c r="BS806" s="394"/>
      <c r="BT806" s="594"/>
      <c r="BU806" s="594"/>
      <c r="BV806" s="594"/>
      <c r="BW806" s="618"/>
      <c r="BX806" s="644"/>
      <c r="BY806" s="644"/>
    </row>
    <row r="807" ht="25.5" customHeight="1">
      <c r="A807" s="635"/>
      <c r="B807" s="695"/>
      <c r="C807" s="642"/>
      <c r="D807" s="642"/>
      <c r="E807" s="696"/>
      <c r="F807" s="696"/>
      <c r="G807" s="621"/>
      <c r="H807" s="577"/>
      <c r="I807" s="577"/>
      <c r="J807" s="613"/>
      <c r="K807" s="581"/>
      <c r="L807" s="581"/>
      <c r="M807" s="613"/>
      <c r="N807" s="613"/>
      <c r="O807" s="613"/>
      <c r="P807" s="580"/>
      <c r="Q807" s="580"/>
      <c r="R807" s="581"/>
      <c r="S807" s="581"/>
      <c r="T807" s="581"/>
      <c r="U807" s="582"/>
      <c r="V807" s="614"/>
      <c r="W807" s="581"/>
      <c r="X807" s="615"/>
      <c r="Y807" s="613"/>
      <c r="Z807" s="580"/>
      <c r="AA807" s="634"/>
      <c r="AB807" s="577"/>
      <c r="AC807" s="673"/>
      <c r="AD807" s="634"/>
      <c r="AE807" s="587"/>
      <c r="AF807" s="587"/>
      <c r="AG807" s="582"/>
      <c r="AH807" s="582"/>
      <c r="AI807" s="582"/>
      <c r="AJ807" s="582"/>
      <c r="AK807" s="588"/>
      <c r="AL807" s="582"/>
      <c r="AM807" s="582"/>
      <c r="AN807" s="589"/>
      <c r="AO807" s="616"/>
      <c r="AP807" s="592"/>
      <c r="AQ807" s="358"/>
      <c r="AR807" s="592"/>
      <c r="AS807" s="592"/>
      <c r="AT807" s="592"/>
      <c r="AU807" s="592"/>
      <c r="AV807" s="592"/>
      <c r="AW807" s="592"/>
      <c r="AX807" s="592"/>
      <c r="AY807" s="592"/>
      <c r="AZ807" s="592"/>
      <c r="BA807" s="617"/>
      <c r="BB807" s="592"/>
      <c r="BC807" s="592"/>
      <c r="BD807" s="592"/>
      <c r="BE807" s="592"/>
      <c r="BF807" s="592"/>
      <c r="BG807" s="358"/>
      <c r="BH807" s="592"/>
      <c r="BI807" s="592"/>
      <c r="BJ807" s="592"/>
      <c r="BK807" s="592"/>
      <c r="BL807" s="592"/>
      <c r="BM807" s="592"/>
      <c r="BN807" s="592"/>
      <c r="BO807" s="592"/>
      <c r="BP807" s="592"/>
      <c r="BQ807" s="594"/>
      <c r="BR807" s="594"/>
      <c r="BS807" s="394"/>
      <c r="BT807" s="594"/>
      <c r="BU807" s="594"/>
      <c r="BV807" s="594"/>
      <c r="BW807" s="618"/>
      <c r="BX807" s="644"/>
      <c r="BY807" s="644"/>
    </row>
    <row r="808" ht="25.5" customHeight="1">
      <c r="A808" s="635"/>
      <c r="B808" s="695"/>
      <c r="C808" s="642"/>
      <c r="D808" s="642"/>
      <c r="E808" s="696"/>
      <c r="F808" s="696"/>
      <c r="G808" s="621"/>
      <c r="H808" s="577"/>
      <c r="I808" s="577"/>
      <c r="J808" s="613"/>
      <c r="K808" s="581"/>
      <c r="L808" s="581"/>
      <c r="M808" s="613"/>
      <c r="N808" s="613"/>
      <c r="O808" s="613"/>
      <c r="P808" s="580"/>
      <c r="Q808" s="580"/>
      <c r="R808" s="581"/>
      <c r="S808" s="581"/>
      <c r="T808" s="581"/>
      <c r="U808" s="582"/>
      <c r="V808" s="614"/>
      <c r="W808" s="581"/>
      <c r="X808" s="615"/>
      <c r="Y808" s="613"/>
      <c r="Z808" s="580"/>
      <c r="AA808" s="634"/>
      <c r="AB808" s="577"/>
      <c r="AC808" s="673"/>
      <c r="AD808" s="634"/>
      <c r="AE808" s="587"/>
      <c r="AF808" s="587"/>
      <c r="AG808" s="582"/>
      <c r="AH808" s="582"/>
      <c r="AI808" s="582"/>
      <c r="AJ808" s="582"/>
      <c r="AK808" s="588"/>
      <c r="AL808" s="582"/>
      <c r="AM808" s="582"/>
      <c r="AN808" s="589"/>
      <c r="AO808" s="616"/>
      <c r="AP808" s="592"/>
      <c r="AQ808" s="358"/>
      <c r="AR808" s="592"/>
      <c r="AS808" s="592"/>
      <c r="AT808" s="592"/>
      <c r="AU808" s="592"/>
      <c r="AV808" s="592"/>
      <c r="AW808" s="592"/>
      <c r="AX808" s="592"/>
      <c r="AY808" s="592"/>
      <c r="AZ808" s="592"/>
      <c r="BA808" s="617"/>
      <c r="BB808" s="592"/>
      <c r="BC808" s="592"/>
      <c r="BD808" s="592"/>
      <c r="BE808" s="592"/>
      <c r="BF808" s="592"/>
      <c r="BG808" s="358"/>
      <c r="BH808" s="592"/>
      <c r="BI808" s="592"/>
      <c r="BJ808" s="592"/>
      <c r="BK808" s="592"/>
      <c r="BL808" s="592"/>
      <c r="BM808" s="592"/>
      <c r="BN808" s="592"/>
      <c r="BO808" s="592"/>
      <c r="BP808" s="592"/>
      <c r="BQ808" s="594"/>
      <c r="BR808" s="594"/>
      <c r="BS808" s="394"/>
      <c r="BT808" s="594"/>
      <c r="BU808" s="594"/>
      <c r="BV808" s="594"/>
      <c r="BW808" s="618"/>
      <c r="BX808" s="644"/>
      <c r="BY808" s="644"/>
    </row>
    <row r="809" ht="25.5" customHeight="1">
      <c r="A809" s="635"/>
      <c r="B809" s="695"/>
      <c r="C809" s="642"/>
      <c r="D809" s="642"/>
      <c r="E809" s="696"/>
      <c r="F809" s="696"/>
      <c r="G809" s="621"/>
      <c r="H809" s="577"/>
      <c r="I809" s="577"/>
      <c r="J809" s="613"/>
      <c r="K809" s="581"/>
      <c r="L809" s="581"/>
      <c r="M809" s="613"/>
      <c r="N809" s="613"/>
      <c r="O809" s="613"/>
      <c r="P809" s="580"/>
      <c r="Q809" s="580"/>
      <c r="R809" s="581"/>
      <c r="S809" s="581"/>
      <c r="T809" s="581"/>
      <c r="U809" s="582"/>
      <c r="V809" s="614"/>
      <c r="W809" s="581"/>
      <c r="X809" s="615"/>
      <c r="Y809" s="613"/>
      <c r="Z809" s="580"/>
      <c r="AA809" s="634"/>
      <c r="AB809" s="577"/>
      <c r="AC809" s="673"/>
      <c r="AD809" s="634"/>
      <c r="AE809" s="587"/>
      <c r="AF809" s="587"/>
      <c r="AG809" s="582"/>
      <c r="AH809" s="582"/>
      <c r="AI809" s="582"/>
      <c r="AJ809" s="582"/>
      <c r="AK809" s="588"/>
      <c r="AL809" s="582"/>
      <c r="AM809" s="582"/>
      <c r="AN809" s="589"/>
      <c r="AO809" s="616"/>
      <c r="AP809" s="592"/>
      <c r="AQ809" s="358"/>
      <c r="AR809" s="592"/>
      <c r="AS809" s="592"/>
      <c r="AT809" s="592"/>
      <c r="AU809" s="592"/>
      <c r="AV809" s="592"/>
      <c r="AW809" s="592"/>
      <c r="AX809" s="592"/>
      <c r="AY809" s="592"/>
      <c r="AZ809" s="592"/>
      <c r="BA809" s="617"/>
      <c r="BB809" s="592"/>
      <c r="BC809" s="592"/>
      <c r="BD809" s="592"/>
      <c r="BE809" s="592"/>
      <c r="BF809" s="592"/>
      <c r="BG809" s="358"/>
      <c r="BH809" s="592"/>
      <c r="BI809" s="592"/>
      <c r="BJ809" s="592"/>
      <c r="BK809" s="592"/>
      <c r="BL809" s="592"/>
      <c r="BM809" s="592"/>
      <c r="BN809" s="592"/>
      <c r="BO809" s="592"/>
      <c r="BP809" s="592"/>
      <c r="BQ809" s="594"/>
      <c r="BR809" s="594"/>
      <c r="BS809" s="394"/>
      <c r="BT809" s="594"/>
      <c r="BU809" s="594"/>
      <c r="BV809" s="594"/>
      <c r="BW809" s="618"/>
      <c r="BX809" s="644"/>
      <c r="BY809" s="644"/>
    </row>
    <row r="810" ht="25.5" customHeight="1">
      <c r="A810" s="635"/>
      <c r="B810" s="695"/>
      <c r="C810" s="642"/>
      <c r="D810" s="642"/>
      <c r="E810" s="696"/>
      <c r="F810" s="696"/>
      <c r="G810" s="621"/>
      <c r="H810" s="577"/>
      <c r="I810" s="577"/>
      <c r="J810" s="613"/>
      <c r="K810" s="581"/>
      <c r="L810" s="581"/>
      <c r="M810" s="613"/>
      <c r="N810" s="613"/>
      <c r="O810" s="613"/>
      <c r="P810" s="580"/>
      <c r="Q810" s="580"/>
      <c r="R810" s="581"/>
      <c r="S810" s="581"/>
      <c r="T810" s="581"/>
      <c r="U810" s="582"/>
      <c r="V810" s="614"/>
      <c r="W810" s="581"/>
      <c r="X810" s="615"/>
      <c r="Y810" s="613"/>
      <c r="Z810" s="580"/>
      <c r="AA810" s="634"/>
      <c r="AB810" s="577"/>
      <c r="AC810" s="673"/>
      <c r="AD810" s="634"/>
      <c r="AE810" s="587"/>
      <c r="AF810" s="587"/>
      <c r="AG810" s="582"/>
      <c r="AH810" s="582"/>
      <c r="AI810" s="582"/>
      <c r="AJ810" s="582"/>
      <c r="AK810" s="588"/>
      <c r="AL810" s="582"/>
      <c r="AM810" s="582"/>
      <c r="AN810" s="589"/>
      <c r="AO810" s="616"/>
      <c r="AP810" s="592"/>
      <c r="AQ810" s="358"/>
      <c r="AR810" s="592"/>
      <c r="AS810" s="592"/>
      <c r="AT810" s="592"/>
      <c r="AU810" s="592"/>
      <c r="AV810" s="592"/>
      <c r="AW810" s="592"/>
      <c r="AX810" s="592"/>
      <c r="AY810" s="592"/>
      <c r="AZ810" s="592"/>
      <c r="BA810" s="617"/>
      <c r="BB810" s="592"/>
      <c r="BC810" s="592"/>
      <c r="BD810" s="592"/>
      <c r="BE810" s="592"/>
      <c r="BF810" s="592"/>
      <c r="BG810" s="358"/>
      <c r="BH810" s="592"/>
      <c r="BI810" s="592"/>
      <c r="BJ810" s="592"/>
      <c r="BK810" s="592"/>
      <c r="BL810" s="592"/>
      <c r="BM810" s="592"/>
      <c r="BN810" s="592"/>
      <c r="BO810" s="592"/>
      <c r="BP810" s="592"/>
      <c r="BQ810" s="594"/>
      <c r="BR810" s="594"/>
      <c r="BS810" s="394"/>
      <c r="BT810" s="594"/>
      <c r="BU810" s="594"/>
      <c r="BV810" s="594"/>
      <c r="BW810" s="618"/>
      <c r="BX810" s="644"/>
      <c r="BY810" s="644"/>
    </row>
    <row r="811" ht="25.5" customHeight="1">
      <c r="A811" s="635"/>
      <c r="B811" s="695"/>
      <c r="C811" s="642"/>
      <c r="D811" s="642"/>
      <c r="E811" s="696"/>
      <c r="F811" s="696"/>
      <c r="G811" s="621"/>
      <c r="H811" s="577"/>
      <c r="I811" s="577"/>
      <c r="J811" s="613"/>
      <c r="K811" s="581"/>
      <c r="L811" s="581"/>
      <c r="M811" s="613"/>
      <c r="N811" s="613"/>
      <c r="O811" s="613"/>
      <c r="P811" s="580"/>
      <c r="Q811" s="580"/>
      <c r="R811" s="581"/>
      <c r="S811" s="581"/>
      <c r="T811" s="581"/>
      <c r="U811" s="582"/>
      <c r="V811" s="614"/>
      <c r="W811" s="581"/>
      <c r="X811" s="615"/>
      <c r="Y811" s="613"/>
      <c r="Z811" s="580"/>
      <c r="AA811" s="634"/>
      <c r="AB811" s="577"/>
      <c r="AC811" s="673"/>
      <c r="AD811" s="634"/>
      <c r="AE811" s="587"/>
      <c r="AF811" s="587"/>
      <c r="AG811" s="582"/>
      <c r="AH811" s="582"/>
      <c r="AI811" s="582"/>
      <c r="AJ811" s="582"/>
      <c r="AK811" s="588"/>
      <c r="AL811" s="582"/>
      <c r="AM811" s="582"/>
      <c r="AN811" s="589"/>
      <c r="AO811" s="616"/>
      <c r="AP811" s="592"/>
      <c r="AQ811" s="358"/>
      <c r="AR811" s="592"/>
      <c r="AS811" s="592"/>
      <c r="AT811" s="592"/>
      <c r="AU811" s="592"/>
      <c r="AV811" s="592"/>
      <c r="AW811" s="592"/>
      <c r="AX811" s="592"/>
      <c r="AY811" s="592"/>
      <c r="AZ811" s="592"/>
      <c r="BA811" s="617"/>
      <c r="BB811" s="592"/>
      <c r="BC811" s="592"/>
      <c r="BD811" s="592"/>
      <c r="BE811" s="592"/>
      <c r="BF811" s="592"/>
      <c r="BG811" s="358"/>
      <c r="BH811" s="592"/>
      <c r="BI811" s="592"/>
      <c r="BJ811" s="592"/>
      <c r="BK811" s="592"/>
      <c r="BL811" s="592"/>
      <c r="BM811" s="592"/>
      <c r="BN811" s="592"/>
      <c r="BO811" s="592"/>
      <c r="BP811" s="592"/>
      <c r="BQ811" s="594"/>
      <c r="BR811" s="594"/>
      <c r="BS811" s="394"/>
      <c r="BT811" s="594"/>
      <c r="BU811" s="594"/>
      <c r="BV811" s="594"/>
      <c r="BW811" s="618"/>
      <c r="BX811" s="644"/>
      <c r="BY811" s="644"/>
    </row>
    <row r="812" ht="25.5" customHeight="1">
      <c r="A812" s="635"/>
      <c r="B812" s="695"/>
      <c r="C812" s="642"/>
      <c r="D812" s="642"/>
      <c r="E812" s="696"/>
      <c r="F812" s="696"/>
      <c r="G812" s="621"/>
      <c r="H812" s="577"/>
      <c r="I812" s="577"/>
      <c r="J812" s="613"/>
      <c r="K812" s="581"/>
      <c r="L812" s="581"/>
      <c r="M812" s="613"/>
      <c r="N812" s="613"/>
      <c r="O812" s="613"/>
      <c r="P812" s="580"/>
      <c r="Q812" s="580"/>
      <c r="R812" s="581"/>
      <c r="S812" s="581"/>
      <c r="T812" s="581"/>
      <c r="U812" s="582"/>
      <c r="V812" s="614"/>
      <c r="W812" s="581"/>
      <c r="X812" s="615"/>
      <c r="Y812" s="613"/>
      <c r="Z812" s="580"/>
      <c r="AA812" s="634"/>
      <c r="AB812" s="577"/>
      <c r="AC812" s="673"/>
      <c r="AD812" s="634"/>
      <c r="AE812" s="587"/>
      <c r="AF812" s="587"/>
      <c r="AG812" s="582"/>
      <c r="AH812" s="582"/>
      <c r="AI812" s="582"/>
      <c r="AJ812" s="582"/>
      <c r="AK812" s="588"/>
      <c r="AL812" s="582"/>
      <c r="AM812" s="582"/>
      <c r="AN812" s="589"/>
      <c r="AO812" s="616"/>
      <c r="AP812" s="592"/>
      <c r="AQ812" s="358"/>
      <c r="AR812" s="592"/>
      <c r="AS812" s="592"/>
      <c r="AT812" s="592"/>
      <c r="AU812" s="592"/>
      <c r="AV812" s="592"/>
      <c r="AW812" s="592"/>
      <c r="AX812" s="592"/>
      <c r="AY812" s="592"/>
      <c r="AZ812" s="592"/>
      <c r="BA812" s="617"/>
      <c r="BB812" s="592"/>
      <c r="BC812" s="592"/>
      <c r="BD812" s="592"/>
      <c r="BE812" s="592"/>
      <c r="BF812" s="592"/>
      <c r="BG812" s="358"/>
      <c r="BH812" s="592"/>
      <c r="BI812" s="592"/>
      <c r="BJ812" s="592"/>
      <c r="BK812" s="592"/>
      <c r="BL812" s="592"/>
      <c r="BM812" s="592"/>
      <c r="BN812" s="592"/>
      <c r="BO812" s="592"/>
      <c r="BP812" s="592"/>
      <c r="BQ812" s="594"/>
      <c r="BR812" s="594"/>
      <c r="BS812" s="394"/>
      <c r="BT812" s="594"/>
      <c r="BU812" s="594"/>
      <c r="BV812" s="594"/>
      <c r="BW812" s="618"/>
      <c r="BX812" s="644"/>
      <c r="BY812" s="644"/>
    </row>
    <row r="813" ht="25.5" customHeight="1">
      <c r="A813" s="635"/>
      <c r="B813" s="695"/>
      <c r="C813" s="642"/>
      <c r="D813" s="642"/>
      <c r="E813" s="696"/>
      <c r="F813" s="696"/>
      <c r="G813" s="621"/>
      <c r="H813" s="577"/>
      <c r="I813" s="577"/>
      <c r="J813" s="613"/>
      <c r="K813" s="581"/>
      <c r="L813" s="581"/>
      <c r="M813" s="613"/>
      <c r="N813" s="613"/>
      <c r="O813" s="613"/>
      <c r="P813" s="580"/>
      <c r="Q813" s="580"/>
      <c r="R813" s="581"/>
      <c r="S813" s="581"/>
      <c r="T813" s="581"/>
      <c r="U813" s="582"/>
      <c r="V813" s="614"/>
      <c r="W813" s="581"/>
      <c r="X813" s="615"/>
      <c r="Y813" s="613"/>
      <c r="Z813" s="580"/>
      <c r="AA813" s="634"/>
      <c r="AB813" s="577"/>
      <c r="AC813" s="673"/>
      <c r="AD813" s="634"/>
      <c r="AE813" s="587"/>
      <c r="AF813" s="587"/>
      <c r="AG813" s="582"/>
      <c r="AH813" s="582"/>
      <c r="AI813" s="582"/>
      <c r="AJ813" s="582"/>
      <c r="AK813" s="588"/>
      <c r="AL813" s="582"/>
      <c r="AM813" s="582"/>
      <c r="AN813" s="589"/>
      <c r="AO813" s="616"/>
      <c r="AP813" s="592"/>
      <c r="AQ813" s="358"/>
      <c r="AR813" s="592"/>
      <c r="AS813" s="592"/>
      <c r="AT813" s="592"/>
      <c r="AU813" s="592"/>
      <c r="AV813" s="592"/>
      <c r="AW813" s="592"/>
      <c r="AX813" s="592"/>
      <c r="AY813" s="592"/>
      <c r="AZ813" s="592"/>
      <c r="BA813" s="617"/>
      <c r="BB813" s="592"/>
      <c r="BC813" s="592"/>
      <c r="BD813" s="592"/>
      <c r="BE813" s="592"/>
      <c r="BF813" s="592"/>
      <c r="BG813" s="358"/>
      <c r="BH813" s="592"/>
      <c r="BI813" s="592"/>
      <c r="BJ813" s="592"/>
      <c r="BK813" s="592"/>
      <c r="BL813" s="592"/>
      <c r="BM813" s="592"/>
      <c r="BN813" s="592"/>
      <c r="BO813" s="592"/>
      <c r="BP813" s="592"/>
      <c r="BQ813" s="594"/>
      <c r="BR813" s="594"/>
      <c r="BS813" s="394"/>
      <c r="BT813" s="594"/>
      <c r="BU813" s="594"/>
      <c r="BV813" s="594"/>
      <c r="BW813" s="618"/>
      <c r="BX813" s="644"/>
      <c r="BY813" s="644"/>
    </row>
    <row r="814" ht="25.5" customHeight="1">
      <c r="A814" s="635"/>
      <c r="B814" s="695"/>
      <c r="C814" s="642"/>
      <c r="D814" s="642"/>
      <c r="E814" s="696"/>
      <c r="F814" s="696"/>
      <c r="G814" s="621"/>
      <c r="H814" s="577"/>
      <c r="I814" s="577"/>
      <c r="J814" s="613"/>
      <c r="K814" s="581"/>
      <c r="L814" s="581"/>
      <c r="M814" s="613"/>
      <c r="N814" s="613"/>
      <c r="O814" s="613"/>
      <c r="P814" s="580"/>
      <c r="Q814" s="580"/>
      <c r="R814" s="581"/>
      <c r="S814" s="581"/>
      <c r="T814" s="581"/>
      <c r="U814" s="582"/>
      <c r="V814" s="614"/>
      <c r="W814" s="581"/>
      <c r="X814" s="615"/>
      <c r="Y814" s="613"/>
      <c r="Z814" s="580"/>
      <c r="AA814" s="634"/>
      <c r="AB814" s="577"/>
      <c r="AC814" s="673"/>
      <c r="AD814" s="634"/>
      <c r="AE814" s="587"/>
      <c r="AF814" s="587"/>
      <c r="AG814" s="582"/>
      <c r="AH814" s="582"/>
      <c r="AI814" s="582"/>
      <c r="AJ814" s="582"/>
      <c r="AK814" s="588"/>
      <c r="AL814" s="582"/>
      <c r="AM814" s="582"/>
      <c r="AN814" s="589"/>
      <c r="AO814" s="616"/>
      <c r="AP814" s="592"/>
      <c r="AQ814" s="358"/>
      <c r="AR814" s="592"/>
      <c r="AS814" s="592"/>
      <c r="AT814" s="592"/>
      <c r="AU814" s="592"/>
      <c r="AV814" s="592"/>
      <c r="AW814" s="592"/>
      <c r="AX814" s="592"/>
      <c r="AY814" s="592"/>
      <c r="AZ814" s="592"/>
      <c r="BA814" s="617"/>
      <c r="BB814" s="592"/>
      <c r="BC814" s="592"/>
      <c r="BD814" s="592"/>
      <c r="BE814" s="592"/>
      <c r="BF814" s="592"/>
      <c r="BG814" s="358"/>
      <c r="BH814" s="592"/>
      <c r="BI814" s="592"/>
      <c r="BJ814" s="592"/>
      <c r="BK814" s="592"/>
      <c r="BL814" s="592"/>
      <c r="BM814" s="592"/>
      <c r="BN814" s="592"/>
      <c r="BO814" s="592"/>
      <c r="BP814" s="592"/>
      <c r="BQ814" s="594"/>
      <c r="BR814" s="594"/>
      <c r="BS814" s="394"/>
      <c r="BT814" s="594"/>
      <c r="BU814" s="594"/>
      <c r="BV814" s="594"/>
      <c r="BW814" s="618"/>
      <c r="BX814" s="644"/>
      <c r="BY814" s="644"/>
    </row>
    <row r="815" ht="25.5" customHeight="1">
      <c r="A815" s="635"/>
      <c r="B815" s="695"/>
      <c r="C815" s="642"/>
      <c r="D815" s="642"/>
      <c r="E815" s="696"/>
      <c r="F815" s="696"/>
      <c r="G815" s="621"/>
      <c r="H815" s="577"/>
      <c r="I815" s="577"/>
      <c r="J815" s="613"/>
      <c r="K815" s="581"/>
      <c r="L815" s="581"/>
      <c r="M815" s="613"/>
      <c r="N815" s="613"/>
      <c r="O815" s="613"/>
      <c r="P815" s="580"/>
      <c r="Q815" s="580"/>
      <c r="R815" s="581"/>
      <c r="S815" s="581"/>
      <c r="T815" s="581"/>
      <c r="U815" s="582"/>
      <c r="V815" s="614"/>
      <c r="W815" s="581"/>
      <c r="X815" s="615"/>
      <c r="Y815" s="613"/>
      <c r="Z815" s="580"/>
      <c r="AA815" s="634"/>
      <c r="AB815" s="577"/>
      <c r="AC815" s="673"/>
      <c r="AD815" s="634"/>
      <c r="AE815" s="587"/>
      <c r="AF815" s="587"/>
      <c r="AG815" s="582"/>
      <c r="AH815" s="582"/>
      <c r="AI815" s="582"/>
      <c r="AJ815" s="582"/>
      <c r="AK815" s="588"/>
      <c r="AL815" s="582"/>
      <c r="AM815" s="582"/>
      <c r="AN815" s="589"/>
      <c r="AO815" s="616"/>
      <c r="AP815" s="592"/>
      <c r="AQ815" s="358"/>
      <c r="AR815" s="592"/>
      <c r="AS815" s="592"/>
      <c r="AT815" s="592"/>
      <c r="AU815" s="592"/>
      <c r="AV815" s="592"/>
      <c r="AW815" s="592"/>
      <c r="AX815" s="592"/>
      <c r="AY815" s="592"/>
      <c r="AZ815" s="592"/>
      <c r="BA815" s="617"/>
      <c r="BB815" s="592"/>
      <c r="BC815" s="592"/>
      <c r="BD815" s="592"/>
      <c r="BE815" s="592"/>
      <c r="BF815" s="592"/>
      <c r="BG815" s="358"/>
      <c r="BH815" s="592"/>
      <c r="BI815" s="592"/>
      <c r="BJ815" s="592"/>
      <c r="BK815" s="592"/>
      <c r="BL815" s="592"/>
      <c r="BM815" s="592"/>
      <c r="BN815" s="592"/>
      <c r="BO815" s="592"/>
      <c r="BP815" s="592"/>
      <c r="BQ815" s="594"/>
      <c r="BR815" s="594"/>
      <c r="BS815" s="394"/>
      <c r="BT815" s="594"/>
      <c r="BU815" s="594"/>
      <c r="BV815" s="594"/>
      <c r="BW815" s="618"/>
      <c r="BX815" s="644"/>
      <c r="BY815" s="644"/>
    </row>
    <row r="816" ht="25.5" customHeight="1">
      <c r="A816" s="635"/>
      <c r="B816" s="695"/>
      <c r="C816" s="642"/>
      <c r="D816" s="642"/>
      <c r="E816" s="696"/>
      <c r="F816" s="696"/>
      <c r="G816" s="621"/>
      <c r="H816" s="577"/>
      <c r="I816" s="577"/>
      <c r="J816" s="613"/>
      <c r="K816" s="581"/>
      <c r="L816" s="581"/>
      <c r="M816" s="613"/>
      <c r="N816" s="613"/>
      <c r="O816" s="613"/>
      <c r="P816" s="580"/>
      <c r="Q816" s="580"/>
      <c r="R816" s="581"/>
      <c r="S816" s="581"/>
      <c r="T816" s="581"/>
      <c r="U816" s="582"/>
      <c r="V816" s="614"/>
      <c r="W816" s="581"/>
      <c r="X816" s="615"/>
      <c r="Y816" s="613"/>
      <c r="Z816" s="580"/>
      <c r="AA816" s="634"/>
      <c r="AB816" s="577"/>
      <c r="AC816" s="673"/>
      <c r="AD816" s="634"/>
      <c r="AE816" s="587"/>
      <c r="AF816" s="587"/>
      <c r="AG816" s="582"/>
      <c r="AH816" s="582"/>
      <c r="AI816" s="582"/>
      <c r="AJ816" s="582"/>
      <c r="AK816" s="588"/>
      <c r="AL816" s="582"/>
      <c r="AM816" s="582"/>
      <c r="AN816" s="589"/>
      <c r="AO816" s="616"/>
      <c r="AP816" s="592"/>
      <c r="AQ816" s="358"/>
      <c r="AR816" s="592"/>
      <c r="AS816" s="592"/>
      <c r="AT816" s="592"/>
      <c r="AU816" s="592"/>
      <c r="AV816" s="592"/>
      <c r="AW816" s="592"/>
      <c r="AX816" s="592"/>
      <c r="AY816" s="592"/>
      <c r="AZ816" s="592"/>
      <c r="BA816" s="617"/>
      <c r="BB816" s="592"/>
      <c r="BC816" s="592"/>
      <c r="BD816" s="592"/>
      <c r="BE816" s="592"/>
      <c r="BF816" s="592"/>
      <c r="BG816" s="358"/>
      <c r="BH816" s="592"/>
      <c r="BI816" s="592"/>
      <c r="BJ816" s="592"/>
      <c r="BK816" s="592"/>
      <c r="BL816" s="592"/>
      <c r="BM816" s="592"/>
      <c r="BN816" s="592"/>
      <c r="BO816" s="592"/>
      <c r="BP816" s="592"/>
      <c r="BQ816" s="594"/>
      <c r="BR816" s="594"/>
      <c r="BS816" s="394"/>
      <c r="BT816" s="594"/>
      <c r="BU816" s="594"/>
      <c r="BV816" s="594"/>
      <c r="BW816" s="618"/>
      <c r="BX816" s="644"/>
      <c r="BY816" s="644"/>
    </row>
    <row r="817" ht="25.5" customHeight="1">
      <c r="A817" s="635"/>
      <c r="B817" s="695"/>
      <c r="C817" s="642"/>
      <c r="D817" s="642"/>
      <c r="E817" s="696"/>
      <c r="F817" s="696"/>
      <c r="G817" s="621"/>
      <c r="H817" s="577"/>
      <c r="I817" s="577"/>
      <c r="J817" s="613"/>
      <c r="K817" s="581"/>
      <c r="L817" s="581"/>
      <c r="M817" s="613"/>
      <c r="N817" s="613"/>
      <c r="O817" s="613"/>
      <c r="P817" s="580"/>
      <c r="Q817" s="580"/>
      <c r="R817" s="581"/>
      <c r="S817" s="581"/>
      <c r="T817" s="581"/>
      <c r="U817" s="582"/>
      <c r="V817" s="614"/>
      <c r="W817" s="581"/>
      <c r="X817" s="615"/>
      <c r="Y817" s="613"/>
      <c r="Z817" s="580"/>
      <c r="AA817" s="634"/>
      <c r="AB817" s="577"/>
      <c r="AC817" s="673"/>
      <c r="AD817" s="634"/>
      <c r="AE817" s="587"/>
      <c r="AF817" s="587"/>
      <c r="AG817" s="582"/>
      <c r="AH817" s="582"/>
      <c r="AI817" s="582"/>
      <c r="AJ817" s="582"/>
      <c r="AK817" s="588"/>
      <c r="AL817" s="582"/>
      <c r="AM817" s="582"/>
      <c r="AN817" s="589"/>
      <c r="AO817" s="616"/>
      <c r="AP817" s="592"/>
      <c r="AQ817" s="358"/>
      <c r="AR817" s="592"/>
      <c r="AS817" s="592"/>
      <c r="AT817" s="592"/>
      <c r="AU817" s="592"/>
      <c r="AV817" s="592"/>
      <c r="AW817" s="592"/>
      <c r="AX817" s="592"/>
      <c r="AY817" s="592"/>
      <c r="AZ817" s="592"/>
      <c r="BA817" s="617"/>
      <c r="BB817" s="592"/>
      <c r="BC817" s="592"/>
      <c r="BD817" s="592"/>
      <c r="BE817" s="592"/>
      <c r="BF817" s="592"/>
      <c r="BG817" s="358"/>
      <c r="BH817" s="592"/>
      <c r="BI817" s="592"/>
      <c r="BJ817" s="592"/>
      <c r="BK817" s="592"/>
      <c r="BL817" s="592"/>
      <c r="BM817" s="592"/>
      <c r="BN817" s="592"/>
      <c r="BO817" s="592"/>
      <c r="BP817" s="592"/>
      <c r="BQ817" s="594"/>
      <c r="BR817" s="594"/>
      <c r="BS817" s="394"/>
      <c r="BT817" s="594"/>
      <c r="BU817" s="594"/>
      <c r="BV817" s="594"/>
      <c r="BW817" s="618"/>
      <c r="BX817" s="644"/>
      <c r="BY817" s="644"/>
    </row>
    <row r="818" ht="25.5" customHeight="1">
      <c r="A818" s="635"/>
      <c r="B818" s="695"/>
      <c r="C818" s="642"/>
      <c r="D818" s="642"/>
      <c r="E818" s="696"/>
      <c r="F818" s="696"/>
      <c r="G818" s="621"/>
      <c r="H818" s="577"/>
      <c r="I818" s="577"/>
      <c r="J818" s="613"/>
      <c r="K818" s="581"/>
      <c r="L818" s="581"/>
      <c r="M818" s="613"/>
      <c r="N818" s="613"/>
      <c r="O818" s="613"/>
      <c r="P818" s="580"/>
      <c r="Q818" s="580"/>
      <c r="R818" s="581"/>
      <c r="S818" s="581"/>
      <c r="T818" s="581"/>
      <c r="U818" s="582"/>
      <c r="V818" s="614"/>
      <c r="W818" s="581"/>
      <c r="X818" s="615"/>
      <c r="Y818" s="613"/>
      <c r="Z818" s="580"/>
      <c r="AA818" s="634"/>
      <c r="AB818" s="577"/>
      <c r="AC818" s="673"/>
      <c r="AD818" s="634"/>
      <c r="AE818" s="587"/>
      <c r="AF818" s="587"/>
      <c r="AG818" s="582"/>
      <c r="AH818" s="582"/>
      <c r="AI818" s="582"/>
      <c r="AJ818" s="582"/>
      <c r="AK818" s="588"/>
      <c r="AL818" s="582"/>
      <c r="AM818" s="582"/>
      <c r="AN818" s="589"/>
      <c r="AO818" s="616"/>
      <c r="AP818" s="592"/>
      <c r="AQ818" s="358"/>
      <c r="AR818" s="592"/>
      <c r="AS818" s="592"/>
      <c r="AT818" s="592"/>
      <c r="AU818" s="592"/>
      <c r="AV818" s="592"/>
      <c r="AW818" s="592"/>
      <c r="AX818" s="592"/>
      <c r="AY818" s="592"/>
      <c r="AZ818" s="592"/>
      <c r="BA818" s="617"/>
      <c r="BB818" s="592"/>
      <c r="BC818" s="592"/>
      <c r="BD818" s="592"/>
      <c r="BE818" s="592"/>
      <c r="BF818" s="592"/>
      <c r="BG818" s="358"/>
      <c r="BH818" s="592"/>
      <c r="BI818" s="592"/>
      <c r="BJ818" s="592"/>
      <c r="BK818" s="592"/>
      <c r="BL818" s="592"/>
      <c r="BM818" s="592"/>
      <c r="BN818" s="592"/>
      <c r="BO818" s="592"/>
      <c r="BP818" s="592"/>
      <c r="BQ818" s="594"/>
      <c r="BR818" s="594"/>
      <c r="BS818" s="394"/>
      <c r="BT818" s="594"/>
      <c r="BU818" s="594"/>
      <c r="BV818" s="594"/>
      <c r="BW818" s="618"/>
      <c r="BX818" s="644"/>
      <c r="BY818" s="644"/>
    </row>
    <row r="819" ht="25.5" customHeight="1">
      <c r="A819" s="635"/>
      <c r="B819" s="695"/>
      <c r="C819" s="642"/>
      <c r="D819" s="642"/>
      <c r="E819" s="696"/>
      <c r="F819" s="696"/>
      <c r="G819" s="621"/>
      <c r="H819" s="577"/>
      <c r="I819" s="577"/>
      <c r="J819" s="613"/>
      <c r="K819" s="581"/>
      <c r="L819" s="581"/>
      <c r="M819" s="613"/>
      <c r="N819" s="613"/>
      <c r="O819" s="613"/>
      <c r="P819" s="580"/>
      <c r="Q819" s="580"/>
      <c r="R819" s="581"/>
      <c r="S819" s="581"/>
      <c r="T819" s="581"/>
      <c r="U819" s="582"/>
      <c r="V819" s="614"/>
      <c r="W819" s="581"/>
      <c r="X819" s="615"/>
      <c r="Y819" s="613"/>
      <c r="Z819" s="580"/>
      <c r="AA819" s="634"/>
      <c r="AB819" s="577"/>
      <c r="AC819" s="673"/>
      <c r="AD819" s="634"/>
      <c r="AE819" s="587"/>
      <c r="AF819" s="587"/>
      <c r="AG819" s="582"/>
      <c r="AH819" s="582"/>
      <c r="AI819" s="582"/>
      <c r="AJ819" s="582"/>
      <c r="AK819" s="588"/>
      <c r="AL819" s="582"/>
      <c r="AM819" s="582"/>
      <c r="AN819" s="589"/>
      <c r="AO819" s="616"/>
      <c r="AP819" s="592"/>
      <c r="AQ819" s="358"/>
      <c r="AR819" s="592"/>
      <c r="AS819" s="592"/>
      <c r="AT819" s="592"/>
      <c r="AU819" s="592"/>
      <c r="AV819" s="592"/>
      <c r="AW819" s="592"/>
      <c r="AX819" s="592"/>
      <c r="AY819" s="592"/>
      <c r="AZ819" s="592"/>
      <c r="BA819" s="617"/>
      <c r="BB819" s="592"/>
      <c r="BC819" s="592"/>
      <c r="BD819" s="592"/>
      <c r="BE819" s="592"/>
      <c r="BF819" s="592"/>
      <c r="BG819" s="358"/>
      <c r="BH819" s="592"/>
      <c r="BI819" s="592"/>
      <c r="BJ819" s="592"/>
      <c r="BK819" s="592"/>
      <c r="BL819" s="592"/>
      <c r="BM819" s="592"/>
      <c r="BN819" s="592"/>
      <c r="BO819" s="592"/>
      <c r="BP819" s="592"/>
      <c r="BQ819" s="594"/>
      <c r="BR819" s="594"/>
      <c r="BS819" s="394"/>
      <c r="BT819" s="594"/>
      <c r="BU819" s="594"/>
      <c r="BV819" s="594"/>
      <c r="BW819" s="618"/>
      <c r="BX819" s="644"/>
      <c r="BY819" s="644"/>
    </row>
    <row r="820" ht="25.5" customHeight="1">
      <c r="A820" s="635"/>
      <c r="B820" s="695"/>
      <c r="C820" s="642"/>
      <c r="D820" s="642"/>
      <c r="E820" s="696"/>
      <c r="F820" s="696"/>
      <c r="G820" s="621"/>
      <c r="H820" s="577"/>
      <c r="I820" s="577"/>
      <c r="J820" s="613"/>
      <c r="K820" s="581"/>
      <c r="L820" s="581"/>
      <c r="M820" s="613"/>
      <c r="N820" s="613"/>
      <c r="O820" s="613"/>
      <c r="P820" s="580"/>
      <c r="Q820" s="580"/>
      <c r="R820" s="581"/>
      <c r="S820" s="581"/>
      <c r="T820" s="581"/>
      <c r="U820" s="582"/>
      <c r="V820" s="614"/>
      <c r="W820" s="581"/>
      <c r="X820" s="615"/>
      <c r="Y820" s="613"/>
      <c r="Z820" s="580"/>
      <c r="AA820" s="634"/>
      <c r="AB820" s="577"/>
      <c r="AC820" s="673"/>
      <c r="AD820" s="634"/>
      <c r="AE820" s="587"/>
      <c r="AF820" s="587"/>
      <c r="AG820" s="582"/>
      <c r="AH820" s="582"/>
      <c r="AI820" s="582"/>
      <c r="AJ820" s="582"/>
      <c r="AK820" s="588"/>
      <c r="AL820" s="582"/>
      <c r="AM820" s="582"/>
      <c r="AN820" s="589"/>
      <c r="AO820" s="616"/>
      <c r="AP820" s="592"/>
      <c r="AQ820" s="358"/>
      <c r="AR820" s="592"/>
      <c r="AS820" s="592"/>
      <c r="AT820" s="592"/>
      <c r="AU820" s="592"/>
      <c r="AV820" s="592"/>
      <c r="AW820" s="592"/>
      <c r="AX820" s="592"/>
      <c r="AY820" s="592"/>
      <c r="AZ820" s="592"/>
      <c r="BA820" s="617"/>
      <c r="BB820" s="592"/>
      <c r="BC820" s="592"/>
      <c r="BD820" s="592"/>
      <c r="BE820" s="592"/>
      <c r="BF820" s="592"/>
      <c r="BG820" s="358"/>
      <c r="BH820" s="592"/>
      <c r="BI820" s="592"/>
      <c r="BJ820" s="592"/>
      <c r="BK820" s="592"/>
      <c r="BL820" s="592"/>
      <c r="BM820" s="592"/>
      <c r="BN820" s="592"/>
      <c r="BO820" s="592"/>
      <c r="BP820" s="592"/>
      <c r="BQ820" s="594"/>
      <c r="BR820" s="594"/>
      <c r="BS820" s="394"/>
      <c r="BT820" s="594"/>
      <c r="BU820" s="594"/>
      <c r="BV820" s="594"/>
      <c r="BW820" s="618"/>
      <c r="BX820" s="644"/>
      <c r="BY820" s="644"/>
    </row>
    <row r="821" ht="25.5" customHeight="1">
      <c r="A821" s="635"/>
      <c r="B821" s="695"/>
      <c r="C821" s="642"/>
      <c r="D821" s="642"/>
      <c r="E821" s="696"/>
      <c r="F821" s="696"/>
      <c r="G821" s="621"/>
      <c r="H821" s="577"/>
      <c r="I821" s="577"/>
      <c r="J821" s="613"/>
      <c r="K821" s="581"/>
      <c r="L821" s="581"/>
      <c r="M821" s="613"/>
      <c r="N821" s="613"/>
      <c r="O821" s="613"/>
      <c r="P821" s="580"/>
      <c r="Q821" s="580"/>
      <c r="R821" s="581"/>
      <c r="S821" s="581"/>
      <c r="T821" s="581"/>
      <c r="U821" s="582"/>
      <c r="V821" s="614"/>
      <c r="W821" s="581"/>
      <c r="X821" s="615"/>
      <c r="Y821" s="613"/>
      <c r="Z821" s="580"/>
      <c r="AA821" s="634"/>
      <c r="AB821" s="577"/>
      <c r="AC821" s="673"/>
      <c r="AD821" s="634"/>
      <c r="AE821" s="587"/>
      <c r="AF821" s="587"/>
      <c r="AG821" s="582"/>
      <c r="AH821" s="582"/>
      <c r="AI821" s="582"/>
      <c r="AJ821" s="582"/>
      <c r="AK821" s="588"/>
      <c r="AL821" s="582"/>
      <c r="AM821" s="582"/>
      <c r="AN821" s="589"/>
      <c r="AO821" s="616"/>
      <c r="AP821" s="592"/>
      <c r="AQ821" s="358"/>
      <c r="AR821" s="592"/>
      <c r="AS821" s="592"/>
      <c r="AT821" s="592"/>
      <c r="AU821" s="592"/>
      <c r="AV821" s="592"/>
      <c r="AW821" s="592"/>
      <c r="AX821" s="592"/>
      <c r="AY821" s="592"/>
      <c r="AZ821" s="592"/>
      <c r="BA821" s="617"/>
      <c r="BB821" s="592"/>
      <c r="BC821" s="592"/>
      <c r="BD821" s="592"/>
      <c r="BE821" s="592"/>
      <c r="BF821" s="592"/>
      <c r="BG821" s="358"/>
      <c r="BH821" s="592"/>
      <c r="BI821" s="592"/>
      <c r="BJ821" s="592"/>
      <c r="BK821" s="592"/>
      <c r="BL821" s="592"/>
      <c r="BM821" s="592"/>
      <c r="BN821" s="592"/>
      <c r="BO821" s="592"/>
      <c r="BP821" s="592"/>
      <c r="BQ821" s="594"/>
      <c r="BR821" s="594"/>
      <c r="BS821" s="394"/>
      <c r="BT821" s="594"/>
      <c r="BU821" s="594"/>
      <c r="BV821" s="594"/>
      <c r="BW821" s="618"/>
      <c r="BX821" s="644"/>
      <c r="BY821" s="644"/>
    </row>
    <row r="822" ht="25.5" customHeight="1">
      <c r="A822" s="635"/>
      <c r="B822" s="695"/>
      <c r="C822" s="642"/>
      <c r="D822" s="642"/>
      <c r="E822" s="696"/>
      <c r="F822" s="696"/>
      <c r="G822" s="621"/>
      <c r="H822" s="577"/>
      <c r="I822" s="577"/>
      <c r="J822" s="613"/>
      <c r="K822" s="581"/>
      <c r="L822" s="581"/>
      <c r="M822" s="613"/>
      <c r="N822" s="613"/>
      <c r="O822" s="613"/>
      <c r="P822" s="580"/>
      <c r="Q822" s="580"/>
      <c r="R822" s="581"/>
      <c r="S822" s="581"/>
      <c r="T822" s="581"/>
      <c r="U822" s="582"/>
      <c r="V822" s="614"/>
      <c r="W822" s="581"/>
      <c r="X822" s="615"/>
      <c r="Y822" s="613"/>
      <c r="Z822" s="580"/>
      <c r="AA822" s="634"/>
      <c r="AB822" s="577"/>
      <c r="AC822" s="673"/>
      <c r="AD822" s="634"/>
      <c r="AE822" s="587"/>
      <c r="AF822" s="587"/>
      <c r="AG822" s="582"/>
      <c r="AH822" s="582"/>
      <c r="AI822" s="582"/>
      <c r="AJ822" s="582"/>
      <c r="AK822" s="588"/>
      <c r="AL822" s="582"/>
      <c r="AM822" s="582"/>
      <c r="AN822" s="589"/>
      <c r="AO822" s="616"/>
      <c r="AP822" s="592"/>
      <c r="AQ822" s="358"/>
      <c r="AR822" s="592"/>
      <c r="AS822" s="592"/>
      <c r="AT822" s="592"/>
      <c r="AU822" s="592"/>
      <c r="AV822" s="592"/>
      <c r="AW822" s="592"/>
      <c r="AX822" s="592"/>
      <c r="AY822" s="592"/>
      <c r="AZ822" s="592"/>
      <c r="BA822" s="617"/>
      <c r="BB822" s="592"/>
      <c r="BC822" s="592"/>
      <c r="BD822" s="592"/>
      <c r="BE822" s="592"/>
      <c r="BF822" s="592"/>
      <c r="BG822" s="358"/>
      <c r="BH822" s="592"/>
      <c r="BI822" s="592"/>
      <c r="BJ822" s="592"/>
      <c r="BK822" s="592"/>
      <c r="BL822" s="592"/>
      <c r="BM822" s="592"/>
      <c r="BN822" s="592"/>
      <c r="BO822" s="592"/>
      <c r="BP822" s="592"/>
      <c r="BQ822" s="594"/>
      <c r="BR822" s="594"/>
      <c r="BS822" s="394"/>
      <c r="BT822" s="594"/>
      <c r="BU822" s="594"/>
      <c r="BV822" s="594"/>
      <c r="BW822" s="618"/>
      <c r="BX822" s="644"/>
      <c r="BY822" s="644"/>
    </row>
    <row r="823" ht="25.5" customHeight="1">
      <c r="A823" s="635"/>
      <c r="B823" s="695"/>
      <c r="C823" s="642"/>
      <c r="D823" s="642"/>
      <c r="E823" s="696"/>
      <c r="F823" s="696"/>
      <c r="G823" s="621"/>
      <c r="H823" s="577"/>
      <c r="I823" s="577"/>
      <c r="J823" s="613"/>
      <c r="K823" s="581"/>
      <c r="L823" s="581"/>
      <c r="M823" s="613"/>
      <c r="N823" s="613"/>
      <c r="O823" s="613"/>
      <c r="P823" s="580"/>
      <c r="Q823" s="580"/>
      <c r="R823" s="581"/>
      <c r="S823" s="581"/>
      <c r="T823" s="581"/>
      <c r="U823" s="582"/>
      <c r="V823" s="614"/>
      <c r="W823" s="581"/>
      <c r="X823" s="615"/>
      <c r="Y823" s="613"/>
      <c r="Z823" s="580"/>
      <c r="AA823" s="634"/>
      <c r="AB823" s="577"/>
      <c r="AC823" s="673"/>
      <c r="AD823" s="634"/>
      <c r="AE823" s="587"/>
      <c r="AF823" s="587"/>
      <c r="AG823" s="582"/>
      <c r="AH823" s="582"/>
      <c r="AI823" s="582"/>
      <c r="AJ823" s="582"/>
      <c r="AK823" s="588"/>
      <c r="AL823" s="582"/>
      <c r="AM823" s="582"/>
      <c r="AN823" s="589"/>
      <c r="AO823" s="616"/>
      <c r="AP823" s="592"/>
      <c r="AQ823" s="358"/>
      <c r="AR823" s="592"/>
      <c r="AS823" s="592"/>
      <c r="AT823" s="592"/>
      <c r="AU823" s="592"/>
      <c r="AV823" s="592"/>
      <c r="AW823" s="592"/>
      <c r="AX823" s="592"/>
      <c r="AY823" s="592"/>
      <c r="AZ823" s="592"/>
      <c r="BA823" s="617"/>
      <c r="BB823" s="592"/>
      <c r="BC823" s="592"/>
      <c r="BD823" s="592"/>
      <c r="BE823" s="592"/>
      <c r="BF823" s="592"/>
      <c r="BG823" s="358"/>
      <c r="BH823" s="592"/>
      <c r="BI823" s="592"/>
      <c r="BJ823" s="592"/>
      <c r="BK823" s="592"/>
      <c r="BL823" s="592"/>
      <c r="BM823" s="592"/>
      <c r="BN823" s="592"/>
      <c r="BO823" s="592"/>
      <c r="BP823" s="592"/>
      <c r="BQ823" s="594"/>
      <c r="BR823" s="594"/>
      <c r="BS823" s="394"/>
      <c r="BT823" s="594"/>
      <c r="BU823" s="594"/>
      <c r="BV823" s="594"/>
      <c r="BW823" s="618"/>
      <c r="BX823" s="644"/>
      <c r="BY823" s="644"/>
    </row>
    <row r="824" ht="25.5" customHeight="1">
      <c r="A824" s="635"/>
      <c r="B824" s="695"/>
      <c r="C824" s="642"/>
      <c r="D824" s="642"/>
      <c r="E824" s="696"/>
      <c r="F824" s="696"/>
      <c r="G824" s="621"/>
      <c r="H824" s="577"/>
      <c r="I824" s="577"/>
      <c r="J824" s="613"/>
      <c r="K824" s="581"/>
      <c r="L824" s="581"/>
      <c r="M824" s="613"/>
      <c r="N824" s="613"/>
      <c r="O824" s="613"/>
      <c r="P824" s="580"/>
      <c r="Q824" s="580"/>
      <c r="R824" s="581"/>
      <c r="S824" s="581"/>
      <c r="T824" s="581"/>
      <c r="U824" s="582"/>
      <c r="V824" s="614"/>
      <c r="W824" s="581"/>
      <c r="X824" s="615"/>
      <c r="Y824" s="613"/>
      <c r="Z824" s="580"/>
      <c r="AA824" s="634"/>
      <c r="AB824" s="577"/>
      <c r="AC824" s="673"/>
      <c r="AD824" s="634"/>
      <c r="AE824" s="587"/>
      <c r="AF824" s="587"/>
      <c r="AG824" s="582"/>
      <c r="AH824" s="582"/>
      <c r="AI824" s="582"/>
      <c r="AJ824" s="582"/>
      <c r="AK824" s="588"/>
      <c r="AL824" s="582"/>
      <c r="AM824" s="582"/>
      <c r="AN824" s="589"/>
      <c r="AO824" s="616"/>
      <c r="AP824" s="592"/>
      <c r="AQ824" s="358"/>
      <c r="AR824" s="592"/>
      <c r="AS824" s="592"/>
      <c r="AT824" s="592"/>
      <c r="AU824" s="592"/>
      <c r="AV824" s="592"/>
      <c r="AW824" s="592"/>
      <c r="AX824" s="592"/>
      <c r="AY824" s="592"/>
      <c r="AZ824" s="592"/>
      <c r="BA824" s="617"/>
      <c r="BB824" s="592"/>
      <c r="BC824" s="592"/>
      <c r="BD824" s="592"/>
      <c r="BE824" s="592"/>
      <c r="BF824" s="592"/>
      <c r="BG824" s="358"/>
      <c r="BH824" s="592"/>
      <c r="BI824" s="592"/>
      <c r="BJ824" s="592"/>
      <c r="BK824" s="592"/>
      <c r="BL824" s="592"/>
      <c r="BM824" s="592"/>
      <c r="BN824" s="592"/>
      <c r="BO824" s="592"/>
      <c r="BP824" s="592"/>
      <c r="BQ824" s="594"/>
      <c r="BR824" s="594"/>
      <c r="BS824" s="394"/>
      <c r="BT824" s="594"/>
      <c r="BU824" s="594"/>
      <c r="BV824" s="594"/>
      <c r="BW824" s="618"/>
      <c r="BX824" s="644"/>
      <c r="BY824" s="644"/>
    </row>
    <row r="825" ht="25.5" customHeight="1">
      <c r="A825" s="635"/>
      <c r="B825" s="695"/>
      <c r="C825" s="642"/>
      <c r="D825" s="642"/>
      <c r="E825" s="696"/>
      <c r="F825" s="696"/>
      <c r="G825" s="621"/>
      <c r="H825" s="577"/>
      <c r="I825" s="577"/>
      <c r="J825" s="613"/>
      <c r="K825" s="581"/>
      <c r="L825" s="581"/>
      <c r="M825" s="613"/>
      <c r="N825" s="613"/>
      <c r="O825" s="613"/>
      <c r="P825" s="580"/>
      <c r="Q825" s="580"/>
      <c r="R825" s="581"/>
      <c r="S825" s="581"/>
      <c r="T825" s="581"/>
      <c r="U825" s="582"/>
      <c r="V825" s="614"/>
      <c r="W825" s="581"/>
      <c r="X825" s="615"/>
      <c r="Y825" s="613"/>
      <c r="Z825" s="580"/>
      <c r="AA825" s="634"/>
      <c r="AB825" s="577"/>
      <c r="AC825" s="673"/>
      <c r="AD825" s="634"/>
      <c r="AE825" s="587"/>
      <c r="AF825" s="587"/>
      <c r="AG825" s="582"/>
      <c r="AH825" s="582"/>
      <c r="AI825" s="582"/>
      <c r="AJ825" s="582"/>
      <c r="AK825" s="588"/>
      <c r="AL825" s="582"/>
      <c r="AM825" s="582"/>
      <c r="AN825" s="589"/>
      <c r="AO825" s="616"/>
      <c r="AP825" s="592"/>
      <c r="AQ825" s="358"/>
      <c r="AR825" s="592"/>
      <c r="AS825" s="592"/>
      <c r="AT825" s="592"/>
      <c r="AU825" s="592"/>
      <c r="AV825" s="592"/>
      <c r="AW825" s="592"/>
      <c r="AX825" s="592"/>
      <c r="AY825" s="592"/>
      <c r="AZ825" s="592"/>
      <c r="BA825" s="617"/>
      <c r="BB825" s="592"/>
      <c r="BC825" s="592"/>
      <c r="BD825" s="592"/>
      <c r="BE825" s="592"/>
      <c r="BF825" s="592"/>
      <c r="BG825" s="358"/>
      <c r="BH825" s="592"/>
      <c r="BI825" s="592"/>
      <c r="BJ825" s="592"/>
      <c r="BK825" s="592"/>
      <c r="BL825" s="592"/>
      <c r="BM825" s="592"/>
      <c r="BN825" s="592"/>
      <c r="BO825" s="592"/>
      <c r="BP825" s="592"/>
      <c r="BQ825" s="594"/>
      <c r="BR825" s="594"/>
      <c r="BS825" s="394"/>
      <c r="BT825" s="594"/>
      <c r="BU825" s="594"/>
      <c r="BV825" s="594"/>
      <c r="BW825" s="618"/>
      <c r="BX825" s="644"/>
      <c r="BY825" s="644"/>
    </row>
    <row r="826" ht="25.5" customHeight="1">
      <c r="A826" s="635"/>
      <c r="B826" s="695"/>
      <c r="C826" s="642"/>
      <c r="D826" s="642"/>
      <c r="E826" s="696"/>
      <c r="F826" s="696"/>
      <c r="G826" s="621"/>
      <c r="H826" s="577"/>
      <c r="I826" s="577"/>
      <c r="J826" s="613"/>
      <c r="K826" s="581"/>
      <c r="L826" s="581"/>
      <c r="M826" s="613"/>
      <c r="N826" s="613"/>
      <c r="O826" s="613"/>
      <c r="P826" s="580"/>
      <c r="Q826" s="580"/>
      <c r="R826" s="581"/>
      <c r="S826" s="581"/>
      <c r="T826" s="581"/>
      <c r="U826" s="582"/>
      <c r="V826" s="614"/>
      <c r="W826" s="581"/>
      <c r="X826" s="615"/>
      <c r="Y826" s="613"/>
      <c r="Z826" s="580"/>
      <c r="AA826" s="634"/>
      <c r="AB826" s="577"/>
      <c r="AC826" s="673"/>
      <c r="AD826" s="634"/>
      <c r="AE826" s="587"/>
      <c r="AF826" s="587"/>
      <c r="AG826" s="582"/>
      <c r="AH826" s="582"/>
      <c r="AI826" s="582"/>
      <c r="AJ826" s="582"/>
      <c r="AK826" s="588"/>
      <c r="AL826" s="582"/>
      <c r="AM826" s="582"/>
      <c r="AN826" s="589"/>
      <c r="AO826" s="616"/>
      <c r="AP826" s="592"/>
      <c r="AQ826" s="358"/>
      <c r="AR826" s="592"/>
      <c r="AS826" s="592"/>
      <c r="AT826" s="592"/>
      <c r="AU826" s="592"/>
      <c r="AV826" s="592"/>
      <c r="AW826" s="592"/>
      <c r="AX826" s="592"/>
      <c r="AY826" s="592"/>
      <c r="AZ826" s="592"/>
      <c r="BA826" s="617"/>
      <c r="BB826" s="592"/>
      <c r="BC826" s="592"/>
      <c r="BD826" s="592"/>
      <c r="BE826" s="592"/>
      <c r="BF826" s="592"/>
      <c r="BG826" s="358"/>
      <c r="BH826" s="592"/>
      <c r="BI826" s="592"/>
      <c r="BJ826" s="592"/>
      <c r="BK826" s="592"/>
      <c r="BL826" s="592"/>
      <c r="BM826" s="592"/>
      <c r="BN826" s="592"/>
      <c r="BO826" s="592"/>
      <c r="BP826" s="592"/>
      <c r="BQ826" s="594"/>
      <c r="BR826" s="594"/>
      <c r="BS826" s="394"/>
      <c r="BT826" s="594"/>
      <c r="BU826" s="594"/>
      <c r="BV826" s="594"/>
      <c r="BW826" s="618"/>
      <c r="BX826" s="644"/>
      <c r="BY826" s="644"/>
    </row>
    <row r="827" ht="25.5" customHeight="1">
      <c r="A827" s="635"/>
      <c r="B827" s="695"/>
      <c r="C827" s="642"/>
      <c r="D827" s="642"/>
      <c r="E827" s="696"/>
      <c r="F827" s="696"/>
      <c r="G827" s="621"/>
      <c r="H827" s="577"/>
      <c r="I827" s="577"/>
      <c r="J827" s="613"/>
      <c r="K827" s="581"/>
      <c r="L827" s="581"/>
      <c r="M827" s="613"/>
      <c r="N827" s="613"/>
      <c r="O827" s="613"/>
      <c r="P827" s="580"/>
      <c r="Q827" s="580"/>
      <c r="R827" s="581"/>
      <c r="S827" s="581"/>
      <c r="T827" s="581"/>
      <c r="U827" s="582"/>
      <c r="V827" s="614"/>
      <c r="W827" s="581"/>
      <c r="X827" s="615"/>
      <c r="Y827" s="613"/>
      <c r="Z827" s="580"/>
      <c r="AA827" s="634"/>
      <c r="AB827" s="577"/>
      <c r="AC827" s="673"/>
      <c r="AD827" s="634"/>
      <c r="AE827" s="587"/>
      <c r="AF827" s="587"/>
      <c r="AG827" s="582"/>
      <c r="AH827" s="582"/>
      <c r="AI827" s="582"/>
      <c r="AJ827" s="582"/>
      <c r="AK827" s="588"/>
      <c r="AL827" s="582"/>
      <c r="AM827" s="582"/>
      <c r="AN827" s="589"/>
      <c r="AO827" s="616"/>
      <c r="AP827" s="592"/>
      <c r="AQ827" s="358"/>
      <c r="AR827" s="592"/>
      <c r="AS827" s="592"/>
      <c r="AT827" s="592"/>
      <c r="AU827" s="592"/>
      <c r="AV827" s="592"/>
      <c r="AW827" s="592"/>
      <c r="AX827" s="592"/>
      <c r="AY827" s="592"/>
      <c r="AZ827" s="592"/>
      <c r="BA827" s="617"/>
      <c r="BB827" s="592"/>
      <c r="BC827" s="592"/>
      <c r="BD827" s="592"/>
      <c r="BE827" s="592"/>
      <c r="BF827" s="592"/>
      <c r="BG827" s="358"/>
      <c r="BH827" s="592"/>
      <c r="BI827" s="592"/>
      <c r="BJ827" s="592"/>
      <c r="BK827" s="592"/>
      <c r="BL827" s="592"/>
      <c r="BM827" s="592"/>
      <c r="BN827" s="592"/>
      <c r="BO827" s="592"/>
      <c r="BP827" s="592"/>
      <c r="BQ827" s="594"/>
      <c r="BR827" s="594"/>
      <c r="BS827" s="394"/>
      <c r="BT827" s="594"/>
      <c r="BU827" s="594"/>
      <c r="BV827" s="594"/>
      <c r="BW827" s="618"/>
      <c r="BX827" s="644"/>
      <c r="BY827" s="644"/>
    </row>
    <row r="828" ht="25.5" customHeight="1">
      <c r="A828" s="635"/>
      <c r="B828" s="695"/>
      <c r="C828" s="642"/>
      <c r="D828" s="642"/>
      <c r="E828" s="696"/>
      <c r="F828" s="696"/>
      <c r="G828" s="621"/>
      <c r="H828" s="577"/>
      <c r="I828" s="577"/>
      <c r="J828" s="613"/>
      <c r="K828" s="581"/>
      <c r="L828" s="581"/>
      <c r="M828" s="613"/>
      <c r="N828" s="613"/>
      <c r="O828" s="613"/>
      <c r="P828" s="580"/>
      <c r="Q828" s="580"/>
      <c r="R828" s="581"/>
      <c r="S828" s="581"/>
      <c r="T828" s="581"/>
      <c r="U828" s="582"/>
      <c r="V828" s="614"/>
      <c r="W828" s="581"/>
      <c r="X828" s="615"/>
      <c r="Y828" s="613"/>
      <c r="Z828" s="580"/>
      <c r="AA828" s="634"/>
      <c r="AB828" s="577"/>
      <c r="AC828" s="673"/>
      <c r="AD828" s="634"/>
      <c r="AE828" s="587"/>
      <c r="AF828" s="587"/>
      <c r="AG828" s="582"/>
      <c r="AH828" s="582"/>
      <c r="AI828" s="582"/>
      <c r="AJ828" s="582"/>
      <c r="AK828" s="588"/>
      <c r="AL828" s="582"/>
      <c r="AM828" s="582"/>
      <c r="AN828" s="589"/>
      <c r="AO828" s="616"/>
      <c r="AP828" s="592"/>
      <c r="AQ828" s="358"/>
      <c r="AR828" s="592"/>
      <c r="AS828" s="592"/>
      <c r="AT828" s="592"/>
      <c r="AU828" s="592"/>
      <c r="AV828" s="592"/>
      <c r="AW828" s="592"/>
      <c r="AX828" s="592"/>
      <c r="AY828" s="592"/>
      <c r="AZ828" s="592"/>
      <c r="BA828" s="617"/>
      <c r="BB828" s="592"/>
      <c r="BC828" s="592"/>
      <c r="BD828" s="592"/>
      <c r="BE828" s="592"/>
      <c r="BF828" s="592"/>
      <c r="BG828" s="358"/>
      <c r="BH828" s="592"/>
      <c r="BI828" s="592"/>
      <c r="BJ828" s="592"/>
      <c r="BK828" s="592"/>
      <c r="BL828" s="592"/>
      <c r="BM828" s="592"/>
      <c r="BN828" s="592"/>
      <c r="BO828" s="592"/>
      <c r="BP828" s="592"/>
      <c r="BQ828" s="594"/>
      <c r="BR828" s="594"/>
      <c r="BS828" s="394"/>
      <c r="BT828" s="594"/>
      <c r="BU828" s="594"/>
      <c r="BV828" s="594"/>
      <c r="BW828" s="618"/>
      <c r="BX828" s="644"/>
      <c r="BY828" s="644"/>
    </row>
    <row r="829" ht="25.5" customHeight="1">
      <c r="A829" s="635"/>
      <c r="B829" s="695"/>
      <c r="C829" s="642"/>
      <c r="D829" s="642"/>
      <c r="E829" s="696"/>
      <c r="F829" s="696"/>
      <c r="G829" s="621"/>
      <c r="H829" s="577"/>
      <c r="I829" s="577"/>
      <c r="J829" s="613"/>
      <c r="K829" s="581"/>
      <c r="L829" s="581"/>
      <c r="M829" s="613"/>
      <c r="N829" s="613"/>
      <c r="O829" s="613"/>
      <c r="P829" s="580"/>
      <c r="Q829" s="580"/>
      <c r="R829" s="581"/>
      <c r="S829" s="581"/>
      <c r="T829" s="581"/>
      <c r="U829" s="582"/>
      <c r="V829" s="614"/>
      <c r="W829" s="581"/>
      <c r="X829" s="615"/>
      <c r="Y829" s="613"/>
      <c r="Z829" s="580"/>
      <c r="AA829" s="634"/>
      <c r="AB829" s="577"/>
      <c r="AC829" s="673"/>
      <c r="AD829" s="634"/>
      <c r="AE829" s="587"/>
      <c r="AF829" s="587"/>
      <c r="AG829" s="582"/>
      <c r="AH829" s="582"/>
      <c r="AI829" s="582"/>
      <c r="AJ829" s="582"/>
      <c r="AK829" s="588"/>
      <c r="AL829" s="582"/>
      <c r="AM829" s="582"/>
      <c r="AN829" s="589"/>
      <c r="AO829" s="616"/>
      <c r="AP829" s="592"/>
      <c r="AQ829" s="358"/>
      <c r="AR829" s="592"/>
      <c r="AS829" s="592"/>
      <c r="AT829" s="592"/>
      <c r="AU829" s="592"/>
      <c r="AV829" s="592"/>
      <c r="AW829" s="592"/>
      <c r="AX829" s="592"/>
      <c r="AY829" s="592"/>
      <c r="AZ829" s="592"/>
      <c r="BA829" s="617"/>
      <c r="BB829" s="592"/>
      <c r="BC829" s="592"/>
      <c r="BD829" s="592"/>
      <c r="BE829" s="592"/>
      <c r="BF829" s="592"/>
      <c r="BG829" s="358"/>
      <c r="BH829" s="592"/>
      <c r="BI829" s="592"/>
      <c r="BJ829" s="592"/>
      <c r="BK829" s="592"/>
      <c r="BL829" s="592"/>
      <c r="BM829" s="592"/>
      <c r="BN829" s="592"/>
      <c r="BO829" s="592"/>
      <c r="BP829" s="592"/>
      <c r="BQ829" s="594"/>
      <c r="BR829" s="594"/>
      <c r="BS829" s="394"/>
      <c r="BT829" s="594"/>
      <c r="BU829" s="594"/>
      <c r="BV829" s="594"/>
      <c r="BW829" s="618"/>
      <c r="BX829" s="644"/>
      <c r="BY829" s="644"/>
    </row>
    <row r="830" ht="25.5" customHeight="1">
      <c r="A830" s="635"/>
      <c r="B830" s="695"/>
      <c r="C830" s="642"/>
      <c r="D830" s="642"/>
      <c r="E830" s="696"/>
      <c r="F830" s="696"/>
      <c r="G830" s="621"/>
      <c r="H830" s="577"/>
      <c r="I830" s="577"/>
      <c r="J830" s="613"/>
      <c r="K830" s="581"/>
      <c r="L830" s="581"/>
      <c r="M830" s="613"/>
      <c r="N830" s="613"/>
      <c r="O830" s="613"/>
      <c r="P830" s="580"/>
      <c r="Q830" s="580"/>
      <c r="R830" s="581"/>
      <c r="S830" s="581"/>
      <c r="T830" s="581"/>
      <c r="U830" s="582"/>
      <c r="V830" s="614"/>
      <c r="W830" s="581"/>
      <c r="X830" s="615"/>
      <c r="Y830" s="613"/>
      <c r="Z830" s="580"/>
      <c r="AA830" s="634"/>
      <c r="AB830" s="577"/>
      <c r="AC830" s="673"/>
      <c r="AD830" s="634"/>
      <c r="AE830" s="587"/>
      <c r="AF830" s="587"/>
      <c r="AG830" s="582"/>
      <c r="AH830" s="582"/>
      <c r="AI830" s="582"/>
      <c r="AJ830" s="582"/>
      <c r="AK830" s="588"/>
      <c r="AL830" s="582"/>
      <c r="AM830" s="582"/>
      <c r="AN830" s="589"/>
      <c r="AO830" s="616"/>
      <c r="AP830" s="592"/>
      <c r="AQ830" s="358"/>
      <c r="AR830" s="592"/>
      <c r="AS830" s="592"/>
      <c r="AT830" s="592"/>
      <c r="AU830" s="592"/>
      <c r="AV830" s="592"/>
      <c r="AW830" s="592"/>
      <c r="AX830" s="592"/>
      <c r="AY830" s="592"/>
      <c r="AZ830" s="592"/>
      <c r="BA830" s="617"/>
      <c r="BB830" s="592"/>
      <c r="BC830" s="592"/>
      <c r="BD830" s="592"/>
      <c r="BE830" s="592"/>
      <c r="BF830" s="592"/>
      <c r="BG830" s="358"/>
      <c r="BH830" s="592"/>
      <c r="BI830" s="592"/>
      <c r="BJ830" s="592"/>
      <c r="BK830" s="592"/>
      <c r="BL830" s="592"/>
      <c r="BM830" s="592"/>
      <c r="BN830" s="592"/>
      <c r="BO830" s="592"/>
      <c r="BP830" s="592"/>
      <c r="BQ830" s="594"/>
      <c r="BR830" s="594"/>
      <c r="BS830" s="394"/>
      <c r="BT830" s="594"/>
      <c r="BU830" s="594"/>
      <c r="BV830" s="594"/>
      <c r="BW830" s="618"/>
      <c r="BX830" s="644"/>
      <c r="BY830" s="644"/>
    </row>
    <row r="831" ht="25.5" customHeight="1">
      <c r="A831" s="635"/>
      <c r="B831" s="695"/>
      <c r="C831" s="642"/>
      <c r="D831" s="642"/>
      <c r="E831" s="696"/>
      <c r="F831" s="696"/>
      <c r="G831" s="621"/>
      <c r="H831" s="577"/>
      <c r="I831" s="577"/>
      <c r="J831" s="613"/>
      <c r="K831" s="581"/>
      <c r="L831" s="581"/>
      <c r="M831" s="613"/>
      <c r="N831" s="613"/>
      <c r="O831" s="613"/>
      <c r="P831" s="580"/>
      <c r="Q831" s="580"/>
      <c r="R831" s="581"/>
      <c r="S831" s="581"/>
      <c r="T831" s="581"/>
      <c r="U831" s="582"/>
      <c r="V831" s="614"/>
      <c r="W831" s="581"/>
      <c r="X831" s="615"/>
      <c r="Y831" s="613"/>
      <c r="Z831" s="580"/>
      <c r="AA831" s="634"/>
      <c r="AB831" s="577"/>
      <c r="AC831" s="673"/>
      <c r="AD831" s="634"/>
      <c r="AE831" s="587"/>
      <c r="AF831" s="587"/>
      <c r="AG831" s="582"/>
      <c r="AH831" s="582"/>
      <c r="AI831" s="582"/>
      <c r="AJ831" s="582"/>
      <c r="AK831" s="588"/>
      <c r="AL831" s="582"/>
      <c r="AM831" s="582"/>
      <c r="AN831" s="589"/>
      <c r="AO831" s="616"/>
      <c r="AP831" s="592"/>
      <c r="AQ831" s="358"/>
      <c r="AR831" s="592"/>
      <c r="AS831" s="592"/>
      <c r="AT831" s="592"/>
      <c r="AU831" s="592"/>
      <c r="AV831" s="592"/>
      <c r="AW831" s="592"/>
      <c r="AX831" s="592"/>
      <c r="AY831" s="592"/>
      <c r="AZ831" s="592"/>
      <c r="BA831" s="617"/>
      <c r="BB831" s="592"/>
      <c r="BC831" s="592"/>
      <c r="BD831" s="592"/>
      <c r="BE831" s="592"/>
      <c r="BF831" s="592"/>
      <c r="BG831" s="358"/>
      <c r="BH831" s="592"/>
      <c r="BI831" s="592"/>
      <c r="BJ831" s="592"/>
      <c r="BK831" s="592"/>
      <c r="BL831" s="592"/>
      <c r="BM831" s="592"/>
      <c r="BN831" s="592"/>
      <c r="BO831" s="592"/>
      <c r="BP831" s="592"/>
      <c r="BQ831" s="594"/>
      <c r="BR831" s="594"/>
      <c r="BS831" s="394"/>
      <c r="BT831" s="594"/>
      <c r="BU831" s="594"/>
      <c r="BV831" s="594"/>
      <c r="BW831" s="618"/>
      <c r="BX831" s="644"/>
      <c r="BY831" s="644"/>
    </row>
    <row r="832" ht="25.5" customHeight="1">
      <c r="A832" s="635"/>
      <c r="B832" s="695"/>
      <c r="C832" s="642"/>
      <c r="D832" s="642"/>
      <c r="E832" s="696"/>
      <c r="F832" s="696"/>
      <c r="G832" s="621"/>
      <c r="H832" s="577"/>
      <c r="I832" s="577"/>
      <c r="J832" s="613"/>
      <c r="K832" s="581"/>
      <c r="L832" s="581"/>
      <c r="M832" s="613"/>
      <c r="N832" s="613"/>
      <c r="O832" s="613"/>
      <c r="P832" s="580"/>
      <c r="Q832" s="580"/>
      <c r="R832" s="581"/>
      <c r="S832" s="581"/>
      <c r="T832" s="581"/>
      <c r="U832" s="582"/>
      <c r="V832" s="614"/>
      <c r="W832" s="581"/>
      <c r="X832" s="615"/>
      <c r="Y832" s="613"/>
      <c r="Z832" s="580"/>
      <c r="AA832" s="634"/>
      <c r="AB832" s="577"/>
      <c r="AC832" s="673"/>
      <c r="AD832" s="634"/>
      <c r="AE832" s="587"/>
      <c r="AF832" s="587"/>
      <c r="AG832" s="582"/>
      <c r="AH832" s="582"/>
      <c r="AI832" s="582"/>
      <c r="AJ832" s="582"/>
      <c r="AK832" s="588"/>
      <c r="AL832" s="582"/>
      <c r="AM832" s="582"/>
      <c r="AN832" s="589"/>
      <c r="AO832" s="616"/>
      <c r="AP832" s="592"/>
      <c r="AQ832" s="358"/>
      <c r="AR832" s="592"/>
      <c r="AS832" s="592"/>
      <c r="AT832" s="592"/>
      <c r="AU832" s="592"/>
      <c r="AV832" s="592"/>
      <c r="AW832" s="592"/>
      <c r="AX832" s="592"/>
      <c r="AY832" s="592"/>
      <c r="AZ832" s="592"/>
      <c r="BA832" s="617"/>
      <c r="BB832" s="592"/>
      <c r="BC832" s="592"/>
      <c r="BD832" s="592"/>
      <c r="BE832" s="592"/>
      <c r="BF832" s="592"/>
      <c r="BG832" s="358"/>
      <c r="BH832" s="592"/>
      <c r="BI832" s="592"/>
      <c r="BJ832" s="592"/>
      <c r="BK832" s="592"/>
      <c r="BL832" s="592"/>
      <c r="BM832" s="592"/>
      <c r="BN832" s="592"/>
      <c r="BO832" s="592"/>
      <c r="BP832" s="592"/>
      <c r="BQ832" s="594"/>
      <c r="BR832" s="594"/>
      <c r="BS832" s="394"/>
      <c r="BT832" s="594"/>
      <c r="BU832" s="594"/>
      <c r="BV832" s="594"/>
      <c r="BW832" s="618"/>
      <c r="BX832" s="644"/>
      <c r="BY832" s="644"/>
    </row>
    <row r="833" ht="25.5" customHeight="1">
      <c r="A833" s="635"/>
      <c r="B833" s="695"/>
      <c r="C833" s="642"/>
      <c r="D833" s="642"/>
      <c r="E833" s="696"/>
      <c r="F833" s="696"/>
      <c r="G833" s="621"/>
      <c r="H833" s="577"/>
      <c r="I833" s="577"/>
      <c r="J833" s="613"/>
      <c r="K833" s="581"/>
      <c r="L833" s="581"/>
      <c r="M833" s="613"/>
      <c r="N833" s="613"/>
      <c r="O833" s="613"/>
      <c r="P833" s="580"/>
      <c r="Q833" s="580"/>
      <c r="R833" s="581"/>
      <c r="S833" s="581"/>
      <c r="T833" s="581"/>
      <c r="U833" s="582"/>
      <c r="V833" s="614"/>
      <c r="W833" s="581"/>
      <c r="X833" s="615"/>
      <c r="Y833" s="613"/>
      <c r="Z833" s="580"/>
      <c r="AA833" s="634"/>
      <c r="AB833" s="577"/>
      <c r="AC833" s="673"/>
      <c r="AD833" s="634"/>
      <c r="AE833" s="587"/>
      <c r="AF833" s="587"/>
      <c r="AG833" s="582"/>
      <c r="AH833" s="582"/>
      <c r="AI833" s="582"/>
      <c r="AJ833" s="582"/>
      <c r="AK833" s="588"/>
      <c r="AL833" s="582"/>
      <c r="AM833" s="582"/>
      <c r="AN833" s="589"/>
      <c r="AO833" s="616"/>
      <c r="AP833" s="592"/>
      <c r="AQ833" s="358"/>
      <c r="AR833" s="592"/>
      <c r="AS833" s="592"/>
      <c r="AT833" s="592"/>
      <c r="AU833" s="592"/>
      <c r="AV833" s="592"/>
      <c r="AW833" s="592"/>
      <c r="AX833" s="592"/>
      <c r="AY833" s="592"/>
      <c r="AZ833" s="592"/>
      <c r="BA833" s="617"/>
      <c r="BB833" s="592"/>
      <c r="BC833" s="592"/>
      <c r="BD833" s="592"/>
      <c r="BE833" s="592"/>
      <c r="BF833" s="592"/>
      <c r="BG833" s="358"/>
      <c r="BH833" s="592"/>
      <c r="BI833" s="592"/>
      <c r="BJ833" s="592"/>
      <c r="BK833" s="592"/>
      <c r="BL833" s="592"/>
      <c r="BM833" s="592"/>
      <c r="BN833" s="592"/>
      <c r="BO833" s="592"/>
      <c r="BP833" s="592"/>
      <c r="BQ833" s="594"/>
      <c r="BR833" s="594"/>
      <c r="BS833" s="394"/>
      <c r="BT833" s="594"/>
      <c r="BU833" s="594"/>
      <c r="BV833" s="594"/>
      <c r="BW833" s="618"/>
      <c r="BX833" s="644"/>
      <c r="BY833" s="644"/>
    </row>
    <row r="834" ht="25.5" customHeight="1">
      <c r="A834" s="635"/>
      <c r="B834" s="695"/>
      <c r="C834" s="642"/>
      <c r="D834" s="642"/>
      <c r="E834" s="696"/>
      <c r="F834" s="696"/>
      <c r="G834" s="621"/>
      <c r="H834" s="577"/>
      <c r="I834" s="577"/>
      <c r="J834" s="613"/>
      <c r="K834" s="581"/>
      <c r="L834" s="581"/>
      <c r="M834" s="613"/>
      <c r="N834" s="613"/>
      <c r="O834" s="613"/>
      <c r="P834" s="580"/>
      <c r="Q834" s="580"/>
      <c r="R834" s="581"/>
      <c r="S834" s="581"/>
      <c r="T834" s="581"/>
      <c r="U834" s="582"/>
      <c r="V834" s="614"/>
      <c r="W834" s="581"/>
      <c r="X834" s="615"/>
      <c r="Y834" s="613"/>
      <c r="Z834" s="580"/>
      <c r="AA834" s="634"/>
      <c r="AB834" s="577"/>
      <c r="AC834" s="673"/>
      <c r="AD834" s="634"/>
      <c r="AE834" s="587"/>
      <c r="AF834" s="587"/>
      <c r="AG834" s="582"/>
      <c r="AH834" s="582"/>
      <c r="AI834" s="582"/>
      <c r="AJ834" s="582"/>
      <c r="AK834" s="588"/>
      <c r="AL834" s="582"/>
      <c r="AM834" s="582"/>
      <c r="AN834" s="589"/>
      <c r="AO834" s="616"/>
      <c r="AP834" s="592"/>
      <c r="AQ834" s="358"/>
      <c r="AR834" s="592"/>
      <c r="AS834" s="592"/>
      <c r="AT834" s="592"/>
      <c r="AU834" s="592"/>
      <c r="AV834" s="592"/>
      <c r="AW834" s="592"/>
      <c r="AX834" s="592"/>
      <c r="AY834" s="592"/>
      <c r="AZ834" s="592"/>
      <c r="BA834" s="617"/>
      <c r="BB834" s="592"/>
      <c r="BC834" s="592"/>
      <c r="BD834" s="592"/>
      <c r="BE834" s="592"/>
      <c r="BF834" s="592"/>
      <c r="BG834" s="358"/>
      <c r="BH834" s="592"/>
      <c r="BI834" s="592"/>
      <c r="BJ834" s="592"/>
      <c r="BK834" s="592"/>
      <c r="BL834" s="592"/>
      <c r="BM834" s="592"/>
      <c r="BN834" s="592"/>
      <c r="BO834" s="592"/>
      <c r="BP834" s="592"/>
      <c r="BQ834" s="594"/>
      <c r="BR834" s="594"/>
      <c r="BS834" s="394"/>
      <c r="BT834" s="594"/>
      <c r="BU834" s="594"/>
      <c r="BV834" s="594"/>
      <c r="BW834" s="618"/>
      <c r="BX834" s="644"/>
      <c r="BY834" s="644"/>
    </row>
    <row r="835" ht="25.5" customHeight="1">
      <c r="A835" s="635"/>
      <c r="B835" s="695"/>
      <c r="C835" s="642"/>
      <c r="D835" s="642"/>
      <c r="E835" s="696"/>
      <c r="F835" s="696"/>
      <c r="G835" s="621"/>
      <c r="H835" s="577"/>
      <c r="I835" s="577"/>
      <c r="J835" s="613"/>
      <c r="K835" s="581"/>
      <c r="L835" s="581"/>
      <c r="M835" s="613"/>
      <c r="N835" s="613"/>
      <c r="O835" s="613"/>
      <c r="P835" s="580"/>
      <c r="Q835" s="580"/>
      <c r="R835" s="581"/>
      <c r="S835" s="581"/>
      <c r="T835" s="581"/>
      <c r="U835" s="582"/>
      <c r="V835" s="614"/>
      <c r="W835" s="581"/>
      <c r="X835" s="615"/>
      <c r="Y835" s="613"/>
      <c r="Z835" s="580"/>
      <c r="AA835" s="634"/>
      <c r="AB835" s="577"/>
      <c r="AC835" s="673"/>
      <c r="AD835" s="634"/>
      <c r="AE835" s="587"/>
      <c r="AF835" s="587"/>
      <c r="AG835" s="582"/>
      <c r="AH835" s="582"/>
      <c r="AI835" s="582"/>
      <c r="AJ835" s="582"/>
      <c r="AK835" s="588"/>
      <c r="AL835" s="582"/>
      <c r="AM835" s="582"/>
      <c r="AN835" s="589"/>
      <c r="AO835" s="616"/>
      <c r="AP835" s="592"/>
      <c r="AQ835" s="358"/>
      <c r="AR835" s="592"/>
      <c r="AS835" s="592"/>
      <c r="AT835" s="592"/>
      <c r="AU835" s="592"/>
      <c r="AV835" s="592"/>
      <c r="AW835" s="592"/>
      <c r="AX835" s="592"/>
      <c r="AY835" s="592"/>
      <c r="AZ835" s="592"/>
      <c r="BA835" s="617"/>
      <c r="BB835" s="592"/>
      <c r="BC835" s="592"/>
      <c r="BD835" s="592"/>
      <c r="BE835" s="592"/>
      <c r="BF835" s="592"/>
      <c r="BG835" s="358"/>
      <c r="BH835" s="592"/>
      <c r="BI835" s="592"/>
      <c r="BJ835" s="592"/>
      <c r="BK835" s="592"/>
      <c r="BL835" s="592"/>
      <c r="BM835" s="592"/>
      <c r="BN835" s="592"/>
      <c r="BO835" s="592"/>
      <c r="BP835" s="592"/>
      <c r="BQ835" s="594"/>
      <c r="BR835" s="594"/>
      <c r="BS835" s="394"/>
      <c r="BT835" s="594"/>
      <c r="BU835" s="594"/>
      <c r="BV835" s="594"/>
      <c r="BW835" s="618"/>
      <c r="BX835" s="644"/>
      <c r="BY835" s="644"/>
    </row>
    <row r="836" ht="25.5" customHeight="1">
      <c r="A836" s="635"/>
      <c r="B836" s="695"/>
      <c r="C836" s="642"/>
      <c r="D836" s="642"/>
      <c r="E836" s="696"/>
      <c r="F836" s="696"/>
      <c r="G836" s="621"/>
      <c r="H836" s="577"/>
      <c r="I836" s="577"/>
      <c r="J836" s="613"/>
      <c r="K836" s="581"/>
      <c r="L836" s="581"/>
      <c r="M836" s="613"/>
      <c r="N836" s="613"/>
      <c r="O836" s="613"/>
      <c r="P836" s="580"/>
      <c r="Q836" s="580"/>
      <c r="R836" s="581"/>
      <c r="S836" s="581"/>
      <c r="T836" s="581"/>
      <c r="U836" s="582"/>
      <c r="V836" s="614"/>
      <c r="W836" s="581"/>
      <c r="X836" s="615"/>
      <c r="Y836" s="613"/>
      <c r="Z836" s="580"/>
      <c r="AA836" s="634"/>
      <c r="AB836" s="577"/>
      <c r="AC836" s="673"/>
      <c r="AD836" s="634"/>
      <c r="AE836" s="587"/>
      <c r="AF836" s="587"/>
      <c r="AG836" s="582"/>
      <c r="AH836" s="582"/>
      <c r="AI836" s="582"/>
      <c r="AJ836" s="582"/>
      <c r="AK836" s="588"/>
      <c r="AL836" s="582"/>
      <c r="AM836" s="582"/>
      <c r="AN836" s="589"/>
      <c r="AO836" s="616"/>
      <c r="AP836" s="592"/>
      <c r="AQ836" s="358"/>
      <c r="AR836" s="592"/>
      <c r="AS836" s="592"/>
      <c r="AT836" s="592"/>
      <c r="AU836" s="592"/>
      <c r="AV836" s="592"/>
      <c r="AW836" s="592"/>
      <c r="AX836" s="592"/>
      <c r="AY836" s="592"/>
      <c r="AZ836" s="592"/>
      <c r="BA836" s="617"/>
      <c r="BB836" s="592"/>
      <c r="BC836" s="592"/>
      <c r="BD836" s="592"/>
      <c r="BE836" s="592"/>
      <c r="BF836" s="592"/>
      <c r="BG836" s="358"/>
      <c r="BH836" s="592"/>
      <c r="BI836" s="592"/>
      <c r="BJ836" s="592"/>
      <c r="BK836" s="592"/>
      <c r="BL836" s="592"/>
      <c r="BM836" s="592"/>
      <c r="BN836" s="592"/>
      <c r="BO836" s="592"/>
      <c r="BP836" s="592"/>
      <c r="BQ836" s="594"/>
      <c r="BR836" s="594"/>
      <c r="BS836" s="394"/>
      <c r="BT836" s="594"/>
      <c r="BU836" s="594"/>
      <c r="BV836" s="594"/>
      <c r="BW836" s="618"/>
      <c r="BX836" s="644"/>
      <c r="BY836" s="644"/>
    </row>
    <row r="837" ht="25.5" customHeight="1">
      <c r="A837" s="635"/>
      <c r="B837" s="695"/>
      <c r="C837" s="642"/>
      <c r="D837" s="642"/>
      <c r="E837" s="696"/>
      <c r="F837" s="696"/>
      <c r="G837" s="621"/>
      <c r="H837" s="577"/>
      <c r="I837" s="577"/>
      <c r="J837" s="613"/>
      <c r="K837" s="581"/>
      <c r="L837" s="581"/>
      <c r="M837" s="613"/>
      <c r="N837" s="613"/>
      <c r="O837" s="613"/>
      <c r="P837" s="580"/>
      <c r="Q837" s="580"/>
      <c r="R837" s="581"/>
      <c r="S837" s="581"/>
      <c r="T837" s="581"/>
      <c r="U837" s="582"/>
      <c r="V837" s="614"/>
      <c r="W837" s="581"/>
      <c r="X837" s="615"/>
      <c r="Y837" s="613"/>
      <c r="Z837" s="580"/>
      <c r="AA837" s="634"/>
      <c r="AB837" s="577"/>
      <c r="AC837" s="673"/>
      <c r="AD837" s="634"/>
      <c r="AE837" s="587"/>
      <c r="AF837" s="587"/>
      <c r="AG837" s="582"/>
      <c r="AH837" s="582"/>
      <c r="AI837" s="582"/>
      <c r="AJ837" s="582"/>
      <c r="AK837" s="588"/>
      <c r="AL837" s="582"/>
      <c r="AM837" s="582"/>
      <c r="AN837" s="589"/>
      <c r="AO837" s="616"/>
      <c r="AP837" s="592"/>
      <c r="AQ837" s="358"/>
      <c r="AR837" s="592"/>
      <c r="AS837" s="592"/>
      <c r="AT837" s="592"/>
      <c r="AU837" s="592"/>
      <c r="AV837" s="592"/>
      <c r="AW837" s="592"/>
      <c r="AX837" s="592"/>
      <c r="AY837" s="592"/>
      <c r="AZ837" s="592"/>
      <c r="BA837" s="617"/>
      <c r="BB837" s="592"/>
      <c r="BC837" s="592"/>
      <c r="BD837" s="592"/>
      <c r="BE837" s="592"/>
      <c r="BF837" s="592"/>
      <c r="BG837" s="358"/>
      <c r="BH837" s="592"/>
      <c r="BI837" s="592"/>
      <c r="BJ837" s="592"/>
      <c r="BK837" s="592"/>
      <c r="BL837" s="592"/>
      <c r="BM837" s="592"/>
      <c r="BN837" s="592"/>
      <c r="BO837" s="592"/>
      <c r="BP837" s="592"/>
      <c r="BQ837" s="594"/>
      <c r="BR837" s="594"/>
      <c r="BS837" s="394"/>
      <c r="BT837" s="594"/>
      <c r="BU837" s="594"/>
      <c r="BV837" s="594"/>
      <c r="BW837" s="618"/>
      <c r="BX837" s="644"/>
      <c r="BY837" s="644"/>
    </row>
    <row r="838" ht="25.5" customHeight="1">
      <c r="A838" s="635"/>
      <c r="B838" s="695"/>
      <c r="C838" s="642"/>
      <c r="D838" s="642"/>
      <c r="E838" s="696"/>
      <c r="F838" s="696"/>
      <c r="G838" s="621"/>
      <c r="H838" s="577"/>
      <c r="I838" s="577"/>
      <c r="J838" s="613"/>
      <c r="K838" s="581"/>
      <c r="L838" s="581"/>
      <c r="M838" s="613"/>
      <c r="N838" s="613"/>
      <c r="O838" s="613"/>
      <c r="P838" s="580"/>
      <c r="Q838" s="580"/>
      <c r="R838" s="581"/>
      <c r="S838" s="581"/>
      <c r="T838" s="581"/>
      <c r="U838" s="582"/>
      <c r="V838" s="614"/>
      <c r="W838" s="581"/>
      <c r="X838" s="615"/>
      <c r="Y838" s="613"/>
      <c r="Z838" s="580"/>
      <c r="AA838" s="634"/>
      <c r="AB838" s="577"/>
      <c r="AC838" s="673"/>
      <c r="AD838" s="634"/>
      <c r="AE838" s="587"/>
      <c r="AF838" s="587"/>
      <c r="AG838" s="582"/>
      <c r="AH838" s="582"/>
      <c r="AI838" s="582"/>
      <c r="AJ838" s="582"/>
      <c r="AK838" s="588"/>
      <c r="AL838" s="582"/>
      <c r="AM838" s="582"/>
      <c r="AN838" s="589"/>
      <c r="AO838" s="616"/>
      <c r="AP838" s="592"/>
      <c r="AQ838" s="358"/>
      <c r="AR838" s="592"/>
      <c r="AS838" s="592"/>
      <c r="AT838" s="592"/>
      <c r="AU838" s="592"/>
      <c r="AV838" s="592"/>
      <c r="AW838" s="592"/>
      <c r="AX838" s="592"/>
      <c r="AY838" s="592"/>
      <c r="AZ838" s="592"/>
      <c r="BA838" s="617"/>
      <c r="BB838" s="592"/>
      <c r="BC838" s="592"/>
      <c r="BD838" s="592"/>
      <c r="BE838" s="592"/>
      <c r="BF838" s="592"/>
      <c r="BG838" s="358"/>
      <c r="BH838" s="592"/>
      <c r="BI838" s="592"/>
      <c r="BJ838" s="592"/>
      <c r="BK838" s="592"/>
      <c r="BL838" s="592"/>
      <c r="BM838" s="592"/>
      <c r="BN838" s="592"/>
      <c r="BO838" s="592"/>
      <c r="BP838" s="592"/>
      <c r="BQ838" s="594"/>
      <c r="BR838" s="594"/>
      <c r="BS838" s="394"/>
      <c r="BT838" s="594"/>
      <c r="BU838" s="594"/>
      <c r="BV838" s="594"/>
      <c r="BW838" s="618"/>
      <c r="BX838" s="644"/>
      <c r="BY838" s="644"/>
    </row>
    <row r="839" ht="25.5" customHeight="1">
      <c r="A839" s="635"/>
      <c r="B839" s="695"/>
      <c r="C839" s="642"/>
      <c r="D839" s="642"/>
      <c r="E839" s="696"/>
      <c r="F839" s="696"/>
      <c r="G839" s="621"/>
      <c r="H839" s="577"/>
      <c r="I839" s="577"/>
      <c r="J839" s="613"/>
      <c r="K839" s="581"/>
      <c r="L839" s="581"/>
      <c r="M839" s="613"/>
      <c r="N839" s="613"/>
      <c r="O839" s="613"/>
      <c r="P839" s="580"/>
      <c r="Q839" s="580"/>
      <c r="R839" s="581"/>
      <c r="S839" s="581"/>
      <c r="T839" s="581"/>
      <c r="U839" s="582"/>
      <c r="V839" s="614"/>
      <c r="W839" s="581"/>
      <c r="X839" s="615"/>
      <c r="Y839" s="613"/>
      <c r="Z839" s="580"/>
      <c r="AA839" s="634"/>
      <c r="AB839" s="577"/>
      <c r="AC839" s="673"/>
      <c r="AD839" s="634"/>
      <c r="AE839" s="587"/>
      <c r="AF839" s="587"/>
      <c r="AG839" s="582"/>
      <c r="AH839" s="582"/>
      <c r="AI839" s="582"/>
      <c r="AJ839" s="582"/>
      <c r="AK839" s="588"/>
      <c r="AL839" s="582"/>
      <c r="AM839" s="582"/>
      <c r="AN839" s="589"/>
      <c r="AO839" s="616"/>
      <c r="AP839" s="592"/>
      <c r="AQ839" s="358"/>
      <c r="AR839" s="592"/>
      <c r="AS839" s="592"/>
      <c r="AT839" s="592"/>
      <c r="AU839" s="592"/>
      <c r="AV839" s="592"/>
      <c r="AW839" s="592"/>
      <c r="AX839" s="592"/>
      <c r="AY839" s="592"/>
      <c r="AZ839" s="592"/>
      <c r="BA839" s="617"/>
      <c r="BB839" s="592"/>
      <c r="BC839" s="592"/>
      <c r="BD839" s="592"/>
      <c r="BE839" s="592"/>
      <c r="BF839" s="592"/>
      <c r="BG839" s="358"/>
      <c r="BH839" s="592"/>
      <c r="BI839" s="592"/>
      <c r="BJ839" s="592"/>
      <c r="BK839" s="592"/>
      <c r="BL839" s="592"/>
      <c r="BM839" s="592"/>
      <c r="BN839" s="592"/>
      <c r="BO839" s="592"/>
      <c r="BP839" s="592"/>
      <c r="BQ839" s="594"/>
      <c r="BR839" s="594"/>
      <c r="BS839" s="394"/>
      <c r="BT839" s="594"/>
      <c r="BU839" s="594"/>
      <c r="BV839" s="594"/>
      <c r="BW839" s="618"/>
      <c r="BX839" s="644"/>
      <c r="BY839" s="644"/>
    </row>
    <row r="840" ht="25.5" customHeight="1">
      <c r="A840" s="635"/>
      <c r="B840" s="695"/>
      <c r="C840" s="642"/>
      <c r="D840" s="642"/>
      <c r="E840" s="696"/>
      <c r="F840" s="696"/>
      <c r="G840" s="621"/>
      <c r="H840" s="577"/>
      <c r="I840" s="577"/>
      <c r="J840" s="613"/>
      <c r="K840" s="581"/>
      <c r="L840" s="581"/>
      <c r="M840" s="613"/>
      <c r="N840" s="613"/>
      <c r="O840" s="613"/>
      <c r="P840" s="580"/>
      <c r="Q840" s="580"/>
      <c r="R840" s="581"/>
      <c r="S840" s="581"/>
      <c r="T840" s="581"/>
      <c r="U840" s="582"/>
      <c r="V840" s="614"/>
      <c r="W840" s="581"/>
      <c r="X840" s="615"/>
      <c r="Y840" s="613"/>
      <c r="Z840" s="580"/>
      <c r="AA840" s="634"/>
      <c r="AB840" s="577"/>
      <c r="AC840" s="673"/>
      <c r="AD840" s="634"/>
      <c r="AE840" s="587"/>
      <c r="AF840" s="587"/>
      <c r="AG840" s="582"/>
      <c r="AH840" s="582"/>
      <c r="AI840" s="582"/>
      <c r="AJ840" s="582"/>
      <c r="AK840" s="588"/>
      <c r="AL840" s="582"/>
      <c r="AM840" s="582"/>
      <c r="AN840" s="589"/>
      <c r="AO840" s="616"/>
      <c r="AP840" s="592"/>
      <c r="AQ840" s="358"/>
      <c r="AR840" s="592"/>
      <c r="AS840" s="592"/>
      <c r="AT840" s="592"/>
      <c r="AU840" s="592"/>
      <c r="AV840" s="592"/>
      <c r="AW840" s="592"/>
      <c r="AX840" s="592"/>
      <c r="AY840" s="592"/>
      <c r="AZ840" s="592"/>
      <c r="BA840" s="617"/>
      <c r="BB840" s="592"/>
      <c r="BC840" s="592"/>
      <c r="BD840" s="592"/>
      <c r="BE840" s="592"/>
      <c r="BF840" s="592"/>
      <c r="BG840" s="358"/>
      <c r="BH840" s="592"/>
      <c r="BI840" s="592"/>
      <c r="BJ840" s="592"/>
      <c r="BK840" s="592"/>
      <c r="BL840" s="592"/>
      <c r="BM840" s="592"/>
      <c r="BN840" s="592"/>
      <c r="BO840" s="592"/>
      <c r="BP840" s="592"/>
      <c r="BQ840" s="594"/>
      <c r="BR840" s="594"/>
      <c r="BS840" s="394"/>
      <c r="BT840" s="594"/>
      <c r="BU840" s="594"/>
      <c r="BV840" s="594"/>
      <c r="BW840" s="618"/>
      <c r="BX840" s="644"/>
      <c r="BY840" s="644"/>
    </row>
    <row r="841" ht="25.5" customHeight="1">
      <c r="A841" s="635"/>
      <c r="B841" s="695"/>
      <c r="C841" s="642"/>
      <c r="D841" s="642"/>
      <c r="E841" s="696"/>
      <c r="F841" s="696"/>
      <c r="G841" s="621"/>
      <c r="H841" s="577"/>
      <c r="I841" s="577"/>
      <c r="J841" s="613"/>
      <c r="K841" s="581"/>
      <c r="L841" s="581"/>
      <c r="M841" s="613"/>
      <c r="N841" s="613"/>
      <c r="O841" s="613"/>
      <c r="P841" s="580"/>
      <c r="Q841" s="580"/>
      <c r="R841" s="581"/>
      <c r="S841" s="581"/>
      <c r="T841" s="581"/>
      <c r="U841" s="582"/>
      <c r="V841" s="614"/>
      <c r="W841" s="581"/>
      <c r="X841" s="615"/>
      <c r="Y841" s="613"/>
      <c r="Z841" s="580"/>
      <c r="AA841" s="634"/>
      <c r="AB841" s="577"/>
      <c r="AC841" s="673"/>
      <c r="AD841" s="634"/>
      <c r="AE841" s="587"/>
      <c r="AF841" s="587"/>
      <c r="AG841" s="582"/>
      <c r="AH841" s="582"/>
      <c r="AI841" s="582"/>
      <c r="AJ841" s="582"/>
      <c r="AK841" s="588"/>
      <c r="AL841" s="582"/>
      <c r="AM841" s="582"/>
      <c r="AN841" s="589"/>
      <c r="AO841" s="616"/>
      <c r="AP841" s="592"/>
      <c r="AQ841" s="358"/>
      <c r="AR841" s="592"/>
      <c r="AS841" s="592"/>
      <c r="AT841" s="592"/>
      <c r="AU841" s="592"/>
      <c r="AV841" s="592"/>
      <c r="AW841" s="592"/>
      <c r="AX841" s="592"/>
      <c r="AY841" s="592"/>
      <c r="AZ841" s="592"/>
      <c r="BA841" s="617"/>
      <c r="BB841" s="592"/>
      <c r="BC841" s="592"/>
      <c r="BD841" s="592"/>
      <c r="BE841" s="592"/>
      <c r="BF841" s="592"/>
      <c r="BG841" s="358"/>
      <c r="BH841" s="592"/>
      <c r="BI841" s="592"/>
      <c r="BJ841" s="592"/>
      <c r="BK841" s="592"/>
      <c r="BL841" s="592"/>
      <c r="BM841" s="592"/>
      <c r="BN841" s="592"/>
      <c r="BO841" s="592"/>
      <c r="BP841" s="592"/>
      <c r="BQ841" s="594"/>
      <c r="BR841" s="594"/>
      <c r="BS841" s="394"/>
      <c r="BT841" s="594"/>
      <c r="BU841" s="594"/>
      <c r="BV841" s="594"/>
      <c r="BW841" s="618"/>
      <c r="BX841" s="644"/>
      <c r="BY841" s="644"/>
    </row>
    <row r="842" ht="25.5" customHeight="1">
      <c r="A842" s="635"/>
      <c r="B842" s="695"/>
      <c r="C842" s="642"/>
      <c r="D842" s="642"/>
      <c r="E842" s="696"/>
      <c r="F842" s="696"/>
      <c r="G842" s="621"/>
      <c r="H842" s="577"/>
      <c r="I842" s="577"/>
      <c r="J842" s="613"/>
      <c r="K842" s="581"/>
      <c r="L842" s="581"/>
      <c r="M842" s="613"/>
      <c r="N842" s="613"/>
      <c r="O842" s="613"/>
      <c r="P842" s="580"/>
      <c r="Q842" s="580"/>
      <c r="R842" s="581"/>
      <c r="S842" s="581"/>
      <c r="T842" s="581"/>
      <c r="U842" s="582"/>
      <c r="V842" s="614"/>
      <c r="W842" s="581"/>
      <c r="X842" s="615"/>
      <c r="Y842" s="613"/>
      <c r="Z842" s="580"/>
      <c r="AA842" s="634"/>
      <c r="AB842" s="577"/>
      <c r="AC842" s="673"/>
      <c r="AD842" s="634"/>
      <c r="AE842" s="587"/>
      <c r="AF842" s="587"/>
      <c r="AG842" s="582"/>
      <c r="AH842" s="582"/>
      <c r="AI842" s="582"/>
      <c r="AJ842" s="582"/>
      <c r="AK842" s="588"/>
      <c r="AL842" s="582"/>
      <c r="AM842" s="582"/>
      <c r="AN842" s="589"/>
      <c r="AO842" s="616"/>
      <c r="AP842" s="592"/>
      <c r="AQ842" s="358"/>
      <c r="AR842" s="592"/>
      <c r="AS842" s="592"/>
      <c r="AT842" s="592"/>
      <c r="AU842" s="592"/>
      <c r="AV842" s="592"/>
      <c r="AW842" s="592"/>
      <c r="AX842" s="592"/>
      <c r="AY842" s="592"/>
      <c r="AZ842" s="592"/>
      <c r="BA842" s="617"/>
      <c r="BB842" s="592"/>
      <c r="BC842" s="592"/>
      <c r="BD842" s="592"/>
      <c r="BE842" s="592"/>
      <c r="BF842" s="592"/>
      <c r="BG842" s="358"/>
      <c r="BH842" s="592"/>
      <c r="BI842" s="592"/>
      <c r="BJ842" s="592"/>
      <c r="BK842" s="592"/>
      <c r="BL842" s="592"/>
      <c r="BM842" s="592"/>
      <c r="BN842" s="592"/>
      <c r="BO842" s="592"/>
      <c r="BP842" s="592"/>
      <c r="BQ842" s="594"/>
      <c r="BR842" s="594"/>
      <c r="BS842" s="394"/>
      <c r="BT842" s="594"/>
      <c r="BU842" s="594"/>
      <c r="BV842" s="594"/>
      <c r="BW842" s="618"/>
      <c r="BX842" s="644"/>
      <c r="BY842" s="644"/>
    </row>
    <row r="843" ht="25.5" customHeight="1">
      <c r="A843" s="635"/>
      <c r="B843" s="695"/>
      <c r="C843" s="642"/>
      <c r="D843" s="642"/>
      <c r="E843" s="696"/>
      <c r="F843" s="696"/>
      <c r="G843" s="621"/>
      <c r="H843" s="577"/>
      <c r="I843" s="577"/>
      <c r="J843" s="613"/>
      <c r="K843" s="581"/>
      <c r="L843" s="581"/>
      <c r="M843" s="613"/>
      <c r="N843" s="613"/>
      <c r="O843" s="613"/>
      <c r="P843" s="580"/>
      <c r="Q843" s="580"/>
      <c r="R843" s="581"/>
      <c r="S843" s="581"/>
      <c r="T843" s="581"/>
      <c r="U843" s="582"/>
      <c r="V843" s="614"/>
      <c r="W843" s="581"/>
      <c r="X843" s="615"/>
      <c r="Y843" s="613"/>
      <c r="Z843" s="580"/>
      <c r="AA843" s="634"/>
      <c r="AB843" s="577"/>
      <c r="AC843" s="673"/>
      <c r="AD843" s="634"/>
      <c r="AE843" s="587"/>
      <c r="AF843" s="587"/>
      <c r="AG843" s="582"/>
      <c r="AH843" s="582"/>
      <c r="AI843" s="582"/>
      <c r="AJ843" s="582"/>
      <c r="AK843" s="588"/>
      <c r="AL843" s="582"/>
      <c r="AM843" s="582"/>
      <c r="AN843" s="589"/>
      <c r="AO843" s="616"/>
      <c r="AP843" s="592"/>
      <c r="AQ843" s="358"/>
      <c r="AR843" s="592"/>
      <c r="AS843" s="592"/>
      <c r="AT843" s="592"/>
      <c r="AU843" s="592"/>
      <c r="AV843" s="592"/>
      <c r="AW843" s="592"/>
      <c r="AX843" s="592"/>
      <c r="AY843" s="592"/>
      <c r="AZ843" s="592"/>
      <c r="BA843" s="617"/>
      <c r="BB843" s="592"/>
      <c r="BC843" s="592"/>
      <c r="BD843" s="592"/>
      <c r="BE843" s="592"/>
      <c r="BF843" s="592"/>
      <c r="BG843" s="358"/>
      <c r="BH843" s="592"/>
      <c r="BI843" s="592"/>
      <c r="BJ843" s="592"/>
      <c r="BK843" s="592"/>
      <c r="BL843" s="592"/>
      <c r="BM843" s="592"/>
      <c r="BN843" s="592"/>
      <c r="BO843" s="592"/>
      <c r="BP843" s="592"/>
      <c r="BQ843" s="594"/>
      <c r="BR843" s="594"/>
      <c r="BS843" s="394"/>
      <c r="BT843" s="594"/>
      <c r="BU843" s="594"/>
      <c r="BV843" s="594"/>
      <c r="BW843" s="618"/>
      <c r="BX843" s="644"/>
      <c r="BY843" s="644"/>
    </row>
    <row r="844" ht="25.5" customHeight="1">
      <c r="A844" s="635"/>
      <c r="B844" s="695"/>
      <c r="C844" s="642"/>
      <c r="D844" s="642"/>
      <c r="E844" s="696"/>
      <c r="F844" s="696"/>
      <c r="G844" s="621"/>
      <c r="H844" s="577"/>
      <c r="I844" s="577"/>
      <c r="J844" s="613"/>
      <c r="K844" s="581"/>
      <c r="L844" s="581"/>
      <c r="M844" s="613"/>
      <c r="N844" s="613"/>
      <c r="O844" s="613"/>
      <c r="P844" s="580"/>
      <c r="Q844" s="580"/>
      <c r="R844" s="581"/>
      <c r="S844" s="581"/>
      <c r="T844" s="581"/>
      <c r="U844" s="582"/>
      <c r="V844" s="614"/>
      <c r="W844" s="581"/>
      <c r="X844" s="615"/>
      <c r="Y844" s="613"/>
      <c r="Z844" s="580"/>
      <c r="AA844" s="634"/>
      <c r="AB844" s="577"/>
      <c r="AC844" s="673"/>
      <c r="AD844" s="634"/>
      <c r="AE844" s="587"/>
      <c r="AF844" s="587"/>
      <c r="AG844" s="582"/>
      <c r="AH844" s="582"/>
      <c r="AI844" s="582"/>
      <c r="AJ844" s="582"/>
      <c r="AK844" s="588"/>
      <c r="AL844" s="582"/>
      <c r="AM844" s="582"/>
      <c r="AN844" s="589"/>
      <c r="AO844" s="616"/>
      <c r="AP844" s="592"/>
      <c r="AQ844" s="358"/>
      <c r="AR844" s="592"/>
      <c r="AS844" s="592"/>
      <c r="AT844" s="592"/>
      <c r="AU844" s="592"/>
      <c r="AV844" s="592"/>
      <c r="AW844" s="592"/>
      <c r="AX844" s="592"/>
      <c r="AY844" s="592"/>
      <c r="AZ844" s="592"/>
      <c r="BA844" s="617"/>
      <c r="BB844" s="592"/>
      <c r="BC844" s="592"/>
      <c r="BD844" s="592"/>
      <c r="BE844" s="592"/>
      <c r="BF844" s="592"/>
      <c r="BG844" s="358"/>
      <c r="BH844" s="592"/>
      <c r="BI844" s="592"/>
      <c r="BJ844" s="592"/>
      <c r="BK844" s="592"/>
      <c r="BL844" s="592"/>
      <c r="BM844" s="592"/>
      <c r="BN844" s="592"/>
      <c r="BO844" s="592"/>
      <c r="BP844" s="592"/>
      <c r="BQ844" s="594"/>
      <c r="BR844" s="594"/>
      <c r="BS844" s="394"/>
      <c r="BT844" s="594"/>
      <c r="BU844" s="594"/>
      <c r="BV844" s="594"/>
      <c r="BW844" s="618"/>
      <c r="BX844" s="644"/>
      <c r="BY844" s="644"/>
    </row>
    <row r="845" ht="25.5" customHeight="1">
      <c r="A845" s="635"/>
      <c r="B845" s="695"/>
      <c r="C845" s="642"/>
      <c r="D845" s="642"/>
      <c r="E845" s="696"/>
      <c r="F845" s="696"/>
      <c r="G845" s="621"/>
      <c r="H845" s="577"/>
      <c r="I845" s="577"/>
      <c r="J845" s="613"/>
      <c r="K845" s="581"/>
      <c r="L845" s="581"/>
      <c r="M845" s="613"/>
      <c r="N845" s="613"/>
      <c r="O845" s="613"/>
      <c r="P845" s="580"/>
      <c r="Q845" s="580"/>
      <c r="R845" s="581"/>
      <c r="S845" s="581"/>
      <c r="T845" s="581"/>
      <c r="U845" s="582"/>
      <c r="V845" s="614"/>
      <c r="W845" s="581"/>
      <c r="X845" s="615"/>
      <c r="Y845" s="613"/>
      <c r="Z845" s="580"/>
      <c r="AA845" s="634"/>
      <c r="AB845" s="577"/>
      <c r="AC845" s="673"/>
      <c r="AD845" s="634"/>
      <c r="AE845" s="587"/>
      <c r="AF845" s="587"/>
      <c r="AG845" s="582"/>
      <c r="AH845" s="582"/>
      <c r="AI845" s="582"/>
      <c r="AJ845" s="582"/>
      <c r="AK845" s="588"/>
      <c r="AL845" s="582"/>
      <c r="AM845" s="582"/>
      <c r="AN845" s="589"/>
      <c r="AO845" s="616"/>
      <c r="AP845" s="592"/>
      <c r="AQ845" s="358"/>
      <c r="AR845" s="592"/>
      <c r="AS845" s="592"/>
      <c r="AT845" s="592"/>
      <c r="AU845" s="592"/>
      <c r="AV845" s="592"/>
      <c r="AW845" s="592"/>
      <c r="AX845" s="592"/>
      <c r="AY845" s="592"/>
      <c r="AZ845" s="592"/>
      <c r="BA845" s="617"/>
      <c r="BB845" s="592"/>
      <c r="BC845" s="592"/>
      <c r="BD845" s="592"/>
      <c r="BE845" s="592"/>
      <c r="BF845" s="592"/>
      <c r="BG845" s="358"/>
      <c r="BH845" s="592"/>
      <c r="BI845" s="592"/>
      <c r="BJ845" s="592"/>
      <c r="BK845" s="592"/>
      <c r="BL845" s="592"/>
      <c r="BM845" s="592"/>
      <c r="BN845" s="592"/>
      <c r="BO845" s="592"/>
      <c r="BP845" s="592"/>
      <c r="BQ845" s="594"/>
      <c r="BR845" s="594"/>
      <c r="BS845" s="394"/>
      <c r="BT845" s="594"/>
      <c r="BU845" s="594"/>
      <c r="BV845" s="594"/>
      <c r="BW845" s="618"/>
      <c r="BX845" s="644"/>
      <c r="BY845" s="644"/>
    </row>
    <row r="846" ht="25.5" customHeight="1">
      <c r="A846" s="635"/>
      <c r="B846" s="695"/>
      <c r="C846" s="642"/>
      <c r="D846" s="642"/>
      <c r="E846" s="696"/>
      <c r="F846" s="696"/>
      <c r="G846" s="621"/>
      <c r="H846" s="577"/>
      <c r="I846" s="577"/>
      <c r="J846" s="613"/>
      <c r="K846" s="581"/>
      <c r="L846" s="581"/>
      <c r="M846" s="613"/>
      <c r="N846" s="613"/>
      <c r="O846" s="613"/>
      <c r="P846" s="580"/>
      <c r="Q846" s="580"/>
      <c r="R846" s="581"/>
      <c r="S846" s="581"/>
      <c r="T846" s="581"/>
      <c r="U846" s="582"/>
      <c r="V846" s="614"/>
      <c r="W846" s="581"/>
      <c r="X846" s="615"/>
      <c r="Y846" s="613"/>
      <c r="Z846" s="580"/>
      <c r="AA846" s="634"/>
      <c r="AB846" s="577"/>
      <c r="AC846" s="673"/>
      <c r="AD846" s="634"/>
      <c r="AE846" s="587"/>
      <c r="AF846" s="587"/>
      <c r="AG846" s="582"/>
      <c r="AH846" s="582"/>
      <c r="AI846" s="582"/>
      <c r="AJ846" s="582"/>
      <c r="AK846" s="588"/>
      <c r="AL846" s="582"/>
      <c r="AM846" s="582"/>
      <c r="AN846" s="589"/>
      <c r="AO846" s="616"/>
      <c r="AP846" s="592"/>
      <c r="AQ846" s="358"/>
      <c r="AR846" s="592"/>
      <c r="AS846" s="592"/>
      <c r="AT846" s="592"/>
      <c r="AU846" s="592"/>
      <c r="AV846" s="592"/>
      <c r="AW846" s="592"/>
      <c r="AX846" s="592"/>
      <c r="AY846" s="592"/>
      <c r="AZ846" s="592"/>
      <c r="BA846" s="617"/>
      <c r="BB846" s="592"/>
      <c r="BC846" s="592"/>
      <c r="BD846" s="592"/>
      <c r="BE846" s="592"/>
      <c r="BF846" s="592"/>
      <c r="BG846" s="358"/>
      <c r="BH846" s="592"/>
      <c r="BI846" s="592"/>
      <c r="BJ846" s="592"/>
      <c r="BK846" s="592"/>
      <c r="BL846" s="592"/>
      <c r="BM846" s="592"/>
      <c r="BN846" s="592"/>
      <c r="BO846" s="592"/>
      <c r="BP846" s="592"/>
      <c r="BQ846" s="594"/>
      <c r="BR846" s="594"/>
      <c r="BS846" s="394"/>
      <c r="BT846" s="594"/>
      <c r="BU846" s="594"/>
      <c r="BV846" s="594"/>
      <c r="BW846" s="618"/>
      <c r="BX846" s="644"/>
      <c r="BY846" s="644"/>
    </row>
    <row r="847" ht="25.5" customHeight="1">
      <c r="A847" s="635"/>
      <c r="B847" s="695"/>
      <c r="C847" s="642"/>
      <c r="D847" s="642"/>
      <c r="E847" s="696"/>
      <c r="F847" s="696"/>
      <c r="G847" s="621"/>
      <c r="H847" s="577"/>
      <c r="I847" s="577"/>
      <c r="J847" s="613"/>
      <c r="K847" s="581"/>
      <c r="L847" s="581"/>
      <c r="M847" s="613"/>
      <c r="N847" s="613"/>
      <c r="O847" s="613"/>
      <c r="P847" s="580"/>
      <c r="Q847" s="580"/>
      <c r="R847" s="581"/>
      <c r="S847" s="581"/>
      <c r="T847" s="581"/>
      <c r="U847" s="582"/>
      <c r="V847" s="614"/>
      <c r="W847" s="581"/>
      <c r="X847" s="615"/>
      <c r="Y847" s="613"/>
      <c r="Z847" s="580"/>
      <c r="AA847" s="634"/>
      <c r="AB847" s="577"/>
      <c r="AC847" s="673"/>
      <c r="AD847" s="634"/>
      <c r="AE847" s="587"/>
      <c r="AF847" s="587"/>
      <c r="AG847" s="582"/>
      <c r="AH847" s="582"/>
      <c r="AI847" s="582"/>
      <c r="AJ847" s="582"/>
      <c r="AK847" s="588"/>
      <c r="AL847" s="582"/>
      <c r="AM847" s="582"/>
      <c r="AN847" s="589"/>
      <c r="AO847" s="616"/>
      <c r="AP847" s="592"/>
      <c r="AQ847" s="358"/>
      <c r="AR847" s="592"/>
      <c r="AS847" s="592"/>
      <c r="AT847" s="592"/>
      <c r="AU847" s="592"/>
      <c r="AV847" s="592"/>
      <c r="AW847" s="592"/>
      <c r="AX847" s="592"/>
      <c r="AY847" s="592"/>
      <c r="AZ847" s="592"/>
      <c r="BA847" s="617"/>
      <c r="BB847" s="592"/>
      <c r="BC847" s="592"/>
      <c r="BD847" s="592"/>
      <c r="BE847" s="592"/>
      <c r="BF847" s="592"/>
      <c r="BG847" s="358"/>
      <c r="BH847" s="592"/>
      <c r="BI847" s="592"/>
      <c r="BJ847" s="592"/>
      <c r="BK847" s="592"/>
      <c r="BL847" s="592"/>
      <c r="BM847" s="592"/>
      <c r="BN847" s="592"/>
      <c r="BO847" s="592"/>
      <c r="BP847" s="592"/>
      <c r="BQ847" s="594"/>
      <c r="BR847" s="594"/>
      <c r="BS847" s="394"/>
      <c r="BT847" s="594"/>
      <c r="BU847" s="594"/>
      <c r="BV847" s="594"/>
      <c r="BW847" s="618"/>
      <c r="BX847" s="644"/>
      <c r="BY847" s="644"/>
    </row>
    <row r="848" ht="25.5" customHeight="1">
      <c r="A848" s="635"/>
      <c r="B848" s="695"/>
      <c r="C848" s="642"/>
      <c r="D848" s="642"/>
      <c r="E848" s="696"/>
      <c r="F848" s="696"/>
      <c r="G848" s="621"/>
      <c r="H848" s="577"/>
      <c r="I848" s="577"/>
      <c r="J848" s="613"/>
      <c r="K848" s="581"/>
      <c r="L848" s="581"/>
      <c r="M848" s="613"/>
      <c r="N848" s="613"/>
      <c r="O848" s="613"/>
      <c r="P848" s="580"/>
      <c r="Q848" s="580"/>
      <c r="R848" s="581"/>
      <c r="S848" s="581"/>
      <c r="T848" s="581"/>
      <c r="U848" s="582"/>
      <c r="V848" s="614"/>
      <c r="W848" s="581"/>
      <c r="X848" s="615"/>
      <c r="Y848" s="613"/>
      <c r="Z848" s="580"/>
      <c r="AA848" s="634"/>
      <c r="AB848" s="577"/>
      <c r="AC848" s="673"/>
      <c r="AD848" s="634"/>
      <c r="AE848" s="587"/>
      <c r="AF848" s="587"/>
      <c r="AG848" s="582"/>
      <c r="AH848" s="582"/>
      <c r="AI848" s="582"/>
      <c r="AJ848" s="582"/>
      <c r="AK848" s="588"/>
      <c r="AL848" s="582"/>
      <c r="AM848" s="582"/>
      <c r="AN848" s="589"/>
      <c r="AO848" s="616"/>
      <c r="AP848" s="592"/>
      <c r="AQ848" s="358"/>
      <c r="AR848" s="592"/>
      <c r="AS848" s="592"/>
      <c r="AT848" s="592"/>
      <c r="AU848" s="592"/>
      <c r="AV848" s="592"/>
      <c r="AW848" s="592"/>
      <c r="AX848" s="592"/>
      <c r="AY848" s="592"/>
      <c r="AZ848" s="592"/>
      <c r="BA848" s="617"/>
      <c r="BB848" s="592"/>
      <c r="BC848" s="592"/>
      <c r="BD848" s="592"/>
      <c r="BE848" s="592"/>
      <c r="BF848" s="592"/>
      <c r="BG848" s="358"/>
      <c r="BH848" s="592"/>
      <c r="BI848" s="592"/>
      <c r="BJ848" s="592"/>
      <c r="BK848" s="592"/>
      <c r="BL848" s="592"/>
      <c r="BM848" s="592"/>
      <c r="BN848" s="592"/>
      <c r="BO848" s="592"/>
      <c r="BP848" s="592"/>
      <c r="BQ848" s="594"/>
      <c r="BR848" s="594"/>
      <c r="BS848" s="394"/>
      <c r="BT848" s="594"/>
      <c r="BU848" s="594"/>
      <c r="BV848" s="594"/>
      <c r="BW848" s="618"/>
      <c r="BX848" s="644"/>
      <c r="BY848" s="644"/>
    </row>
    <row r="849" ht="25.5" customHeight="1">
      <c r="A849" s="635"/>
      <c r="B849" s="695"/>
      <c r="C849" s="642"/>
      <c r="D849" s="642"/>
      <c r="E849" s="696"/>
      <c r="F849" s="696"/>
      <c r="G849" s="621"/>
      <c r="H849" s="577"/>
      <c r="I849" s="577"/>
      <c r="J849" s="613"/>
      <c r="K849" s="581"/>
      <c r="L849" s="581"/>
      <c r="M849" s="613"/>
      <c r="N849" s="613"/>
      <c r="O849" s="613"/>
      <c r="P849" s="580"/>
      <c r="Q849" s="580"/>
      <c r="R849" s="581"/>
      <c r="S849" s="581"/>
      <c r="T849" s="581"/>
      <c r="U849" s="582"/>
      <c r="V849" s="614"/>
      <c r="W849" s="581"/>
      <c r="X849" s="615"/>
      <c r="Y849" s="613"/>
      <c r="Z849" s="580"/>
      <c r="AA849" s="634"/>
      <c r="AB849" s="577"/>
      <c r="AC849" s="673"/>
      <c r="AD849" s="634"/>
      <c r="AE849" s="587"/>
      <c r="AF849" s="587"/>
      <c r="AG849" s="582"/>
      <c r="AH849" s="582"/>
      <c r="AI849" s="582"/>
      <c r="AJ849" s="582"/>
      <c r="AK849" s="588"/>
      <c r="AL849" s="582"/>
      <c r="AM849" s="582"/>
      <c r="AN849" s="589"/>
      <c r="AO849" s="616"/>
      <c r="AP849" s="592"/>
      <c r="AQ849" s="358"/>
      <c r="AR849" s="592"/>
      <c r="AS849" s="592"/>
      <c r="AT849" s="592"/>
      <c r="AU849" s="592"/>
      <c r="AV849" s="592"/>
      <c r="AW849" s="592"/>
      <c r="AX849" s="592"/>
      <c r="AY849" s="592"/>
      <c r="AZ849" s="592"/>
      <c r="BA849" s="617"/>
      <c r="BB849" s="592"/>
      <c r="BC849" s="592"/>
      <c r="BD849" s="592"/>
      <c r="BE849" s="592"/>
      <c r="BF849" s="592"/>
      <c r="BG849" s="358"/>
      <c r="BH849" s="592"/>
      <c r="BI849" s="592"/>
      <c r="BJ849" s="592"/>
      <c r="BK849" s="592"/>
      <c r="BL849" s="592"/>
      <c r="BM849" s="592"/>
      <c r="BN849" s="592"/>
      <c r="BO849" s="592"/>
      <c r="BP849" s="592"/>
      <c r="BQ849" s="594"/>
      <c r="BR849" s="594"/>
      <c r="BS849" s="394"/>
      <c r="BT849" s="594"/>
      <c r="BU849" s="594"/>
      <c r="BV849" s="594"/>
      <c r="BW849" s="618"/>
      <c r="BX849" s="644"/>
      <c r="BY849" s="644"/>
    </row>
    <row r="850" ht="25.5" customHeight="1">
      <c r="A850" s="635"/>
      <c r="B850" s="695"/>
      <c r="C850" s="642"/>
      <c r="D850" s="642"/>
      <c r="E850" s="696"/>
      <c r="F850" s="696"/>
      <c r="G850" s="621"/>
      <c r="H850" s="577"/>
      <c r="I850" s="577"/>
      <c r="J850" s="613"/>
      <c r="K850" s="581"/>
      <c r="L850" s="581"/>
      <c r="M850" s="613"/>
      <c r="N850" s="613"/>
      <c r="O850" s="613"/>
      <c r="P850" s="580"/>
      <c r="Q850" s="580"/>
      <c r="R850" s="581"/>
      <c r="S850" s="581"/>
      <c r="T850" s="581"/>
      <c r="U850" s="582"/>
      <c r="V850" s="614"/>
      <c r="W850" s="581"/>
      <c r="X850" s="615"/>
      <c r="Y850" s="613"/>
      <c r="Z850" s="580"/>
      <c r="AA850" s="634"/>
      <c r="AB850" s="577"/>
      <c r="AC850" s="673"/>
      <c r="AD850" s="634"/>
      <c r="AE850" s="587"/>
      <c r="AF850" s="587"/>
      <c r="AG850" s="582"/>
      <c r="AH850" s="582"/>
      <c r="AI850" s="582"/>
      <c r="AJ850" s="582"/>
      <c r="AK850" s="588"/>
      <c r="AL850" s="582"/>
      <c r="AM850" s="582"/>
      <c r="AN850" s="589"/>
      <c r="AO850" s="616"/>
      <c r="AP850" s="592"/>
      <c r="AQ850" s="358"/>
      <c r="AR850" s="592"/>
      <c r="AS850" s="592"/>
      <c r="AT850" s="592"/>
      <c r="AU850" s="592"/>
      <c r="AV850" s="592"/>
      <c r="AW850" s="592"/>
      <c r="AX850" s="592"/>
      <c r="AY850" s="592"/>
      <c r="AZ850" s="592"/>
      <c r="BA850" s="617"/>
      <c r="BB850" s="592"/>
      <c r="BC850" s="592"/>
      <c r="BD850" s="592"/>
      <c r="BE850" s="592"/>
      <c r="BF850" s="592"/>
      <c r="BG850" s="358"/>
      <c r="BH850" s="592"/>
      <c r="BI850" s="592"/>
      <c r="BJ850" s="592"/>
      <c r="BK850" s="592"/>
      <c r="BL850" s="592"/>
      <c r="BM850" s="592"/>
      <c r="BN850" s="592"/>
      <c r="BO850" s="592"/>
      <c r="BP850" s="592"/>
      <c r="BQ850" s="594"/>
      <c r="BR850" s="594"/>
      <c r="BS850" s="394"/>
      <c r="BT850" s="594"/>
      <c r="BU850" s="594"/>
      <c r="BV850" s="594"/>
      <c r="BW850" s="618"/>
      <c r="BX850" s="644"/>
      <c r="BY850" s="644"/>
    </row>
    <row r="851" ht="25.5" customHeight="1">
      <c r="A851" s="635"/>
      <c r="B851" s="695"/>
      <c r="C851" s="642"/>
      <c r="D851" s="642"/>
      <c r="E851" s="696"/>
      <c r="F851" s="696"/>
      <c r="G851" s="621"/>
      <c r="H851" s="577"/>
      <c r="I851" s="577"/>
      <c r="J851" s="613"/>
      <c r="K851" s="581"/>
      <c r="L851" s="581"/>
      <c r="M851" s="613"/>
      <c r="N851" s="613"/>
      <c r="O851" s="613"/>
      <c r="P851" s="580"/>
      <c r="Q851" s="580"/>
      <c r="R851" s="581"/>
      <c r="S851" s="581"/>
      <c r="T851" s="581"/>
      <c r="U851" s="582"/>
      <c r="V851" s="614"/>
      <c r="W851" s="581"/>
      <c r="X851" s="615"/>
      <c r="Y851" s="613"/>
      <c r="Z851" s="580"/>
      <c r="AA851" s="634"/>
      <c r="AB851" s="577"/>
      <c r="AC851" s="673"/>
      <c r="AD851" s="634"/>
      <c r="AE851" s="587"/>
      <c r="AF851" s="587"/>
      <c r="AG851" s="582"/>
      <c r="AH851" s="582"/>
      <c r="AI851" s="582"/>
      <c r="AJ851" s="582"/>
      <c r="AK851" s="588"/>
      <c r="AL851" s="582"/>
      <c r="AM851" s="582"/>
      <c r="AN851" s="589"/>
      <c r="AO851" s="616"/>
      <c r="AP851" s="592"/>
      <c r="AQ851" s="358"/>
      <c r="AR851" s="592"/>
      <c r="AS851" s="592"/>
      <c r="AT851" s="592"/>
      <c r="AU851" s="592"/>
      <c r="AV851" s="592"/>
      <c r="AW851" s="592"/>
      <c r="AX851" s="592"/>
      <c r="AY851" s="592"/>
      <c r="AZ851" s="592"/>
      <c r="BA851" s="617"/>
      <c r="BB851" s="592"/>
      <c r="BC851" s="592"/>
      <c r="BD851" s="592"/>
      <c r="BE851" s="592"/>
      <c r="BF851" s="592"/>
      <c r="BG851" s="358"/>
      <c r="BH851" s="592"/>
      <c r="BI851" s="592"/>
      <c r="BJ851" s="592"/>
      <c r="BK851" s="592"/>
      <c r="BL851" s="592"/>
      <c r="BM851" s="592"/>
      <c r="BN851" s="592"/>
      <c r="BO851" s="592"/>
      <c r="BP851" s="592"/>
      <c r="BQ851" s="594"/>
      <c r="BR851" s="594"/>
      <c r="BS851" s="394"/>
      <c r="BT851" s="594"/>
      <c r="BU851" s="594"/>
      <c r="BV851" s="594"/>
      <c r="BW851" s="618"/>
      <c r="BX851" s="644"/>
      <c r="BY851" s="644"/>
    </row>
    <row r="852" ht="25.5" customHeight="1">
      <c r="A852" s="635"/>
      <c r="B852" s="695"/>
      <c r="C852" s="642"/>
      <c r="D852" s="642"/>
      <c r="E852" s="696"/>
      <c r="F852" s="696"/>
      <c r="G852" s="621"/>
      <c r="H852" s="577"/>
      <c r="I852" s="577"/>
      <c r="J852" s="613"/>
      <c r="K852" s="581"/>
      <c r="L852" s="581"/>
      <c r="M852" s="613"/>
      <c r="N852" s="613"/>
      <c r="O852" s="613"/>
      <c r="P852" s="580"/>
      <c r="Q852" s="580"/>
      <c r="R852" s="581"/>
      <c r="S852" s="581"/>
      <c r="T852" s="581"/>
      <c r="U852" s="582"/>
      <c r="V852" s="614"/>
      <c r="W852" s="581"/>
      <c r="X852" s="615"/>
      <c r="Y852" s="613"/>
      <c r="Z852" s="580"/>
      <c r="AA852" s="634"/>
      <c r="AB852" s="577"/>
      <c r="AC852" s="673"/>
      <c r="AD852" s="634"/>
      <c r="AE852" s="587"/>
      <c r="AF852" s="587"/>
      <c r="AG852" s="582"/>
      <c r="AH852" s="582"/>
      <c r="AI852" s="582"/>
      <c r="AJ852" s="582"/>
      <c r="AK852" s="588"/>
      <c r="AL852" s="582"/>
      <c r="AM852" s="582"/>
      <c r="AN852" s="589"/>
      <c r="AO852" s="616"/>
      <c r="AP852" s="592"/>
      <c r="AQ852" s="358"/>
      <c r="AR852" s="592"/>
      <c r="AS852" s="592"/>
      <c r="AT852" s="592"/>
      <c r="AU852" s="592"/>
      <c r="AV852" s="592"/>
      <c r="AW852" s="592"/>
      <c r="AX852" s="592"/>
      <c r="AY852" s="592"/>
      <c r="AZ852" s="592"/>
      <c r="BA852" s="617"/>
      <c r="BB852" s="592"/>
      <c r="BC852" s="592"/>
      <c r="BD852" s="592"/>
      <c r="BE852" s="592"/>
      <c r="BF852" s="592"/>
      <c r="BG852" s="358"/>
      <c r="BH852" s="592"/>
      <c r="BI852" s="592"/>
      <c r="BJ852" s="592"/>
      <c r="BK852" s="592"/>
      <c r="BL852" s="592"/>
      <c r="BM852" s="592"/>
      <c r="BN852" s="592"/>
      <c r="BO852" s="592"/>
      <c r="BP852" s="592"/>
      <c r="BQ852" s="594"/>
      <c r="BR852" s="594"/>
      <c r="BS852" s="394"/>
      <c r="BT852" s="594"/>
      <c r="BU852" s="594"/>
      <c r="BV852" s="594"/>
      <c r="BW852" s="618"/>
      <c r="BX852" s="644"/>
      <c r="BY852" s="644"/>
    </row>
    <row r="853" ht="25.5" customHeight="1">
      <c r="A853" s="635"/>
      <c r="B853" s="695"/>
      <c r="C853" s="642"/>
      <c r="D853" s="642"/>
      <c r="E853" s="696"/>
      <c r="F853" s="696"/>
      <c r="G853" s="621"/>
      <c r="H853" s="577"/>
      <c r="I853" s="577"/>
      <c r="J853" s="613"/>
      <c r="K853" s="581"/>
      <c r="L853" s="581"/>
      <c r="M853" s="613"/>
      <c r="N853" s="613"/>
      <c r="O853" s="613"/>
      <c r="P853" s="580"/>
      <c r="Q853" s="580"/>
      <c r="R853" s="581"/>
      <c r="S853" s="581"/>
      <c r="T853" s="581"/>
      <c r="U853" s="582"/>
      <c r="V853" s="614"/>
      <c r="W853" s="581"/>
      <c r="X853" s="615"/>
      <c r="Y853" s="613"/>
      <c r="Z853" s="580"/>
      <c r="AA853" s="634"/>
      <c r="AB853" s="577"/>
      <c r="AC853" s="673"/>
      <c r="AD853" s="634"/>
      <c r="AE853" s="587"/>
      <c r="AF853" s="587"/>
      <c r="AG853" s="582"/>
      <c r="AH853" s="582"/>
      <c r="AI853" s="582"/>
      <c r="AJ853" s="582"/>
      <c r="AK853" s="588"/>
      <c r="AL853" s="582"/>
      <c r="AM853" s="582"/>
      <c r="AN853" s="589"/>
      <c r="AO853" s="616"/>
      <c r="AP853" s="592"/>
      <c r="AQ853" s="358"/>
      <c r="AR853" s="592"/>
      <c r="AS853" s="592"/>
      <c r="AT853" s="592"/>
      <c r="AU853" s="592"/>
      <c r="AV853" s="592"/>
      <c r="AW853" s="592"/>
      <c r="AX853" s="592"/>
      <c r="AY853" s="592"/>
      <c r="AZ853" s="592"/>
      <c r="BA853" s="617"/>
      <c r="BB853" s="592"/>
      <c r="BC853" s="592"/>
      <c r="BD853" s="592"/>
      <c r="BE853" s="592"/>
      <c r="BF853" s="592"/>
      <c r="BG853" s="358"/>
      <c r="BH853" s="592"/>
      <c r="BI853" s="592"/>
      <c r="BJ853" s="592"/>
      <c r="BK853" s="592"/>
      <c r="BL853" s="592"/>
      <c r="BM853" s="592"/>
      <c r="BN853" s="592"/>
      <c r="BO853" s="592"/>
      <c r="BP853" s="592"/>
      <c r="BQ853" s="594"/>
      <c r="BR853" s="594"/>
      <c r="BS853" s="394"/>
      <c r="BT853" s="594"/>
      <c r="BU853" s="594"/>
      <c r="BV853" s="594"/>
      <c r="BW853" s="618"/>
      <c r="BX853" s="644"/>
      <c r="BY853" s="644"/>
    </row>
    <row r="854" ht="25.5" customHeight="1">
      <c r="A854" s="635"/>
      <c r="B854" s="695"/>
      <c r="C854" s="642"/>
      <c r="D854" s="642"/>
      <c r="E854" s="696"/>
      <c r="F854" s="696"/>
      <c r="G854" s="621"/>
      <c r="H854" s="577"/>
      <c r="I854" s="577"/>
      <c r="J854" s="613"/>
      <c r="K854" s="581"/>
      <c r="L854" s="581"/>
      <c r="M854" s="613"/>
      <c r="N854" s="613"/>
      <c r="O854" s="613"/>
      <c r="P854" s="580"/>
      <c r="Q854" s="580"/>
      <c r="R854" s="581"/>
      <c r="S854" s="581"/>
      <c r="T854" s="581"/>
      <c r="U854" s="582"/>
      <c r="V854" s="614"/>
      <c r="W854" s="581"/>
      <c r="X854" s="615"/>
      <c r="Y854" s="613"/>
      <c r="Z854" s="580"/>
      <c r="AA854" s="634"/>
      <c r="AB854" s="577"/>
      <c r="AC854" s="673"/>
      <c r="AD854" s="634"/>
      <c r="AE854" s="587"/>
      <c r="AF854" s="587"/>
      <c r="AG854" s="582"/>
      <c r="AH854" s="582"/>
      <c r="AI854" s="582"/>
      <c r="AJ854" s="582"/>
      <c r="AK854" s="588"/>
      <c r="AL854" s="582"/>
      <c r="AM854" s="582"/>
      <c r="AN854" s="589"/>
      <c r="AO854" s="616"/>
      <c r="AP854" s="592"/>
      <c r="AQ854" s="358"/>
      <c r="AR854" s="592"/>
      <c r="AS854" s="592"/>
      <c r="AT854" s="592"/>
      <c r="AU854" s="592"/>
      <c r="AV854" s="592"/>
      <c r="AW854" s="592"/>
      <c r="AX854" s="592"/>
      <c r="AY854" s="592"/>
      <c r="AZ854" s="592"/>
      <c r="BA854" s="617"/>
      <c r="BB854" s="592"/>
      <c r="BC854" s="592"/>
      <c r="BD854" s="592"/>
      <c r="BE854" s="592"/>
      <c r="BF854" s="592"/>
      <c r="BG854" s="358"/>
      <c r="BH854" s="592"/>
      <c r="BI854" s="592"/>
      <c r="BJ854" s="592"/>
      <c r="BK854" s="592"/>
      <c r="BL854" s="592"/>
      <c r="BM854" s="592"/>
      <c r="BN854" s="592"/>
      <c r="BO854" s="592"/>
      <c r="BP854" s="592"/>
      <c r="BQ854" s="594"/>
      <c r="BR854" s="594"/>
      <c r="BS854" s="394"/>
      <c r="BT854" s="594"/>
      <c r="BU854" s="594"/>
      <c r="BV854" s="594"/>
      <c r="BW854" s="618"/>
      <c r="BX854" s="644"/>
      <c r="BY854" s="644"/>
    </row>
    <row r="855" ht="25.5" customHeight="1">
      <c r="A855" s="635"/>
      <c r="B855" s="695"/>
      <c r="C855" s="642"/>
      <c r="D855" s="642"/>
      <c r="E855" s="696"/>
      <c r="F855" s="696"/>
      <c r="G855" s="621"/>
      <c r="H855" s="577"/>
      <c r="I855" s="577"/>
      <c r="J855" s="613"/>
      <c r="K855" s="581"/>
      <c r="L855" s="581"/>
      <c r="M855" s="613"/>
      <c r="N855" s="613"/>
      <c r="O855" s="613"/>
      <c r="P855" s="580"/>
      <c r="Q855" s="580"/>
      <c r="R855" s="581"/>
      <c r="S855" s="581"/>
      <c r="T855" s="581"/>
      <c r="U855" s="582"/>
      <c r="V855" s="614"/>
      <c r="W855" s="581"/>
      <c r="X855" s="615"/>
      <c r="Y855" s="613"/>
      <c r="Z855" s="580"/>
      <c r="AA855" s="634"/>
      <c r="AB855" s="577"/>
      <c r="AC855" s="673"/>
      <c r="AD855" s="634"/>
      <c r="AE855" s="587"/>
      <c r="AF855" s="587"/>
      <c r="AG855" s="582"/>
      <c r="AH855" s="582"/>
      <c r="AI855" s="582"/>
      <c r="AJ855" s="582"/>
      <c r="AK855" s="588"/>
      <c r="AL855" s="582"/>
      <c r="AM855" s="582"/>
      <c r="AN855" s="589"/>
      <c r="AO855" s="616"/>
      <c r="AP855" s="592"/>
      <c r="AQ855" s="358"/>
      <c r="AR855" s="592"/>
      <c r="AS855" s="592"/>
      <c r="AT855" s="592"/>
      <c r="AU855" s="592"/>
      <c r="AV855" s="592"/>
      <c r="AW855" s="592"/>
      <c r="AX855" s="592"/>
      <c r="AY855" s="592"/>
      <c r="AZ855" s="592"/>
      <c r="BA855" s="617"/>
      <c r="BB855" s="592"/>
      <c r="BC855" s="592"/>
      <c r="BD855" s="592"/>
      <c r="BE855" s="592"/>
      <c r="BF855" s="592"/>
      <c r="BG855" s="358"/>
      <c r="BH855" s="592"/>
      <c r="BI855" s="592"/>
      <c r="BJ855" s="592"/>
      <c r="BK855" s="592"/>
      <c r="BL855" s="592"/>
      <c r="BM855" s="592"/>
      <c r="BN855" s="592"/>
      <c r="BO855" s="592"/>
      <c r="BP855" s="592"/>
      <c r="BQ855" s="594"/>
      <c r="BR855" s="594"/>
      <c r="BS855" s="394"/>
      <c r="BT855" s="594"/>
      <c r="BU855" s="594"/>
      <c r="BV855" s="594"/>
      <c r="BW855" s="618"/>
      <c r="BX855" s="644"/>
      <c r="BY855" s="644"/>
    </row>
    <row r="856" ht="25.5" customHeight="1">
      <c r="A856" s="635"/>
      <c r="B856" s="695"/>
      <c r="C856" s="642"/>
      <c r="D856" s="642"/>
      <c r="E856" s="696"/>
      <c r="F856" s="696"/>
      <c r="G856" s="621"/>
      <c r="H856" s="577"/>
      <c r="I856" s="577"/>
      <c r="J856" s="613"/>
      <c r="K856" s="581"/>
      <c r="L856" s="581"/>
      <c r="M856" s="613"/>
      <c r="N856" s="613"/>
      <c r="O856" s="613"/>
      <c r="P856" s="580"/>
      <c r="Q856" s="580"/>
      <c r="R856" s="581"/>
      <c r="S856" s="581"/>
      <c r="T856" s="581"/>
      <c r="U856" s="582"/>
      <c r="V856" s="614"/>
      <c r="W856" s="581"/>
      <c r="X856" s="615"/>
      <c r="Y856" s="613"/>
      <c r="Z856" s="580"/>
      <c r="AA856" s="634"/>
      <c r="AB856" s="577"/>
      <c r="AC856" s="673"/>
      <c r="AD856" s="634"/>
      <c r="AE856" s="587"/>
      <c r="AF856" s="587"/>
      <c r="AG856" s="582"/>
      <c r="AH856" s="582"/>
      <c r="AI856" s="582"/>
      <c r="AJ856" s="582"/>
      <c r="AK856" s="588"/>
      <c r="AL856" s="582"/>
      <c r="AM856" s="582"/>
      <c r="AN856" s="589"/>
      <c r="AO856" s="616"/>
      <c r="AP856" s="592"/>
      <c r="AQ856" s="358"/>
      <c r="AR856" s="592"/>
      <c r="AS856" s="592"/>
      <c r="AT856" s="592"/>
      <c r="AU856" s="592"/>
      <c r="AV856" s="592"/>
      <c r="AW856" s="592"/>
      <c r="AX856" s="592"/>
      <c r="AY856" s="592"/>
      <c r="AZ856" s="592"/>
      <c r="BA856" s="617"/>
      <c r="BB856" s="592"/>
      <c r="BC856" s="592"/>
      <c r="BD856" s="592"/>
      <c r="BE856" s="592"/>
      <c r="BF856" s="592"/>
      <c r="BG856" s="358"/>
      <c r="BH856" s="592"/>
      <c r="BI856" s="592"/>
      <c r="BJ856" s="592"/>
      <c r="BK856" s="592"/>
      <c r="BL856" s="592"/>
      <c r="BM856" s="592"/>
      <c r="BN856" s="592"/>
      <c r="BO856" s="592"/>
      <c r="BP856" s="592"/>
      <c r="BQ856" s="594"/>
      <c r="BR856" s="594"/>
      <c r="BS856" s="394"/>
      <c r="BT856" s="594"/>
      <c r="BU856" s="594"/>
      <c r="BV856" s="594"/>
      <c r="BW856" s="618"/>
      <c r="BX856" s="644"/>
      <c r="BY856" s="644"/>
    </row>
    <row r="857" ht="25.5" customHeight="1">
      <c r="A857" s="635"/>
      <c r="B857" s="695"/>
      <c r="C857" s="642"/>
      <c r="D857" s="642"/>
      <c r="E857" s="696"/>
      <c r="F857" s="696"/>
      <c r="G857" s="621"/>
      <c r="H857" s="577"/>
      <c r="I857" s="577"/>
      <c r="J857" s="613"/>
      <c r="K857" s="581"/>
      <c r="L857" s="581"/>
      <c r="M857" s="613"/>
      <c r="N857" s="613"/>
      <c r="O857" s="613"/>
      <c r="P857" s="580"/>
      <c r="Q857" s="580"/>
      <c r="R857" s="581"/>
      <c r="S857" s="581"/>
      <c r="T857" s="581"/>
      <c r="U857" s="582"/>
      <c r="V857" s="614"/>
      <c r="W857" s="581"/>
      <c r="X857" s="615"/>
      <c r="Y857" s="613"/>
      <c r="Z857" s="580"/>
      <c r="AA857" s="634"/>
      <c r="AB857" s="577"/>
      <c r="AC857" s="673"/>
      <c r="AD857" s="634"/>
      <c r="AE857" s="587"/>
      <c r="AF857" s="587"/>
      <c r="AG857" s="582"/>
      <c r="AH857" s="582"/>
      <c r="AI857" s="582"/>
      <c r="AJ857" s="582"/>
      <c r="AK857" s="588"/>
      <c r="AL857" s="582"/>
      <c r="AM857" s="582"/>
      <c r="AN857" s="589"/>
      <c r="AO857" s="616"/>
      <c r="AP857" s="592"/>
      <c r="AQ857" s="358"/>
      <c r="AR857" s="592"/>
      <c r="AS857" s="592"/>
      <c r="AT857" s="592"/>
      <c r="AU857" s="592"/>
      <c r="AV857" s="592"/>
      <c r="AW857" s="592"/>
      <c r="AX857" s="592"/>
      <c r="AY857" s="592"/>
      <c r="AZ857" s="592"/>
      <c r="BA857" s="617"/>
      <c r="BB857" s="592"/>
      <c r="BC857" s="592"/>
      <c r="BD857" s="592"/>
      <c r="BE857" s="592"/>
      <c r="BF857" s="592"/>
      <c r="BG857" s="358"/>
      <c r="BH857" s="592"/>
      <c r="BI857" s="592"/>
      <c r="BJ857" s="592"/>
      <c r="BK857" s="592"/>
      <c r="BL857" s="592"/>
      <c r="BM857" s="592"/>
      <c r="BN857" s="592"/>
      <c r="BO857" s="592"/>
      <c r="BP857" s="592"/>
      <c r="BQ857" s="594"/>
      <c r="BR857" s="594"/>
      <c r="BS857" s="394"/>
      <c r="BT857" s="594"/>
      <c r="BU857" s="594"/>
      <c r="BV857" s="594"/>
      <c r="BW857" s="618"/>
      <c r="BX857" s="644"/>
      <c r="BY857" s="644"/>
    </row>
    <row r="858" ht="25.5" customHeight="1">
      <c r="A858" s="635"/>
      <c r="B858" s="695"/>
      <c r="C858" s="642"/>
      <c r="D858" s="642"/>
      <c r="E858" s="696"/>
      <c r="F858" s="696"/>
      <c r="G858" s="621"/>
      <c r="H858" s="577"/>
      <c r="I858" s="577"/>
      <c r="J858" s="613"/>
      <c r="K858" s="581"/>
      <c r="L858" s="581"/>
      <c r="M858" s="613"/>
      <c r="N858" s="613"/>
      <c r="O858" s="613"/>
      <c r="P858" s="580"/>
      <c r="Q858" s="580"/>
      <c r="R858" s="581"/>
      <c r="S858" s="581"/>
      <c r="T858" s="581"/>
      <c r="U858" s="582"/>
      <c r="V858" s="614"/>
      <c r="W858" s="581"/>
      <c r="X858" s="615"/>
      <c r="Y858" s="613"/>
      <c r="Z858" s="580"/>
      <c r="AA858" s="634"/>
      <c r="AB858" s="577"/>
      <c r="AC858" s="673"/>
      <c r="AD858" s="634"/>
      <c r="AE858" s="587"/>
      <c r="AF858" s="587"/>
      <c r="AG858" s="582"/>
      <c r="AH858" s="582"/>
      <c r="AI858" s="582"/>
      <c r="AJ858" s="582"/>
      <c r="AK858" s="588"/>
      <c r="AL858" s="582"/>
      <c r="AM858" s="582"/>
      <c r="AN858" s="589"/>
      <c r="AO858" s="616"/>
      <c r="AP858" s="592"/>
      <c r="AQ858" s="358"/>
      <c r="AR858" s="592"/>
      <c r="AS858" s="592"/>
      <c r="AT858" s="592"/>
      <c r="AU858" s="592"/>
      <c r="AV858" s="592"/>
      <c r="AW858" s="592"/>
      <c r="AX858" s="592"/>
      <c r="AY858" s="592"/>
      <c r="AZ858" s="592"/>
      <c r="BA858" s="617"/>
      <c r="BB858" s="592"/>
      <c r="BC858" s="592"/>
      <c r="BD858" s="592"/>
      <c r="BE858" s="592"/>
      <c r="BF858" s="592"/>
      <c r="BG858" s="358"/>
      <c r="BH858" s="592"/>
      <c r="BI858" s="592"/>
      <c r="BJ858" s="592"/>
      <c r="BK858" s="592"/>
      <c r="BL858" s="592"/>
      <c r="BM858" s="592"/>
      <c r="BN858" s="592"/>
      <c r="BO858" s="592"/>
      <c r="BP858" s="592"/>
      <c r="BQ858" s="594"/>
      <c r="BR858" s="594"/>
      <c r="BS858" s="394"/>
      <c r="BT858" s="594"/>
      <c r="BU858" s="594"/>
      <c r="BV858" s="594"/>
      <c r="BW858" s="618"/>
      <c r="BX858" s="644"/>
      <c r="BY858" s="644"/>
    </row>
    <row r="859" ht="25.5" customHeight="1">
      <c r="A859" s="635"/>
      <c r="B859" s="695"/>
      <c r="C859" s="642"/>
      <c r="D859" s="642"/>
      <c r="E859" s="696"/>
      <c r="F859" s="696"/>
      <c r="G859" s="621"/>
      <c r="H859" s="577"/>
      <c r="I859" s="577"/>
      <c r="J859" s="613"/>
      <c r="K859" s="581"/>
      <c r="L859" s="581"/>
      <c r="M859" s="613"/>
      <c r="N859" s="613"/>
      <c r="O859" s="613"/>
      <c r="P859" s="580"/>
      <c r="Q859" s="580"/>
      <c r="R859" s="581"/>
      <c r="S859" s="581"/>
      <c r="T859" s="581"/>
      <c r="U859" s="582"/>
      <c r="V859" s="614"/>
      <c r="W859" s="581"/>
      <c r="X859" s="615"/>
      <c r="Y859" s="613"/>
      <c r="Z859" s="580"/>
      <c r="AA859" s="634"/>
      <c r="AB859" s="577"/>
      <c r="AC859" s="673"/>
      <c r="AD859" s="634"/>
      <c r="AE859" s="587"/>
      <c r="AF859" s="587"/>
      <c r="AG859" s="582"/>
      <c r="AH859" s="582"/>
      <c r="AI859" s="582"/>
      <c r="AJ859" s="582"/>
      <c r="AK859" s="588"/>
      <c r="AL859" s="582"/>
      <c r="AM859" s="582"/>
      <c r="AN859" s="589"/>
      <c r="AO859" s="616"/>
      <c r="AP859" s="592"/>
      <c r="AQ859" s="358"/>
      <c r="AR859" s="592"/>
      <c r="AS859" s="592"/>
      <c r="AT859" s="592"/>
      <c r="AU859" s="592"/>
      <c r="AV859" s="592"/>
      <c r="AW859" s="592"/>
      <c r="AX859" s="592"/>
      <c r="AY859" s="592"/>
      <c r="AZ859" s="592"/>
      <c r="BA859" s="617"/>
      <c r="BB859" s="592"/>
      <c r="BC859" s="592"/>
      <c r="BD859" s="592"/>
      <c r="BE859" s="592"/>
      <c r="BF859" s="592"/>
      <c r="BG859" s="358"/>
      <c r="BH859" s="592"/>
      <c r="BI859" s="592"/>
      <c r="BJ859" s="592"/>
      <c r="BK859" s="592"/>
      <c r="BL859" s="592"/>
      <c r="BM859" s="592"/>
      <c r="BN859" s="592"/>
      <c r="BO859" s="592"/>
      <c r="BP859" s="592"/>
      <c r="BQ859" s="594"/>
      <c r="BR859" s="594"/>
      <c r="BS859" s="394"/>
      <c r="BT859" s="594"/>
      <c r="BU859" s="594"/>
      <c r="BV859" s="594"/>
      <c r="BW859" s="618"/>
      <c r="BX859" s="644"/>
      <c r="BY859" s="644"/>
    </row>
    <row r="860" ht="25.5" customHeight="1">
      <c r="A860" s="635"/>
      <c r="B860" s="695"/>
      <c r="C860" s="642"/>
      <c r="D860" s="642"/>
      <c r="E860" s="696"/>
      <c r="F860" s="696"/>
      <c r="G860" s="621"/>
      <c r="H860" s="577"/>
      <c r="I860" s="577"/>
      <c r="J860" s="613"/>
      <c r="K860" s="581"/>
      <c r="L860" s="581"/>
      <c r="M860" s="613"/>
      <c r="N860" s="613"/>
      <c r="O860" s="613"/>
      <c r="P860" s="580"/>
      <c r="Q860" s="580"/>
      <c r="R860" s="581"/>
      <c r="S860" s="581"/>
      <c r="T860" s="581"/>
      <c r="U860" s="582"/>
      <c r="V860" s="614"/>
      <c r="W860" s="581"/>
      <c r="X860" s="615"/>
      <c r="Y860" s="613"/>
      <c r="Z860" s="580"/>
      <c r="AA860" s="634"/>
      <c r="AB860" s="577"/>
      <c r="AC860" s="673"/>
      <c r="AD860" s="634"/>
      <c r="AE860" s="587"/>
      <c r="AF860" s="587"/>
      <c r="AG860" s="582"/>
      <c r="AH860" s="582"/>
      <c r="AI860" s="582"/>
      <c r="AJ860" s="582"/>
      <c r="AK860" s="588"/>
      <c r="AL860" s="582"/>
      <c r="AM860" s="582"/>
      <c r="AN860" s="589"/>
      <c r="AO860" s="616"/>
      <c r="AP860" s="592"/>
      <c r="AQ860" s="358"/>
      <c r="AR860" s="592"/>
      <c r="AS860" s="592"/>
      <c r="AT860" s="592"/>
      <c r="AU860" s="592"/>
      <c r="AV860" s="592"/>
      <c r="AW860" s="592"/>
      <c r="AX860" s="592"/>
      <c r="AY860" s="592"/>
      <c r="AZ860" s="592"/>
      <c r="BA860" s="617"/>
      <c r="BB860" s="592"/>
      <c r="BC860" s="592"/>
      <c r="BD860" s="592"/>
      <c r="BE860" s="592"/>
      <c r="BF860" s="592"/>
      <c r="BG860" s="358"/>
      <c r="BH860" s="592"/>
      <c r="BI860" s="592"/>
      <c r="BJ860" s="592"/>
      <c r="BK860" s="592"/>
      <c r="BL860" s="592"/>
      <c r="BM860" s="592"/>
      <c r="BN860" s="592"/>
      <c r="BO860" s="592"/>
      <c r="BP860" s="592"/>
      <c r="BQ860" s="594"/>
      <c r="BR860" s="594"/>
      <c r="BS860" s="394"/>
      <c r="BT860" s="594"/>
      <c r="BU860" s="594"/>
      <c r="BV860" s="594"/>
      <c r="BW860" s="618"/>
      <c r="BX860" s="644"/>
      <c r="BY860" s="644"/>
    </row>
    <row r="861" ht="25.5" customHeight="1">
      <c r="A861" s="635"/>
      <c r="B861" s="695"/>
      <c r="C861" s="642"/>
      <c r="D861" s="642"/>
      <c r="E861" s="696"/>
      <c r="F861" s="696"/>
      <c r="G861" s="621"/>
      <c r="H861" s="577"/>
      <c r="I861" s="577"/>
      <c r="J861" s="613"/>
      <c r="K861" s="581"/>
      <c r="L861" s="581"/>
      <c r="M861" s="613"/>
      <c r="N861" s="613"/>
      <c r="O861" s="613"/>
      <c r="P861" s="580"/>
      <c r="Q861" s="580"/>
      <c r="R861" s="581"/>
      <c r="S861" s="581"/>
      <c r="T861" s="581"/>
      <c r="U861" s="582"/>
      <c r="V861" s="614"/>
      <c r="W861" s="581"/>
      <c r="X861" s="615"/>
      <c r="Y861" s="613"/>
      <c r="Z861" s="580"/>
      <c r="AA861" s="634"/>
      <c r="AB861" s="577"/>
      <c r="AC861" s="673"/>
      <c r="AD861" s="634"/>
      <c r="AE861" s="587"/>
      <c r="AF861" s="587"/>
      <c r="AG861" s="582"/>
      <c r="AH861" s="582"/>
      <c r="AI861" s="582"/>
      <c r="AJ861" s="582"/>
      <c r="AK861" s="588"/>
      <c r="AL861" s="582"/>
      <c r="AM861" s="582"/>
      <c r="AN861" s="589"/>
      <c r="AO861" s="616"/>
      <c r="AP861" s="592"/>
      <c r="AQ861" s="358"/>
      <c r="AR861" s="592"/>
      <c r="AS861" s="592"/>
      <c r="AT861" s="592"/>
      <c r="AU861" s="592"/>
      <c r="AV861" s="592"/>
      <c r="AW861" s="592"/>
      <c r="AX861" s="592"/>
      <c r="AY861" s="592"/>
      <c r="AZ861" s="592"/>
      <c r="BA861" s="617"/>
      <c r="BB861" s="592"/>
      <c r="BC861" s="592"/>
      <c r="BD861" s="592"/>
      <c r="BE861" s="592"/>
      <c r="BF861" s="592"/>
      <c r="BG861" s="358"/>
      <c r="BH861" s="592"/>
      <c r="BI861" s="592"/>
      <c r="BJ861" s="592"/>
      <c r="BK861" s="592"/>
      <c r="BL861" s="592"/>
      <c r="BM861" s="592"/>
      <c r="BN861" s="592"/>
      <c r="BO861" s="592"/>
      <c r="BP861" s="592"/>
      <c r="BQ861" s="594"/>
      <c r="BR861" s="594"/>
      <c r="BS861" s="394"/>
      <c r="BT861" s="594"/>
      <c r="BU861" s="594"/>
      <c r="BV861" s="594"/>
      <c r="BW861" s="618"/>
      <c r="BX861" s="644"/>
      <c r="BY861" s="644"/>
    </row>
    <row r="862" ht="25.5" customHeight="1">
      <c r="A862" s="635"/>
      <c r="B862" s="695"/>
      <c r="C862" s="642"/>
      <c r="D862" s="642"/>
      <c r="E862" s="696"/>
      <c r="F862" s="696"/>
      <c r="G862" s="621"/>
      <c r="H862" s="577"/>
      <c r="I862" s="577"/>
      <c r="J862" s="613"/>
      <c r="K862" s="581"/>
      <c r="L862" s="581"/>
      <c r="M862" s="613"/>
      <c r="N862" s="613"/>
      <c r="O862" s="613"/>
      <c r="P862" s="580"/>
      <c r="Q862" s="580"/>
      <c r="R862" s="581"/>
      <c r="S862" s="581"/>
      <c r="T862" s="581"/>
      <c r="U862" s="582"/>
      <c r="V862" s="614"/>
      <c r="W862" s="581"/>
      <c r="X862" s="615"/>
      <c r="Y862" s="613"/>
      <c r="Z862" s="580"/>
      <c r="AA862" s="634"/>
      <c r="AB862" s="577"/>
      <c r="AC862" s="673"/>
      <c r="AD862" s="634"/>
      <c r="AE862" s="587"/>
      <c r="AF862" s="587"/>
      <c r="AG862" s="582"/>
      <c r="AH862" s="582"/>
      <c r="AI862" s="582"/>
      <c r="AJ862" s="582"/>
      <c r="AK862" s="588"/>
      <c r="AL862" s="582"/>
      <c r="AM862" s="582"/>
      <c r="AN862" s="589"/>
      <c r="AO862" s="616"/>
      <c r="AP862" s="592"/>
      <c r="AQ862" s="358"/>
      <c r="AR862" s="592"/>
      <c r="AS862" s="592"/>
      <c r="AT862" s="592"/>
      <c r="AU862" s="592"/>
      <c r="AV862" s="592"/>
      <c r="AW862" s="592"/>
      <c r="AX862" s="592"/>
      <c r="AY862" s="592"/>
      <c r="AZ862" s="592"/>
      <c r="BA862" s="617"/>
      <c r="BB862" s="592"/>
      <c r="BC862" s="592"/>
      <c r="BD862" s="592"/>
      <c r="BE862" s="592"/>
      <c r="BF862" s="592"/>
      <c r="BG862" s="358"/>
      <c r="BH862" s="592"/>
      <c r="BI862" s="592"/>
      <c r="BJ862" s="592"/>
      <c r="BK862" s="592"/>
      <c r="BL862" s="592"/>
      <c r="BM862" s="592"/>
      <c r="BN862" s="592"/>
      <c r="BO862" s="592"/>
      <c r="BP862" s="592"/>
      <c r="BQ862" s="594"/>
      <c r="BR862" s="594"/>
      <c r="BS862" s="394"/>
      <c r="BT862" s="594"/>
      <c r="BU862" s="594"/>
      <c r="BV862" s="594"/>
      <c r="BW862" s="618"/>
      <c r="BX862" s="644"/>
      <c r="BY862" s="644"/>
    </row>
    <row r="863" ht="25.5" customHeight="1">
      <c r="A863" s="635"/>
      <c r="B863" s="695"/>
      <c r="C863" s="642"/>
      <c r="D863" s="642"/>
      <c r="E863" s="696"/>
      <c r="F863" s="696"/>
      <c r="G863" s="621"/>
      <c r="H863" s="577"/>
      <c r="I863" s="577"/>
      <c r="J863" s="613"/>
      <c r="K863" s="581"/>
      <c r="L863" s="581"/>
      <c r="M863" s="613"/>
      <c r="N863" s="613"/>
      <c r="O863" s="613"/>
      <c r="P863" s="580"/>
      <c r="Q863" s="580"/>
      <c r="R863" s="581"/>
      <c r="S863" s="581"/>
      <c r="T863" s="581"/>
      <c r="U863" s="582"/>
      <c r="V863" s="614"/>
      <c r="W863" s="581"/>
      <c r="X863" s="615"/>
      <c r="Y863" s="613"/>
      <c r="Z863" s="580"/>
      <c r="AA863" s="634"/>
      <c r="AB863" s="577"/>
      <c r="AC863" s="673"/>
      <c r="AD863" s="634"/>
      <c r="AE863" s="587"/>
      <c r="AF863" s="587"/>
      <c r="AG863" s="582"/>
      <c r="AH863" s="582"/>
      <c r="AI863" s="582"/>
      <c r="AJ863" s="582"/>
      <c r="AK863" s="588"/>
      <c r="AL863" s="582"/>
      <c r="AM863" s="582"/>
      <c r="AN863" s="589"/>
      <c r="AO863" s="616"/>
      <c r="AP863" s="592"/>
      <c r="AQ863" s="358"/>
      <c r="AR863" s="592"/>
      <c r="AS863" s="592"/>
      <c r="AT863" s="592"/>
      <c r="AU863" s="592"/>
      <c r="AV863" s="592"/>
      <c r="AW863" s="592"/>
      <c r="AX863" s="592"/>
      <c r="AY863" s="592"/>
      <c r="AZ863" s="592"/>
      <c r="BA863" s="617"/>
      <c r="BB863" s="592"/>
      <c r="BC863" s="592"/>
      <c r="BD863" s="592"/>
      <c r="BE863" s="592"/>
      <c r="BF863" s="592"/>
      <c r="BG863" s="358"/>
      <c r="BH863" s="592"/>
      <c r="BI863" s="592"/>
      <c r="BJ863" s="592"/>
      <c r="BK863" s="592"/>
      <c r="BL863" s="592"/>
      <c r="BM863" s="592"/>
      <c r="BN863" s="592"/>
      <c r="BO863" s="592"/>
      <c r="BP863" s="592"/>
      <c r="BQ863" s="594"/>
      <c r="BR863" s="594"/>
      <c r="BS863" s="394"/>
      <c r="BT863" s="594"/>
      <c r="BU863" s="594"/>
      <c r="BV863" s="594"/>
      <c r="BW863" s="618"/>
      <c r="BX863" s="644"/>
      <c r="BY863" s="644"/>
    </row>
    <row r="864" ht="25.5" customHeight="1">
      <c r="A864" s="635"/>
      <c r="B864" s="695"/>
      <c r="C864" s="642"/>
      <c r="D864" s="642"/>
      <c r="E864" s="696"/>
      <c r="F864" s="696"/>
      <c r="G864" s="621"/>
      <c r="H864" s="577"/>
      <c r="I864" s="577"/>
      <c r="J864" s="613"/>
      <c r="K864" s="581"/>
      <c r="L864" s="581"/>
      <c r="M864" s="613"/>
      <c r="N864" s="613"/>
      <c r="O864" s="613"/>
      <c r="P864" s="580"/>
      <c r="Q864" s="580"/>
      <c r="R864" s="581"/>
      <c r="S864" s="581"/>
      <c r="T864" s="581"/>
      <c r="U864" s="582"/>
      <c r="V864" s="614"/>
      <c r="W864" s="581"/>
      <c r="X864" s="615"/>
      <c r="Y864" s="613"/>
      <c r="Z864" s="580"/>
      <c r="AA864" s="634"/>
      <c r="AB864" s="577"/>
      <c r="AC864" s="673"/>
      <c r="AD864" s="634"/>
      <c r="AE864" s="587"/>
      <c r="AF864" s="587"/>
      <c r="AG864" s="582"/>
      <c r="AH864" s="582"/>
      <c r="AI864" s="582"/>
      <c r="AJ864" s="582"/>
      <c r="AK864" s="588"/>
      <c r="AL864" s="582"/>
      <c r="AM864" s="582"/>
      <c r="AN864" s="589"/>
      <c r="AO864" s="616"/>
      <c r="AP864" s="592"/>
      <c r="AQ864" s="358"/>
      <c r="AR864" s="592"/>
      <c r="AS864" s="592"/>
      <c r="AT864" s="592"/>
      <c r="AU864" s="592"/>
      <c r="AV864" s="592"/>
      <c r="AW864" s="592"/>
      <c r="AX864" s="592"/>
      <c r="AY864" s="592"/>
      <c r="AZ864" s="592"/>
      <c r="BA864" s="617"/>
      <c r="BB864" s="592"/>
      <c r="BC864" s="592"/>
      <c r="BD864" s="592"/>
      <c r="BE864" s="592"/>
      <c r="BF864" s="592"/>
      <c r="BG864" s="358"/>
      <c r="BH864" s="592"/>
      <c r="BI864" s="592"/>
      <c r="BJ864" s="592"/>
      <c r="BK864" s="592"/>
      <c r="BL864" s="592"/>
      <c r="BM864" s="592"/>
      <c r="BN864" s="592"/>
      <c r="BO864" s="592"/>
      <c r="BP864" s="592"/>
      <c r="BQ864" s="594"/>
      <c r="BR864" s="594"/>
      <c r="BS864" s="394"/>
      <c r="BT864" s="594"/>
      <c r="BU864" s="594"/>
      <c r="BV864" s="594"/>
      <c r="BW864" s="618"/>
      <c r="BX864" s="644"/>
      <c r="BY864" s="644"/>
    </row>
    <row r="865" ht="25.5" customHeight="1">
      <c r="A865" s="635"/>
      <c r="B865" s="695"/>
      <c r="C865" s="642"/>
      <c r="D865" s="642"/>
      <c r="E865" s="696"/>
      <c r="F865" s="696"/>
      <c r="G865" s="621"/>
      <c r="H865" s="577"/>
      <c r="I865" s="577"/>
      <c r="J865" s="613"/>
      <c r="K865" s="581"/>
      <c r="L865" s="581"/>
      <c r="M865" s="613"/>
      <c r="N865" s="613"/>
      <c r="O865" s="613"/>
      <c r="P865" s="580"/>
      <c r="Q865" s="580"/>
      <c r="R865" s="581"/>
      <c r="S865" s="581"/>
      <c r="T865" s="581"/>
      <c r="U865" s="582"/>
      <c r="V865" s="614"/>
      <c r="W865" s="581"/>
      <c r="X865" s="615"/>
      <c r="Y865" s="613"/>
      <c r="Z865" s="580"/>
      <c r="AA865" s="634"/>
      <c r="AB865" s="577"/>
      <c r="AC865" s="673"/>
      <c r="AD865" s="634"/>
      <c r="AE865" s="587"/>
      <c r="AF865" s="587"/>
      <c r="AG865" s="582"/>
      <c r="AH865" s="582"/>
      <c r="AI865" s="582"/>
      <c r="AJ865" s="582"/>
      <c r="AK865" s="588"/>
      <c r="AL865" s="582"/>
      <c r="AM865" s="582"/>
      <c r="AN865" s="589"/>
      <c r="AO865" s="616"/>
      <c r="AP865" s="592"/>
      <c r="AQ865" s="358"/>
      <c r="AR865" s="592"/>
      <c r="AS865" s="592"/>
      <c r="AT865" s="592"/>
      <c r="AU865" s="592"/>
      <c r="AV865" s="592"/>
      <c r="AW865" s="592"/>
      <c r="AX865" s="592"/>
      <c r="AY865" s="592"/>
      <c r="AZ865" s="592"/>
      <c r="BA865" s="617"/>
      <c r="BB865" s="592"/>
      <c r="BC865" s="592"/>
      <c r="BD865" s="592"/>
      <c r="BE865" s="592"/>
      <c r="BF865" s="592"/>
      <c r="BG865" s="358"/>
      <c r="BH865" s="592"/>
      <c r="BI865" s="592"/>
      <c r="BJ865" s="592"/>
      <c r="BK865" s="592"/>
      <c r="BL865" s="592"/>
      <c r="BM865" s="592"/>
      <c r="BN865" s="592"/>
      <c r="BO865" s="592"/>
      <c r="BP865" s="592"/>
      <c r="BQ865" s="594"/>
      <c r="BR865" s="594"/>
      <c r="BS865" s="394"/>
      <c r="BT865" s="594"/>
      <c r="BU865" s="594"/>
      <c r="BV865" s="594"/>
      <c r="BW865" s="618"/>
      <c r="BX865" s="644"/>
      <c r="BY865" s="644"/>
    </row>
    <row r="866" ht="25.5" customHeight="1">
      <c r="A866" s="635"/>
      <c r="B866" s="695"/>
      <c r="C866" s="642"/>
      <c r="D866" s="642"/>
      <c r="E866" s="696"/>
      <c r="F866" s="696"/>
      <c r="G866" s="621"/>
      <c r="H866" s="577"/>
      <c r="I866" s="577"/>
      <c r="J866" s="613"/>
      <c r="K866" s="581"/>
      <c r="L866" s="581"/>
      <c r="M866" s="613"/>
      <c r="N866" s="613"/>
      <c r="O866" s="613"/>
      <c r="P866" s="580"/>
      <c r="Q866" s="580"/>
      <c r="R866" s="581"/>
      <c r="S866" s="581"/>
      <c r="T866" s="581"/>
      <c r="U866" s="582"/>
      <c r="V866" s="614"/>
      <c r="W866" s="581"/>
      <c r="X866" s="615"/>
      <c r="Y866" s="613"/>
      <c r="Z866" s="580"/>
      <c r="AA866" s="634"/>
      <c r="AB866" s="577"/>
      <c r="AC866" s="673"/>
      <c r="AD866" s="634"/>
      <c r="AE866" s="587"/>
      <c r="AF866" s="587"/>
      <c r="AG866" s="582"/>
      <c r="AH866" s="582"/>
      <c r="AI866" s="582"/>
      <c r="AJ866" s="582"/>
      <c r="AK866" s="588"/>
      <c r="AL866" s="582"/>
      <c r="AM866" s="582"/>
      <c r="AN866" s="589"/>
      <c r="AO866" s="616"/>
      <c r="AP866" s="592"/>
      <c r="AQ866" s="358"/>
      <c r="AR866" s="592"/>
      <c r="AS866" s="592"/>
      <c r="AT866" s="592"/>
      <c r="AU866" s="592"/>
      <c r="AV866" s="592"/>
      <c r="AW866" s="592"/>
      <c r="AX866" s="592"/>
      <c r="AY866" s="592"/>
      <c r="AZ866" s="592"/>
      <c r="BA866" s="617"/>
      <c r="BB866" s="592"/>
      <c r="BC866" s="592"/>
      <c r="BD866" s="592"/>
      <c r="BE866" s="592"/>
      <c r="BF866" s="592"/>
      <c r="BG866" s="358"/>
      <c r="BH866" s="592"/>
      <c r="BI866" s="592"/>
      <c r="BJ866" s="592"/>
      <c r="BK866" s="592"/>
      <c r="BL866" s="592"/>
      <c r="BM866" s="592"/>
      <c r="BN866" s="592"/>
      <c r="BO866" s="592"/>
      <c r="BP866" s="592"/>
      <c r="BQ866" s="594"/>
      <c r="BR866" s="594"/>
      <c r="BS866" s="394"/>
      <c r="BT866" s="594"/>
      <c r="BU866" s="594"/>
      <c r="BV866" s="594"/>
      <c r="BW866" s="618"/>
      <c r="BX866" s="644"/>
      <c r="BY866" s="644"/>
    </row>
    <row r="867" ht="25.5" customHeight="1">
      <c r="A867" s="635"/>
      <c r="B867" s="695"/>
      <c r="C867" s="642"/>
      <c r="D867" s="642"/>
      <c r="E867" s="696"/>
      <c r="F867" s="696"/>
      <c r="G867" s="621"/>
      <c r="H867" s="577"/>
      <c r="I867" s="577"/>
      <c r="J867" s="613"/>
      <c r="K867" s="581"/>
      <c r="L867" s="581"/>
      <c r="M867" s="613"/>
      <c r="N867" s="613"/>
      <c r="O867" s="613"/>
      <c r="P867" s="580"/>
      <c r="Q867" s="580"/>
      <c r="R867" s="581"/>
      <c r="S867" s="581"/>
      <c r="T867" s="581"/>
      <c r="U867" s="582"/>
      <c r="V867" s="614"/>
      <c r="W867" s="581"/>
      <c r="X867" s="615"/>
      <c r="Y867" s="613"/>
      <c r="Z867" s="580"/>
      <c r="AA867" s="634"/>
      <c r="AB867" s="577"/>
      <c r="AC867" s="673"/>
      <c r="AD867" s="634"/>
      <c r="AE867" s="587"/>
      <c r="AF867" s="587"/>
      <c r="AG867" s="582"/>
      <c r="AH867" s="582"/>
      <c r="AI867" s="582"/>
      <c r="AJ867" s="582"/>
      <c r="AK867" s="588"/>
      <c r="AL867" s="582"/>
      <c r="AM867" s="582"/>
      <c r="AN867" s="589"/>
      <c r="AO867" s="616"/>
      <c r="AP867" s="592"/>
      <c r="AQ867" s="358"/>
      <c r="AR867" s="592"/>
      <c r="AS867" s="592"/>
      <c r="AT867" s="592"/>
      <c r="AU867" s="592"/>
      <c r="AV867" s="592"/>
      <c r="AW867" s="592"/>
      <c r="AX867" s="592"/>
      <c r="AY867" s="592"/>
      <c r="AZ867" s="592"/>
      <c r="BA867" s="617"/>
      <c r="BB867" s="592"/>
      <c r="BC867" s="592"/>
      <c r="BD867" s="592"/>
      <c r="BE867" s="592"/>
      <c r="BF867" s="592"/>
      <c r="BG867" s="358"/>
      <c r="BH867" s="592"/>
      <c r="BI867" s="592"/>
      <c r="BJ867" s="592"/>
      <c r="BK867" s="592"/>
      <c r="BL867" s="592"/>
      <c r="BM867" s="592"/>
      <c r="BN867" s="592"/>
      <c r="BO867" s="592"/>
      <c r="BP867" s="592"/>
      <c r="BQ867" s="594"/>
      <c r="BR867" s="594"/>
      <c r="BS867" s="394"/>
      <c r="BT867" s="594"/>
      <c r="BU867" s="594"/>
      <c r="BV867" s="594"/>
      <c r="BW867" s="618"/>
      <c r="BX867" s="644"/>
      <c r="BY867" s="644"/>
    </row>
    <row r="868" ht="25.5" customHeight="1">
      <c r="A868" s="635"/>
      <c r="B868" s="695"/>
      <c r="C868" s="642"/>
      <c r="D868" s="642"/>
      <c r="E868" s="696"/>
      <c r="F868" s="696"/>
      <c r="G868" s="621"/>
      <c r="H868" s="577"/>
      <c r="I868" s="577"/>
      <c r="J868" s="613"/>
      <c r="K868" s="581"/>
      <c r="L868" s="581"/>
      <c r="M868" s="613"/>
      <c r="N868" s="613"/>
      <c r="O868" s="613"/>
      <c r="P868" s="580"/>
      <c r="Q868" s="580"/>
      <c r="R868" s="581"/>
      <c r="S868" s="581"/>
      <c r="T868" s="581"/>
      <c r="U868" s="582"/>
      <c r="V868" s="614"/>
      <c r="W868" s="581"/>
      <c r="X868" s="615"/>
      <c r="Y868" s="613"/>
      <c r="Z868" s="580"/>
      <c r="AA868" s="634"/>
      <c r="AB868" s="577"/>
      <c r="AC868" s="673"/>
      <c r="AD868" s="634"/>
      <c r="AE868" s="587"/>
      <c r="AF868" s="587"/>
      <c r="AG868" s="582"/>
      <c r="AH868" s="582"/>
      <c r="AI868" s="582"/>
      <c r="AJ868" s="582"/>
      <c r="AK868" s="588"/>
      <c r="AL868" s="582"/>
      <c r="AM868" s="582"/>
      <c r="AN868" s="589"/>
      <c r="AO868" s="616"/>
      <c r="AP868" s="592"/>
      <c r="AQ868" s="358"/>
      <c r="AR868" s="592"/>
      <c r="AS868" s="592"/>
      <c r="AT868" s="592"/>
      <c r="AU868" s="592"/>
      <c r="AV868" s="592"/>
      <c r="AW868" s="592"/>
      <c r="AX868" s="592"/>
      <c r="AY868" s="592"/>
      <c r="AZ868" s="592"/>
      <c r="BA868" s="617"/>
      <c r="BB868" s="592"/>
      <c r="BC868" s="592"/>
      <c r="BD868" s="592"/>
      <c r="BE868" s="592"/>
      <c r="BF868" s="592"/>
      <c r="BG868" s="358"/>
      <c r="BH868" s="592"/>
      <c r="BI868" s="592"/>
      <c r="BJ868" s="592"/>
      <c r="BK868" s="592"/>
      <c r="BL868" s="592"/>
      <c r="BM868" s="592"/>
      <c r="BN868" s="592"/>
      <c r="BO868" s="592"/>
      <c r="BP868" s="592"/>
      <c r="BQ868" s="594"/>
      <c r="BR868" s="594"/>
      <c r="BS868" s="394"/>
      <c r="BT868" s="594"/>
      <c r="BU868" s="594"/>
      <c r="BV868" s="594"/>
      <c r="BW868" s="618"/>
      <c r="BX868" s="644"/>
      <c r="BY868" s="644"/>
    </row>
    <row r="869" ht="25.5" customHeight="1">
      <c r="A869" s="635"/>
      <c r="B869" s="695"/>
      <c r="C869" s="642"/>
      <c r="D869" s="642"/>
      <c r="E869" s="696"/>
      <c r="F869" s="696"/>
      <c r="G869" s="621"/>
      <c r="H869" s="577"/>
      <c r="I869" s="577"/>
      <c r="J869" s="613"/>
      <c r="K869" s="581"/>
      <c r="L869" s="581"/>
      <c r="M869" s="613"/>
      <c r="N869" s="613"/>
      <c r="O869" s="613"/>
      <c r="P869" s="580"/>
      <c r="Q869" s="580"/>
      <c r="R869" s="581"/>
      <c r="S869" s="581"/>
      <c r="T869" s="581"/>
      <c r="U869" s="582"/>
      <c r="V869" s="614"/>
      <c r="W869" s="581"/>
      <c r="X869" s="615"/>
      <c r="Y869" s="613"/>
      <c r="Z869" s="580"/>
      <c r="AA869" s="634"/>
      <c r="AB869" s="577"/>
      <c r="AC869" s="673"/>
      <c r="AD869" s="634"/>
      <c r="AE869" s="587"/>
      <c r="AF869" s="587"/>
      <c r="AG869" s="582"/>
      <c r="AH869" s="582"/>
      <c r="AI869" s="582"/>
      <c r="AJ869" s="582"/>
      <c r="AK869" s="588"/>
      <c r="AL869" s="582"/>
      <c r="AM869" s="582"/>
      <c r="AN869" s="589"/>
      <c r="AO869" s="616"/>
      <c r="AP869" s="592"/>
      <c r="AQ869" s="358"/>
      <c r="AR869" s="592"/>
      <c r="AS869" s="592"/>
      <c r="AT869" s="592"/>
      <c r="AU869" s="592"/>
      <c r="AV869" s="592"/>
      <c r="AW869" s="592"/>
      <c r="AX869" s="592"/>
      <c r="AY869" s="592"/>
      <c r="AZ869" s="592"/>
      <c r="BA869" s="617"/>
      <c r="BB869" s="592"/>
      <c r="BC869" s="592"/>
      <c r="BD869" s="592"/>
      <c r="BE869" s="592"/>
      <c r="BF869" s="592"/>
      <c r="BG869" s="358"/>
      <c r="BH869" s="592"/>
      <c r="BI869" s="592"/>
      <c r="BJ869" s="592"/>
      <c r="BK869" s="592"/>
      <c r="BL869" s="592"/>
      <c r="BM869" s="592"/>
      <c r="BN869" s="592"/>
      <c r="BO869" s="592"/>
      <c r="BP869" s="592"/>
      <c r="BQ869" s="594"/>
      <c r="BR869" s="594"/>
      <c r="BS869" s="394"/>
      <c r="BT869" s="594"/>
      <c r="BU869" s="594"/>
      <c r="BV869" s="594"/>
      <c r="BW869" s="618"/>
      <c r="BX869" s="644"/>
      <c r="BY869" s="644"/>
    </row>
    <row r="870" ht="25.5" customHeight="1">
      <c r="A870" s="635"/>
      <c r="B870" s="695"/>
      <c r="C870" s="642"/>
      <c r="D870" s="642"/>
      <c r="E870" s="696"/>
      <c r="F870" s="696"/>
      <c r="G870" s="621"/>
      <c r="H870" s="577"/>
      <c r="I870" s="577"/>
      <c r="J870" s="613"/>
      <c r="K870" s="581"/>
      <c r="L870" s="581"/>
      <c r="M870" s="613"/>
      <c r="N870" s="613"/>
      <c r="O870" s="613"/>
      <c r="P870" s="580"/>
      <c r="Q870" s="580"/>
      <c r="R870" s="581"/>
      <c r="S870" s="581"/>
      <c r="T870" s="581"/>
      <c r="U870" s="582"/>
      <c r="V870" s="614"/>
      <c r="W870" s="581"/>
      <c r="X870" s="615"/>
      <c r="Y870" s="613"/>
      <c r="Z870" s="580"/>
      <c r="AA870" s="634"/>
      <c r="AB870" s="577"/>
      <c r="AC870" s="673"/>
      <c r="AD870" s="634"/>
      <c r="AE870" s="587"/>
      <c r="AF870" s="587"/>
      <c r="AG870" s="582"/>
      <c r="AH870" s="582"/>
      <c r="AI870" s="582"/>
      <c r="AJ870" s="582"/>
      <c r="AK870" s="588"/>
      <c r="AL870" s="582"/>
      <c r="AM870" s="582"/>
      <c r="AN870" s="589"/>
      <c r="AO870" s="616"/>
      <c r="AP870" s="592"/>
      <c r="AQ870" s="358"/>
      <c r="AR870" s="592"/>
      <c r="AS870" s="592"/>
      <c r="AT870" s="592"/>
      <c r="AU870" s="592"/>
      <c r="AV870" s="592"/>
      <c r="AW870" s="592"/>
      <c r="AX870" s="592"/>
      <c r="AY870" s="592"/>
      <c r="AZ870" s="592"/>
      <c r="BA870" s="617"/>
      <c r="BB870" s="592"/>
      <c r="BC870" s="592"/>
      <c r="BD870" s="592"/>
      <c r="BE870" s="592"/>
      <c r="BF870" s="592"/>
      <c r="BG870" s="358"/>
      <c r="BH870" s="592"/>
      <c r="BI870" s="592"/>
      <c r="BJ870" s="592"/>
      <c r="BK870" s="592"/>
      <c r="BL870" s="592"/>
      <c r="BM870" s="592"/>
      <c r="BN870" s="592"/>
      <c r="BO870" s="592"/>
      <c r="BP870" s="592"/>
      <c r="BQ870" s="594"/>
      <c r="BR870" s="594"/>
      <c r="BS870" s="394"/>
      <c r="BT870" s="594"/>
      <c r="BU870" s="594"/>
      <c r="BV870" s="594"/>
      <c r="BW870" s="618"/>
      <c r="BX870" s="644"/>
      <c r="BY870" s="644"/>
    </row>
    <row r="871" ht="25.5" customHeight="1">
      <c r="A871" s="635"/>
      <c r="B871" s="695"/>
      <c r="C871" s="642"/>
      <c r="D871" s="642"/>
      <c r="E871" s="696"/>
      <c r="F871" s="696"/>
      <c r="G871" s="621"/>
      <c r="H871" s="577"/>
      <c r="I871" s="577"/>
      <c r="J871" s="613"/>
      <c r="K871" s="581"/>
      <c r="L871" s="581"/>
      <c r="M871" s="613"/>
      <c r="N871" s="613"/>
      <c r="O871" s="613"/>
      <c r="P871" s="580"/>
      <c r="Q871" s="580"/>
      <c r="R871" s="581"/>
      <c r="S871" s="581"/>
      <c r="T871" s="581"/>
      <c r="U871" s="582"/>
      <c r="V871" s="614"/>
      <c r="W871" s="581"/>
      <c r="X871" s="615"/>
      <c r="Y871" s="613"/>
      <c r="Z871" s="580"/>
      <c r="AA871" s="634"/>
      <c r="AB871" s="577"/>
      <c r="AC871" s="673"/>
      <c r="AD871" s="634"/>
      <c r="AE871" s="587"/>
      <c r="AF871" s="587"/>
      <c r="AG871" s="582"/>
      <c r="AH871" s="582"/>
      <c r="AI871" s="582"/>
      <c r="AJ871" s="582"/>
      <c r="AK871" s="588"/>
      <c r="AL871" s="582"/>
      <c r="AM871" s="582"/>
      <c r="AN871" s="589"/>
      <c r="AO871" s="616"/>
      <c r="AP871" s="592"/>
      <c r="AQ871" s="358"/>
      <c r="AR871" s="592"/>
      <c r="AS871" s="592"/>
      <c r="AT871" s="592"/>
      <c r="AU871" s="592"/>
      <c r="AV871" s="592"/>
      <c r="AW871" s="592"/>
      <c r="AX871" s="592"/>
      <c r="AY871" s="592"/>
      <c r="AZ871" s="592"/>
      <c r="BA871" s="617"/>
      <c r="BB871" s="592"/>
      <c r="BC871" s="592"/>
      <c r="BD871" s="592"/>
      <c r="BE871" s="592"/>
      <c r="BF871" s="592"/>
      <c r="BG871" s="358"/>
      <c r="BH871" s="592"/>
      <c r="BI871" s="592"/>
      <c r="BJ871" s="592"/>
      <c r="BK871" s="592"/>
      <c r="BL871" s="592"/>
      <c r="BM871" s="592"/>
      <c r="BN871" s="592"/>
      <c r="BO871" s="592"/>
      <c r="BP871" s="592"/>
      <c r="BQ871" s="594"/>
      <c r="BR871" s="594"/>
      <c r="BS871" s="394"/>
      <c r="BT871" s="594"/>
      <c r="BU871" s="594"/>
      <c r="BV871" s="594"/>
      <c r="BW871" s="618"/>
      <c r="BX871" s="644"/>
      <c r="BY871" s="644"/>
    </row>
    <row r="872" ht="25.5" customHeight="1">
      <c r="A872" s="635"/>
      <c r="B872" s="695"/>
      <c r="C872" s="642"/>
      <c r="D872" s="642"/>
      <c r="E872" s="696"/>
      <c r="F872" s="696"/>
      <c r="G872" s="621"/>
      <c r="H872" s="577"/>
      <c r="I872" s="577"/>
      <c r="J872" s="613"/>
      <c r="K872" s="581"/>
      <c r="L872" s="581"/>
      <c r="M872" s="613"/>
      <c r="N872" s="613"/>
      <c r="O872" s="613"/>
      <c r="P872" s="580"/>
      <c r="Q872" s="580"/>
      <c r="R872" s="581"/>
      <c r="S872" s="581"/>
      <c r="T872" s="581"/>
      <c r="U872" s="582"/>
      <c r="V872" s="614"/>
      <c r="W872" s="581"/>
      <c r="X872" s="615"/>
      <c r="Y872" s="613"/>
      <c r="Z872" s="580"/>
      <c r="AA872" s="634"/>
      <c r="AB872" s="577"/>
      <c r="AC872" s="673"/>
      <c r="AD872" s="634"/>
      <c r="AE872" s="587"/>
      <c r="AF872" s="587"/>
      <c r="AG872" s="582"/>
      <c r="AH872" s="582"/>
      <c r="AI872" s="582"/>
      <c r="AJ872" s="582"/>
      <c r="AK872" s="588"/>
      <c r="AL872" s="582"/>
      <c r="AM872" s="582"/>
      <c r="AN872" s="589"/>
      <c r="AO872" s="616"/>
      <c r="AP872" s="592"/>
      <c r="AQ872" s="358"/>
      <c r="AR872" s="592"/>
      <c r="AS872" s="592"/>
      <c r="AT872" s="592"/>
      <c r="AU872" s="592"/>
      <c r="AV872" s="592"/>
      <c r="AW872" s="592"/>
      <c r="AX872" s="592"/>
      <c r="AY872" s="592"/>
      <c r="AZ872" s="592"/>
      <c r="BA872" s="617"/>
      <c r="BB872" s="592"/>
      <c r="BC872" s="592"/>
      <c r="BD872" s="592"/>
      <c r="BE872" s="592"/>
      <c r="BF872" s="592"/>
      <c r="BG872" s="358"/>
      <c r="BH872" s="592"/>
      <c r="BI872" s="592"/>
      <c r="BJ872" s="592"/>
      <c r="BK872" s="592"/>
      <c r="BL872" s="592"/>
      <c r="BM872" s="592"/>
      <c r="BN872" s="592"/>
      <c r="BO872" s="592"/>
      <c r="BP872" s="592"/>
      <c r="BQ872" s="594"/>
      <c r="BR872" s="594"/>
      <c r="BS872" s="394"/>
      <c r="BT872" s="594"/>
      <c r="BU872" s="594"/>
      <c r="BV872" s="594"/>
      <c r="BW872" s="618"/>
      <c r="BX872" s="644"/>
      <c r="BY872" s="644"/>
    </row>
    <row r="873" ht="25.5" customHeight="1">
      <c r="A873" s="635"/>
      <c r="B873" s="695"/>
      <c r="C873" s="642"/>
      <c r="D873" s="642"/>
      <c r="E873" s="696"/>
      <c r="F873" s="696"/>
      <c r="G873" s="621"/>
      <c r="H873" s="577"/>
      <c r="I873" s="577"/>
      <c r="J873" s="613"/>
      <c r="K873" s="581"/>
      <c r="L873" s="581"/>
      <c r="M873" s="613"/>
      <c r="N873" s="613"/>
      <c r="O873" s="613"/>
      <c r="P873" s="580"/>
      <c r="Q873" s="580"/>
      <c r="R873" s="581"/>
      <c r="S873" s="581"/>
      <c r="T873" s="581"/>
      <c r="U873" s="582"/>
      <c r="V873" s="614"/>
      <c r="W873" s="581"/>
      <c r="X873" s="615"/>
      <c r="Y873" s="613"/>
      <c r="Z873" s="580"/>
      <c r="AA873" s="634"/>
      <c r="AB873" s="577"/>
      <c r="AC873" s="673"/>
      <c r="AD873" s="634"/>
      <c r="AE873" s="587"/>
      <c r="AF873" s="587"/>
      <c r="AG873" s="582"/>
      <c r="AH873" s="582"/>
      <c r="AI873" s="582"/>
      <c r="AJ873" s="582"/>
      <c r="AK873" s="588"/>
      <c r="AL873" s="582"/>
      <c r="AM873" s="582"/>
      <c r="AN873" s="589"/>
      <c r="AO873" s="616"/>
      <c r="AP873" s="592"/>
      <c r="AQ873" s="358"/>
      <c r="AR873" s="592"/>
      <c r="AS873" s="592"/>
      <c r="AT873" s="592"/>
      <c r="AU873" s="592"/>
      <c r="AV873" s="592"/>
      <c r="AW873" s="592"/>
      <c r="AX873" s="592"/>
      <c r="AY873" s="592"/>
      <c r="AZ873" s="592"/>
      <c r="BA873" s="617"/>
      <c r="BB873" s="592"/>
      <c r="BC873" s="592"/>
      <c r="BD873" s="592"/>
      <c r="BE873" s="592"/>
      <c r="BF873" s="592"/>
      <c r="BG873" s="358"/>
      <c r="BH873" s="592"/>
      <c r="BI873" s="592"/>
      <c r="BJ873" s="592"/>
      <c r="BK873" s="592"/>
      <c r="BL873" s="592"/>
      <c r="BM873" s="592"/>
      <c r="BN873" s="592"/>
      <c r="BO873" s="592"/>
      <c r="BP873" s="592"/>
      <c r="BQ873" s="594"/>
      <c r="BR873" s="594"/>
      <c r="BS873" s="394"/>
      <c r="BT873" s="594"/>
      <c r="BU873" s="594"/>
      <c r="BV873" s="594"/>
      <c r="BW873" s="618"/>
      <c r="BX873" s="644"/>
      <c r="BY873" s="644"/>
    </row>
    <row r="874" ht="25.5" customHeight="1">
      <c r="A874" s="635"/>
      <c r="B874" s="695"/>
      <c r="C874" s="642"/>
      <c r="D874" s="642"/>
      <c r="E874" s="696"/>
      <c r="F874" s="696"/>
      <c r="G874" s="621"/>
      <c r="H874" s="577"/>
      <c r="I874" s="577"/>
      <c r="J874" s="613"/>
      <c r="K874" s="581"/>
      <c r="L874" s="581"/>
      <c r="M874" s="613"/>
      <c r="N874" s="613"/>
      <c r="O874" s="613"/>
      <c r="P874" s="580"/>
      <c r="Q874" s="580"/>
      <c r="R874" s="581"/>
      <c r="S874" s="581"/>
      <c r="T874" s="581"/>
      <c r="U874" s="582"/>
      <c r="V874" s="614"/>
      <c r="W874" s="581"/>
      <c r="X874" s="615"/>
      <c r="Y874" s="613"/>
      <c r="Z874" s="580"/>
      <c r="AA874" s="634"/>
      <c r="AB874" s="577"/>
      <c r="AC874" s="673"/>
      <c r="AD874" s="634"/>
      <c r="AE874" s="587"/>
      <c r="AF874" s="587"/>
      <c r="AG874" s="582"/>
      <c r="AH874" s="582"/>
      <c r="AI874" s="582"/>
      <c r="AJ874" s="582"/>
      <c r="AK874" s="588"/>
      <c r="AL874" s="582"/>
      <c r="AM874" s="582"/>
      <c r="AN874" s="589"/>
      <c r="AO874" s="616"/>
      <c r="AP874" s="592"/>
      <c r="AQ874" s="358"/>
      <c r="AR874" s="592"/>
      <c r="AS874" s="592"/>
      <c r="AT874" s="592"/>
      <c r="AU874" s="592"/>
      <c r="AV874" s="592"/>
      <c r="AW874" s="592"/>
      <c r="AX874" s="592"/>
      <c r="AY874" s="592"/>
      <c r="AZ874" s="592"/>
      <c r="BA874" s="617"/>
      <c r="BB874" s="592"/>
      <c r="BC874" s="592"/>
      <c r="BD874" s="592"/>
      <c r="BE874" s="592"/>
      <c r="BF874" s="592"/>
      <c r="BG874" s="358"/>
      <c r="BH874" s="592"/>
      <c r="BI874" s="592"/>
      <c r="BJ874" s="592"/>
      <c r="BK874" s="592"/>
      <c r="BL874" s="592"/>
      <c r="BM874" s="592"/>
      <c r="BN874" s="592"/>
      <c r="BO874" s="592"/>
      <c r="BP874" s="592"/>
      <c r="BQ874" s="594"/>
      <c r="BR874" s="594"/>
      <c r="BS874" s="394"/>
      <c r="BT874" s="594"/>
      <c r="BU874" s="594"/>
      <c r="BV874" s="594"/>
      <c r="BW874" s="618"/>
      <c r="BX874" s="644"/>
      <c r="BY874" s="644"/>
    </row>
    <row r="875" ht="25.5" customHeight="1">
      <c r="A875" s="635"/>
      <c r="B875" s="695"/>
      <c r="C875" s="642"/>
      <c r="D875" s="642"/>
      <c r="E875" s="696"/>
      <c r="F875" s="696"/>
      <c r="G875" s="621"/>
      <c r="H875" s="577"/>
      <c r="I875" s="577"/>
      <c r="J875" s="613"/>
      <c r="K875" s="581"/>
      <c r="L875" s="581"/>
      <c r="M875" s="613"/>
      <c r="N875" s="613"/>
      <c r="O875" s="613"/>
      <c r="P875" s="580"/>
      <c r="Q875" s="580"/>
      <c r="R875" s="581"/>
      <c r="S875" s="581"/>
      <c r="T875" s="581"/>
      <c r="U875" s="582"/>
      <c r="V875" s="614"/>
      <c r="W875" s="581"/>
      <c r="X875" s="615"/>
      <c r="Y875" s="613"/>
      <c r="Z875" s="580"/>
      <c r="AA875" s="634"/>
      <c r="AB875" s="577"/>
      <c r="AC875" s="673"/>
      <c r="AD875" s="634"/>
      <c r="AE875" s="587"/>
      <c r="AF875" s="587"/>
      <c r="AG875" s="582"/>
      <c r="AH875" s="582"/>
      <c r="AI875" s="582"/>
      <c r="AJ875" s="582"/>
      <c r="AK875" s="588"/>
      <c r="AL875" s="582"/>
      <c r="AM875" s="582"/>
      <c r="AN875" s="589"/>
      <c r="AO875" s="616"/>
      <c r="AP875" s="592"/>
      <c r="AQ875" s="358"/>
      <c r="AR875" s="592"/>
      <c r="AS875" s="592"/>
      <c r="AT875" s="592"/>
      <c r="AU875" s="592"/>
      <c r="AV875" s="592"/>
      <c r="AW875" s="592"/>
      <c r="AX875" s="592"/>
      <c r="AY875" s="592"/>
      <c r="AZ875" s="592"/>
      <c r="BA875" s="617"/>
      <c r="BB875" s="592"/>
      <c r="BC875" s="592"/>
      <c r="BD875" s="592"/>
      <c r="BE875" s="592"/>
      <c r="BF875" s="592"/>
      <c r="BG875" s="358"/>
      <c r="BH875" s="592"/>
      <c r="BI875" s="592"/>
      <c r="BJ875" s="592"/>
      <c r="BK875" s="592"/>
      <c r="BL875" s="592"/>
      <c r="BM875" s="592"/>
      <c r="BN875" s="592"/>
      <c r="BO875" s="592"/>
      <c r="BP875" s="592"/>
      <c r="BQ875" s="594"/>
      <c r="BR875" s="594"/>
      <c r="BS875" s="394"/>
      <c r="BT875" s="594"/>
      <c r="BU875" s="594"/>
      <c r="BV875" s="594"/>
      <c r="BW875" s="618"/>
      <c r="BX875" s="644"/>
      <c r="BY875" s="644"/>
    </row>
    <row r="876" ht="25.5" customHeight="1">
      <c r="A876" s="635"/>
      <c r="B876" s="695"/>
      <c r="C876" s="642"/>
      <c r="D876" s="642"/>
      <c r="E876" s="696"/>
      <c r="F876" s="696"/>
      <c r="G876" s="621"/>
      <c r="H876" s="577"/>
      <c r="I876" s="577"/>
      <c r="J876" s="613"/>
      <c r="K876" s="581"/>
      <c r="L876" s="581"/>
      <c r="M876" s="613"/>
      <c r="N876" s="613"/>
      <c r="O876" s="613"/>
      <c r="P876" s="580"/>
      <c r="Q876" s="580"/>
      <c r="R876" s="581"/>
      <c r="S876" s="581"/>
      <c r="T876" s="581"/>
      <c r="U876" s="582"/>
      <c r="V876" s="614"/>
      <c r="W876" s="581"/>
      <c r="X876" s="615"/>
      <c r="Y876" s="613"/>
      <c r="Z876" s="580"/>
      <c r="AA876" s="634"/>
      <c r="AB876" s="577"/>
      <c r="AC876" s="673"/>
      <c r="AD876" s="634"/>
      <c r="AE876" s="587"/>
      <c r="AF876" s="587"/>
      <c r="AG876" s="582"/>
      <c r="AH876" s="582"/>
      <c r="AI876" s="582"/>
      <c r="AJ876" s="582"/>
      <c r="AK876" s="588"/>
      <c r="AL876" s="582"/>
      <c r="AM876" s="582"/>
      <c r="AN876" s="589"/>
      <c r="AO876" s="616"/>
      <c r="AP876" s="592"/>
      <c r="AQ876" s="358"/>
      <c r="AR876" s="592"/>
      <c r="AS876" s="592"/>
      <c r="AT876" s="592"/>
      <c r="AU876" s="592"/>
      <c r="AV876" s="592"/>
      <c r="AW876" s="592"/>
      <c r="AX876" s="592"/>
      <c r="AY876" s="592"/>
      <c r="AZ876" s="592"/>
      <c r="BA876" s="617"/>
      <c r="BB876" s="592"/>
      <c r="BC876" s="592"/>
      <c r="BD876" s="592"/>
      <c r="BE876" s="592"/>
      <c r="BF876" s="592"/>
      <c r="BG876" s="358"/>
      <c r="BH876" s="592"/>
      <c r="BI876" s="592"/>
      <c r="BJ876" s="592"/>
      <c r="BK876" s="592"/>
      <c r="BL876" s="592"/>
      <c r="BM876" s="592"/>
      <c r="BN876" s="592"/>
      <c r="BO876" s="592"/>
      <c r="BP876" s="592"/>
      <c r="BQ876" s="594"/>
      <c r="BR876" s="594"/>
      <c r="BS876" s="394"/>
      <c r="BT876" s="594"/>
      <c r="BU876" s="594"/>
      <c r="BV876" s="594"/>
      <c r="BW876" s="618"/>
      <c r="BX876" s="644"/>
      <c r="BY876" s="644"/>
    </row>
    <row r="877" ht="25.5" customHeight="1">
      <c r="A877" s="635"/>
      <c r="B877" s="695"/>
      <c r="C877" s="642"/>
      <c r="D877" s="642"/>
      <c r="E877" s="696"/>
      <c r="F877" s="696"/>
      <c r="G877" s="621"/>
      <c r="H877" s="577"/>
      <c r="I877" s="577"/>
      <c r="J877" s="613"/>
      <c r="K877" s="581"/>
      <c r="L877" s="581"/>
      <c r="M877" s="613"/>
      <c r="N877" s="613"/>
      <c r="O877" s="613"/>
      <c r="P877" s="580"/>
      <c r="Q877" s="580"/>
      <c r="R877" s="581"/>
      <c r="S877" s="581"/>
      <c r="T877" s="581"/>
      <c r="U877" s="582"/>
      <c r="V877" s="614"/>
      <c r="W877" s="581"/>
      <c r="X877" s="615"/>
      <c r="Y877" s="613"/>
      <c r="Z877" s="580"/>
      <c r="AA877" s="634"/>
      <c r="AB877" s="577"/>
      <c r="AC877" s="673"/>
      <c r="AD877" s="634"/>
      <c r="AE877" s="587"/>
      <c r="AF877" s="587"/>
      <c r="AG877" s="582"/>
      <c r="AH877" s="582"/>
      <c r="AI877" s="582"/>
      <c r="AJ877" s="582"/>
      <c r="AK877" s="588"/>
      <c r="AL877" s="582"/>
      <c r="AM877" s="582"/>
      <c r="AN877" s="589"/>
      <c r="AO877" s="616"/>
      <c r="AP877" s="592"/>
      <c r="AQ877" s="358"/>
      <c r="AR877" s="592"/>
      <c r="AS877" s="592"/>
      <c r="AT877" s="592"/>
      <c r="AU877" s="592"/>
      <c r="AV877" s="592"/>
      <c r="AW877" s="592"/>
      <c r="AX877" s="592"/>
      <c r="AY877" s="592"/>
      <c r="AZ877" s="592"/>
      <c r="BA877" s="617"/>
      <c r="BB877" s="592"/>
      <c r="BC877" s="592"/>
      <c r="BD877" s="592"/>
      <c r="BE877" s="592"/>
      <c r="BF877" s="592"/>
      <c r="BG877" s="358"/>
      <c r="BH877" s="592"/>
      <c r="BI877" s="592"/>
      <c r="BJ877" s="592"/>
      <c r="BK877" s="592"/>
      <c r="BL877" s="592"/>
      <c r="BM877" s="592"/>
      <c r="BN877" s="592"/>
      <c r="BO877" s="592"/>
      <c r="BP877" s="592"/>
      <c r="BQ877" s="594"/>
      <c r="BR877" s="594"/>
      <c r="BS877" s="394"/>
      <c r="BT877" s="594"/>
      <c r="BU877" s="594"/>
      <c r="BV877" s="594"/>
      <c r="BW877" s="618"/>
      <c r="BX877" s="644"/>
      <c r="BY877" s="644"/>
    </row>
    <row r="878" ht="25.5" customHeight="1">
      <c r="A878" s="635"/>
      <c r="B878" s="695"/>
      <c r="C878" s="642"/>
      <c r="D878" s="642"/>
      <c r="E878" s="696"/>
      <c r="F878" s="696"/>
      <c r="G878" s="621"/>
      <c r="H878" s="577"/>
      <c r="I878" s="577"/>
      <c r="J878" s="613"/>
      <c r="K878" s="581"/>
      <c r="L878" s="581"/>
      <c r="M878" s="613"/>
      <c r="N878" s="613"/>
      <c r="O878" s="613"/>
      <c r="P878" s="580"/>
      <c r="Q878" s="580"/>
      <c r="R878" s="581"/>
      <c r="S878" s="581"/>
      <c r="T878" s="581"/>
      <c r="U878" s="582"/>
      <c r="V878" s="614"/>
      <c r="W878" s="581"/>
      <c r="X878" s="615"/>
      <c r="Y878" s="613"/>
      <c r="Z878" s="580"/>
      <c r="AA878" s="634"/>
      <c r="AB878" s="577"/>
      <c r="AC878" s="673"/>
      <c r="AD878" s="634"/>
      <c r="AE878" s="587"/>
      <c r="AF878" s="587"/>
      <c r="AG878" s="582"/>
      <c r="AH878" s="582"/>
      <c r="AI878" s="582"/>
      <c r="AJ878" s="582"/>
      <c r="AK878" s="588"/>
      <c r="AL878" s="582"/>
      <c r="AM878" s="582"/>
      <c r="AN878" s="589"/>
      <c r="AO878" s="616"/>
      <c r="AP878" s="592"/>
      <c r="AQ878" s="358"/>
      <c r="AR878" s="592"/>
      <c r="AS878" s="592"/>
      <c r="AT878" s="592"/>
      <c r="AU878" s="592"/>
      <c r="AV878" s="592"/>
      <c r="AW878" s="592"/>
      <c r="AX878" s="592"/>
      <c r="AY878" s="592"/>
      <c r="AZ878" s="592"/>
      <c r="BA878" s="617"/>
      <c r="BB878" s="592"/>
      <c r="BC878" s="592"/>
      <c r="BD878" s="592"/>
      <c r="BE878" s="592"/>
      <c r="BF878" s="592"/>
      <c r="BG878" s="358"/>
      <c r="BH878" s="592"/>
      <c r="BI878" s="592"/>
      <c r="BJ878" s="592"/>
      <c r="BK878" s="592"/>
      <c r="BL878" s="592"/>
      <c r="BM878" s="592"/>
      <c r="BN878" s="592"/>
      <c r="BO878" s="592"/>
      <c r="BP878" s="592"/>
      <c r="BQ878" s="594"/>
      <c r="BR878" s="594"/>
      <c r="BS878" s="394"/>
      <c r="BT878" s="594"/>
      <c r="BU878" s="594"/>
      <c r="BV878" s="594"/>
      <c r="BW878" s="618"/>
      <c r="BX878" s="644"/>
      <c r="BY878" s="644"/>
    </row>
    <row r="879" ht="25.5" customHeight="1">
      <c r="A879" s="635"/>
      <c r="B879" s="695"/>
      <c r="C879" s="642"/>
      <c r="D879" s="642"/>
      <c r="E879" s="696"/>
      <c r="F879" s="696"/>
      <c r="G879" s="621"/>
      <c r="H879" s="577"/>
      <c r="I879" s="577"/>
      <c r="J879" s="613"/>
      <c r="K879" s="581"/>
      <c r="L879" s="581"/>
      <c r="M879" s="613"/>
      <c r="N879" s="613"/>
      <c r="O879" s="613"/>
      <c r="P879" s="580"/>
      <c r="Q879" s="580"/>
      <c r="R879" s="581"/>
      <c r="S879" s="581"/>
      <c r="T879" s="581"/>
      <c r="U879" s="582"/>
      <c r="V879" s="614"/>
      <c r="W879" s="581"/>
      <c r="X879" s="615"/>
      <c r="Y879" s="613"/>
      <c r="Z879" s="580"/>
      <c r="AA879" s="634"/>
      <c r="AB879" s="577"/>
      <c r="AC879" s="673"/>
      <c r="AD879" s="634"/>
      <c r="AE879" s="587"/>
      <c r="AF879" s="587"/>
      <c r="AG879" s="582"/>
      <c r="AH879" s="582"/>
      <c r="AI879" s="582"/>
      <c r="AJ879" s="582"/>
      <c r="AK879" s="588"/>
      <c r="AL879" s="582"/>
      <c r="AM879" s="582"/>
      <c r="AN879" s="589"/>
      <c r="AO879" s="616"/>
      <c r="AP879" s="592"/>
      <c r="AQ879" s="358"/>
      <c r="AR879" s="592"/>
      <c r="AS879" s="592"/>
      <c r="AT879" s="592"/>
      <c r="AU879" s="592"/>
      <c r="AV879" s="592"/>
      <c r="AW879" s="592"/>
      <c r="AX879" s="592"/>
      <c r="AY879" s="592"/>
      <c r="AZ879" s="592"/>
      <c r="BA879" s="617"/>
      <c r="BB879" s="592"/>
      <c r="BC879" s="592"/>
      <c r="BD879" s="592"/>
      <c r="BE879" s="592"/>
      <c r="BF879" s="592"/>
      <c r="BG879" s="358"/>
      <c r="BH879" s="592"/>
      <c r="BI879" s="592"/>
      <c r="BJ879" s="592"/>
      <c r="BK879" s="592"/>
      <c r="BL879" s="592"/>
      <c r="BM879" s="592"/>
      <c r="BN879" s="592"/>
      <c r="BO879" s="592"/>
      <c r="BP879" s="592"/>
      <c r="BQ879" s="594"/>
      <c r="BR879" s="594"/>
      <c r="BS879" s="394"/>
      <c r="BT879" s="594"/>
      <c r="BU879" s="594"/>
      <c r="BV879" s="594"/>
      <c r="BW879" s="618"/>
      <c r="BX879" s="644"/>
      <c r="BY879" s="644"/>
    </row>
    <row r="880" ht="25.5" customHeight="1">
      <c r="A880" s="635"/>
      <c r="B880" s="695"/>
      <c r="C880" s="642"/>
      <c r="D880" s="642"/>
      <c r="E880" s="696"/>
      <c r="F880" s="696"/>
      <c r="G880" s="621"/>
      <c r="H880" s="577"/>
      <c r="I880" s="577"/>
      <c r="J880" s="613"/>
      <c r="K880" s="581"/>
      <c r="L880" s="581"/>
      <c r="M880" s="613"/>
      <c r="N880" s="613"/>
      <c r="O880" s="613"/>
      <c r="P880" s="580"/>
      <c r="Q880" s="580"/>
      <c r="R880" s="581"/>
      <c r="S880" s="581"/>
      <c r="T880" s="581"/>
      <c r="U880" s="582"/>
      <c r="V880" s="614"/>
      <c r="W880" s="581"/>
      <c r="X880" s="615"/>
      <c r="Y880" s="613"/>
      <c r="Z880" s="580"/>
      <c r="AA880" s="634"/>
      <c r="AB880" s="577"/>
      <c r="AC880" s="673"/>
      <c r="AD880" s="634"/>
      <c r="AE880" s="587"/>
      <c r="AF880" s="587"/>
      <c r="AG880" s="582"/>
      <c r="AH880" s="582"/>
      <c r="AI880" s="582"/>
      <c r="AJ880" s="582"/>
      <c r="AK880" s="588"/>
      <c r="AL880" s="582"/>
      <c r="AM880" s="582"/>
      <c r="AN880" s="589"/>
      <c r="AO880" s="616"/>
      <c r="AP880" s="592"/>
      <c r="AQ880" s="358"/>
      <c r="AR880" s="592"/>
      <c r="AS880" s="592"/>
      <c r="AT880" s="592"/>
      <c r="AU880" s="592"/>
      <c r="AV880" s="592"/>
      <c r="AW880" s="592"/>
      <c r="AX880" s="592"/>
      <c r="AY880" s="592"/>
      <c r="AZ880" s="592"/>
      <c r="BA880" s="617"/>
      <c r="BB880" s="592"/>
      <c r="BC880" s="592"/>
      <c r="BD880" s="592"/>
      <c r="BE880" s="592"/>
      <c r="BF880" s="592"/>
      <c r="BG880" s="358"/>
      <c r="BH880" s="592"/>
      <c r="BI880" s="592"/>
      <c r="BJ880" s="592"/>
      <c r="BK880" s="592"/>
      <c r="BL880" s="592"/>
      <c r="BM880" s="592"/>
      <c r="BN880" s="592"/>
      <c r="BO880" s="592"/>
      <c r="BP880" s="592"/>
      <c r="BQ880" s="594"/>
      <c r="BR880" s="594"/>
      <c r="BS880" s="394"/>
      <c r="BT880" s="594"/>
      <c r="BU880" s="594"/>
      <c r="BV880" s="594"/>
      <c r="BW880" s="618"/>
      <c r="BX880" s="644"/>
      <c r="BY880" s="644"/>
    </row>
    <row r="881" ht="25.5" customHeight="1">
      <c r="A881" s="635"/>
      <c r="B881" s="695"/>
      <c r="C881" s="642"/>
      <c r="D881" s="642"/>
      <c r="E881" s="696"/>
      <c r="F881" s="696"/>
      <c r="G881" s="621"/>
      <c r="H881" s="577"/>
      <c r="I881" s="577"/>
      <c r="J881" s="613"/>
      <c r="K881" s="581"/>
      <c r="L881" s="581"/>
      <c r="M881" s="613"/>
      <c r="N881" s="613"/>
      <c r="O881" s="613"/>
      <c r="P881" s="580"/>
      <c r="Q881" s="580"/>
      <c r="R881" s="581"/>
      <c r="S881" s="581"/>
      <c r="T881" s="581"/>
      <c r="U881" s="582"/>
      <c r="V881" s="614"/>
      <c r="W881" s="581"/>
      <c r="X881" s="615"/>
      <c r="Y881" s="613"/>
      <c r="Z881" s="580"/>
      <c r="AA881" s="634"/>
      <c r="AB881" s="577"/>
      <c r="AC881" s="673"/>
      <c r="AD881" s="634"/>
      <c r="AE881" s="587"/>
      <c r="AF881" s="587"/>
      <c r="AG881" s="582"/>
      <c r="AH881" s="582"/>
      <c r="AI881" s="582"/>
      <c r="AJ881" s="582"/>
      <c r="AK881" s="588"/>
      <c r="AL881" s="582"/>
      <c r="AM881" s="582"/>
      <c r="AN881" s="589"/>
      <c r="AO881" s="616"/>
      <c r="AP881" s="592"/>
      <c r="AQ881" s="358"/>
      <c r="AR881" s="592"/>
      <c r="AS881" s="592"/>
      <c r="AT881" s="592"/>
      <c r="AU881" s="592"/>
      <c r="AV881" s="592"/>
      <c r="AW881" s="592"/>
      <c r="AX881" s="592"/>
      <c r="AY881" s="592"/>
      <c r="AZ881" s="592"/>
      <c r="BA881" s="617"/>
      <c r="BB881" s="592"/>
      <c r="BC881" s="592"/>
      <c r="BD881" s="592"/>
      <c r="BE881" s="592"/>
      <c r="BF881" s="592"/>
      <c r="BG881" s="358"/>
      <c r="BH881" s="592"/>
      <c r="BI881" s="592"/>
      <c r="BJ881" s="592"/>
      <c r="BK881" s="592"/>
      <c r="BL881" s="592"/>
      <c r="BM881" s="592"/>
      <c r="BN881" s="592"/>
      <c r="BO881" s="592"/>
      <c r="BP881" s="592"/>
      <c r="BQ881" s="594"/>
      <c r="BR881" s="594"/>
      <c r="BS881" s="394"/>
      <c r="BT881" s="594"/>
      <c r="BU881" s="594"/>
      <c r="BV881" s="594"/>
      <c r="BW881" s="618"/>
      <c r="BX881" s="644"/>
      <c r="BY881" s="644"/>
    </row>
    <row r="882" ht="25.5" customHeight="1">
      <c r="A882" s="635"/>
      <c r="B882" s="695"/>
      <c r="C882" s="642"/>
      <c r="D882" s="642"/>
      <c r="E882" s="696"/>
      <c r="F882" s="696"/>
      <c r="G882" s="621"/>
      <c r="H882" s="577"/>
      <c r="I882" s="577"/>
      <c r="J882" s="613"/>
      <c r="K882" s="581"/>
      <c r="L882" s="581"/>
      <c r="M882" s="613"/>
      <c r="N882" s="613"/>
      <c r="O882" s="613"/>
      <c r="P882" s="580"/>
      <c r="Q882" s="580"/>
      <c r="R882" s="581"/>
      <c r="S882" s="581"/>
      <c r="T882" s="581"/>
      <c r="U882" s="582"/>
      <c r="V882" s="614"/>
      <c r="W882" s="581"/>
      <c r="X882" s="615"/>
      <c r="Y882" s="613"/>
      <c r="Z882" s="580"/>
      <c r="AA882" s="634"/>
      <c r="AB882" s="577"/>
      <c r="AC882" s="673"/>
      <c r="AD882" s="634"/>
      <c r="AE882" s="587"/>
      <c r="AF882" s="587"/>
      <c r="AG882" s="582"/>
      <c r="AH882" s="582"/>
      <c r="AI882" s="582"/>
      <c r="AJ882" s="582"/>
      <c r="AK882" s="588"/>
      <c r="AL882" s="582"/>
      <c r="AM882" s="582"/>
      <c r="AN882" s="589"/>
      <c r="AO882" s="616"/>
      <c r="AP882" s="592"/>
      <c r="AQ882" s="358"/>
      <c r="AR882" s="592"/>
      <c r="AS882" s="592"/>
      <c r="AT882" s="592"/>
      <c r="AU882" s="592"/>
      <c r="AV882" s="592"/>
      <c r="AW882" s="592"/>
      <c r="AX882" s="592"/>
      <c r="AY882" s="592"/>
      <c r="AZ882" s="592"/>
      <c r="BA882" s="617"/>
      <c r="BB882" s="592"/>
      <c r="BC882" s="592"/>
      <c r="BD882" s="592"/>
      <c r="BE882" s="592"/>
      <c r="BF882" s="592"/>
      <c r="BG882" s="358"/>
      <c r="BH882" s="592"/>
      <c r="BI882" s="592"/>
      <c r="BJ882" s="592"/>
      <c r="BK882" s="592"/>
      <c r="BL882" s="592"/>
      <c r="BM882" s="592"/>
      <c r="BN882" s="592"/>
      <c r="BO882" s="592"/>
      <c r="BP882" s="592"/>
      <c r="BQ882" s="594"/>
      <c r="BR882" s="594"/>
      <c r="BS882" s="394"/>
      <c r="BT882" s="594"/>
      <c r="BU882" s="594"/>
      <c r="BV882" s="594"/>
      <c r="BW882" s="618"/>
      <c r="BX882" s="644"/>
      <c r="BY882" s="644"/>
    </row>
    <row r="883" ht="25.5" customHeight="1">
      <c r="A883" s="635"/>
      <c r="B883" s="695"/>
      <c r="C883" s="642"/>
      <c r="D883" s="642"/>
      <c r="E883" s="696"/>
      <c r="F883" s="696"/>
      <c r="G883" s="621"/>
      <c r="H883" s="577"/>
      <c r="I883" s="577"/>
      <c r="J883" s="613"/>
      <c r="K883" s="581"/>
      <c r="L883" s="581"/>
      <c r="M883" s="613"/>
      <c r="N883" s="613"/>
      <c r="O883" s="613"/>
      <c r="P883" s="580"/>
      <c r="Q883" s="580"/>
      <c r="R883" s="581"/>
      <c r="S883" s="581"/>
      <c r="T883" s="581"/>
      <c r="U883" s="582"/>
      <c r="V883" s="614"/>
      <c r="W883" s="581"/>
      <c r="X883" s="615"/>
      <c r="Y883" s="613"/>
      <c r="Z883" s="580"/>
      <c r="AA883" s="634"/>
      <c r="AB883" s="577"/>
      <c r="AC883" s="673"/>
      <c r="AD883" s="634"/>
      <c r="AE883" s="587"/>
      <c r="AF883" s="587"/>
      <c r="AG883" s="582"/>
      <c r="AH883" s="582"/>
      <c r="AI883" s="582"/>
      <c r="AJ883" s="582"/>
      <c r="AK883" s="588"/>
      <c r="AL883" s="582"/>
      <c r="AM883" s="582"/>
      <c r="AN883" s="589"/>
      <c r="AO883" s="616"/>
      <c r="AP883" s="592"/>
      <c r="AQ883" s="358"/>
      <c r="AR883" s="592"/>
      <c r="AS883" s="592"/>
      <c r="AT883" s="592"/>
      <c r="AU883" s="592"/>
      <c r="AV883" s="592"/>
      <c r="AW883" s="592"/>
      <c r="AX883" s="592"/>
      <c r="AY883" s="592"/>
      <c r="AZ883" s="592"/>
      <c r="BA883" s="617"/>
      <c r="BB883" s="592"/>
      <c r="BC883" s="592"/>
      <c r="BD883" s="592"/>
      <c r="BE883" s="592"/>
      <c r="BF883" s="592"/>
      <c r="BG883" s="358"/>
      <c r="BH883" s="592"/>
      <c r="BI883" s="592"/>
      <c r="BJ883" s="592"/>
      <c r="BK883" s="592"/>
      <c r="BL883" s="592"/>
      <c r="BM883" s="592"/>
      <c r="BN883" s="592"/>
      <c r="BO883" s="592"/>
      <c r="BP883" s="592"/>
      <c r="BQ883" s="594"/>
      <c r="BR883" s="594"/>
      <c r="BS883" s="394"/>
      <c r="BT883" s="594"/>
      <c r="BU883" s="594"/>
      <c r="BV883" s="594"/>
      <c r="BW883" s="618"/>
      <c r="BX883" s="644"/>
      <c r="BY883" s="644"/>
    </row>
    <row r="884" ht="25.5" customHeight="1">
      <c r="A884" s="635"/>
      <c r="B884" s="695"/>
      <c r="C884" s="642"/>
      <c r="D884" s="642"/>
      <c r="E884" s="696"/>
      <c r="F884" s="696"/>
      <c r="G884" s="621"/>
      <c r="H884" s="577"/>
      <c r="I884" s="577"/>
      <c r="J884" s="613"/>
      <c r="K884" s="581"/>
      <c r="L884" s="581"/>
      <c r="M884" s="613"/>
      <c r="N884" s="613"/>
      <c r="O884" s="613"/>
      <c r="P884" s="580"/>
      <c r="Q884" s="580"/>
      <c r="R884" s="581"/>
      <c r="S884" s="581"/>
      <c r="T884" s="581"/>
      <c r="U884" s="582"/>
      <c r="V884" s="614"/>
      <c r="W884" s="581"/>
      <c r="X884" s="615"/>
      <c r="Y884" s="613"/>
      <c r="Z884" s="580"/>
      <c r="AA884" s="634"/>
      <c r="AB884" s="577"/>
      <c r="AC884" s="673"/>
      <c r="AD884" s="634"/>
      <c r="AE884" s="587"/>
      <c r="AF884" s="587"/>
      <c r="AG884" s="582"/>
      <c r="AH884" s="582"/>
      <c r="AI884" s="582"/>
      <c r="AJ884" s="582"/>
      <c r="AK884" s="588"/>
      <c r="AL884" s="582"/>
      <c r="AM884" s="582"/>
      <c r="AN884" s="589"/>
      <c r="AO884" s="616"/>
      <c r="AP884" s="592"/>
      <c r="AQ884" s="358"/>
      <c r="AR884" s="592"/>
      <c r="AS884" s="592"/>
      <c r="AT884" s="592"/>
      <c r="AU884" s="592"/>
      <c r="AV884" s="592"/>
      <c r="AW884" s="592"/>
      <c r="AX884" s="592"/>
      <c r="AY884" s="592"/>
      <c r="AZ884" s="592"/>
      <c r="BA884" s="617"/>
      <c r="BB884" s="592"/>
      <c r="BC884" s="592"/>
      <c r="BD884" s="592"/>
      <c r="BE884" s="592"/>
      <c r="BF884" s="592"/>
      <c r="BG884" s="358"/>
      <c r="BH884" s="592"/>
      <c r="BI884" s="592"/>
      <c r="BJ884" s="592"/>
      <c r="BK884" s="592"/>
      <c r="BL884" s="592"/>
      <c r="BM884" s="592"/>
      <c r="BN884" s="592"/>
      <c r="BO884" s="592"/>
      <c r="BP884" s="592"/>
      <c r="BQ884" s="594"/>
      <c r="BR884" s="594"/>
      <c r="BS884" s="394"/>
      <c r="BT884" s="594"/>
      <c r="BU884" s="594"/>
      <c r="BV884" s="594"/>
      <c r="BW884" s="618"/>
      <c r="BX884" s="644"/>
      <c r="BY884" s="644"/>
    </row>
    <row r="885" ht="25.5" customHeight="1">
      <c r="A885" s="635"/>
      <c r="B885" s="695"/>
      <c r="C885" s="642"/>
      <c r="D885" s="642"/>
      <c r="E885" s="696"/>
      <c r="F885" s="696"/>
      <c r="G885" s="621"/>
      <c r="H885" s="577"/>
      <c r="I885" s="577"/>
      <c r="J885" s="613"/>
      <c r="K885" s="581"/>
      <c r="L885" s="581"/>
      <c r="M885" s="613"/>
      <c r="N885" s="613"/>
      <c r="O885" s="613"/>
      <c r="P885" s="580"/>
      <c r="Q885" s="580"/>
      <c r="R885" s="581"/>
      <c r="S885" s="581"/>
      <c r="T885" s="581"/>
      <c r="U885" s="582"/>
      <c r="V885" s="614"/>
      <c r="W885" s="581"/>
      <c r="X885" s="615"/>
      <c r="Y885" s="613"/>
      <c r="Z885" s="580"/>
      <c r="AA885" s="634"/>
      <c r="AB885" s="577"/>
      <c r="AC885" s="673"/>
      <c r="AD885" s="634"/>
      <c r="AE885" s="587"/>
      <c r="AF885" s="587"/>
      <c r="AG885" s="582"/>
      <c r="AH885" s="582"/>
      <c r="AI885" s="582"/>
      <c r="AJ885" s="582"/>
      <c r="AK885" s="588"/>
      <c r="AL885" s="582"/>
      <c r="AM885" s="582"/>
      <c r="AN885" s="589"/>
      <c r="AO885" s="616"/>
      <c r="AP885" s="592"/>
      <c r="AQ885" s="358"/>
      <c r="AR885" s="592"/>
      <c r="AS885" s="592"/>
      <c r="AT885" s="592"/>
      <c r="AU885" s="592"/>
      <c r="AV885" s="592"/>
      <c r="AW885" s="592"/>
      <c r="AX885" s="592"/>
      <c r="AY885" s="592"/>
      <c r="AZ885" s="592"/>
      <c r="BA885" s="617"/>
      <c r="BB885" s="592"/>
      <c r="BC885" s="592"/>
      <c r="BD885" s="592"/>
      <c r="BE885" s="592"/>
      <c r="BF885" s="592"/>
      <c r="BG885" s="358"/>
      <c r="BH885" s="592"/>
      <c r="BI885" s="592"/>
      <c r="BJ885" s="592"/>
      <c r="BK885" s="592"/>
      <c r="BL885" s="592"/>
      <c r="BM885" s="592"/>
      <c r="BN885" s="592"/>
      <c r="BO885" s="592"/>
      <c r="BP885" s="592"/>
      <c r="BQ885" s="594"/>
      <c r="BR885" s="594"/>
      <c r="BS885" s="394"/>
      <c r="BT885" s="594"/>
      <c r="BU885" s="594"/>
      <c r="BV885" s="594"/>
      <c r="BW885" s="618"/>
      <c r="BX885" s="644"/>
      <c r="BY885" s="644"/>
    </row>
    <row r="886" ht="25.5" customHeight="1">
      <c r="A886" s="635"/>
      <c r="B886" s="695"/>
      <c r="C886" s="642"/>
      <c r="D886" s="642"/>
      <c r="E886" s="696"/>
      <c r="F886" s="696"/>
      <c r="G886" s="621"/>
      <c r="H886" s="577"/>
      <c r="I886" s="577"/>
      <c r="J886" s="613"/>
      <c r="K886" s="581"/>
      <c r="L886" s="581"/>
      <c r="M886" s="613"/>
      <c r="N886" s="613"/>
      <c r="O886" s="613"/>
      <c r="P886" s="580"/>
      <c r="Q886" s="580"/>
      <c r="R886" s="581"/>
      <c r="S886" s="581"/>
      <c r="T886" s="581"/>
      <c r="U886" s="582"/>
      <c r="V886" s="614"/>
      <c r="W886" s="581"/>
      <c r="X886" s="615"/>
      <c r="Y886" s="613"/>
      <c r="Z886" s="580"/>
      <c r="AA886" s="634"/>
      <c r="AB886" s="577"/>
      <c r="AC886" s="673"/>
      <c r="AD886" s="634"/>
      <c r="AE886" s="587"/>
      <c r="AF886" s="587"/>
      <c r="AG886" s="582"/>
      <c r="AH886" s="582"/>
      <c r="AI886" s="582"/>
      <c r="AJ886" s="582"/>
      <c r="AK886" s="588"/>
      <c r="AL886" s="582"/>
      <c r="AM886" s="582"/>
      <c r="AN886" s="589"/>
      <c r="AO886" s="616"/>
      <c r="AP886" s="592"/>
      <c r="AQ886" s="358"/>
      <c r="AR886" s="592"/>
      <c r="AS886" s="592"/>
      <c r="AT886" s="592"/>
      <c r="AU886" s="592"/>
      <c r="AV886" s="592"/>
      <c r="AW886" s="592"/>
      <c r="AX886" s="592"/>
      <c r="AY886" s="592"/>
      <c r="AZ886" s="592"/>
      <c r="BA886" s="617"/>
      <c r="BB886" s="592"/>
      <c r="BC886" s="592"/>
      <c r="BD886" s="592"/>
      <c r="BE886" s="592"/>
      <c r="BF886" s="592"/>
      <c r="BG886" s="358"/>
      <c r="BH886" s="592"/>
      <c r="BI886" s="592"/>
      <c r="BJ886" s="592"/>
      <c r="BK886" s="592"/>
      <c r="BL886" s="592"/>
      <c r="BM886" s="592"/>
      <c r="BN886" s="592"/>
      <c r="BO886" s="592"/>
      <c r="BP886" s="592"/>
      <c r="BQ886" s="594"/>
      <c r="BR886" s="594"/>
      <c r="BS886" s="394"/>
      <c r="BT886" s="594"/>
      <c r="BU886" s="594"/>
      <c r="BV886" s="594"/>
      <c r="BW886" s="618"/>
      <c r="BX886" s="644"/>
      <c r="BY886" s="644"/>
    </row>
    <row r="887" ht="25.5" customHeight="1">
      <c r="A887" s="635"/>
      <c r="B887" s="695"/>
      <c r="C887" s="642"/>
      <c r="D887" s="642"/>
      <c r="E887" s="696"/>
      <c r="F887" s="696"/>
      <c r="G887" s="621"/>
      <c r="H887" s="577"/>
      <c r="I887" s="577"/>
      <c r="J887" s="613"/>
      <c r="K887" s="581"/>
      <c r="L887" s="581"/>
      <c r="M887" s="613"/>
      <c r="N887" s="613"/>
      <c r="O887" s="613"/>
      <c r="P887" s="580"/>
      <c r="Q887" s="580"/>
      <c r="R887" s="581"/>
      <c r="S887" s="581"/>
      <c r="T887" s="581"/>
      <c r="U887" s="582"/>
      <c r="V887" s="614"/>
      <c r="W887" s="581"/>
      <c r="X887" s="615"/>
      <c r="Y887" s="613"/>
      <c r="Z887" s="580"/>
      <c r="AA887" s="634"/>
      <c r="AB887" s="577"/>
      <c r="AC887" s="673"/>
      <c r="AD887" s="634"/>
      <c r="AE887" s="587"/>
      <c r="AF887" s="587"/>
      <c r="AG887" s="582"/>
      <c r="AH887" s="582"/>
      <c r="AI887" s="582"/>
      <c r="AJ887" s="582"/>
      <c r="AK887" s="588"/>
      <c r="AL887" s="582"/>
      <c r="AM887" s="582"/>
      <c r="AN887" s="589"/>
      <c r="AO887" s="616"/>
      <c r="AP887" s="592"/>
      <c r="AQ887" s="358"/>
      <c r="AR887" s="592"/>
      <c r="AS887" s="592"/>
      <c r="AT887" s="592"/>
      <c r="AU887" s="592"/>
      <c r="AV887" s="592"/>
      <c r="AW887" s="592"/>
      <c r="AX887" s="592"/>
      <c r="AY887" s="592"/>
      <c r="AZ887" s="592"/>
      <c r="BA887" s="617"/>
      <c r="BB887" s="592"/>
      <c r="BC887" s="592"/>
      <c r="BD887" s="592"/>
      <c r="BE887" s="592"/>
      <c r="BF887" s="592"/>
      <c r="BG887" s="358"/>
      <c r="BH887" s="592"/>
      <c r="BI887" s="592"/>
      <c r="BJ887" s="592"/>
      <c r="BK887" s="592"/>
      <c r="BL887" s="592"/>
      <c r="BM887" s="592"/>
      <c r="BN887" s="592"/>
      <c r="BO887" s="592"/>
      <c r="BP887" s="592"/>
      <c r="BQ887" s="594"/>
      <c r="BR887" s="594"/>
      <c r="BS887" s="394"/>
      <c r="BT887" s="594"/>
      <c r="BU887" s="594"/>
      <c r="BV887" s="594"/>
      <c r="BW887" s="618"/>
      <c r="BX887" s="644"/>
      <c r="BY887" s="644"/>
    </row>
    <row r="888" ht="25.5" customHeight="1">
      <c r="A888" s="635"/>
      <c r="B888" s="695"/>
      <c r="C888" s="642"/>
      <c r="D888" s="642"/>
      <c r="E888" s="696"/>
      <c r="F888" s="696"/>
      <c r="G888" s="621"/>
      <c r="H888" s="577"/>
      <c r="I888" s="577"/>
      <c r="J888" s="613"/>
      <c r="K888" s="581"/>
      <c r="L888" s="581"/>
      <c r="M888" s="613"/>
      <c r="N888" s="613"/>
      <c r="O888" s="613"/>
      <c r="P888" s="580"/>
      <c r="Q888" s="580"/>
      <c r="R888" s="581"/>
      <c r="S888" s="581"/>
      <c r="T888" s="581"/>
      <c r="U888" s="582"/>
      <c r="V888" s="614"/>
      <c r="W888" s="581"/>
      <c r="X888" s="615"/>
      <c r="Y888" s="613"/>
      <c r="Z888" s="580"/>
      <c r="AA888" s="634"/>
      <c r="AB888" s="577"/>
      <c r="AC888" s="673"/>
      <c r="AD888" s="634"/>
      <c r="AE888" s="587"/>
      <c r="AF888" s="587"/>
      <c r="AG888" s="582"/>
      <c r="AH888" s="582"/>
      <c r="AI888" s="582"/>
      <c r="AJ888" s="582"/>
      <c r="AK888" s="588"/>
      <c r="AL888" s="582"/>
      <c r="AM888" s="582"/>
      <c r="AN888" s="589"/>
      <c r="AO888" s="616"/>
      <c r="AP888" s="592"/>
      <c r="AQ888" s="358"/>
      <c r="AR888" s="592"/>
      <c r="AS888" s="592"/>
      <c r="AT888" s="592"/>
      <c r="AU888" s="592"/>
      <c r="AV888" s="592"/>
      <c r="AW888" s="592"/>
      <c r="AX888" s="592"/>
      <c r="AY888" s="592"/>
      <c r="AZ888" s="592"/>
      <c r="BA888" s="617"/>
      <c r="BB888" s="592"/>
      <c r="BC888" s="592"/>
      <c r="BD888" s="592"/>
      <c r="BE888" s="592"/>
      <c r="BF888" s="592"/>
      <c r="BG888" s="358"/>
      <c r="BH888" s="592"/>
      <c r="BI888" s="592"/>
      <c r="BJ888" s="592"/>
      <c r="BK888" s="592"/>
      <c r="BL888" s="592"/>
      <c r="BM888" s="592"/>
      <c r="BN888" s="592"/>
      <c r="BO888" s="592"/>
      <c r="BP888" s="592"/>
      <c r="BQ888" s="594"/>
      <c r="BR888" s="594"/>
      <c r="BS888" s="394"/>
      <c r="BT888" s="594"/>
      <c r="BU888" s="594"/>
      <c r="BV888" s="594"/>
      <c r="BW888" s="618"/>
      <c r="BX888" s="644"/>
      <c r="BY888" s="644"/>
    </row>
    <row r="889" ht="25.5" customHeight="1">
      <c r="A889" s="635"/>
      <c r="B889" s="695"/>
      <c r="C889" s="642"/>
      <c r="D889" s="642"/>
      <c r="E889" s="696"/>
      <c r="F889" s="696"/>
      <c r="G889" s="621"/>
      <c r="H889" s="577"/>
      <c r="I889" s="577"/>
      <c r="J889" s="613"/>
      <c r="K889" s="581"/>
      <c r="L889" s="581"/>
      <c r="M889" s="613"/>
      <c r="N889" s="613"/>
      <c r="O889" s="613"/>
      <c r="P889" s="580"/>
      <c r="Q889" s="580"/>
      <c r="R889" s="581"/>
      <c r="S889" s="581"/>
      <c r="T889" s="581"/>
      <c r="U889" s="582"/>
      <c r="V889" s="614"/>
      <c r="W889" s="581"/>
      <c r="X889" s="615"/>
      <c r="Y889" s="613"/>
      <c r="Z889" s="580"/>
      <c r="AA889" s="634"/>
      <c r="AB889" s="577"/>
      <c r="AC889" s="673"/>
      <c r="AD889" s="634"/>
      <c r="AE889" s="587"/>
      <c r="AF889" s="587"/>
      <c r="AG889" s="582"/>
      <c r="AH889" s="582"/>
      <c r="AI889" s="582"/>
      <c r="AJ889" s="582"/>
      <c r="AK889" s="588"/>
      <c r="AL889" s="582"/>
      <c r="AM889" s="582"/>
      <c r="AN889" s="589"/>
      <c r="AO889" s="616"/>
      <c r="AP889" s="592"/>
      <c r="AQ889" s="358"/>
      <c r="AR889" s="592"/>
      <c r="AS889" s="592"/>
      <c r="AT889" s="592"/>
      <c r="AU889" s="592"/>
      <c r="AV889" s="592"/>
      <c r="AW889" s="592"/>
      <c r="AX889" s="592"/>
      <c r="AY889" s="592"/>
      <c r="AZ889" s="592"/>
      <c r="BA889" s="617"/>
      <c r="BB889" s="592"/>
      <c r="BC889" s="592"/>
      <c r="BD889" s="592"/>
      <c r="BE889" s="592"/>
      <c r="BF889" s="592"/>
      <c r="BG889" s="358"/>
      <c r="BH889" s="592"/>
      <c r="BI889" s="592"/>
      <c r="BJ889" s="592"/>
      <c r="BK889" s="592"/>
      <c r="BL889" s="592"/>
      <c r="BM889" s="592"/>
      <c r="BN889" s="592"/>
      <c r="BO889" s="592"/>
      <c r="BP889" s="592"/>
      <c r="BQ889" s="594"/>
      <c r="BR889" s="594"/>
      <c r="BS889" s="394"/>
      <c r="BT889" s="594"/>
      <c r="BU889" s="594"/>
      <c r="BV889" s="594"/>
      <c r="BW889" s="618"/>
      <c r="BX889" s="644"/>
      <c r="BY889" s="644"/>
    </row>
    <row r="890" ht="25.5" customHeight="1">
      <c r="A890" s="635"/>
      <c r="B890" s="695"/>
      <c r="C890" s="642"/>
      <c r="D890" s="642"/>
      <c r="E890" s="696"/>
      <c r="F890" s="696"/>
      <c r="G890" s="621"/>
      <c r="H890" s="577"/>
      <c r="I890" s="577"/>
      <c r="J890" s="613"/>
      <c r="K890" s="581"/>
      <c r="L890" s="581"/>
      <c r="M890" s="613"/>
      <c r="N890" s="613"/>
      <c r="O890" s="613"/>
      <c r="P890" s="580"/>
      <c r="Q890" s="580"/>
      <c r="R890" s="581"/>
      <c r="S890" s="581"/>
      <c r="T890" s="581"/>
      <c r="U890" s="582"/>
      <c r="V890" s="614"/>
      <c r="W890" s="581"/>
      <c r="X890" s="615"/>
      <c r="Y890" s="613"/>
      <c r="Z890" s="580"/>
      <c r="AA890" s="634"/>
      <c r="AB890" s="577"/>
      <c r="AC890" s="673"/>
      <c r="AD890" s="634"/>
      <c r="AE890" s="587"/>
      <c r="AF890" s="587"/>
      <c r="AG890" s="582"/>
      <c r="AH890" s="582"/>
      <c r="AI890" s="582"/>
      <c r="AJ890" s="582"/>
      <c r="AK890" s="588"/>
      <c r="AL890" s="582"/>
      <c r="AM890" s="582"/>
      <c r="AN890" s="589"/>
      <c r="AO890" s="616"/>
      <c r="AP890" s="592"/>
      <c r="AQ890" s="358"/>
      <c r="AR890" s="592"/>
      <c r="AS890" s="592"/>
      <c r="AT890" s="592"/>
      <c r="AU890" s="592"/>
      <c r="AV890" s="592"/>
      <c r="AW890" s="592"/>
      <c r="AX890" s="592"/>
      <c r="AY890" s="592"/>
      <c r="AZ890" s="592"/>
      <c r="BA890" s="617"/>
      <c r="BB890" s="592"/>
      <c r="BC890" s="592"/>
      <c r="BD890" s="592"/>
      <c r="BE890" s="592"/>
      <c r="BF890" s="592"/>
      <c r="BG890" s="358"/>
      <c r="BH890" s="592"/>
      <c r="BI890" s="592"/>
      <c r="BJ890" s="592"/>
      <c r="BK890" s="592"/>
      <c r="BL890" s="592"/>
      <c r="BM890" s="592"/>
      <c r="BN890" s="592"/>
      <c r="BO890" s="592"/>
      <c r="BP890" s="592"/>
      <c r="BQ890" s="594"/>
      <c r="BR890" s="594"/>
      <c r="BS890" s="394"/>
      <c r="BT890" s="594"/>
      <c r="BU890" s="594"/>
      <c r="BV890" s="594"/>
      <c r="BW890" s="618"/>
      <c r="BX890" s="644"/>
      <c r="BY890" s="644"/>
    </row>
    <row r="891" ht="25.5" customHeight="1">
      <c r="A891" s="635"/>
      <c r="B891" s="695"/>
      <c r="C891" s="642"/>
      <c r="D891" s="642"/>
      <c r="E891" s="696"/>
      <c r="F891" s="696"/>
      <c r="G891" s="621"/>
      <c r="H891" s="577"/>
      <c r="I891" s="577"/>
      <c r="J891" s="613"/>
      <c r="K891" s="581"/>
      <c r="L891" s="581"/>
      <c r="M891" s="613"/>
      <c r="N891" s="613"/>
      <c r="O891" s="613"/>
      <c r="P891" s="580"/>
      <c r="Q891" s="580"/>
      <c r="R891" s="581"/>
      <c r="S891" s="581"/>
      <c r="T891" s="581"/>
      <c r="U891" s="582"/>
      <c r="V891" s="614"/>
      <c r="W891" s="581"/>
      <c r="X891" s="615"/>
      <c r="Y891" s="613"/>
      <c r="Z891" s="580"/>
      <c r="AA891" s="634"/>
      <c r="AB891" s="577"/>
      <c r="AC891" s="673"/>
      <c r="AD891" s="634"/>
      <c r="AE891" s="587"/>
      <c r="AF891" s="587"/>
      <c r="AG891" s="582"/>
      <c r="AH891" s="582"/>
      <c r="AI891" s="582"/>
      <c r="AJ891" s="582"/>
      <c r="AK891" s="588"/>
      <c r="AL891" s="582"/>
      <c r="AM891" s="582"/>
      <c r="AN891" s="589"/>
      <c r="AO891" s="616"/>
      <c r="AP891" s="592"/>
      <c r="AQ891" s="358"/>
      <c r="AR891" s="592"/>
      <c r="AS891" s="592"/>
      <c r="AT891" s="592"/>
      <c r="AU891" s="592"/>
      <c r="AV891" s="592"/>
      <c r="AW891" s="592"/>
      <c r="AX891" s="592"/>
      <c r="AY891" s="592"/>
      <c r="AZ891" s="592"/>
      <c r="BA891" s="617"/>
      <c r="BB891" s="592"/>
      <c r="BC891" s="592"/>
      <c r="BD891" s="592"/>
      <c r="BE891" s="592"/>
      <c r="BF891" s="592"/>
      <c r="BG891" s="358"/>
      <c r="BH891" s="592"/>
      <c r="BI891" s="592"/>
      <c r="BJ891" s="592"/>
      <c r="BK891" s="592"/>
      <c r="BL891" s="592"/>
      <c r="BM891" s="592"/>
      <c r="BN891" s="592"/>
      <c r="BO891" s="592"/>
      <c r="BP891" s="592"/>
      <c r="BQ891" s="594"/>
      <c r="BR891" s="594"/>
      <c r="BS891" s="394"/>
      <c r="BT891" s="594"/>
      <c r="BU891" s="594"/>
      <c r="BV891" s="594"/>
      <c r="BW891" s="618"/>
      <c r="BX891" s="644"/>
      <c r="BY891" s="644"/>
    </row>
    <row r="892" ht="25.5" customHeight="1">
      <c r="A892" s="635"/>
      <c r="B892" s="695"/>
      <c r="C892" s="642"/>
      <c r="D892" s="642"/>
      <c r="E892" s="696"/>
      <c r="F892" s="696"/>
      <c r="G892" s="621"/>
      <c r="H892" s="577"/>
      <c r="I892" s="577"/>
      <c r="J892" s="613"/>
      <c r="K892" s="581"/>
      <c r="L892" s="581"/>
      <c r="M892" s="613"/>
      <c r="N892" s="613"/>
      <c r="O892" s="613"/>
      <c r="P892" s="580"/>
      <c r="Q892" s="580"/>
      <c r="R892" s="581"/>
      <c r="S892" s="581"/>
      <c r="T892" s="581"/>
      <c r="U892" s="582"/>
      <c r="V892" s="614"/>
      <c r="W892" s="581"/>
      <c r="X892" s="615"/>
      <c r="Y892" s="613"/>
      <c r="Z892" s="580"/>
      <c r="AA892" s="634"/>
      <c r="AB892" s="577"/>
      <c r="AC892" s="673"/>
      <c r="AD892" s="634"/>
      <c r="AE892" s="587"/>
      <c r="AF892" s="587"/>
      <c r="AG892" s="582"/>
      <c r="AH892" s="582"/>
      <c r="AI892" s="582"/>
      <c r="AJ892" s="582"/>
      <c r="AK892" s="588"/>
      <c r="AL892" s="582"/>
      <c r="AM892" s="582"/>
      <c r="AN892" s="589"/>
      <c r="AO892" s="616"/>
      <c r="AP892" s="592"/>
      <c r="AQ892" s="358"/>
      <c r="AR892" s="592"/>
      <c r="AS892" s="592"/>
      <c r="AT892" s="592"/>
      <c r="AU892" s="592"/>
      <c r="AV892" s="592"/>
      <c r="AW892" s="592"/>
      <c r="AX892" s="592"/>
      <c r="AY892" s="592"/>
      <c r="AZ892" s="592"/>
      <c r="BA892" s="617"/>
      <c r="BB892" s="592"/>
      <c r="BC892" s="592"/>
      <c r="BD892" s="592"/>
      <c r="BE892" s="592"/>
      <c r="BF892" s="592"/>
      <c r="BG892" s="358"/>
      <c r="BH892" s="592"/>
      <c r="BI892" s="592"/>
      <c r="BJ892" s="592"/>
      <c r="BK892" s="592"/>
      <c r="BL892" s="592"/>
      <c r="BM892" s="592"/>
      <c r="BN892" s="592"/>
      <c r="BO892" s="592"/>
      <c r="BP892" s="592"/>
      <c r="BQ892" s="594"/>
      <c r="BR892" s="594"/>
      <c r="BS892" s="394"/>
      <c r="BT892" s="594"/>
      <c r="BU892" s="594"/>
      <c r="BV892" s="594"/>
      <c r="BW892" s="618"/>
      <c r="BX892" s="644"/>
      <c r="BY892" s="644"/>
    </row>
    <row r="893" ht="25.5" customHeight="1">
      <c r="A893" s="635"/>
      <c r="B893" s="695"/>
      <c r="C893" s="642"/>
      <c r="D893" s="642"/>
      <c r="E893" s="696"/>
      <c r="F893" s="696"/>
      <c r="G893" s="621"/>
      <c r="H893" s="577"/>
      <c r="I893" s="577"/>
      <c r="J893" s="613"/>
      <c r="K893" s="581"/>
      <c r="L893" s="581"/>
      <c r="M893" s="613"/>
      <c r="N893" s="613"/>
      <c r="O893" s="613"/>
      <c r="P893" s="580"/>
      <c r="Q893" s="580"/>
      <c r="R893" s="581"/>
      <c r="S893" s="581"/>
      <c r="T893" s="581"/>
      <c r="U893" s="582"/>
      <c r="V893" s="614"/>
      <c r="W893" s="581"/>
      <c r="X893" s="615"/>
      <c r="Y893" s="613"/>
      <c r="Z893" s="580"/>
      <c r="AA893" s="634"/>
      <c r="AB893" s="577"/>
      <c r="AC893" s="673"/>
      <c r="AD893" s="634"/>
      <c r="AE893" s="587"/>
      <c r="AF893" s="587"/>
      <c r="AG893" s="582"/>
      <c r="AH893" s="582"/>
      <c r="AI893" s="582"/>
      <c r="AJ893" s="582"/>
      <c r="AK893" s="588"/>
      <c r="AL893" s="582"/>
      <c r="AM893" s="582"/>
      <c r="AN893" s="589"/>
      <c r="AO893" s="616"/>
      <c r="AP893" s="592"/>
      <c r="AQ893" s="358"/>
      <c r="AR893" s="592"/>
      <c r="AS893" s="592"/>
      <c r="AT893" s="592"/>
      <c r="AU893" s="592"/>
      <c r="AV893" s="592"/>
      <c r="AW893" s="592"/>
      <c r="AX893" s="592"/>
      <c r="AY893" s="592"/>
      <c r="AZ893" s="592"/>
      <c r="BA893" s="617"/>
      <c r="BB893" s="592"/>
      <c r="BC893" s="592"/>
      <c r="BD893" s="592"/>
      <c r="BE893" s="592"/>
      <c r="BF893" s="592"/>
      <c r="BG893" s="358"/>
      <c r="BH893" s="592"/>
      <c r="BI893" s="592"/>
      <c r="BJ893" s="592"/>
      <c r="BK893" s="592"/>
      <c r="BL893" s="592"/>
      <c r="BM893" s="592"/>
      <c r="BN893" s="592"/>
      <c r="BO893" s="592"/>
      <c r="BP893" s="592"/>
      <c r="BQ893" s="594"/>
      <c r="BR893" s="594"/>
      <c r="BS893" s="394"/>
      <c r="BT893" s="594"/>
      <c r="BU893" s="594"/>
      <c r="BV893" s="594"/>
      <c r="BW893" s="618"/>
      <c r="BX893" s="644"/>
      <c r="BY893" s="644"/>
    </row>
    <row r="894" ht="25.5" customHeight="1">
      <c r="A894" s="635"/>
      <c r="B894" s="695"/>
      <c r="C894" s="642"/>
      <c r="D894" s="642"/>
      <c r="E894" s="696"/>
      <c r="F894" s="696"/>
      <c r="G894" s="621"/>
      <c r="H894" s="577"/>
      <c r="I894" s="577"/>
      <c r="J894" s="613"/>
      <c r="K894" s="581"/>
      <c r="L894" s="581"/>
      <c r="M894" s="613"/>
      <c r="N894" s="613"/>
      <c r="O894" s="613"/>
      <c r="P894" s="580"/>
      <c r="Q894" s="580"/>
      <c r="R894" s="581"/>
      <c r="S894" s="581"/>
      <c r="T894" s="581"/>
      <c r="U894" s="582"/>
      <c r="V894" s="614"/>
      <c r="W894" s="581"/>
      <c r="X894" s="615"/>
      <c r="Y894" s="613"/>
      <c r="Z894" s="580"/>
      <c r="AA894" s="634"/>
      <c r="AB894" s="577"/>
      <c r="AC894" s="673"/>
      <c r="AD894" s="634"/>
      <c r="AE894" s="587"/>
      <c r="AF894" s="587"/>
      <c r="AG894" s="582"/>
      <c r="AH894" s="582"/>
      <c r="AI894" s="582"/>
      <c r="AJ894" s="582"/>
      <c r="AK894" s="588"/>
      <c r="AL894" s="582"/>
      <c r="AM894" s="582"/>
      <c r="AN894" s="589"/>
      <c r="AO894" s="616"/>
      <c r="AP894" s="592"/>
      <c r="AQ894" s="358"/>
      <c r="AR894" s="592"/>
      <c r="AS894" s="592"/>
      <c r="AT894" s="592"/>
      <c r="AU894" s="592"/>
      <c r="AV894" s="592"/>
      <c r="AW894" s="592"/>
      <c r="AX894" s="592"/>
      <c r="AY894" s="592"/>
      <c r="AZ894" s="592"/>
      <c r="BA894" s="617"/>
      <c r="BB894" s="592"/>
      <c r="BC894" s="592"/>
      <c r="BD894" s="592"/>
      <c r="BE894" s="592"/>
      <c r="BF894" s="592"/>
      <c r="BG894" s="358"/>
      <c r="BH894" s="592"/>
      <c r="BI894" s="592"/>
      <c r="BJ894" s="592"/>
      <c r="BK894" s="592"/>
      <c r="BL894" s="592"/>
      <c r="BM894" s="592"/>
      <c r="BN894" s="592"/>
      <c r="BO894" s="592"/>
      <c r="BP894" s="592"/>
      <c r="BQ894" s="594"/>
      <c r="BR894" s="594"/>
      <c r="BS894" s="394"/>
      <c r="BT894" s="594"/>
      <c r="BU894" s="594"/>
      <c r="BV894" s="594"/>
      <c r="BW894" s="618"/>
      <c r="BX894" s="644"/>
      <c r="BY894" s="644"/>
    </row>
    <row r="895" ht="25.5" customHeight="1">
      <c r="A895" s="635"/>
      <c r="B895" s="695"/>
      <c r="C895" s="642"/>
      <c r="D895" s="642"/>
      <c r="E895" s="696"/>
      <c r="F895" s="696"/>
      <c r="G895" s="621"/>
      <c r="H895" s="577"/>
      <c r="I895" s="577"/>
      <c r="J895" s="613"/>
      <c r="K895" s="581"/>
      <c r="L895" s="581"/>
      <c r="M895" s="613"/>
      <c r="N895" s="613"/>
      <c r="O895" s="613"/>
      <c r="P895" s="580"/>
      <c r="Q895" s="580"/>
      <c r="R895" s="581"/>
      <c r="S895" s="581"/>
      <c r="T895" s="581"/>
      <c r="U895" s="582"/>
      <c r="V895" s="614"/>
      <c r="W895" s="581"/>
      <c r="X895" s="615"/>
      <c r="Y895" s="613"/>
      <c r="Z895" s="580"/>
      <c r="AA895" s="634"/>
      <c r="AB895" s="577"/>
      <c r="AC895" s="673"/>
      <c r="AD895" s="634"/>
      <c r="AE895" s="587"/>
      <c r="AF895" s="587"/>
      <c r="AG895" s="582"/>
      <c r="AH895" s="582"/>
      <c r="AI895" s="582"/>
      <c r="AJ895" s="582"/>
      <c r="AK895" s="588"/>
      <c r="AL895" s="582"/>
      <c r="AM895" s="582"/>
      <c r="AN895" s="589"/>
      <c r="AO895" s="616"/>
      <c r="AP895" s="592"/>
      <c r="AQ895" s="358"/>
      <c r="AR895" s="592"/>
      <c r="AS895" s="592"/>
      <c r="AT895" s="592"/>
      <c r="AU895" s="592"/>
      <c r="AV895" s="592"/>
      <c r="AW895" s="592"/>
      <c r="AX895" s="592"/>
      <c r="AY895" s="592"/>
      <c r="AZ895" s="592"/>
      <c r="BA895" s="617"/>
      <c r="BB895" s="592"/>
      <c r="BC895" s="592"/>
      <c r="BD895" s="592"/>
      <c r="BE895" s="592"/>
      <c r="BF895" s="592"/>
      <c r="BG895" s="358"/>
      <c r="BH895" s="592"/>
      <c r="BI895" s="592"/>
      <c r="BJ895" s="592"/>
      <c r="BK895" s="592"/>
      <c r="BL895" s="592"/>
      <c r="BM895" s="592"/>
      <c r="BN895" s="592"/>
      <c r="BO895" s="592"/>
      <c r="BP895" s="592"/>
      <c r="BQ895" s="594"/>
      <c r="BR895" s="594"/>
      <c r="BS895" s="394"/>
      <c r="BT895" s="594"/>
      <c r="BU895" s="594"/>
      <c r="BV895" s="594"/>
      <c r="BW895" s="618"/>
      <c r="BX895" s="644"/>
      <c r="BY895" s="644"/>
    </row>
    <row r="896" ht="25.5" customHeight="1">
      <c r="A896" s="635"/>
      <c r="B896" s="695"/>
      <c r="C896" s="642"/>
      <c r="D896" s="642"/>
      <c r="E896" s="696"/>
      <c r="F896" s="696"/>
      <c r="G896" s="621"/>
      <c r="H896" s="577"/>
      <c r="I896" s="577"/>
      <c r="J896" s="613"/>
      <c r="K896" s="581"/>
      <c r="L896" s="581"/>
      <c r="M896" s="613"/>
      <c r="N896" s="613"/>
      <c r="O896" s="613"/>
      <c r="P896" s="580"/>
      <c r="Q896" s="580"/>
      <c r="R896" s="581"/>
      <c r="S896" s="581"/>
      <c r="T896" s="581"/>
      <c r="U896" s="582"/>
      <c r="V896" s="614"/>
      <c r="W896" s="581"/>
      <c r="X896" s="615"/>
      <c r="Y896" s="613"/>
      <c r="Z896" s="580"/>
      <c r="AA896" s="634"/>
      <c r="AB896" s="577"/>
      <c r="AC896" s="673"/>
      <c r="AD896" s="634"/>
      <c r="AE896" s="587"/>
      <c r="AF896" s="587"/>
      <c r="AG896" s="582"/>
      <c r="AH896" s="582"/>
      <c r="AI896" s="582"/>
      <c r="AJ896" s="582"/>
      <c r="AK896" s="588"/>
      <c r="AL896" s="582"/>
      <c r="AM896" s="582"/>
      <c r="AN896" s="589"/>
      <c r="AO896" s="616"/>
      <c r="AP896" s="592"/>
      <c r="AQ896" s="358"/>
      <c r="AR896" s="592"/>
      <c r="AS896" s="592"/>
      <c r="AT896" s="592"/>
      <c r="AU896" s="592"/>
      <c r="AV896" s="592"/>
      <c r="AW896" s="592"/>
      <c r="AX896" s="592"/>
      <c r="AY896" s="592"/>
      <c r="AZ896" s="592"/>
      <c r="BA896" s="617"/>
      <c r="BB896" s="592"/>
      <c r="BC896" s="592"/>
      <c r="BD896" s="592"/>
      <c r="BE896" s="592"/>
      <c r="BF896" s="592"/>
      <c r="BG896" s="358"/>
      <c r="BH896" s="592"/>
      <c r="BI896" s="592"/>
      <c r="BJ896" s="592"/>
      <c r="BK896" s="592"/>
      <c r="BL896" s="592"/>
      <c r="BM896" s="592"/>
      <c r="BN896" s="592"/>
      <c r="BO896" s="592"/>
      <c r="BP896" s="592"/>
      <c r="BQ896" s="594"/>
      <c r="BR896" s="594"/>
      <c r="BS896" s="394"/>
      <c r="BT896" s="594"/>
      <c r="BU896" s="594"/>
      <c r="BV896" s="594"/>
      <c r="BW896" s="618"/>
      <c r="BX896" s="644"/>
      <c r="BY896" s="644"/>
    </row>
    <row r="897" ht="25.5" customHeight="1">
      <c r="A897" s="635"/>
      <c r="B897" s="695"/>
      <c r="C897" s="642"/>
      <c r="D897" s="642"/>
      <c r="E897" s="696"/>
      <c r="F897" s="696"/>
      <c r="G897" s="621"/>
      <c r="H897" s="577"/>
      <c r="I897" s="577"/>
      <c r="J897" s="613"/>
      <c r="K897" s="581"/>
      <c r="L897" s="581"/>
      <c r="M897" s="613"/>
      <c r="N897" s="613"/>
      <c r="O897" s="613"/>
      <c r="P897" s="580"/>
      <c r="Q897" s="580"/>
      <c r="R897" s="581"/>
      <c r="S897" s="581"/>
      <c r="T897" s="581"/>
      <c r="U897" s="582"/>
      <c r="V897" s="614"/>
      <c r="W897" s="581"/>
      <c r="X897" s="615"/>
      <c r="Y897" s="613"/>
      <c r="Z897" s="580"/>
      <c r="AA897" s="634"/>
      <c r="AB897" s="577"/>
      <c r="AC897" s="673"/>
      <c r="AD897" s="634"/>
      <c r="AE897" s="587"/>
      <c r="AF897" s="587"/>
      <c r="AG897" s="582"/>
      <c r="AH897" s="582"/>
      <c r="AI897" s="582"/>
      <c r="AJ897" s="582"/>
      <c r="AK897" s="588"/>
      <c r="AL897" s="582"/>
      <c r="AM897" s="582"/>
      <c r="AN897" s="589"/>
      <c r="AO897" s="616"/>
      <c r="AP897" s="592"/>
      <c r="AQ897" s="358"/>
      <c r="AR897" s="592"/>
      <c r="AS897" s="592"/>
      <c r="AT897" s="592"/>
      <c r="AU897" s="592"/>
      <c r="AV897" s="592"/>
      <c r="AW897" s="592"/>
      <c r="AX897" s="592"/>
      <c r="AY897" s="592"/>
      <c r="AZ897" s="592"/>
      <c r="BA897" s="617"/>
      <c r="BB897" s="592"/>
      <c r="BC897" s="592"/>
      <c r="BD897" s="592"/>
      <c r="BE897" s="592"/>
      <c r="BF897" s="592"/>
      <c r="BG897" s="358"/>
      <c r="BH897" s="592"/>
      <c r="BI897" s="592"/>
      <c r="BJ897" s="592"/>
      <c r="BK897" s="592"/>
      <c r="BL897" s="592"/>
      <c r="BM897" s="592"/>
      <c r="BN897" s="592"/>
      <c r="BO897" s="592"/>
      <c r="BP897" s="592"/>
      <c r="BQ897" s="594"/>
      <c r="BR897" s="594"/>
      <c r="BS897" s="394"/>
      <c r="BT897" s="594"/>
      <c r="BU897" s="594"/>
      <c r="BV897" s="594"/>
      <c r="BW897" s="618"/>
      <c r="BX897" s="644"/>
      <c r="BY897" s="644"/>
    </row>
    <row r="898" ht="25.5" customHeight="1">
      <c r="A898" s="635"/>
      <c r="B898" s="695"/>
      <c r="C898" s="642"/>
      <c r="D898" s="642"/>
      <c r="E898" s="696"/>
      <c r="F898" s="696"/>
      <c r="G898" s="621"/>
      <c r="H898" s="577"/>
      <c r="I898" s="577"/>
      <c r="J898" s="613"/>
      <c r="K898" s="581"/>
      <c r="L898" s="581"/>
      <c r="M898" s="613"/>
      <c r="N898" s="613"/>
      <c r="O898" s="613"/>
      <c r="P898" s="580"/>
      <c r="Q898" s="580"/>
      <c r="R898" s="581"/>
      <c r="S898" s="581"/>
      <c r="T898" s="581"/>
      <c r="U898" s="582"/>
      <c r="V898" s="614"/>
      <c r="W898" s="581"/>
      <c r="X898" s="615"/>
      <c r="Y898" s="613"/>
      <c r="Z898" s="580"/>
      <c r="AA898" s="634"/>
      <c r="AB898" s="577"/>
      <c r="AC898" s="673"/>
      <c r="AD898" s="634"/>
      <c r="AE898" s="587"/>
      <c r="AF898" s="587"/>
      <c r="AG898" s="582"/>
      <c r="AH898" s="582"/>
      <c r="AI898" s="582"/>
      <c r="AJ898" s="582"/>
      <c r="AK898" s="588"/>
      <c r="AL898" s="582"/>
      <c r="AM898" s="582"/>
      <c r="AN898" s="589"/>
      <c r="AO898" s="616"/>
      <c r="AP898" s="592"/>
      <c r="AQ898" s="358"/>
      <c r="AR898" s="592"/>
      <c r="AS898" s="592"/>
      <c r="AT898" s="592"/>
      <c r="AU898" s="592"/>
      <c r="AV898" s="592"/>
      <c r="AW898" s="592"/>
      <c r="AX898" s="592"/>
      <c r="AY898" s="592"/>
      <c r="AZ898" s="592"/>
      <c r="BA898" s="617"/>
      <c r="BB898" s="592"/>
      <c r="BC898" s="592"/>
      <c r="BD898" s="592"/>
      <c r="BE898" s="592"/>
      <c r="BF898" s="592"/>
      <c r="BG898" s="358"/>
      <c r="BH898" s="592"/>
      <c r="BI898" s="592"/>
      <c r="BJ898" s="592"/>
      <c r="BK898" s="592"/>
      <c r="BL898" s="592"/>
      <c r="BM898" s="592"/>
      <c r="BN898" s="592"/>
      <c r="BO898" s="592"/>
      <c r="BP898" s="592"/>
      <c r="BQ898" s="594"/>
      <c r="BR898" s="594"/>
      <c r="BS898" s="394"/>
      <c r="BT898" s="594"/>
      <c r="BU898" s="594"/>
      <c r="BV898" s="594"/>
      <c r="BW898" s="618"/>
      <c r="BX898" s="644"/>
      <c r="BY898" s="644"/>
    </row>
    <row r="899" ht="25.5" customHeight="1">
      <c r="A899" s="635"/>
      <c r="B899" s="695"/>
      <c r="C899" s="642"/>
      <c r="D899" s="642"/>
      <c r="E899" s="696"/>
      <c r="F899" s="696"/>
      <c r="G899" s="621"/>
      <c r="H899" s="577"/>
      <c r="I899" s="577"/>
      <c r="J899" s="613"/>
      <c r="K899" s="581"/>
      <c r="L899" s="581"/>
      <c r="M899" s="613"/>
      <c r="N899" s="613"/>
      <c r="O899" s="613"/>
      <c r="P899" s="580"/>
      <c r="Q899" s="580"/>
      <c r="R899" s="581"/>
      <c r="S899" s="581"/>
      <c r="T899" s="581"/>
      <c r="U899" s="582"/>
      <c r="V899" s="614"/>
      <c r="W899" s="581"/>
      <c r="X899" s="615"/>
      <c r="Y899" s="613"/>
      <c r="Z899" s="580"/>
      <c r="AA899" s="634"/>
      <c r="AB899" s="577"/>
      <c r="AC899" s="673"/>
      <c r="AD899" s="634"/>
      <c r="AE899" s="587"/>
      <c r="AF899" s="587"/>
      <c r="AG899" s="582"/>
      <c r="AH899" s="582"/>
      <c r="AI899" s="582"/>
      <c r="AJ899" s="582"/>
      <c r="AK899" s="588"/>
      <c r="AL899" s="582"/>
      <c r="AM899" s="582"/>
      <c r="AN899" s="589"/>
      <c r="AO899" s="616"/>
      <c r="AP899" s="592"/>
      <c r="AQ899" s="358"/>
      <c r="AR899" s="592"/>
      <c r="AS899" s="592"/>
      <c r="AT899" s="592"/>
      <c r="AU899" s="592"/>
      <c r="AV899" s="592"/>
      <c r="AW899" s="592"/>
      <c r="AX899" s="592"/>
      <c r="AY899" s="592"/>
      <c r="AZ899" s="592"/>
      <c r="BA899" s="617"/>
      <c r="BB899" s="592"/>
      <c r="BC899" s="592"/>
      <c r="BD899" s="592"/>
      <c r="BE899" s="592"/>
      <c r="BF899" s="592"/>
      <c r="BG899" s="358"/>
      <c r="BH899" s="592"/>
      <c r="BI899" s="592"/>
      <c r="BJ899" s="592"/>
      <c r="BK899" s="592"/>
      <c r="BL899" s="592"/>
      <c r="BM899" s="592"/>
      <c r="BN899" s="592"/>
      <c r="BO899" s="592"/>
      <c r="BP899" s="592"/>
      <c r="BQ899" s="594"/>
      <c r="BR899" s="594"/>
      <c r="BS899" s="394"/>
      <c r="BT899" s="594"/>
      <c r="BU899" s="594"/>
      <c r="BV899" s="594"/>
      <c r="BW899" s="618"/>
      <c r="BX899" s="644"/>
      <c r="BY899" s="644"/>
    </row>
    <row r="900" ht="25.5" customHeight="1">
      <c r="A900" s="635"/>
      <c r="B900" s="695"/>
      <c r="C900" s="642"/>
      <c r="D900" s="642"/>
      <c r="E900" s="696"/>
      <c r="F900" s="696"/>
      <c r="G900" s="621"/>
      <c r="H900" s="577"/>
      <c r="I900" s="577"/>
      <c r="J900" s="613"/>
      <c r="K900" s="581"/>
      <c r="L900" s="581"/>
      <c r="M900" s="613"/>
      <c r="N900" s="613"/>
      <c r="O900" s="613"/>
      <c r="P900" s="580"/>
      <c r="Q900" s="580"/>
      <c r="R900" s="581"/>
      <c r="S900" s="581"/>
      <c r="T900" s="581"/>
      <c r="U900" s="582"/>
      <c r="V900" s="614"/>
      <c r="W900" s="581"/>
      <c r="X900" s="615"/>
      <c r="Y900" s="613"/>
      <c r="Z900" s="580"/>
      <c r="AA900" s="634"/>
      <c r="AB900" s="577"/>
      <c r="AC900" s="673"/>
      <c r="AD900" s="634"/>
      <c r="AE900" s="587"/>
      <c r="AF900" s="587"/>
      <c r="AG900" s="582"/>
      <c r="AH900" s="582"/>
      <c r="AI900" s="582"/>
      <c r="AJ900" s="582"/>
      <c r="AK900" s="588"/>
      <c r="AL900" s="582"/>
      <c r="AM900" s="582"/>
      <c r="AN900" s="589"/>
      <c r="AO900" s="616"/>
      <c r="AP900" s="592"/>
      <c r="AQ900" s="358"/>
      <c r="AR900" s="592"/>
      <c r="AS900" s="592"/>
      <c r="AT900" s="592"/>
      <c r="AU900" s="592"/>
      <c r="AV900" s="592"/>
      <c r="AW900" s="592"/>
      <c r="AX900" s="592"/>
      <c r="AY900" s="592"/>
      <c r="AZ900" s="592"/>
      <c r="BA900" s="617"/>
      <c r="BB900" s="592"/>
      <c r="BC900" s="592"/>
      <c r="BD900" s="592"/>
      <c r="BE900" s="592"/>
      <c r="BF900" s="592"/>
      <c r="BG900" s="358"/>
      <c r="BH900" s="592"/>
      <c r="BI900" s="592"/>
      <c r="BJ900" s="592"/>
      <c r="BK900" s="592"/>
      <c r="BL900" s="592"/>
      <c r="BM900" s="592"/>
      <c r="BN900" s="592"/>
      <c r="BO900" s="592"/>
      <c r="BP900" s="592"/>
      <c r="BQ900" s="594"/>
      <c r="BR900" s="594"/>
      <c r="BS900" s="394"/>
      <c r="BT900" s="594"/>
      <c r="BU900" s="594"/>
      <c r="BV900" s="594"/>
      <c r="BW900" s="618"/>
      <c r="BX900" s="644"/>
      <c r="BY900" s="644"/>
    </row>
    <row r="901" ht="25.5" customHeight="1">
      <c r="A901" s="635"/>
      <c r="B901" s="695"/>
      <c r="C901" s="642"/>
      <c r="D901" s="642"/>
      <c r="E901" s="696"/>
      <c r="F901" s="696"/>
      <c r="G901" s="621"/>
      <c r="H901" s="577"/>
      <c r="I901" s="577"/>
      <c r="J901" s="613"/>
      <c r="K901" s="581"/>
      <c r="L901" s="581"/>
      <c r="M901" s="613"/>
      <c r="N901" s="613"/>
      <c r="O901" s="613"/>
      <c r="P901" s="580"/>
      <c r="Q901" s="580"/>
      <c r="R901" s="581"/>
      <c r="S901" s="581"/>
      <c r="T901" s="581"/>
      <c r="U901" s="582"/>
      <c r="V901" s="614"/>
      <c r="W901" s="581"/>
      <c r="X901" s="615"/>
      <c r="Y901" s="613"/>
      <c r="Z901" s="580"/>
      <c r="AA901" s="634"/>
      <c r="AB901" s="577"/>
      <c r="AC901" s="673"/>
      <c r="AD901" s="634"/>
      <c r="AE901" s="587"/>
      <c r="AF901" s="587"/>
      <c r="AG901" s="582"/>
      <c r="AH901" s="582"/>
      <c r="AI901" s="582"/>
      <c r="AJ901" s="582"/>
      <c r="AK901" s="588"/>
      <c r="AL901" s="582"/>
      <c r="AM901" s="582"/>
      <c r="AN901" s="589"/>
      <c r="AO901" s="616"/>
      <c r="AP901" s="592"/>
      <c r="AQ901" s="358"/>
      <c r="AR901" s="592"/>
      <c r="AS901" s="592"/>
      <c r="AT901" s="592"/>
      <c r="AU901" s="592"/>
      <c r="AV901" s="592"/>
      <c r="AW901" s="592"/>
      <c r="AX901" s="592"/>
      <c r="AY901" s="592"/>
      <c r="AZ901" s="592"/>
      <c r="BA901" s="617"/>
      <c r="BB901" s="592"/>
      <c r="BC901" s="592"/>
      <c r="BD901" s="592"/>
      <c r="BE901" s="592"/>
      <c r="BF901" s="592"/>
      <c r="BG901" s="358"/>
      <c r="BH901" s="592"/>
      <c r="BI901" s="592"/>
      <c r="BJ901" s="592"/>
      <c r="BK901" s="592"/>
      <c r="BL901" s="592"/>
      <c r="BM901" s="592"/>
      <c r="BN901" s="592"/>
      <c r="BO901" s="592"/>
      <c r="BP901" s="592"/>
      <c r="BQ901" s="594"/>
      <c r="BR901" s="594"/>
      <c r="BS901" s="394"/>
      <c r="BT901" s="594"/>
      <c r="BU901" s="594"/>
      <c r="BV901" s="594"/>
      <c r="BW901" s="618"/>
      <c r="BX901" s="644"/>
      <c r="BY901" s="644"/>
    </row>
    <row r="902" ht="25.5" customHeight="1">
      <c r="A902" s="635"/>
      <c r="B902" s="695"/>
      <c r="C902" s="642"/>
      <c r="D902" s="642"/>
      <c r="E902" s="696"/>
      <c r="F902" s="696"/>
      <c r="G902" s="621"/>
      <c r="H902" s="577"/>
      <c r="I902" s="577"/>
      <c r="J902" s="613"/>
      <c r="K902" s="581"/>
      <c r="L902" s="581"/>
      <c r="M902" s="613"/>
      <c r="N902" s="613"/>
      <c r="O902" s="613"/>
      <c r="P902" s="580"/>
      <c r="Q902" s="580"/>
      <c r="R902" s="581"/>
      <c r="S902" s="581"/>
      <c r="T902" s="581"/>
      <c r="U902" s="582"/>
      <c r="V902" s="614"/>
      <c r="W902" s="581"/>
      <c r="X902" s="615"/>
      <c r="Y902" s="613"/>
      <c r="Z902" s="580"/>
      <c r="AA902" s="634"/>
      <c r="AB902" s="577"/>
      <c r="AC902" s="673"/>
      <c r="AD902" s="634"/>
      <c r="AE902" s="587"/>
      <c r="AF902" s="587"/>
      <c r="AG902" s="582"/>
      <c r="AH902" s="582"/>
      <c r="AI902" s="582"/>
      <c r="AJ902" s="582"/>
      <c r="AK902" s="588"/>
      <c r="AL902" s="582"/>
      <c r="AM902" s="582"/>
      <c r="AN902" s="589"/>
      <c r="AO902" s="616"/>
      <c r="AP902" s="592"/>
      <c r="AQ902" s="358"/>
      <c r="AR902" s="592"/>
      <c r="AS902" s="592"/>
      <c r="AT902" s="592"/>
      <c r="AU902" s="592"/>
      <c r="AV902" s="592"/>
      <c r="AW902" s="592"/>
      <c r="AX902" s="592"/>
      <c r="AY902" s="592"/>
      <c r="AZ902" s="592"/>
      <c r="BA902" s="617"/>
      <c r="BB902" s="592"/>
      <c r="BC902" s="592"/>
      <c r="BD902" s="592"/>
      <c r="BE902" s="592"/>
      <c r="BF902" s="592"/>
      <c r="BG902" s="358"/>
      <c r="BH902" s="592"/>
      <c r="BI902" s="592"/>
      <c r="BJ902" s="592"/>
      <c r="BK902" s="592"/>
      <c r="BL902" s="592"/>
      <c r="BM902" s="592"/>
      <c r="BN902" s="592"/>
      <c r="BO902" s="592"/>
      <c r="BP902" s="592"/>
      <c r="BQ902" s="594"/>
      <c r="BR902" s="594"/>
      <c r="BS902" s="394"/>
      <c r="BT902" s="594"/>
      <c r="BU902" s="594"/>
      <c r="BV902" s="594"/>
      <c r="BW902" s="618"/>
      <c r="BX902" s="644"/>
      <c r="BY902" s="644"/>
    </row>
    <row r="903" ht="25.5" customHeight="1">
      <c r="A903" s="635"/>
      <c r="B903" s="695"/>
      <c r="C903" s="642"/>
      <c r="D903" s="642"/>
      <c r="E903" s="696"/>
      <c r="F903" s="696"/>
      <c r="G903" s="621"/>
      <c r="H903" s="577"/>
      <c r="I903" s="577"/>
      <c r="J903" s="613"/>
      <c r="K903" s="581"/>
      <c r="L903" s="581"/>
      <c r="M903" s="613"/>
      <c r="N903" s="613"/>
      <c r="O903" s="613"/>
      <c r="P903" s="580"/>
      <c r="Q903" s="580"/>
      <c r="R903" s="581"/>
      <c r="S903" s="581"/>
      <c r="T903" s="581"/>
      <c r="U903" s="582"/>
      <c r="V903" s="614"/>
      <c r="W903" s="581"/>
      <c r="X903" s="615"/>
      <c r="Y903" s="613"/>
      <c r="Z903" s="580"/>
      <c r="AA903" s="634"/>
      <c r="AB903" s="577"/>
      <c r="AC903" s="673"/>
      <c r="AD903" s="634"/>
      <c r="AE903" s="587"/>
      <c r="AF903" s="587"/>
      <c r="AG903" s="582"/>
      <c r="AH903" s="582"/>
      <c r="AI903" s="582"/>
      <c r="AJ903" s="582"/>
      <c r="AK903" s="588"/>
      <c r="AL903" s="582"/>
      <c r="AM903" s="582"/>
      <c r="AN903" s="589"/>
      <c r="AO903" s="616"/>
      <c r="AP903" s="592"/>
      <c r="AQ903" s="358"/>
      <c r="AR903" s="592"/>
      <c r="AS903" s="592"/>
      <c r="AT903" s="592"/>
      <c r="AU903" s="592"/>
      <c r="AV903" s="592"/>
      <c r="AW903" s="592"/>
      <c r="AX903" s="592"/>
      <c r="AY903" s="592"/>
      <c r="AZ903" s="592"/>
      <c r="BA903" s="617"/>
      <c r="BB903" s="592"/>
      <c r="BC903" s="592"/>
      <c r="BD903" s="592"/>
      <c r="BE903" s="592"/>
      <c r="BF903" s="592"/>
      <c r="BG903" s="358"/>
      <c r="BH903" s="592"/>
      <c r="BI903" s="592"/>
      <c r="BJ903" s="592"/>
      <c r="BK903" s="592"/>
      <c r="BL903" s="592"/>
      <c r="BM903" s="592"/>
      <c r="BN903" s="592"/>
      <c r="BO903" s="592"/>
      <c r="BP903" s="592"/>
      <c r="BQ903" s="594"/>
      <c r="BR903" s="594"/>
      <c r="BS903" s="394"/>
      <c r="BT903" s="594"/>
      <c r="BU903" s="594"/>
      <c r="BV903" s="594"/>
      <c r="BW903" s="618"/>
      <c r="BX903" s="644"/>
      <c r="BY903" s="644"/>
    </row>
    <row r="904" ht="25.5" customHeight="1">
      <c r="A904" s="635"/>
      <c r="B904" s="695"/>
      <c r="C904" s="642"/>
      <c r="D904" s="642"/>
      <c r="E904" s="696"/>
      <c r="F904" s="696"/>
      <c r="G904" s="621"/>
      <c r="H904" s="577"/>
      <c r="I904" s="577"/>
      <c r="J904" s="613"/>
      <c r="K904" s="581"/>
      <c r="L904" s="581"/>
      <c r="M904" s="613"/>
      <c r="N904" s="613"/>
      <c r="O904" s="613"/>
      <c r="P904" s="580"/>
      <c r="Q904" s="580"/>
      <c r="R904" s="581"/>
      <c r="S904" s="581"/>
      <c r="T904" s="581"/>
      <c r="U904" s="582"/>
      <c r="V904" s="614"/>
      <c r="W904" s="581"/>
      <c r="X904" s="615"/>
      <c r="Y904" s="613"/>
      <c r="Z904" s="580"/>
      <c r="AA904" s="634"/>
      <c r="AB904" s="577"/>
      <c r="AC904" s="673"/>
      <c r="AD904" s="634"/>
      <c r="AE904" s="587"/>
      <c r="AF904" s="587"/>
      <c r="AG904" s="582"/>
      <c r="AH904" s="582"/>
      <c r="AI904" s="582"/>
      <c r="AJ904" s="582"/>
      <c r="AK904" s="588"/>
      <c r="AL904" s="582"/>
      <c r="AM904" s="582"/>
      <c r="AN904" s="589"/>
      <c r="AO904" s="616"/>
      <c r="AP904" s="592"/>
      <c r="AQ904" s="358"/>
      <c r="AR904" s="592"/>
      <c r="AS904" s="592"/>
      <c r="AT904" s="592"/>
      <c r="AU904" s="592"/>
      <c r="AV904" s="592"/>
      <c r="AW904" s="592"/>
      <c r="AX904" s="592"/>
      <c r="AY904" s="592"/>
      <c r="AZ904" s="592"/>
      <c r="BA904" s="617"/>
      <c r="BB904" s="592"/>
      <c r="BC904" s="592"/>
      <c r="BD904" s="592"/>
      <c r="BE904" s="592"/>
      <c r="BF904" s="592"/>
      <c r="BG904" s="358"/>
      <c r="BH904" s="592"/>
      <c r="BI904" s="592"/>
      <c r="BJ904" s="592"/>
      <c r="BK904" s="592"/>
      <c r="BL904" s="592"/>
      <c r="BM904" s="592"/>
      <c r="BN904" s="592"/>
      <c r="BO904" s="592"/>
      <c r="BP904" s="592"/>
      <c r="BQ904" s="594"/>
      <c r="BR904" s="594"/>
      <c r="BS904" s="394"/>
      <c r="BT904" s="594"/>
      <c r="BU904" s="594"/>
      <c r="BV904" s="594"/>
      <c r="BW904" s="618"/>
      <c r="BX904" s="644"/>
      <c r="BY904" s="644"/>
    </row>
    <row r="905" ht="25.5" customHeight="1">
      <c r="A905" s="635"/>
      <c r="B905" s="695"/>
      <c r="C905" s="642"/>
      <c r="D905" s="642"/>
      <c r="E905" s="696"/>
      <c r="F905" s="696"/>
      <c r="G905" s="621"/>
      <c r="H905" s="577"/>
      <c r="I905" s="577"/>
      <c r="J905" s="613"/>
      <c r="K905" s="581"/>
      <c r="L905" s="581"/>
      <c r="M905" s="613"/>
      <c r="N905" s="613"/>
      <c r="O905" s="613"/>
      <c r="P905" s="580"/>
      <c r="Q905" s="580"/>
      <c r="R905" s="581"/>
      <c r="S905" s="581"/>
      <c r="T905" s="581"/>
      <c r="U905" s="582"/>
      <c r="V905" s="614"/>
      <c r="W905" s="581"/>
      <c r="X905" s="615"/>
      <c r="Y905" s="613"/>
      <c r="Z905" s="580"/>
      <c r="AA905" s="634"/>
      <c r="AB905" s="577"/>
      <c r="AC905" s="673"/>
      <c r="AD905" s="634"/>
      <c r="AE905" s="587"/>
      <c r="AF905" s="587"/>
      <c r="AG905" s="582"/>
      <c r="AH905" s="582"/>
      <c r="AI905" s="582"/>
      <c r="AJ905" s="582"/>
      <c r="AK905" s="588"/>
      <c r="AL905" s="582"/>
      <c r="AM905" s="582"/>
      <c r="AN905" s="589"/>
      <c r="AO905" s="616"/>
      <c r="AP905" s="592"/>
      <c r="AQ905" s="358"/>
      <c r="AR905" s="592"/>
      <c r="AS905" s="592"/>
      <c r="AT905" s="592"/>
      <c r="AU905" s="592"/>
      <c r="AV905" s="592"/>
      <c r="AW905" s="592"/>
      <c r="AX905" s="592"/>
      <c r="AY905" s="592"/>
      <c r="AZ905" s="592"/>
      <c r="BA905" s="617"/>
      <c r="BB905" s="592"/>
      <c r="BC905" s="592"/>
      <c r="BD905" s="592"/>
      <c r="BE905" s="592"/>
      <c r="BF905" s="592"/>
      <c r="BG905" s="358"/>
      <c r="BH905" s="592"/>
      <c r="BI905" s="592"/>
      <c r="BJ905" s="592"/>
      <c r="BK905" s="592"/>
      <c r="BL905" s="592"/>
      <c r="BM905" s="592"/>
      <c r="BN905" s="592"/>
      <c r="BO905" s="592"/>
      <c r="BP905" s="592"/>
      <c r="BQ905" s="594"/>
      <c r="BR905" s="594"/>
      <c r="BS905" s="394"/>
      <c r="BT905" s="594"/>
      <c r="BU905" s="594"/>
      <c r="BV905" s="594"/>
      <c r="BW905" s="618"/>
      <c r="BX905" s="644"/>
      <c r="BY905" s="644"/>
    </row>
    <row r="906" ht="25.5" customHeight="1">
      <c r="A906" s="635"/>
      <c r="B906" s="695"/>
      <c r="C906" s="642"/>
      <c r="D906" s="642"/>
      <c r="E906" s="696"/>
      <c r="F906" s="696"/>
      <c r="G906" s="621"/>
      <c r="H906" s="577"/>
      <c r="I906" s="577"/>
      <c r="J906" s="613"/>
      <c r="K906" s="581"/>
      <c r="L906" s="581"/>
      <c r="M906" s="613"/>
      <c r="N906" s="613"/>
      <c r="O906" s="613"/>
      <c r="P906" s="580"/>
      <c r="Q906" s="580"/>
      <c r="R906" s="581"/>
      <c r="S906" s="581"/>
      <c r="T906" s="581"/>
      <c r="U906" s="582"/>
      <c r="V906" s="614"/>
      <c r="W906" s="581"/>
      <c r="X906" s="615"/>
      <c r="Y906" s="613"/>
      <c r="Z906" s="580"/>
      <c r="AA906" s="634"/>
      <c r="AB906" s="577"/>
      <c r="AC906" s="673"/>
      <c r="AD906" s="634"/>
      <c r="AE906" s="587"/>
      <c r="AF906" s="587"/>
      <c r="AG906" s="582"/>
      <c r="AH906" s="582"/>
      <c r="AI906" s="582"/>
      <c r="AJ906" s="582"/>
      <c r="AK906" s="588"/>
      <c r="AL906" s="582"/>
      <c r="AM906" s="582"/>
      <c r="AN906" s="589"/>
      <c r="AO906" s="616"/>
      <c r="AP906" s="592"/>
      <c r="AQ906" s="358"/>
      <c r="AR906" s="592"/>
      <c r="AS906" s="592"/>
      <c r="AT906" s="592"/>
      <c r="AU906" s="592"/>
      <c r="AV906" s="592"/>
      <c r="AW906" s="592"/>
      <c r="AX906" s="592"/>
      <c r="AY906" s="592"/>
      <c r="AZ906" s="592"/>
      <c r="BA906" s="617"/>
      <c r="BB906" s="592"/>
      <c r="BC906" s="592"/>
      <c r="BD906" s="592"/>
      <c r="BE906" s="592"/>
      <c r="BF906" s="592"/>
      <c r="BG906" s="358"/>
      <c r="BH906" s="592"/>
      <c r="BI906" s="592"/>
      <c r="BJ906" s="592"/>
      <c r="BK906" s="592"/>
      <c r="BL906" s="592"/>
      <c r="BM906" s="592"/>
      <c r="BN906" s="592"/>
      <c r="BO906" s="592"/>
      <c r="BP906" s="592"/>
      <c r="BQ906" s="594"/>
      <c r="BR906" s="594"/>
      <c r="BS906" s="394"/>
      <c r="BT906" s="594"/>
      <c r="BU906" s="594"/>
      <c r="BV906" s="594"/>
      <c r="BW906" s="618"/>
      <c r="BX906" s="644"/>
      <c r="BY906" s="644"/>
    </row>
    <row r="907" ht="25.5" customHeight="1">
      <c r="A907" s="635"/>
      <c r="B907" s="695"/>
      <c r="C907" s="642"/>
      <c r="D907" s="642"/>
      <c r="E907" s="696"/>
      <c r="F907" s="696"/>
      <c r="G907" s="621"/>
      <c r="H907" s="577"/>
      <c r="I907" s="577"/>
      <c r="J907" s="613"/>
      <c r="K907" s="581"/>
      <c r="L907" s="581"/>
      <c r="M907" s="613"/>
      <c r="N907" s="613"/>
      <c r="O907" s="613"/>
      <c r="P907" s="580"/>
      <c r="Q907" s="580"/>
      <c r="R907" s="581"/>
      <c r="S907" s="581"/>
      <c r="T907" s="581"/>
      <c r="U907" s="582"/>
      <c r="V907" s="614"/>
      <c r="W907" s="581"/>
      <c r="X907" s="615"/>
      <c r="Y907" s="613"/>
      <c r="Z907" s="580"/>
      <c r="AA907" s="634"/>
      <c r="AB907" s="577"/>
      <c r="AC907" s="673"/>
      <c r="AD907" s="634"/>
      <c r="AE907" s="587"/>
      <c r="AF907" s="587"/>
      <c r="AG907" s="582"/>
      <c r="AH907" s="582"/>
      <c r="AI907" s="582"/>
      <c r="AJ907" s="582"/>
      <c r="AK907" s="588"/>
      <c r="AL907" s="582"/>
      <c r="AM907" s="582"/>
      <c r="AN907" s="589"/>
      <c r="AO907" s="616"/>
      <c r="AP907" s="592"/>
      <c r="AQ907" s="358"/>
      <c r="AR907" s="592"/>
      <c r="AS907" s="592"/>
      <c r="AT907" s="592"/>
      <c r="AU907" s="592"/>
      <c r="AV907" s="592"/>
      <c r="AW907" s="592"/>
      <c r="AX907" s="592"/>
      <c r="AY907" s="592"/>
      <c r="AZ907" s="592"/>
      <c r="BA907" s="617"/>
      <c r="BB907" s="592"/>
      <c r="BC907" s="592"/>
      <c r="BD907" s="592"/>
      <c r="BE907" s="592"/>
      <c r="BF907" s="592"/>
      <c r="BG907" s="358"/>
      <c r="BH907" s="592"/>
      <c r="BI907" s="592"/>
      <c r="BJ907" s="592"/>
      <c r="BK907" s="592"/>
      <c r="BL907" s="592"/>
      <c r="BM907" s="592"/>
      <c r="BN907" s="592"/>
      <c r="BO907" s="592"/>
      <c r="BP907" s="592"/>
      <c r="BQ907" s="594"/>
      <c r="BR907" s="594"/>
      <c r="BS907" s="394"/>
      <c r="BT907" s="594"/>
      <c r="BU907" s="594"/>
      <c r="BV907" s="594"/>
      <c r="BW907" s="618"/>
      <c r="BX907" s="644"/>
      <c r="BY907" s="644"/>
    </row>
    <row r="908" ht="25.5" customHeight="1">
      <c r="A908" s="635"/>
      <c r="B908" s="695"/>
      <c r="C908" s="642"/>
      <c r="D908" s="642"/>
      <c r="E908" s="696"/>
      <c r="F908" s="696"/>
      <c r="G908" s="621"/>
      <c r="H908" s="577"/>
      <c r="I908" s="577"/>
      <c r="J908" s="613"/>
      <c r="K908" s="581"/>
      <c r="L908" s="581"/>
      <c r="M908" s="613"/>
      <c r="N908" s="613"/>
      <c r="O908" s="613"/>
      <c r="P908" s="580"/>
      <c r="Q908" s="580"/>
      <c r="R908" s="581"/>
      <c r="S908" s="581"/>
      <c r="T908" s="581"/>
      <c r="U908" s="582"/>
      <c r="V908" s="614"/>
      <c r="W908" s="581"/>
      <c r="X908" s="615"/>
      <c r="Y908" s="613"/>
      <c r="Z908" s="580"/>
      <c r="AA908" s="634"/>
      <c r="AB908" s="577"/>
      <c r="AC908" s="673"/>
      <c r="AD908" s="634"/>
      <c r="AE908" s="587"/>
      <c r="AF908" s="587"/>
      <c r="AG908" s="582"/>
      <c r="AH908" s="582"/>
      <c r="AI908" s="582"/>
      <c r="AJ908" s="582"/>
      <c r="AK908" s="588"/>
      <c r="AL908" s="582"/>
      <c r="AM908" s="582"/>
      <c r="AN908" s="589"/>
      <c r="AO908" s="616"/>
      <c r="AP908" s="592"/>
      <c r="AQ908" s="358"/>
      <c r="AR908" s="592"/>
      <c r="AS908" s="592"/>
      <c r="AT908" s="592"/>
      <c r="AU908" s="592"/>
      <c r="AV908" s="592"/>
      <c r="AW908" s="592"/>
      <c r="AX908" s="592"/>
      <c r="AY908" s="592"/>
      <c r="AZ908" s="592"/>
      <c r="BA908" s="617"/>
      <c r="BB908" s="592"/>
      <c r="BC908" s="592"/>
      <c r="BD908" s="592"/>
      <c r="BE908" s="592"/>
      <c r="BF908" s="592"/>
      <c r="BG908" s="358"/>
      <c r="BH908" s="592"/>
      <c r="BI908" s="592"/>
      <c r="BJ908" s="592"/>
      <c r="BK908" s="592"/>
      <c r="BL908" s="592"/>
      <c r="BM908" s="592"/>
      <c r="BN908" s="592"/>
      <c r="BO908" s="592"/>
      <c r="BP908" s="592"/>
      <c r="BQ908" s="594"/>
      <c r="BR908" s="594"/>
      <c r="BS908" s="394"/>
      <c r="BT908" s="594"/>
      <c r="BU908" s="594"/>
      <c r="BV908" s="594"/>
      <c r="BW908" s="618"/>
      <c r="BX908" s="644"/>
      <c r="BY908" s="644"/>
    </row>
    <row r="909" ht="25.5" customHeight="1">
      <c r="A909" s="635"/>
      <c r="B909" s="695"/>
      <c r="C909" s="642"/>
      <c r="D909" s="642"/>
      <c r="E909" s="696"/>
      <c r="F909" s="696"/>
      <c r="G909" s="621"/>
      <c r="H909" s="577"/>
      <c r="I909" s="577"/>
      <c r="J909" s="613"/>
      <c r="K909" s="581"/>
      <c r="L909" s="581"/>
      <c r="M909" s="613"/>
      <c r="N909" s="613"/>
      <c r="O909" s="613"/>
      <c r="P909" s="580"/>
      <c r="Q909" s="580"/>
      <c r="R909" s="581"/>
      <c r="S909" s="581"/>
      <c r="T909" s="581"/>
      <c r="U909" s="582"/>
      <c r="V909" s="614"/>
      <c r="W909" s="581"/>
      <c r="X909" s="615"/>
      <c r="Y909" s="613"/>
      <c r="Z909" s="580"/>
      <c r="AA909" s="634"/>
      <c r="AB909" s="577"/>
      <c r="AC909" s="673"/>
      <c r="AD909" s="634"/>
      <c r="AE909" s="587"/>
      <c r="AF909" s="587"/>
      <c r="AG909" s="582"/>
      <c r="AH909" s="582"/>
      <c r="AI909" s="582"/>
      <c r="AJ909" s="582"/>
      <c r="AK909" s="588"/>
      <c r="AL909" s="582"/>
      <c r="AM909" s="582"/>
      <c r="AN909" s="589"/>
      <c r="AO909" s="616"/>
      <c r="AP909" s="592"/>
      <c r="AQ909" s="358"/>
      <c r="AR909" s="592"/>
      <c r="AS909" s="592"/>
      <c r="AT909" s="592"/>
      <c r="AU909" s="592"/>
      <c r="AV909" s="592"/>
      <c r="AW909" s="592"/>
      <c r="AX909" s="592"/>
      <c r="AY909" s="592"/>
      <c r="AZ909" s="592"/>
      <c r="BA909" s="617"/>
      <c r="BB909" s="592"/>
      <c r="BC909" s="592"/>
      <c r="BD909" s="592"/>
      <c r="BE909" s="592"/>
      <c r="BF909" s="592"/>
      <c r="BG909" s="358"/>
      <c r="BH909" s="592"/>
      <c r="BI909" s="592"/>
      <c r="BJ909" s="592"/>
      <c r="BK909" s="592"/>
      <c r="BL909" s="592"/>
      <c r="BM909" s="592"/>
      <c r="BN909" s="592"/>
      <c r="BO909" s="592"/>
      <c r="BP909" s="592"/>
      <c r="BQ909" s="594"/>
      <c r="BR909" s="594"/>
      <c r="BS909" s="394"/>
      <c r="BT909" s="594"/>
      <c r="BU909" s="594"/>
      <c r="BV909" s="594"/>
      <c r="BW909" s="618"/>
      <c r="BX909" s="644"/>
      <c r="BY909" s="644"/>
    </row>
    <row r="910" ht="25.5" customHeight="1">
      <c r="A910" s="635"/>
      <c r="B910" s="695"/>
      <c r="C910" s="642"/>
      <c r="D910" s="642"/>
      <c r="E910" s="696"/>
      <c r="F910" s="696"/>
      <c r="G910" s="621"/>
      <c r="H910" s="577"/>
      <c r="I910" s="577"/>
      <c r="J910" s="613"/>
      <c r="K910" s="581"/>
      <c r="L910" s="581"/>
      <c r="M910" s="613"/>
      <c r="N910" s="613"/>
      <c r="O910" s="613"/>
      <c r="P910" s="580"/>
      <c r="Q910" s="580"/>
      <c r="R910" s="581"/>
      <c r="S910" s="581"/>
      <c r="T910" s="581"/>
      <c r="U910" s="582"/>
      <c r="V910" s="614"/>
      <c r="W910" s="581"/>
      <c r="X910" s="615"/>
      <c r="Y910" s="613"/>
      <c r="Z910" s="580"/>
      <c r="AA910" s="634"/>
      <c r="AB910" s="577"/>
      <c r="AC910" s="673"/>
      <c r="AD910" s="634"/>
      <c r="AE910" s="587"/>
      <c r="AF910" s="587"/>
      <c r="AG910" s="582"/>
      <c r="AH910" s="582"/>
      <c r="AI910" s="582"/>
      <c r="AJ910" s="582"/>
      <c r="AK910" s="588"/>
      <c r="AL910" s="582"/>
      <c r="AM910" s="582"/>
      <c r="AN910" s="589"/>
      <c r="AO910" s="616"/>
      <c r="AP910" s="592"/>
      <c r="AQ910" s="358"/>
      <c r="AR910" s="592"/>
      <c r="AS910" s="592"/>
      <c r="AT910" s="592"/>
      <c r="AU910" s="592"/>
      <c r="AV910" s="592"/>
      <c r="AW910" s="592"/>
      <c r="AX910" s="592"/>
      <c r="AY910" s="592"/>
      <c r="AZ910" s="592"/>
      <c r="BA910" s="617"/>
      <c r="BB910" s="592"/>
      <c r="BC910" s="592"/>
      <c r="BD910" s="592"/>
      <c r="BE910" s="592"/>
      <c r="BF910" s="592"/>
      <c r="BG910" s="358"/>
      <c r="BH910" s="592"/>
      <c r="BI910" s="592"/>
      <c r="BJ910" s="592"/>
      <c r="BK910" s="592"/>
      <c r="BL910" s="592"/>
      <c r="BM910" s="592"/>
      <c r="BN910" s="592"/>
      <c r="BO910" s="592"/>
      <c r="BP910" s="592"/>
      <c r="BQ910" s="594"/>
      <c r="BR910" s="594"/>
      <c r="BS910" s="394"/>
      <c r="BT910" s="594"/>
      <c r="BU910" s="594"/>
      <c r="BV910" s="594"/>
      <c r="BW910" s="618"/>
      <c r="BX910" s="644"/>
      <c r="BY910" s="644"/>
    </row>
    <row r="911" ht="25.5" customHeight="1">
      <c r="A911" s="635"/>
      <c r="B911" s="695"/>
      <c r="C911" s="642"/>
      <c r="D911" s="642"/>
      <c r="E911" s="696"/>
      <c r="F911" s="696"/>
      <c r="G911" s="621"/>
      <c r="H911" s="577"/>
      <c r="I911" s="577"/>
      <c r="J911" s="613"/>
      <c r="K911" s="581"/>
      <c r="L911" s="581"/>
      <c r="M911" s="613"/>
      <c r="N911" s="613"/>
      <c r="O911" s="613"/>
      <c r="P911" s="580"/>
      <c r="Q911" s="580"/>
      <c r="R911" s="581"/>
      <c r="S911" s="581"/>
      <c r="T911" s="581"/>
      <c r="U911" s="582"/>
      <c r="V911" s="614"/>
      <c r="W911" s="581"/>
      <c r="X911" s="615"/>
      <c r="Y911" s="613"/>
      <c r="Z911" s="580"/>
      <c r="AA911" s="634"/>
      <c r="AB911" s="577"/>
      <c r="AC911" s="673"/>
      <c r="AD911" s="634"/>
      <c r="AE911" s="587"/>
      <c r="AF911" s="587"/>
      <c r="AG911" s="582"/>
      <c r="AH911" s="582"/>
      <c r="AI911" s="582"/>
      <c r="AJ911" s="582"/>
      <c r="AK911" s="588"/>
      <c r="AL911" s="582"/>
      <c r="AM911" s="582"/>
      <c r="AN911" s="589"/>
      <c r="AO911" s="616"/>
      <c r="AP911" s="592"/>
      <c r="AQ911" s="358"/>
      <c r="AR911" s="592"/>
      <c r="AS911" s="592"/>
      <c r="AT911" s="592"/>
      <c r="AU911" s="592"/>
      <c r="AV911" s="592"/>
      <c r="AW911" s="592"/>
      <c r="AX911" s="592"/>
      <c r="AY911" s="592"/>
      <c r="AZ911" s="592"/>
      <c r="BA911" s="617"/>
      <c r="BB911" s="592"/>
      <c r="BC911" s="592"/>
      <c r="BD911" s="592"/>
      <c r="BE911" s="592"/>
      <c r="BF911" s="592"/>
      <c r="BG911" s="358"/>
      <c r="BH911" s="592"/>
      <c r="BI911" s="592"/>
      <c r="BJ911" s="592"/>
      <c r="BK911" s="592"/>
      <c r="BL911" s="592"/>
      <c r="BM911" s="592"/>
      <c r="BN911" s="592"/>
      <c r="BO911" s="592"/>
      <c r="BP911" s="592"/>
      <c r="BQ911" s="594"/>
      <c r="BR911" s="594"/>
      <c r="BS911" s="394"/>
      <c r="BT911" s="594"/>
      <c r="BU911" s="594"/>
      <c r="BV911" s="594"/>
      <c r="BW911" s="618"/>
      <c r="BX911" s="644"/>
      <c r="BY911" s="644"/>
    </row>
    <row r="912" ht="25.5" customHeight="1">
      <c r="A912" s="635"/>
      <c r="B912" s="695"/>
      <c r="C912" s="642"/>
      <c r="D912" s="642"/>
      <c r="E912" s="696"/>
      <c r="F912" s="696"/>
      <c r="G912" s="621"/>
      <c r="H912" s="577"/>
      <c r="I912" s="577"/>
      <c r="J912" s="613"/>
      <c r="K912" s="581"/>
      <c r="L912" s="581"/>
      <c r="M912" s="613"/>
      <c r="N912" s="613"/>
      <c r="O912" s="613"/>
      <c r="P912" s="580"/>
      <c r="Q912" s="580"/>
      <c r="R912" s="581"/>
      <c r="S912" s="581"/>
      <c r="T912" s="581"/>
      <c r="U912" s="582"/>
      <c r="V912" s="614"/>
      <c r="W912" s="581"/>
      <c r="X912" s="615"/>
      <c r="Y912" s="613"/>
      <c r="Z912" s="580"/>
      <c r="AA912" s="634"/>
      <c r="AB912" s="577"/>
      <c r="AC912" s="673"/>
      <c r="AD912" s="634"/>
      <c r="AE912" s="587"/>
      <c r="AF912" s="587"/>
      <c r="AG912" s="582"/>
      <c r="AH912" s="582"/>
      <c r="AI912" s="582"/>
      <c r="AJ912" s="582"/>
      <c r="AK912" s="588"/>
      <c r="AL912" s="582"/>
      <c r="AM912" s="582"/>
      <c r="AN912" s="589"/>
      <c r="AO912" s="616"/>
      <c r="AP912" s="592"/>
      <c r="AQ912" s="358"/>
      <c r="AR912" s="592"/>
      <c r="AS912" s="592"/>
      <c r="AT912" s="592"/>
      <c r="AU912" s="592"/>
      <c r="AV912" s="592"/>
      <c r="AW912" s="592"/>
      <c r="AX912" s="592"/>
      <c r="AY912" s="592"/>
      <c r="AZ912" s="592"/>
      <c r="BA912" s="617"/>
      <c r="BB912" s="592"/>
      <c r="BC912" s="592"/>
      <c r="BD912" s="592"/>
      <c r="BE912" s="592"/>
      <c r="BF912" s="592"/>
      <c r="BG912" s="358"/>
      <c r="BH912" s="592"/>
      <c r="BI912" s="592"/>
      <c r="BJ912" s="592"/>
      <c r="BK912" s="592"/>
      <c r="BL912" s="592"/>
      <c r="BM912" s="592"/>
      <c r="BN912" s="592"/>
      <c r="BO912" s="592"/>
      <c r="BP912" s="592"/>
      <c r="BQ912" s="594"/>
      <c r="BR912" s="594"/>
      <c r="BS912" s="394"/>
      <c r="BT912" s="594"/>
      <c r="BU912" s="594"/>
      <c r="BV912" s="594"/>
      <c r="BW912" s="618"/>
      <c r="BX912" s="644"/>
      <c r="BY912" s="644"/>
    </row>
    <row r="913" ht="25.5" customHeight="1">
      <c r="A913" s="635"/>
      <c r="B913" s="695"/>
      <c r="C913" s="642"/>
      <c r="D913" s="642"/>
      <c r="E913" s="696"/>
      <c r="F913" s="696"/>
      <c r="G913" s="621"/>
      <c r="H913" s="577"/>
      <c r="I913" s="577"/>
      <c r="J913" s="613"/>
      <c r="K913" s="581"/>
      <c r="L913" s="581"/>
      <c r="M913" s="613"/>
      <c r="N913" s="613"/>
      <c r="O913" s="613"/>
      <c r="P913" s="580"/>
      <c r="Q913" s="580"/>
      <c r="R913" s="581"/>
      <c r="S913" s="581"/>
      <c r="T913" s="581"/>
      <c r="U913" s="582"/>
      <c r="V913" s="614"/>
      <c r="W913" s="581"/>
      <c r="X913" s="615"/>
      <c r="Y913" s="613"/>
      <c r="Z913" s="580"/>
      <c r="AA913" s="634"/>
      <c r="AB913" s="577"/>
      <c r="AC913" s="673"/>
      <c r="AD913" s="634"/>
      <c r="AE913" s="587"/>
      <c r="AF913" s="587"/>
      <c r="AG913" s="582"/>
      <c r="AH913" s="582"/>
      <c r="AI913" s="582"/>
      <c r="AJ913" s="582"/>
      <c r="AK913" s="588"/>
      <c r="AL913" s="582"/>
      <c r="AM913" s="582"/>
      <c r="AN913" s="589"/>
      <c r="AO913" s="616"/>
      <c r="AP913" s="592"/>
      <c r="AQ913" s="358"/>
      <c r="AR913" s="592"/>
      <c r="AS913" s="592"/>
      <c r="AT913" s="592"/>
      <c r="AU913" s="592"/>
      <c r="AV913" s="592"/>
      <c r="AW913" s="592"/>
      <c r="AX913" s="592"/>
      <c r="AY913" s="592"/>
      <c r="AZ913" s="592"/>
      <c r="BA913" s="617"/>
      <c r="BB913" s="592"/>
      <c r="BC913" s="592"/>
      <c r="BD913" s="592"/>
      <c r="BE913" s="592"/>
      <c r="BF913" s="592"/>
      <c r="BG913" s="358"/>
      <c r="BH913" s="592"/>
      <c r="BI913" s="592"/>
      <c r="BJ913" s="592"/>
      <c r="BK913" s="592"/>
      <c r="BL913" s="592"/>
      <c r="BM913" s="592"/>
      <c r="BN913" s="592"/>
      <c r="BO913" s="592"/>
      <c r="BP913" s="592"/>
      <c r="BQ913" s="594"/>
      <c r="BR913" s="594"/>
      <c r="BS913" s="394"/>
      <c r="BT913" s="594"/>
      <c r="BU913" s="594"/>
      <c r="BV913" s="594"/>
      <c r="BW913" s="618"/>
      <c r="BX913" s="644"/>
      <c r="BY913" s="644"/>
    </row>
    <row r="914" ht="25.5" customHeight="1">
      <c r="A914" s="635"/>
      <c r="B914" s="695"/>
      <c r="C914" s="642"/>
      <c r="D914" s="642"/>
      <c r="E914" s="696"/>
      <c r="F914" s="696"/>
      <c r="G914" s="621"/>
      <c r="H914" s="577"/>
      <c r="I914" s="577"/>
      <c r="J914" s="613"/>
      <c r="K914" s="581"/>
      <c r="L914" s="581"/>
      <c r="M914" s="613"/>
      <c r="N914" s="613"/>
      <c r="O914" s="613"/>
      <c r="P914" s="580"/>
      <c r="Q914" s="580"/>
      <c r="R914" s="581"/>
      <c r="S914" s="581"/>
      <c r="T914" s="581"/>
      <c r="U914" s="582"/>
      <c r="V914" s="614"/>
      <c r="W914" s="581"/>
      <c r="X914" s="615"/>
      <c r="Y914" s="613"/>
      <c r="Z914" s="580"/>
      <c r="AA914" s="634"/>
      <c r="AB914" s="577"/>
      <c r="AC914" s="673"/>
      <c r="AD914" s="634"/>
      <c r="AE914" s="587"/>
      <c r="AF914" s="587"/>
      <c r="AG914" s="582"/>
      <c r="AH914" s="582"/>
      <c r="AI914" s="582"/>
      <c r="AJ914" s="582"/>
      <c r="AK914" s="588"/>
      <c r="AL914" s="582"/>
      <c r="AM914" s="582"/>
      <c r="AN914" s="589"/>
      <c r="AO914" s="616"/>
      <c r="AP914" s="592"/>
      <c r="AQ914" s="358"/>
      <c r="AR914" s="592"/>
      <c r="AS914" s="592"/>
      <c r="AT914" s="592"/>
      <c r="AU914" s="592"/>
      <c r="AV914" s="592"/>
      <c r="AW914" s="592"/>
      <c r="AX914" s="592"/>
      <c r="AY914" s="592"/>
      <c r="AZ914" s="592"/>
      <c r="BA914" s="617"/>
      <c r="BB914" s="592"/>
      <c r="BC914" s="592"/>
      <c r="BD914" s="592"/>
      <c r="BE914" s="592"/>
      <c r="BF914" s="592"/>
      <c r="BG914" s="358"/>
      <c r="BH914" s="592"/>
      <c r="BI914" s="592"/>
      <c r="BJ914" s="592"/>
      <c r="BK914" s="592"/>
      <c r="BL914" s="592"/>
      <c r="BM914" s="592"/>
      <c r="BN914" s="592"/>
      <c r="BO914" s="592"/>
      <c r="BP914" s="592"/>
      <c r="BQ914" s="594"/>
      <c r="BR914" s="594"/>
      <c r="BS914" s="394"/>
      <c r="BT914" s="594"/>
      <c r="BU914" s="594"/>
      <c r="BV914" s="594"/>
      <c r="BW914" s="618"/>
      <c r="BX914" s="644"/>
      <c r="BY914" s="644"/>
    </row>
    <row r="915" ht="25.5" customHeight="1">
      <c r="A915" s="635"/>
      <c r="B915" s="695"/>
      <c r="C915" s="642"/>
      <c r="D915" s="642"/>
      <c r="E915" s="696"/>
      <c r="F915" s="696"/>
      <c r="G915" s="621"/>
      <c r="H915" s="577"/>
      <c r="I915" s="577"/>
      <c r="J915" s="613"/>
      <c r="K915" s="581"/>
      <c r="L915" s="581"/>
      <c r="M915" s="613"/>
      <c r="N915" s="613"/>
      <c r="O915" s="613"/>
      <c r="P915" s="580"/>
      <c r="Q915" s="580"/>
      <c r="R915" s="581"/>
      <c r="S915" s="581"/>
      <c r="T915" s="581"/>
      <c r="U915" s="582"/>
      <c r="V915" s="614"/>
      <c r="W915" s="581"/>
      <c r="X915" s="615"/>
      <c r="Y915" s="613"/>
      <c r="Z915" s="580"/>
      <c r="AA915" s="634"/>
      <c r="AB915" s="577"/>
      <c r="AC915" s="673"/>
      <c r="AD915" s="634"/>
      <c r="AE915" s="587"/>
      <c r="AF915" s="587"/>
      <c r="AG915" s="582"/>
      <c r="AH915" s="582"/>
      <c r="AI915" s="582"/>
      <c r="AJ915" s="582"/>
      <c r="AK915" s="588"/>
      <c r="AL915" s="582"/>
      <c r="AM915" s="582"/>
      <c r="AN915" s="589"/>
      <c r="AO915" s="616"/>
      <c r="AP915" s="592"/>
      <c r="AQ915" s="358"/>
      <c r="AR915" s="592"/>
      <c r="AS915" s="592"/>
      <c r="AT915" s="592"/>
      <c r="AU915" s="592"/>
      <c r="AV915" s="592"/>
      <c r="AW915" s="592"/>
      <c r="AX915" s="592"/>
      <c r="AY915" s="592"/>
      <c r="AZ915" s="592"/>
      <c r="BA915" s="617"/>
      <c r="BB915" s="592"/>
      <c r="BC915" s="592"/>
      <c r="BD915" s="592"/>
      <c r="BE915" s="592"/>
      <c r="BF915" s="592"/>
      <c r="BG915" s="358"/>
      <c r="BH915" s="592"/>
      <c r="BI915" s="592"/>
      <c r="BJ915" s="592"/>
      <c r="BK915" s="592"/>
      <c r="BL915" s="592"/>
      <c r="BM915" s="592"/>
      <c r="BN915" s="592"/>
      <c r="BO915" s="592"/>
      <c r="BP915" s="592"/>
      <c r="BQ915" s="594"/>
      <c r="BR915" s="594"/>
      <c r="BS915" s="394"/>
      <c r="BT915" s="594"/>
      <c r="BU915" s="594"/>
      <c r="BV915" s="594"/>
      <c r="BW915" s="618"/>
      <c r="BX915" s="644"/>
      <c r="BY915" s="644"/>
    </row>
    <row r="916" ht="25.5" customHeight="1">
      <c r="A916" s="635"/>
      <c r="B916" s="695"/>
      <c r="C916" s="642"/>
      <c r="D916" s="642"/>
      <c r="E916" s="696"/>
      <c r="F916" s="696"/>
      <c r="G916" s="621"/>
      <c r="H916" s="577"/>
      <c r="I916" s="577"/>
      <c r="J916" s="613"/>
      <c r="K916" s="581"/>
      <c r="L916" s="581"/>
      <c r="M916" s="613"/>
      <c r="N916" s="613"/>
      <c r="O916" s="613"/>
      <c r="P916" s="580"/>
      <c r="Q916" s="580"/>
      <c r="R916" s="581"/>
      <c r="S916" s="581"/>
      <c r="T916" s="581"/>
      <c r="U916" s="582"/>
      <c r="V916" s="614"/>
      <c r="W916" s="581"/>
      <c r="X916" s="615"/>
      <c r="Y916" s="613"/>
      <c r="Z916" s="580"/>
      <c r="AA916" s="634"/>
      <c r="AB916" s="577"/>
      <c r="AC916" s="673"/>
      <c r="AD916" s="634"/>
      <c r="AE916" s="587"/>
      <c r="AF916" s="587"/>
      <c r="AG916" s="582"/>
      <c r="AH916" s="582"/>
      <c r="AI916" s="582"/>
      <c r="AJ916" s="582"/>
      <c r="AK916" s="588"/>
      <c r="AL916" s="582"/>
      <c r="AM916" s="582"/>
      <c r="AN916" s="589"/>
      <c r="AO916" s="616"/>
      <c r="AP916" s="592"/>
      <c r="AQ916" s="358"/>
      <c r="AR916" s="592"/>
      <c r="AS916" s="592"/>
      <c r="AT916" s="592"/>
      <c r="AU916" s="592"/>
      <c r="AV916" s="592"/>
      <c r="AW916" s="592"/>
      <c r="AX916" s="592"/>
      <c r="AY916" s="592"/>
      <c r="AZ916" s="592"/>
      <c r="BA916" s="617"/>
      <c r="BB916" s="592"/>
      <c r="BC916" s="592"/>
      <c r="BD916" s="592"/>
      <c r="BE916" s="592"/>
      <c r="BF916" s="592"/>
      <c r="BG916" s="358"/>
      <c r="BH916" s="592"/>
      <c r="BI916" s="592"/>
      <c r="BJ916" s="592"/>
      <c r="BK916" s="592"/>
      <c r="BL916" s="592"/>
      <c r="BM916" s="592"/>
      <c r="BN916" s="592"/>
      <c r="BO916" s="592"/>
      <c r="BP916" s="592"/>
      <c r="BQ916" s="594"/>
      <c r="BR916" s="594"/>
      <c r="BS916" s="394"/>
      <c r="BT916" s="594"/>
      <c r="BU916" s="594"/>
      <c r="BV916" s="594"/>
      <c r="BW916" s="618"/>
      <c r="BX916" s="644"/>
      <c r="BY916" s="644"/>
    </row>
    <row r="917" ht="25.5" customHeight="1">
      <c r="A917" s="635"/>
      <c r="B917" s="695"/>
      <c r="C917" s="642"/>
      <c r="D917" s="642"/>
      <c r="E917" s="696"/>
      <c r="F917" s="696"/>
      <c r="G917" s="621"/>
      <c r="H917" s="577"/>
      <c r="I917" s="577"/>
      <c r="J917" s="613"/>
      <c r="K917" s="581"/>
      <c r="L917" s="581"/>
      <c r="M917" s="613"/>
      <c r="N917" s="613"/>
      <c r="O917" s="613"/>
      <c r="P917" s="580"/>
      <c r="Q917" s="580"/>
      <c r="R917" s="581"/>
      <c r="S917" s="581"/>
      <c r="T917" s="581"/>
      <c r="U917" s="582"/>
      <c r="V917" s="614"/>
      <c r="W917" s="581"/>
      <c r="X917" s="615"/>
      <c r="Y917" s="613"/>
      <c r="Z917" s="580"/>
      <c r="AA917" s="634"/>
      <c r="AB917" s="577"/>
      <c r="AC917" s="673"/>
      <c r="AD917" s="634"/>
      <c r="AE917" s="587"/>
      <c r="AF917" s="587"/>
      <c r="AG917" s="582"/>
      <c r="AH917" s="582"/>
      <c r="AI917" s="582"/>
      <c r="AJ917" s="582"/>
      <c r="AK917" s="588"/>
      <c r="AL917" s="582"/>
      <c r="AM917" s="582"/>
      <c r="AN917" s="589"/>
      <c r="AO917" s="616"/>
      <c r="AP917" s="592"/>
      <c r="AQ917" s="358"/>
      <c r="AR917" s="592"/>
      <c r="AS917" s="592"/>
      <c r="AT917" s="592"/>
      <c r="AU917" s="592"/>
      <c r="AV917" s="592"/>
      <c r="AW917" s="592"/>
      <c r="AX917" s="592"/>
      <c r="AY917" s="592"/>
      <c r="AZ917" s="592"/>
      <c r="BA917" s="617"/>
      <c r="BB917" s="592"/>
      <c r="BC917" s="592"/>
      <c r="BD917" s="592"/>
      <c r="BE917" s="592"/>
      <c r="BF917" s="592"/>
      <c r="BG917" s="358"/>
      <c r="BH917" s="592"/>
      <c r="BI917" s="592"/>
      <c r="BJ917" s="592"/>
      <c r="BK917" s="592"/>
      <c r="BL917" s="592"/>
      <c r="BM917" s="592"/>
      <c r="BN917" s="592"/>
      <c r="BO917" s="592"/>
      <c r="BP917" s="592"/>
      <c r="BQ917" s="594"/>
      <c r="BR917" s="594"/>
      <c r="BS917" s="394"/>
      <c r="BT917" s="594"/>
      <c r="BU917" s="594"/>
      <c r="BV917" s="594"/>
      <c r="BW917" s="618"/>
      <c r="BX917" s="644"/>
      <c r="BY917" s="644"/>
    </row>
    <row r="918" ht="25.5" customHeight="1">
      <c r="A918" s="635"/>
      <c r="B918" s="695"/>
      <c r="C918" s="642"/>
      <c r="D918" s="642"/>
      <c r="E918" s="696"/>
      <c r="F918" s="696"/>
      <c r="G918" s="621"/>
      <c r="H918" s="577"/>
      <c r="I918" s="577"/>
      <c r="J918" s="613"/>
      <c r="K918" s="581"/>
      <c r="L918" s="581"/>
      <c r="M918" s="613"/>
      <c r="N918" s="613"/>
      <c r="O918" s="613"/>
      <c r="P918" s="580"/>
      <c r="Q918" s="580"/>
      <c r="R918" s="581"/>
      <c r="S918" s="581"/>
      <c r="T918" s="581"/>
      <c r="U918" s="582"/>
      <c r="V918" s="614"/>
      <c r="W918" s="581"/>
      <c r="X918" s="615"/>
      <c r="Y918" s="613"/>
      <c r="Z918" s="580"/>
      <c r="AA918" s="634"/>
      <c r="AB918" s="577"/>
      <c r="AC918" s="673"/>
      <c r="AD918" s="634"/>
      <c r="AE918" s="587"/>
      <c r="AF918" s="587"/>
      <c r="AG918" s="582"/>
      <c r="AH918" s="582"/>
      <c r="AI918" s="582"/>
      <c r="AJ918" s="582"/>
      <c r="AK918" s="588"/>
      <c r="AL918" s="582"/>
      <c r="AM918" s="582"/>
      <c r="AN918" s="589"/>
      <c r="AO918" s="616"/>
      <c r="AP918" s="592"/>
      <c r="AQ918" s="358"/>
      <c r="AR918" s="592"/>
      <c r="AS918" s="592"/>
      <c r="AT918" s="592"/>
      <c r="AU918" s="592"/>
      <c r="AV918" s="592"/>
      <c r="AW918" s="592"/>
      <c r="AX918" s="592"/>
      <c r="AY918" s="592"/>
      <c r="AZ918" s="592"/>
      <c r="BA918" s="617"/>
      <c r="BB918" s="592"/>
      <c r="BC918" s="592"/>
      <c r="BD918" s="592"/>
      <c r="BE918" s="592"/>
      <c r="BF918" s="592"/>
      <c r="BG918" s="358"/>
      <c r="BH918" s="592"/>
      <c r="BI918" s="592"/>
      <c r="BJ918" s="592"/>
      <c r="BK918" s="592"/>
      <c r="BL918" s="592"/>
      <c r="BM918" s="592"/>
      <c r="BN918" s="592"/>
      <c r="BO918" s="592"/>
      <c r="BP918" s="592"/>
      <c r="BQ918" s="594"/>
      <c r="BR918" s="594"/>
      <c r="BS918" s="394"/>
      <c r="BT918" s="594"/>
      <c r="BU918" s="594"/>
      <c r="BV918" s="594"/>
      <c r="BW918" s="618"/>
      <c r="BX918" s="644"/>
      <c r="BY918" s="644"/>
    </row>
    <row r="919" ht="25.5" customHeight="1">
      <c r="A919" s="635"/>
      <c r="B919" s="695"/>
      <c r="C919" s="642"/>
      <c r="D919" s="642"/>
      <c r="E919" s="696"/>
      <c r="F919" s="696"/>
      <c r="G919" s="621"/>
      <c r="H919" s="577"/>
      <c r="I919" s="577"/>
      <c r="J919" s="613"/>
      <c r="K919" s="581"/>
      <c r="L919" s="581"/>
      <c r="M919" s="613"/>
      <c r="N919" s="613"/>
      <c r="O919" s="613"/>
      <c r="P919" s="580"/>
      <c r="Q919" s="580"/>
      <c r="R919" s="581"/>
      <c r="S919" s="581"/>
      <c r="T919" s="581"/>
      <c r="U919" s="582"/>
      <c r="V919" s="614"/>
      <c r="W919" s="581"/>
      <c r="X919" s="615"/>
      <c r="Y919" s="613"/>
      <c r="Z919" s="580"/>
      <c r="AA919" s="634"/>
      <c r="AB919" s="577"/>
      <c r="AC919" s="673"/>
      <c r="AD919" s="634"/>
      <c r="AE919" s="587"/>
      <c r="AF919" s="587"/>
      <c r="AG919" s="582"/>
      <c r="AH919" s="582"/>
      <c r="AI919" s="582"/>
      <c r="AJ919" s="582"/>
      <c r="AK919" s="588"/>
      <c r="AL919" s="582"/>
      <c r="AM919" s="582"/>
      <c r="AN919" s="589"/>
      <c r="AO919" s="616"/>
      <c r="AP919" s="592"/>
      <c r="AQ919" s="358"/>
      <c r="AR919" s="592"/>
      <c r="AS919" s="592"/>
      <c r="AT919" s="592"/>
      <c r="AU919" s="592"/>
      <c r="AV919" s="592"/>
      <c r="AW919" s="592"/>
      <c r="AX919" s="592"/>
      <c r="AY919" s="592"/>
      <c r="AZ919" s="592"/>
      <c r="BA919" s="617"/>
      <c r="BB919" s="592"/>
      <c r="BC919" s="592"/>
      <c r="BD919" s="592"/>
      <c r="BE919" s="592"/>
      <c r="BF919" s="592"/>
      <c r="BG919" s="358"/>
      <c r="BH919" s="592"/>
      <c r="BI919" s="592"/>
      <c r="BJ919" s="592"/>
      <c r="BK919" s="592"/>
      <c r="BL919" s="592"/>
      <c r="BM919" s="592"/>
      <c r="BN919" s="592"/>
      <c r="BO919" s="592"/>
      <c r="BP919" s="592"/>
      <c r="BQ919" s="594"/>
      <c r="BR919" s="594"/>
      <c r="BS919" s="394"/>
      <c r="BT919" s="594"/>
      <c r="BU919" s="594"/>
      <c r="BV919" s="594"/>
      <c r="BW919" s="618"/>
      <c r="BX919" s="644"/>
      <c r="BY919" s="644"/>
    </row>
    <row r="920" ht="25.5" customHeight="1">
      <c r="A920" s="635"/>
      <c r="B920" s="695"/>
      <c r="C920" s="642"/>
      <c r="D920" s="642"/>
      <c r="E920" s="696"/>
      <c r="F920" s="696"/>
      <c r="G920" s="621"/>
      <c r="H920" s="577"/>
      <c r="I920" s="577"/>
      <c r="J920" s="613"/>
      <c r="K920" s="581"/>
      <c r="L920" s="581"/>
      <c r="M920" s="613"/>
      <c r="N920" s="613"/>
      <c r="O920" s="613"/>
      <c r="P920" s="580"/>
      <c r="Q920" s="580"/>
      <c r="R920" s="581"/>
      <c r="S920" s="581"/>
      <c r="T920" s="581"/>
      <c r="U920" s="582"/>
      <c r="V920" s="614"/>
      <c r="W920" s="581"/>
      <c r="X920" s="615"/>
      <c r="Y920" s="613"/>
      <c r="Z920" s="580"/>
      <c r="AA920" s="634"/>
      <c r="AB920" s="577"/>
      <c r="AC920" s="673"/>
      <c r="AD920" s="634"/>
      <c r="AE920" s="587"/>
      <c r="AF920" s="587"/>
      <c r="AG920" s="582"/>
      <c r="AH920" s="582"/>
      <c r="AI920" s="582"/>
      <c r="AJ920" s="582"/>
      <c r="AK920" s="588"/>
      <c r="AL920" s="582"/>
      <c r="AM920" s="582"/>
      <c r="AN920" s="589"/>
      <c r="AO920" s="616"/>
      <c r="AP920" s="592"/>
      <c r="AQ920" s="358"/>
      <c r="AR920" s="592"/>
      <c r="AS920" s="592"/>
      <c r="AT920" s="592"/>
      <c r="AU920" s="592"/>
      <c r="AV920" s="592"/>
      <c r="AW920" s="592"/>
      <c r="AX920" s="592"/>
      <c r="AY920" s="592"/>
      <c r="AZ920" s="592"/>
      <c r="BA920" s="617"/>
      <c r="BB920" s="592"/>
      <c r="BC920" s="592"/>
      <c r="BD920" s="592"/>
      <c r="BE920" s="592"/>
      <c r="BF920" s="592"/>
      <c r="BG920" s="358"/>
      <c r="BH920" s="592"/>
      <c r="BI920" s="592"/>
      <c r="BJ920" s="592"/>
      <c r="BK920" s="592"/>
      <c r="BL920" s="592"/>
      <c r="BM920" s="592"/>
      <c r="BN920" s="592"/>
      <c r="BO920" s="592"/>
      <c r="BP920" s="592"/>
      <c r="BQ920" s="594"/>
      <c r="BR920" s="594"/>
      <c r="BS920" s="394"/>
      <c r="BT920" s="594"/>
      <c r="BU920" s="594"/>
      <c r="BV920" s="594"/>
      <c r="BW920" s="618"/>
      <c r="BX920" s="644"/>
      <c r="BY920" s="644"/>
    </row>
    <row r="921" ht="25.5" customHeight="1">
      <c r="A921" s="635"/>
      <c r="B921" s="695"/>
      <c r="C921" s="642"/>
      <c r="D921" s="642"/>
      <c r="E921" s="696"/>
      <c r="F921" s="696"/>
      <c r="G921" s="621"/>
      <c r="H921" s="577"/>
      <c r="I921" s="577"/>
      <c r="J921" s="613"/>
      <c r="K921" s="581"/>
      <c r="L921" s="581"/>
      <c r="M921" s="613"/>
      <c r="N921" s="613"/>
      <c r="O921" s="613"/>
      <c r="P921" s="580"/>
      <c r="Q921" s="580"/>
      <c r="R921" s="581"/>
      <c r="S921" s="581"/>
      <c r="T921" s="581"/>
      <c r="U921" s="582"/>
      <c r="V921" s="614"/>
      <c r="W921" s="581"/>
      <c r="X921" s="615"/>
      <c r="Y921" s="613"/>
      <c r="Z921" s="580"/>
      <c r="AA921" s="634"/>
      <c r="AB921" s="577"/>
      <c r="AC921" s="673"/>
      <c r="AD921" s="634"/>
      <c r="AE921" s="587"/>
      <c r="AF921" s="587"/>
      <c r="AG921" s="582"/>
      <c r="AH921" s="582"/>
      <c r="AI921" s="582"/>
      <c r="AJ921" s="582"/>
      <c r="AK921" s="588"/>
      <c r="AL921" s="582"/>
      <c r="AM921" s="582"/>
      <c r="AN921" s="589"/>
      <c r="AO921" s="616"/>
      <c r="AP921" s="592"/>
      <c r="AQ921" s="358"/>
      <c r="AR921" s="592"/>
      <c r="AS921" s="592"/>
      <c r="AT921" s="592"/>
      <c r="AU921" s="592"/>
      <c r="AV921" s="592"/>
      <c r="AW921" s="592"/>
      <c r="AX921" s="592"/>
      <c r="AY921" s="592"/>
      <c r="AZ921" s="592"/>
      <c r="BA921" s="617"/>
      <c r="BB921" s="592"/>
      <c r="BC921" s="592"/>
      <c r="BD921" s="592"/>
      <c r="BE921" s="592"/>
      <c r="BF921" s="592"/>
      <c r="BG921" s="358"/>
      <c r="BH921" s="592"/>
      <c r="BI921" s="592"/>
      <c r="BJ921" s="592"/>
      <c r="BK921" s="592"/>
      <c r="BL921" s="592"/>
      <c r="BM921" s="592"/>
      <c r="BN921" s="592"/>
      <c r="BO921" s="592"/>
      <c r="BP921" s="592"/>
      <c r="BQ921" s="594"/>
      <c r="BR921" s="594"/>
      <c r="BS921" s="394"/>
      <c r="BT921" s="594"/>
      <c r="BU921" s="594"/>
      <c r="BV921" s="594"/>
      <c r="BW921" s="618"/>
      <c r="BX921" s="644"/>
      <c r="BY921" s="644"/>
    </row>
    <row r="922" ht="25.5" customHeight="1">
      <c r="A922" s="635"/>
      <c r="B922" s="695"/>
      <c r="C922" s="642"/>
      <c r="D922" s="642"/>
      <c r="E922" s="696"/>
      <c r="F922" s="696"/>
      <c r="G922" s="621"/>
      <c r="H922" s="577"/>
      <c r="I922" s="577"/>
      <c r="J922" s="613"/>
      <c r="K922" s="581"/>
      <c r="L922" s="581"/>
      <c r="M922" s="613"/>
      <c r="N922" s="613"/>
      <c r="O922" s="613"/>
      <c r="P922" s="580"/>
      <c r="Q922" s="580"/>
      <c r="R922" s="581"/>
      <c r="S922" s="581"/>
      <c r="T922" s="581"/>
      <c r="U922" s="582"/>
      <c r="V922" s="614"/>
      <c r="W922" s="581"/>
      <c r="X922" s="615"/>
      <c r="Y922" s="613"/>
      <c r="Z922" s="580"/>
      <c r="AA922" s="634"/>
      <c r="AB922" s="577"/>
      <c r="AC922" s="673"/>
      <c r="AD922" s="634"/>
      <c r="AE922" s="587"/>
      <c r="AF922" s="587"/>
      <c r="AG922" s="582"/>
      <c r="AH922" s="582"/>
      <c r="AI922" s="582"/>
      <c r="AJ922" s="582"/>
      <c r="AK922" s="588"/>
      <c r="AL922" s="582"/>
      <c r="AM922" s="582"/>
      <c r="AN922" s="589"/>
      <c r="AO922" s="616"/>
      <c r="AP922" s="592"/>
      <c r="AQ922" s="358"/>
      <c r="AR922" s="592"/>
      <c r="AS922" s="592"/>
      <c r="AT922" s="592"/>
      <c r="AU922" s="592"/>
      <c r="AV922" s="592"/>
      <c r="AW922" s="592"/>
      <c r="AX922" s="592"/>
      <c r="AY922" s="592"/>
      <c r="AZ922" s="592"/>
      <c r="BA922" s="617"/>
      <c r="BB922" s="592"/>
      <c r="BC922" s="592"/>
      <c r="BD922" s="592"/>
      <c r="BE922" s="592"/>
      <c r="BF922" s="592"/>
      <c r="BG922" s="358"/>
      <c r="BH922" s="592"/>
      <c r="BI922" s="592"/>
      <c r="BJ922" s="592"/>
      <c r="BK922" s="592"/>
      <c r="BL922" s="592"/>
      <c r="BM922" s="592"/>
      <c r="BN922" s="592"/>
      <c r="BO922" s="592"/>
      <c r="BP922" s="592"/>
      <c r="BQ922" s="594"/>
      <c r="BR922" s="594"/>
      <c r="BS922" s="394"/>
      <c r="BT922" s="594"/>
      <c r="BU922" s="594"/>
      <c r="BV922" s="594"/>
      <c r="BW922" s="618"/>
      <c r="BX922" s="644"/>
      <c r="BY922" s="644"/>
    </row>
    <row r="923" ht="25.5" customHeight="1">
      <c r="A923" s="635"/>
      <c r="B923" s="695"/>
      <c r="C923" s="642"/>
      <c r="D923" s="642"/>
      <c r="E923" s="696"/>
      <c r="F923" s="696"/>
      <c r="G923" s="621"/>
      <c r="H923" s="577"/>
      <c r="I923" s="577"/>
      <c r="J923" s="613"/>
      <c r="K923" s="581"/>
      <c r="L923" s="581"/>
      <c r="M923" s="613"/>
      <c r="N923" s="613"/>
      <c r="O923" s="613"/>
      <c r="P923" s="580"/>
      <c r="Q923" s="580"/>
      <c r="R923" s="581"/>
      <c r="S923" s="581"/>
      <c r="T923" s="581"/>
      <c r="U923" s="582"/>
      <c r="V923" s="614"/>
      <c r="W923" s="581"/>
      <c r="X923" s="615"/>
      <c r="Y923" s="613"/>
      <c r="Z923" s="580"/>
      <c r="AA923" s="634"/>
      <c r="AB923" s="577"/>
      <c r="AC923" s="673"/>
      <c r="AD923" s="634"/>
      <c r="AE923" s="587"/>
      <c r="AF923" s="587"/>
      <c r="AG923" s="582"/>
      <c r="AH923" s="582"/>
      <c r="AI923" s="582"/>
      <c r="AJ923" s="582"/>
      <c r="AK923" s="588"/>
      <c r="AL923" s="582"/>
      <c r="AM923" s="582"/>
      <c r="AN923" s="589"/>
      <c r="AO923" s="616"/>
      <c r="AP923" s="592"/>
      <c r="AQ923" s="358"/>
      <c r="AR923" s="592"/>
      <c r="AS923" s="592"/>
      <c r="AT923" s="592"/>
      <c r="AU923" s="592"/>
      <c r="AV923" s="592"/>
      <c r="AW923" s="592"/>
      <c r="AX923" s="592"/>
      <c r="AY923" s="592"/>
      <c r="AZ923" s="592"/>
      <c r="BA923" s="617"/>
      <c r="BB923" s="592"/>
      <c r="BC923" s="592"/>
      <c r="BD923" s="592"/>
      <c r="BE923" s="592"/>
      <c r="BF923" s="592"/>
      <c r="BG923" s="358"/>
      <c r="BH923" s="592"/>
      <c r="BI923" s="592"/>
      <c r="BJ923" s="592"/>
      <c r="BK923" s="592"/>
      <c r="BL923" s="592"/>
      <c r="BM923" s="592"/>
      <c r="BN923" s="592"/>
      <c r="BO923" s="592"/>
      <c r="BP923" s="592"/>
      <c r="BQ923" s="594"/>
      <c r="BR923" s="594"/>
      <c r="BS923" s="394"/>
      <c r="BT923" s="594"/>
      <c r="BU923" s="594"/>
      <c r="BV923" s="594"/>
      <c r="BW923" s="618"/>
      <c r="BX923" s="644"/>
      <c r="BY923" s="644"/>
    </row>
    <row r="924" ht="25.5" customHeight="1">
      <c r="A924" s="635"/>
      <c r="B924" s="695"/>
      <c r="C924" s="642"/>
      <c r="D924" s="642"/>
      <c r="E924" s="696"/>
      <c r="F924" s="696"/>
      <c r="G924" s="621"/>
      <c r="H924" s="577"/>
      <c r="I924" s="577"/>
      <c r="J924" s="613"/>
      <c r="K924" s="581"/>
      <c r="L924" s="581"/>
      <c r="M924" s="613"/>
      <c r="N924" s="613"/>
      <c r="O924" s="613"/>
      <c r="P924" s="580"/>
      <c r="Q924" s="580"/>
      <c r="R924" s="581"/>
      <c r="S924" s="581"/>
      <c r="T924" s="581"/>
      <c r="U924" s="582"/>
      <c r="V924" s="614"/>
      <c r="W924" s="581"/>
      <c r="X924" s="615"/>
      <c r="Y924" s="613"/>
      <c r="Z924" s="580"/>
      <c r="AA924" s="634"/>
      <c r="AB924" s="577"/>
      <c r="AC924" s="673"/>
      <c r="AD924" s="634"/>
      <c r="AE924" s="587"/>
      <c r="AF924" s="587"/>
      <c r="AG924" s="582"/>
      <c r="AH924" s="582"/>
      <c r="AI924" s="582"/>
      <c r="AJ924" s="582"/>
      <c r="AK924" s="588"/>
      <c r="AL924" s="582"/>
      <c r="AM924" s="582"/>
      <c r="AN924" s="589"/>
      <c r="AO924" s="616"/>
      <c r="AP924" s="592"/>
      <c r="AQ924" s="358"/>
      <c r="AR924" s="592"/>
      <c r="AS924" s="592"/>
      <c r="AT924" s="592"/>
      <c r="AU924" s="592"/>
      <c r="AV924" s="592"/>
      <c r="AW924" s="592"/>
      <c r="AX924" s="592"/>
      <c r="AY924" s="592"/>
      <c r="AZ924" s="592"/>
      <c r="BA924" s="617"/>
      <c r="BB924" s="592"/>
      <c r="BC924" s="592"/>
      <c r="BD924" s="592"/>
      <c r="BE924" s="592"/>
      <c r="BF924" s="592"/>
      <c r="BG924" s="358"/>
      <c r="BH924" s="592"/>
      <c r="BI924" s="592"/>
      <c r="BJ924" s="592"/>
      <c r="BK924" s="592"/>
      <c r="BL924" s="592"/>
      <c r="BM924" s="592"/>
      <c r="BN924" s="592"/>
      <c r="BO924" s="592"/>
      <c r="BP924" s="592"/>
      <c r="BQ924" s="594"/>
      <c r="BR924" s="594"/>
      <c r="BS924" s="394"/>
      <c r="BT924" s="594"/>
      <c r="BU924" s="594"/>
      <c r="BV924" s="594"/>
      <c r="BW924" s="618"/>
      <c r="BX924" s="644"/>
      <c r="BY924" s="644"/>
    </row>
    <row r="925" ht="25.5" customHeight="1">
      <c r="A925" s="635"/>
      <c r="B925" s="695"/>
      <c r="C925" s="642"/>
      <c r="D925" s="642"/>
      <c r="E925" s="696"/>
      <c r="F925" s="696"/>
      <c r="G925" s="621"/>
      <c r="H925" s="577"/>
      <c r="I925" s="577"/>
      <c r="J925" s="613"/>
      <c r="K925" s="581"/>
      <c r="L925" s="581"/>
      <c r="M925" s="613"/>
      <c r="N925" s="613"/>
      <c r="O925" s="613"/>
      <c r="P925" s="580"/>
      <c r="Q925" s="580"/>
      <c r="R925" s="581"/>
      <c r="S925" s="581"/>
      <c r="T925" s="581"/>
      <c r="U925" s="582"/>
      <c r="V925" s="614"/>
      <c r="W925" s="581"/>
      <c r="X925" s="615"/>
      <c r="Y925" s="613"/>
      <c r="Z925" s="580"/>
      <c r="AA925" s="634"/>
      <c r="AB925" s="577"/>
      <c r="AC925" s="673"/>
      <c r="AD925" s="634"/>
      <c r="AE925" s="587"/>
      <c r="AF925" s="587"/>
      <c r="AG925" s="582"/>
      <c r="AH925" s="582"/>
      <c r="AI925" s="582"/>
      <c r="AJ925" s="582"/>
      <c r="AK925" s="588"/>
      <c r="AL925" s="582"/>
      <c r="AM925" s="582"/>
      <c r="AN925" s="589"/>
      <c r="AO925" s="616"/>
      <c r="AP925" s="592"/>
      <c r="AQ925" s="358"/>
      <c r="AR925" s="592"/>
      <c r="AS925" s="592"/>
      <c r="AT925" s="592"/>
      <c r="AU925" s="592"/>
      <c r="AV925" s="592"/>
      <c r="AW925" s="592"/>
      <c r="AX925" s="592"/>
      <c r="AY925" s="592"/>
      <c r="AZ925" s="592"/>
      <c r="BA925" s="617"/>
      <c r="BB925" s="592"/>
      <c r="BC925" s="592"/>
      <c r="BD925" s="592"/>
      <c r="BE925" s="592"/>
      <c r="BF925" s="592"/>
      <c r="BG925" s="358"/>
      <c r="BH925" s="592"/>
      <c r="BI925" s="592"/>
      <c r="BJ925" s="592"/>
      <c r="BK925" s="592"/>
      <c r="BL925" s="592"/>
      <c r="BM925" s="592"/>
      <c r="BN925" s="592"/>
      <c r="BO925" s="592"/>
      <c r="BP925" s="592"/>
      <c r="BQ925" s="594"/>
      <c r="BR925" s="594"/>
      <c r="BS925" s="394"/>
      <c r="BT925" s="594"/>
      <c r="BU925" s="594"/>
      <c r="BV925" s="594"/>
      <c r="BW925" s="618"/>
      <c r="BX925" s="644"/>
      <c r="BY925" s="644"/>
    </row>
    <row r="926" ht="25.5" customHeight="1">
      <c r="A926" s="635"/>
      <c r="B926" s="695"/>
      <c r="C926" s="642"/>
      <c r="D926" s="642"/>
      <c r="E926" s="696"/>
      <c r="F926" s="696"/>
      <c r="G926" s="621"/>
      <c r="H926" s="577"/>
      <c r="I926" s="577"/>
      <c r="J926" s="613"/>
      <c r="K926" s="581"/>
      <c r="L926" s="581"/>
      <c r="M926" s="613"/>
      <c r="N926" s="613"/>
      <c r="O926" s="613"/>
      <c r="P926" s="580"/>
      <c r="Q926" s="580"/>
      <c r="R926" s="581"/>
      <c r="S926" s="581"/>
      <c r="T926" s="581"/>
      <c r="U926" s="582"/>
      <c r="V926" s="614"/>
      <c r="W926" s="581"/>
      <c r="X926" s="615"/>
      <c r="Y926" s="613"/>
      <c r="Z926" s="580"/>
      <c r="AA926" s="634"/>
      <c r="AB926" s="577"/>
      <c r="AC926" s="673"/>
      <c r="AD926" s="634"/>
      <c r="AE926" s="587"/>
      <c r="AF926" s="587"/>
      <c r="AG926" s="582"/>
      <c r="AH926" s="582"/>
      <c r="AI926" s="582"/>
      <c r="AJ926" s="582"/>
      <c r="AK926" s="588"/>
      <c r="AL926" s="582"/>
      <c r="AM926" s="582"/>
      <c r="AN926" s="589"/>
      <c r="AO926" s="616"/>
      <c r="AP926" s="592"/>
      <c r="AQ926" s="358"/>
      <c r="AR926" s="592"/>
      <c r="AS926" s="592"/>
      <c r="AT926" s="592"/>
      <c r="AU926" s="592"/>
      <c r="AV926" s="592"/>
      <c r="AW926" s="592"/>
      <c r="AX926" s="592"/>
      <c r="AY926" s="592"/>
      <c r="AZ926" s="592"/>
      <c r="BA926" s="617"/>
      <c r="BB926" s="592"/>
      <c r="BC926" s="592"/>
      <c r="BD926" s="592"/>
      <c r="BE926" s="592"/>
      <c r="BF926" s="592"/>
      <c r="BG926" s="358"/>
      <c r="BH926" s="592"/>
      <c r="BI926" s="592"/>
      <c r="BJ926" s="592"/>
      <c r="BK926" s="592"/>
      <c r="BL926" s="592"/>
      <c r="BM926" s="592"/>
      <c r="BN926" s="592"/>
      <c r="BO926" s="592"/>
      <c r="BP926" s="592"/>
      <c r="BQ926" s="594"/>
      <c r="BR926" s="594"/>
      <c r="BS926" s="394"/>
      <c r="BT926" s="594"/>
      <c r="BU926" s="594"/>
      <c r="BV926" s="594"/>
      <c r="BW926" s="618"/>
      <c r="BX926" s="644"/>
      <c r="BY926" s="644"/>
    </row>
    <row r="927" ht="25.5" customHeight="1">
      <c r="A927" s="635"/>
      <c r="B927" s="695"/>
      <c r="C927" s="642"/>
      <c r="D927" s="642"/>
      <c r="E927" s="696"/>
      <c r="F927" s="696"/>
      <c r="G927" s="621"/>
      <c r="H927" s="577"/>
      <c r="I927" s="577"/>
      <c r="J927" s="613"/>
      <c r="K927" s="581"/>
      <c r="L927" s="581"/>
      <c r="M927" s="613"/>
      <c r="N927" s="613"/>
      <c r="O927" s="613"/>
      <c r="P927" s="580"/>
      <c r="Q927" s="580"/>
      <c r="R927" s="581"/>
      <c r="S927" s="581"/>
      <c r="T927" s="581"/>
      <c r="U927" s="582"/>
      <c r="V927" s="614"/>
      <c r="W927" s="581"/>
      <c r="X927" s="615"/>
      <c r="Y927" s="613"/>
      <c r="Z927" s="580"/>
      <c r="AA927" s="634"/>
      <c r="AB927" s="577"/>
      <c r="AC927" s="673"/>
      <c r="AD927" s="634"/>
      <c r="AE927" s="587"/>
      <c r="AF927" s="587"/>
      <c r="AG927" s="582"/>
      <c r="AH927" s="582"/>
      <c r="AI927" s="582"/>
      <c r="AJ927" s="582"/>
      <c r="AK927" s="588"/>
      <c r="AL927" s="582"/>
      <c r="AM927" s="582"/>
      <c r="AN927" s="589"/>
      <c r="AO927" s="616"/>
      <c r="AP927" s="592"/>
      <c r="AQ927" s="358"/>
      <c r="AR927" s="592"/>
      <c r="AS927" s="592"/>
      <c r="AT927" s="592"/>
      <c r="AU927" s="592"/>
      <c r="AV927" s="592"/>
      <c r="AW927" s="592"/>
      <c r="AX927" s="592"/>
      <c r="AY927" s="592"/>
      <c r="AZ927" s="592"/>
      <c r="BA927" s="617"/>
      <c r="BB927" s="592"/>
      <c r="BC927" s="592"/>
      <c r="BD927" s="592"/>
      <c r="BE927" s="592"/>
      <c r="BF927" s="592"/>
      <c r="BG927" s="358"/>
      <c r="BH927" s="592"/>
      <c r="BI927" s="592"/>
      <c r="BJ927" s="592"/>
      <c r="BK927" s="592"/>
      <c r="BL927" s="592"/>
      <c r="BM927" s="592"/>
      <c r="BN927" s="592"/>
      <c r="BO927" s="592"/>
      <c r="BP927" s="592"/>
      <c r="BQ927" s="594"/>
      <c r="BR927" s="594"/>
      <c r="BS927" s="394"/>
      <c r="BT927" s="594"/>
      <c r="BU927" s="594"/>
      <c r="BV927" s="594"/>
      <c r="BW927" s="618"/>
      <c r="BX927" s="644"/>
      <c r="BY927" s="644"/>
    </row>
    <row r="928" ht="25.5" customHeight="1">
      <c r="A928" s="635"/>
      <c r="B928" s="695"/>
      <c r="C928" s="642"/>
      <c r="D928" s="642"/>
      <c r="E928" s="696"/>
      <c r="F928" s="696"/>
      <c r="G928" s="621"/>
      <c r="H928" s="577"/>
      <c r="I928" s="577"/>
      <c r="J928" s="613"/>
      <c r="K928" s="581"/>
      <c r="L928" s="581"/>
      <c r="M928" s="613"/>
      <c r="N928" s="613"/>
      <c r="O928" s="613"/>
      <c r="P928" s="580"/>
      <c r="Q928" s="580"/>
      <c r="R928" s="581"/>
      <c r="S928" s="581"/>
      <c r="T928" s="581"/>
      <c r="U928" s="582"/>
      <c r="V928" s="614"/>
      <c r="W928" s="581"/>
      <c r="X928" s="615"/>
      <c r="Y928" s="613"/>
      <c r="Z928" s="580"/>
      <c r="AA928" s="634"/>
      <c r="AB928" s="577"/>
      <c r="AC928" s="673"/>
      <c r="AD928" s="634"/>
      <c r="AE928" s="587"/>
      <c r="AF928" s="587"/>
      <c r="AG928" s="582"/>
      <c r="AH928" s="582"/>
      <c r="AI928" s="582"/>
      <c r="AJ928" s="582"/>
      <c r="AK928" s="588"/>
      <c r="AL928" s="582"/>
      <c r="AM928" s="582"/>
      <c r="AN928" s="589"/>
      <c r="AO928" s="616"/>
      <c r="AP928" s="592"/>
      <c r="AQ928" s="358"/>
      <c r="AR928" s="592"/>
      <c r="AS928" s="592"/>
      <c r="AT928" s="592"/>
      <c r="AU928" s="592"/>
      <c r="AV928" s="592"/>
      <c r="AW928" s="592"/>
      <c r="AX928" s="592"/>
      <c r="AY928" s="592"/>
      <c r="AZ928" s="592"/>
      <c r="BA928" s="617"/>
      <c r="BB928" s="592"/>
      <c r="BC928" s="592"/>
      <c r="BD928" s="592"/>
      <c r="BE928" s="592"/>
      <c r="BF928" s="592"/>
      <c r="BG928" s="358"/>
      <c r="BH928" s="592"/>
      <c r="BI928" s="592"/>
      <c r="BJ928" s="592"/>
      <c r="BK928" s="592"/>
      <c r="BL928" s="592"/>
      <c r="BM928" s="592"/>
      <c r="BN928" s="592"/>
      <c r="BO928" s="592"/>
      <c r="BP928" s="592"/>
      <c r="BQ928" s="594"/>
      <c r="BR928" s="594"/>
      <c r="BS928" s="394"/>
      <c r="BT928" s="594"/>
      <c r="BU928" s="594"/>
      <c r="BV928" s="594"/>
      <c r="BW928" s="618"/>
      <c r="BX928" s="644"/>
      <c r="BY928" s="644"/>
    </row>
    <row r="929" ht="25.5" customHeight="1">
      <c r="A929" s="635"/>
      <c r="B929" s="695"/>
      <c r="C929" s="642"/>
      <c r="D929" s="642"/>
      <c r="E929" s="696"/>
      <c r="F929" s="696"/>
      <c r="G929" s="621"/>
      <c r="H929" s="577"/>
      <c r="I929" s="577"/>
      <c r="J929" s="613"/>
      <c r="K929" s="581"/>
      <c r="L929" s="581"/>
      <c r="M929" s="613"/>
      <c r="N929" s="613"/>
      <c r="O929" s="613"/>
      <c r="P929" s="580"/>
      <c r="Q929" s="580"/>
      <c r="R929" s="581"/>
      <c r="S929" s="581"/>
      <c r="T929" s="581"/>
      <c r="U929" s="582"/>
      <c r="V929" s="614"/>
      <c r="W929" s="581"/>
      <c r="X929" s="615"/>
      <c r="Y929" s="613"/>
      <c r="Z929" s="580"/>
      <c r="AA929" s="634"/>
      <c r="AB929" s="577"/>
      <c r="AC929" s="673"/>
      <c r="AD929" s="634"/>
      <c r="AE929" s="587"/>
      <c r="AF929" s="587"/>
      <c r="AG929" s="582"/>
      <c r="AH929" s="582"/>
      <c r="AI929" s="582"/>
      <c r="AJ929" s="582"/>
      <c r="AK929" s="588"/>
      <c r="AL929" s="582"/>
      <c r="AM929" s="582"/>
      <c r="AN929" s="589"/>
      <c r="AO929" s="616"/>
      <c r="AP929" s="592"/>
      <c r="AQ929" s="358"/>
      <c r="AR929" s="592"/>
      <c r="AS929" s="592"/>
      <c r="AT929" s="592"/>
      <c r="AU929" s="592"/>
      <c r="AV929" s="592"/>
      <c r="AW929" s="592"/>
      <c r="AX929" s="592"/>
      <c r="AY929" s="592"/>
      <c r="AZ929" s="592"/>
      <c r="BA929" s="617"/>
      <c r="BB929" s="592"/>
      <c r="BC929" s="592"/>
      <c r="BD929" s="592"/>
      <c r="BE929" s="592"/>
      <c r="BF929" s="592"/>
      <c r="BG929" s="358"/>
      <c r="BH929" s="592"/>
      <c r="BI929" s="592"/>
      <c r="BJ929" s="592"/>
      <c r="BK929" s="592"/>
      <c r="BL929" s="592"/>
      <c r="BM929" s="592"/>
      <c r="BN929" s="592"/>
      <c r="BO929" s="592"/>
      <c r="BP929" s="592"/>
      <c r="BQ929" s="594"/>
      <c r="BR929" s="594"/>
      <c r="BS929" s="394"/>
      <c r="BT929" s="594"/>
      <c r="BU929" s="594"/>
      <c r="BV929" s="594"/>
      <c r="BW929" s="618"/>
      <c r="BX929" s="644"/>
      <c r="BY929" s="644"/>
    </row>
    <row r="930" ht="25.5" customHeight="1">
      <c r="A930" s="635"/>
      <c r="B930" s="695"/>
      <c r="C930" s="642"/>
      <c r="D930" s="642"/>
      <c r="E930" s="696"/>
      <c r="F930" s="696"/>
      <c r="G930" s="621"/>
      <c r="H930" s="577"/>
      <c r="I930" s="577"/>
      <c r="J930" s="613"/>
      <c r="K930" s="581"/>
      <c r="L930" s="581"/>
      <c r="M930" s="613"/>
      <c r="N930" s="613"/>
      <c r="O930" s="613"/>
      <c r="P930" s="580"/>
      <c r="Q930" s="580"/>
      <c r="R930" s="581"/>
      <c r="S930" s="581"/>
      <c r="T930" s="581"/>
      <c r="U930" s="582"/>
      <c r="V930" s="614"/>
      <c r="W930" s="581"/>
      <c r="X930" s="615"/>
      <c r="Y930" s="613"/>
      <c r="Z930" s="580"/>
      <c r="AA930" s="634"/>
      <c r="AB930" s="577"/>
      <c r="AC930" s="673"/>
      <c r="AD930" s="634"/>
      <c r="AE930" s="587"/>
      <c r="AF930" s="587"/>
      <c r="AG930" s="582"/>
      <c r="AH930" s="582"/>
      <c r="AI930" s="582"/>
      <c r="AJ930" s="582"/>
      <c r="AK930" s="588"/>
      <c r="AL930" s="582"/>
      <c r="AM930" s="582"/>
      <c r="AN930" s="589"/>
      <c r="AO930" s="616"/>
      <c r="AP930" s="592"/>
      <c r="AQ930" s="358"/>
      <c r="AR930" s="592"/>
      <c r="AS930" s="592"/>
      <c r="AT930" s="592"/>
      <c r="AU930" s="592"/>
      <c r="AV930" s="592"/>
      <c r="AW930" s="592"/>
      <c r="AX930" s="592"/>
      <c r="AY930" s="592"/>
      <c r="AZ930" s="592"/>
      <c r="BA930" s="617"/>
      <c r="BB930" s="592"/>
      <c r="BC930" s="592"/>
      <c r="BD930" s="592"/>
      <c r="BE930" s="592"/>
      <c r="BF930" s="592"/>
      <c r="BG930" s="358"/>
      <c r="BH930" s="592"/>
      <c r="BI930" s="592"/>
      <c r="BJ930" s="592"/>
      <c r="BK930" s="592"/>
      <c r="BL930" s="592"/>
      <c r="BM930" s="592"/>
      <c r="BN930" s="592"/>
      <c r="BO930" s="592"/>
      <c r="BP930" s="592"/>
      <c r="BQ930" s="594"/>
      <c r="BR930" s="594"/>
      <c r="BS930" s="394"/>
      <c r="BT930" s="594"/>
      <c r="BU930" s="594"/>
      <c r="BV930" s="594"/>
      <c r="BW930" s="618"/>
      <c r="BX930" s="644"/>
      <c r="BY930" s="644"/>
    </row>
    <row r="931" ht="25.5" customHeight="1">
      <c r="A931" s="635"/>
      <c r="B931" s="695"/>
      <c r="C931" s="642"/>
      <c r="D931" s="642"/>
      <c r="E931" s="696"/>
      <c r="F931" s="696"/>
      <c r="G931" s="621"/>
      <c r="H931" s="577"/>
      <c r="I931" s="577"/>
      <c r="J931" s="613"/>
      <c r="K931" s="581"/>
      <c r="L931" s="581"/>
      <c r="M931" s="613"/>
      <c r="N931" s="613"/>
      <c r="O931" s="613"/>
      <c r="P931" s="580"/>
      <c r="Q931" s="580"/>
      <c r="R931" s="581"/>
      <c r="S931" s="581"/>
      <c r="T931" s="581"/>
      <c r="U931" s="582"/>
      <c r="V931" s="614"/>
      <c r="W931" s="581"/>
      <c r="X931" s="615"/>
      <c r="Y931" s="613"/>
      <c r="Z931" s="580"/>
      <c r="AA931" s="634"/>
      <c r="AB931" s="577"/>
      <c r="AC931" s="673"/>
      <c r="AD931" s="634"/>
      <c r="AE931" s="587"/>
      <c r="AF931" s="587"/>
      <c r="AG931" s="582"/>
      <c r="AH931" s="582"/>
      <c r="AI931" s="582"/>
      <c r="AJ931" s="582"/>
      <c r="AK931" s="588"/>
      <c r="AL931" s="582"/>
      <c r="AM931" s="582"/>
      <c r="AN931" s="589"/>
      <c r="AO931" s="616"/>
      <c r="AP931" s="592"/>
      <c r="AQ931" s="358"/>
      <c r="AR931" s="592"/>
      <c r="AS931" s="592"/>
      <c r="AT931" s="592"/>
      <c r="AU931" s="592"/>
      <c r="AV931" s="592"/>
      <c r="AW931" s="592"/>
      <c r="AX931" s="592"/>
      <c r="AY931" s="592"/>
      <c r="AZ931" s="592"/>
      <c r="BA931" s="617"/>
      <c r="BB931" s="592"/>
      <c r="BC931" s="592"/>
      <c r="BD931" s="592"/>
      <c r="BE931" s="592"/>
      <c r="BF931" s="592"/>
      <c r="BG931" s="358"/>
      <c r="BH931" s="592"/>
      <c r="BI931" s="592"/>
      <c r="BJ931" s="592"/>
      <c r="BK931" s="592"/>
      <c r="BL931" s="592"/>
      <c r="BM931" s="592"/>
      <c r="BN931" s="592"/>
      <c r="BO931" s="592"/>
      <c r="BP931" s="592"/>
      <c r="BQ931" s="594"/>
      <c r="BR931" s="594"/>
      <c r="BS931" s="394"/>
      <c r="BT931" s="594"/>
      <c r="BU931" s="594"/>
      <c r="BV931" s="594"/>
      <c r="BW931" s="618"/>
      <c r="BX931" s="644"/>
      <c r="BY931" s="644"/>
    </row>
    <row r="932" ht="25.5" customHeight="1">
      <c r="A932" s="635"/>
      <c r="B932" s="695"/>
      <c r="C932" s="642"/>
      <c r="D932" s="642"/>
      <c r="E932" s="696"/>
      <c r="F932" s="696"/>
      <c r="G932" s="621"/>
      <c r="H932" s="577"/>
      <c r="I932" s="577"/>
      <c r="J932" s="613"/>
      <c r="K932" s="581"/>
      <c r="L932" s="581"/>
      <c r="M932" s="613"/>
      <c r="N932" s="613"/>
      <c r="O932" s="613"/>
      <c r="P932" s="580"/>
      <c r="Q932" s="580"/>
      <c r="R932" s="581"/>
      <c r="S932" s="581"/>
      <c r="T932" s="581"/>
      <c r="U932" s="582"/>
      <c r="V932" s="614"/>
      <c r="W932" s="581"/>
      <c r="X932" s="615"/>
      <c r="Y932" s="613"/>
      <c r="Z932" s="580"/>
      <c r="AA932" s="634"/>
      <c r="AB932" s="577"/>
      <c r="AC932" s="673"/>
      <c r="AD932" s="634"/>
      <c r="AE932" s="587"/>
      <c r="AF932" s="587"/>
      <c r="AG932" s="582"/>
      <c r="AH932" s="582"/>
      <c r="AI932" s="582"/>
      <c r="AJ932" s="582"/>
      <c r="AK932" s="588"/>
      <c r="AL932" s="582"/>
      <c r="AM932" s="582"/>
      <c r="AN932" s="589"/>
      <c r="AO932" s="616"/>
      <c r="AP932" s="592"/>
      <c r="AQ932" s="358"/>
      <c r="AR932" s="592"/>
      <c r="AS932" s="592"/>
      <c r="AT932" s="592"/>
      <c r="AU932" s="592"/>
      <c r="AV932" s="592"/>
      <c r="AW932" s="592"/>
      <c r="AX932" s="592"/>
      <c r="AY932" s="592"/>
      <c r="AZ932" s="592"/>
      <c r="BA932" s="617"/>
      <c r="BB932" s="592"/>
      <c r="BC932" s="592"/>
      <c r="BD932" s="592"/>
      <c r="BE932" s="592"/>
      <c r="BF932" s="592"/>
      <c r="BG932" s="358"/>
      <c r="BH932" s="592"/>
      <c r="BI932" s="592"/>
      <c r="BJ932" s="592"/>
      <c r="BK932" s="592"/>
      <c r="BL932" s="592"/>
      <c r="BM932" s="592"/>
      <c r="BN932" s="592"/>
      <c r="BO932" s="592"/>
      <c r="BP932" s="592"/>
      <c r="BQ932" s="594"/>
      <c r="BR932" s="594"/>
      <c r="BS932" s="394"/>
      <c r="BT932" s="594"/>
      <c r="BU932" s="594"/>
      <c r="BV932" s="594"/>
      <c r="BW932" s="618"/>
      <c r="BX932" s="644"/>
      <c r="BY932" s="644"/>
    </row>
    <row r="933" ht="25.5" customHeight="1">
      <c r="A933" s="635"/>
      <c r="B933" s="695"/>
      <c r="C933" s="642"/>
      <c r="D933" s="642"/>
      <c r="E933" s="696"/>
      <c r="F933" s="696"/>
      <c r="G933" s="621"/>
      <c r="H933" s="577"/>
      <c r="I933" s="577"/>
      <c r="J933" s="613"/>
      <c r="K933" s="581"/>
      <c r="L933" s="581"/>
      <c r="M933" s="613"/>
      <c r="N933" s="613"/>
      <c r="O933" s="613"/>
      <c r="P933" s="580"/>
      <c r="Q933" s="580"/>
      <c r="R933" s="581"/>
      <c r="S933" s="581"/>
      <c r="T933" s="581"/>
      <c r="U933" s="582"/>
      <c r="V933" s="614"/>
      <c r="W933" s="581"/>
      <c r="X933" s="615"/>
      <c r="Y933" s="613"/>
      <c r="Z933" s="580"/>
      <c r="AA933" s="634"/>
      <c r="AB933" s="577"/>
      <c r="AC933" s="673"/>
      <c r="AD933" s="634"/>
      <c r="AE933" s="587"/>
      <c r="AF933" s="587"/>
      <c r="AG933" s="582"/>
      <c r="AH933" s="582"/>
      <c r="AI933" s="582"/>
      <c r="AJ933" s="582"/>
      <c r="AK933" s="588"/>
      <c r="AL933" s="582"/>
      <c r="AM933" s="582"/>
      <c r="AN933" s="589"/>
      <c r="AO933" s="616"/>
      <c r="AP933" s="592"/>
      <c r="AQ933" s="358"/>
      <c r="AR933" s="592"/>
      <c r="AS933" s="592"/>
      <c r="AT933" s="592"/>
      <c r="AU933" s="592"/>
      <c r="AV933" s="592"/>
      <c r="AW933" s="592"/>
      <c r="AX933" s="592"/>
      <c r="AY933" s="592"/>
      <c r="AZ933" s="592"/>
      <c r="BA933" s="617"/>
      <c r="BB933" s="592"/>
      <c r="BC933" s="592"/>
      <c r="BD933" s="592"/>
      <c r="BE933" s="592"/>
      <c r="BF933" s="592"/>
      <c r="BG933" s="358"/>
      <c r="BH933" s="592"/>
      <c r="BI933" s="592"/>
      <c r="BJ933" s="592"/>
      <c r="BK933" s="592"/>
      <c r="BL933" s="592"/>
      <c r="BM933" s="592"/>
      <c r="BN933" s="592"/>
      <c r="BO933" s="592"/>
      <c r="BP933" s="592"/>
      <c r="BQ933" s="594"/>
      <c r="BR933" s="594"/>
      <c r="BS933" s="394"/>
      <c r="BT933" s="594"/>
      <c r="BU933" s="594"/>
      <c r="BV933" s="594"/>
      <c r="BW933" s="618"/>
      <c r="BX933" s="644"/>
      <c r="BY933" s="644"/>
    </row>
    <row r="934" ht="25.5" customHeight="1">
      <c r="A934" s="635"/>
      <c r="B934" s="695"/>
      <c r="C934" s="642"/>
      <c r="D934" s="642"/>
      <c r="E934" s="696"/>
      <c r="F934" s="696"/>
      <c r="G934" s="621"/>
      <c r="H934" s="577"/>
      <c r="I934" s="577"/>
      <c r="J934" s="613"/>
      <c r="K934" s="581"/>
      <c r="L934" s="581"/>
      <c r="M934" s="613"/>
      <c r="N934" s="613"/>
      <c r="O934" s="613"/>
      <c r="P934" s="580"/>
      <c r="Q934" s="580"/>
      <c r="R934" s="581"/>
      <c r="S934" s="581"/>
      <c r="T934" s="581"/>
      <c r="U934" s="582"/>
      <c r="V934" s="614"/>
      <c r="W934" s="581"/>
      <c r="X934" s="615"/>
      <c r="Y934" s="613"/>
      <c r="Z934" s="580"/>
      <c r="AA934" s="634"/>
      <c r="AB934" s="577"/>
      <c r="AC934" s="673"/>
      <c r="AD934" s="634"/>
      <c r="AE934" s="587"/>
      <c r="AF934" s="587"/>
      <c r="AG934" s="582"/>
      <c r="AH934" s="582"/>
      <c r="AI934" s="582"/>
      <c r="AJ934" s="582"/>
      <c r="AK934" s="588"/>
      <c r="AL934" s="582"/>
      <c r="AM934" s="582"/>
      <c r="AN934" s="589"/>
      <c r="AO934" s="616"/>
      <c r="AP934" s="592"/>
      <c r="AQ934" s="358"/>
      <c r="AR934" s="592"/>
      <c r="AS934" s="592"/>
      <c r="AT934" s="592"/>
      <c r="AU934" s="592"/>
      <c r="AV934" s="592"/>
      <c r="AW934" s="592"/>
      <c r="AX934" s="592"/>
      <c r="AY934" s="592"/>
      <c r="AZ934" s="592"/>
      <c r="BA934" s="617"/>
      <c r="BB934" s="592"/>
      <c r="BC934" s="592"/>
      <c r="BD934" s="592"/>
      <c r="BE934" s="592"/>
      <c r="BF934" s="592"/>
      <c r="BG934" s="358"/>
      <c r="BH934" s="592"/>
      <c r="BI934" s="592"/>
      <c r="BJ934" s="592"/>
      <c r="BK934" s="592"/>
      <c r="BL934" s="592"/>
      <c r="BM934" s="592"/>
      <c r="BN934" s="592"/>
      <c r="BO934" s="592"/>
      <c r="BP934" s="592"/>
      <c r="BQ934" s="594"/>
      <c r="BR934" s="594"/>
      <c r="BS934" s="394"/>
      <c r="BT934" s="594"/>
      <c r="BU934" s="594"/>
      <c r="BV934" s="594"/>
      <c r="BW934" s="618"/>
      <c r="BX934" s="644"/>
      <c r="BY934" s="644"/>
    </row>
    <row r="935" ht="25.5" customHeight="1">
      <c r="A935" s="635"/>
      <c r="B935" s="695"/>
      <c r="C935" s="642"/>
      <c r="D935" s="642"/>
      <c r="E935" s="696"/>
      <c r="F935" s="696"/>
      <c r="G935" s="621"/>
      <c r="H935" s="577"/>
      <c r="I935" s="577"/>
      <c r="J935" s="613"/>
      <c r="K935" s="581"/>
      <c r="L935" s="581"/>
      <c r="M935" s="613"/>
      <c r="N935" s="613"/>
      <c r="O935" s="613"/>
      <c r="P935" s="580"/>
      <c r="Q935" s="580"/>
      <c r="R935" s="581"/>
      <c r="S935" s="581"/>
      <c r="T935" s="581"/>
      <c r="U935" s="582"/>
      <c r="V935" s="614"/>
      <c r="W935" s="581"/>
      <c r="X935" s="615"/>
      <c r="Y935" s="613"/>
      <c r="Z935" s="580"/>
      <c r="AA935" s="634"/>
      <c r="AB935" s="577"/>
      <c r="AC935" s="673"/>
      <c r="AD935" s="634"/>
      <c r="AE935" s="587"/>
      <c r="AF935" s="587"/>
      <c r="AG935" s="582"/>
      <c r="AH935" s="582"/>
      <c r="AI935" s="582"/>
      <c r="AJ935" s="582"/>
      <c r="AK935" s="588"/>
      <c r="AL935" s="582"/>
      <c r="AM935" s="582"/>
      <c r="AN935" s="589"/>
      <c r="AO935" s="616"/>
      <c r="AP935" s="592"/>
      <c r="AQ935" s="358"/>
      <c r="AR935" s="592"/>
      <c r="AS935" s="592"/>
      <c r="AT935" s="592"/>
      <c r="AU935" s="592"/>
      <c r="AV935" s="592"/>
      <c r="AW935" s="592"/>
      <c r="AX935" s="592"/>
      <c r="AY935" s="592"/>
      <c r="AZ935" s="592"/>
      <c r="BA935" s="617"/>
      <c r="BB935" s="592"/>
      <c r="BC935" s="592"/>
      <c r="BD935" s="592"/>
      <c r="BE935" s="592"/>
      <c r="BF935" s="592"/>
      <c r="BG935" s="358"/>
      <c r="BH935" s="592"/>
      <c r="BI935" s="592"/>
      <c r="BJ935" s="592"/>
      <c r="BK935" s="592"/>
      <c r="BL935" s="592"/>
      <c r="BM935" s="592"/>
      <c r="BN935" s="592"/>
      <c r="BO935" s="592"/>
      <c r="BP935" s="592"/>
      <c r="BQ935" s="594"/>
      <c r="BR935" s="594"/>
      <c r="BS935" s="394"/>
      <c r="BT935" s="594"/>
      <c r="BU935" s="594"/>
      <c r="BV935" s="594"/>
      <c r="BW935" s="618"/>
      <c r="BX935" s="644"/>
      <c r="BY935" s="644"/>
    </row>
    <row r="936" ht="25.5" customHeight="1">
      <c r="A936" s="635"/>
      <c r="B936" s="695"/>
      <c r="C936" s="642"/>
      <c r="D936" s="642"/>
      <c r="E936" s="696"/>
      <c r="F936" s="696"/>
      <c r="G936" s="621"/>
      <c r="H936" s="577"/>
      <c r="I936" s="577"/>
      <c r="J936" s="613"/>
      <c r="K936" s="581"/>
      <c r="L936" s="581"/>
      <c r="M936" s="613"/>
      <c r="N936" s="613"/>
      <c r="O936" s="613"/>
      <c r="P936" s="580"/>
      <c r="Q936" s="580"/>
      <c r="R936" s="581"/>
      <c r="S936" s="581"/>
      <c r="T936" s="581"/>
      <c r="U936" s="582"/>
      <c r="V936" s="614"/>
      <c r="W936" s="581"/>
      <c r="X936" s="615"/>
      <c r="Y936" s="613"/>
      <c r="Z936" s="580"/>
      <c r="AA936" s="634"/>
      <c r="AB936" s="577"/>
      <c r="AC936" s="673"/>
      <c r="AD936" s="634"/>
      <c r="AE936" s="587"/>
      <c r="AF936" s="587"/>
      <c r="AG936" s="582"/>
      <c r="AH936" s="582"/>
      <c r="AI936" s="582"/>
      <c r="AJ936" s="582"/>
      <c r="AK936" s="588"/>
      <c r="AL936" s="582"/>
      <c r="AM936" s="582"/>
      <c r="AN936" s="589"/>
      <c r="AO936" s="616"/>
      <c r="AP936" s="592"/>
      <c r="AQ936" s="358"/>
      <c r="AR936" s="592"/>
      <c r="AS936" s="592"/>
      <c r="AT936" s="592"/>
      <c r="AU936" s="592"/>
      <c r="AV936" s="592"/>
      <c r="AW936" s="592"/>
      <c r="AX936" s="592"/>
      <c r="AY936" s="592"/>
      <c r="AZ936" s="592"/>
      <c r="BA936" s="617"/>
      <c r="BB936" s="592"/>
      <c r="BC936" s="592"/>
      <c r="BD936" s="592"/>
      <c r="BE936" s="592"/>
      <c r="BF936" s="592"/>
      <c r="BG936" s="358"/>
      <c r="BH936" s="592"/>
      <c r="BI936" s="592"/>
      <c r="BJ936" s="592"/>
      <c r="BK936" s="592"/>
      <c r="BL936" s="592"/>
      <c r="BM936" s="592"/>
      <c r="BN936" s="592"/>
      <c r="BO936" s="592"/>
      <c r="BP936" s="592"/>
      <c r="BQ936" s="594"/>
      <c r="BR936" s="594"/>
      <c r="BS936" s="394"/>
      <c r="BT936" s="594"/>
      <c r="BU936" s="594"/>
      <c r="BV936" s="594"/>
      <c r="BW936" s="618"/>
      <c r="BX936" s="644"/>
      <c r="BY936" s="644"/>
    </row>
    <row r="937" ht="25.5" customHeight="1">
      <c r="A937" s="635"/>
      <c r="B937" s="695"/>
      <c r="C937" s="642"/>
      <c r="D937" s="642"/>
      <c r="E937" s="696"/>
      <c r="F937" s="696"/>
      <c r="G937" s="621"/>
      <c r="H937" s="577"/>
      <c r="I937" s="577"/>
      <c r="J937" s="613"/>
      <c r="K937" s="581"/>
      <c r="L937" s="581"/>
      <c r="M937" s="613"/>
      <c r="N937" s="613"/>
      <c r="O937" s="613"/>
      <c r="P937" s="580"/>
      <c r="Q937" s="580"/>
      <c r="R937" s="581"/>
      <c r="S937" s="581"/>
      <c r="T937" s="581"/>
      <c r="U937" s="582"/>
      <c r="V937" s="614"/>
      <c r="W937" s="581"/>
      <c r="X937" s="615"/>
      <c r="Y937" s="613"/>
      <c r="Z937" s="580"/>
      <c r="AA937" s="634"/>
      <c r="AB937" s="577"/>
      <c r="AC937" s="673"/>
      <c r="AD937" s="634"/>
      <c r="AE937" s="587"/>
      <c r="AF937" s="587"/>
      <c r="AG937" s="582"/>
      <c r="AH937" s="582"/>
      <c r="AI937" s="582"/>
      <c r="AJ937" s="582"/>
      <c r="AK937" s="588"/>
      <c r="AL937" s="582"/>
      <c r="AM937" s="582"/>
      <c r="AN937" s="589"/>
      <c r="AO937" s="616"/>
      <c r="AP937" s="592"/>
      <c r="AQ937" s="358"/>
      <c r="AR937" s="592"/>
      <c r="AS937" s="592"/>
      <c r="AT937" s="592"/>
      <c r="AU937" s="592"/>
      <c r="AV937" s="592"/>
      <c r="AW937" s="592"/>
      <c r="AX937" s="592"/>
      <c r="AY937" s="592"/>
      <c r="AZ937" s="592"/>
      <c r="BA937" s="617"/>
      <c r="BB937" s="592"/>
      <c r="BC937" s="592"/>
      <c r="BD937" s="592"/>
      <c r="BE937" s="592"/>
      <c r="BF937" s="592"/>
      <c r="BG937" s="358"/>
      <c r="BH937" s="592"/>
      <c r="BI937" s="592"/>
      <c r="BJ937" s="592"/>
      <c r="BK937" s="592"/>
      <c r="BL937" s="592"/>
      <c r="BM937" s="592"/>
      <c r="BN937" s="592"/>
      <c r="BO937" s="592"/>
      <c r="BP937" s="592"/>
      <c r="BQ937" s="594"/>
      <c r="BR937" s="594"/>
      <c r="BS937" s="394"/>
      <c r="BT937" s="594"/>
      <c r="BU937" s="594"/>
      <c r="BV937" s="594"/>
      <c r="BW937" s="618"/>
      <c r="BX937" s="644"/>
      <c r="BY937" s="644"/>
    </row>
    <row r="938" ht="25.5" customHeight="1">
      <c r="A938" s="635"/>
      <c r="B938" s="695"/>
      <c r="C938" s="642"/>
      <c r="D938" s="642"/>
      <c r="E938" s="696"/>
      <c r="F938" s="696"/>
      <c r="G938" s="621"/>
      <c r="H938" s="577"/>
      <c r="I938" s="577"/>
      <c r="J938" s="613"/>
      <c r="K938" s="581"/>
      <c r="L938" s="581"/>
      <c r="M938" s="613"/>
      <c r="N938" s="613"/>
      <c r="O938" s="613"/>
      <c r="P938" s="580"/>
      <c r="Q938" s="580"/>
      <c r="R938" s="581"/>
      <c r="S938" s="581"/>
      <c r="T938" s="581"/>
      <c r="U938" s="582"/>
      <c r="V938" s="614"/>
      <c r="W938" s="581"/>
      <c r="X938" s="615"/>
      <c r="Y938" s="613"/>
      <c r="Z938" s="580"/>
      <c r="AA938" s="634"/>
      <c r="AB938" s="577"/>
      <c r="AC938" s="673"/>
      <c r="AD938" s="634"/>
      <c r="AE938" s="587"/>
      <c r="AF938" s="587"/>
      <c r="AG938" s="582"/>
      <c r="AH938" s="582"/>
      <c r="AI938" s="582"/>
      <c r="AJ938" s="582"/>
      <c r="AK938" s="588"/>
      <c r="AL938" s="582"/>
      <c r="AM938" s="582"/>
      <c r="AN938" s="589"/>
      <c r="AO938" s="616"/>
      <c r="AP938" s="592"/>
      <c r="AQ938" s="358"/>
      <c r="AR938" s="592"/>
      <c r="AS938" s="592"/>
      <c r="AT938" s="592"/>
      <c r="AU938" s="592"/>
      <c r="AV938" s="592"/>
      <c r="AW938" s="592"/>
      <c r="AX938" s="592"/>
      <c r="AY938" s="592"/>
      <c r="AZ938" s="592"/>
      <c r="BA938" s="617"/>
      <c r="BB938" s="592"/>
      <c r="BC938" s="592"/>
      <c r="BD938" s="592"/>
      <c r="BE938" s="592"/>
      <c r="BF938" s="592"/>
      <c r="BG938" s="358"/>
      <c r="BH938" s="592"/>
      <c r="BI938" s="592"/>
      <c r="BJ938" s="592"/>
      <c r="BK938" s="592"/>
      <c r="BL938" s="592"/>
      <c r="BM938" s="592"/>
      <c r="BN938" s="592"/>
      <c r="BO938" s="592"/>
      <c r="BP938" s="592"/>
      <c r="BQ938" s="594"/>
      <c r="BR938" s="594"/>
      <c r="BS938" s="394"/>
      <c r="BT938" s="594"/>
      <c r="BU938" s="594"/>
      <c r="BV938" s="594"/>
      <c r="BW938" s="618"/>
      <c r="BX938" s="644"/>
      <c r="BY938" s="644"/>
    </row>
    <row r="939" ht="25.5" customHeight="1">
      <c r="A939" s="635"/>
      <c r="B939" s="695"/>
      <c r="C939" s="642"/>
      <c r="D939" s="642"/>
      <c r="E939" s="696"/>
      <c r="F939" s="696"/>
      <c r="G939" s="621"/>
      <c r="H939" s="577"/>
      <c r="I939" s="577"/>
      <c r="J939" s="613"/>
      <c r="K939" s="581"/>
      <c r="L939" s="581"/>
      <c r="M939" s="613"/>
      <c r="N939" s="613"/>
      <c r="O939" s="613"/>
      <c r="P939" s="580"/>
      <c r="Q939" s="580"/>
      <c r="R939" s="581"/>
      <c r="S939" s="581"/>
      <c r="T939" s="581"/>
      <c r="U939" s="582"/>
      <c r="V939" s="614"/>
      <c r="W939" s="581"/>
      <c r="X939" s="615"/>
      <c r="Y939" s="613"/>
      <c r="Z939" s="580"/>
      <c r="AA939" s="634"/>
      <c r="AB939" s="577"/>
      <c r="AC939" s="673"/>
      <c r="AD939" s="634"/>
      <c r="AE939" s="587"/>
      <c r="AF939" s="587"/>
      <c r="AG939" s="582"/>
      <c r="AH939" s="582"/>
      <c r="AI939" s="582"/>
      <c r="AJ939" s="582"/>
      <c r="AK939" s="588"/>
      <c r="AL939" s="582"/>
      <c r="AM939" s="582"/>
      <c r="AN939" s="589"/>
      <c r="AO939" s="616"/>
      <c r="AP939" s="592"/>
      <c r="AQ939" s="358"/>
      <c r="AR939" s="592"/>
      <c r="AS939" s="592"/>
      <c r="AT939" s="592"/>
      <c r="AU939" s="592"/>
      <c r="AV939" s="592"/>
      <c r="AW939" s="592"/>
      <c r="AX939" s="592"/>
      <c r="AY939" s="592"/>
      <c r="AZ939" s="592"/>
      <c r="BA939" s="617"/>
      <c r="BB939" s="592"/>
      <c r="BC939" s="592"/>
      <c r="BD939" s="592"/>
      <c r="BE939" s="592"/>
      <c r="BF939" s="592"/>
      <c r="BG939" s="358"/>
      <c r="BH939" s="592"/>
      <c r="BI939" s="592"/>
      <c r="BJ939" s="592"/>
      <c r="BK939" s="592"/>
      <c r="BL939" s="592"/>
      <c r="BM939" s="592"/>
      <c r="BN939" s="592"/>
      <c r="BO939" s="592"/>
      <c r="BP939" s="592"/>
      <c r="BQ939" s="594"/>
      <c r="BR939" s="594"/>
      <c r="BS939" s="394"/>
      <c r="BT939" s="594"/>
      <c r="BU939" s="594"/>
      <c r="BV939" s="594"/>
      <c r="BW939" s="618"/>
      <c r="BX939" s="644"/>
      <c r="BY939" s="644"/>
    </row>
    <row r="940" ht="25.5" customHeight="1">
      <c r="A940" s="635"/>
      <c r="B940" s="695"/>
      <c r="C940" s="642"/>
      <c r="D940" s="642"/>
      <c r="E940" s="696"/>
      <c r="F940" s="696"/>
      <c r="G940" s="621"/>
      <c r="H940" s="577"/>
      <c r="I940" s="577"/>
      <c r="J940" s="613"/>
      <c r="K940" s="581"/>
      <c r="L940" s="581"/>
      <c r="M940" s="613"/>
      <c r="N940" s="613"/>
      <c r="O940" s="613"/>
      <c r="P940" s="580"/>
      <c r="Q940" s="580"/>
      <c r="R940" s="581"/>
      <c r="S940" s="581"/>
      <c r="T940" s="581"/>
      <c r="U940" s="582"/>
      <c r="V940" s="614"/>
      <c r="W940" s="581"/>
      <c r="X940" s="615"/>
      <c r="Y940" s="613"/>
      <c r="Z940" s="580"/>
      <c r="AA940" s="634"/>
      <c r="AB940" s="577"/>
      <c r="AC940" s="673"/>
      <c r="AD940" s="634"/>
      <c r="AE940" s="587"/>
      <c r="AF940" s="587"/>
      <c r="AG940" s="582"/>
      <c r="AH940" s="582"/>
      <c r="AI940" s="582"/>
      <c r="AJ940" s="582"/>
      <c r="AK940" s="588"/>
      <c r="AL940" s="582"/>
      <c r="AM940" s="582"/>
      <c r="AN940" s="589"/>
      <c r="AO940" s="616"/>
      <c r="AP940" s="592"/>
      <c r="AQ940" s="358"/>
      <c r="AR940" s="592"/>
      <c r="AS940" s="592"/>
      <c r="AT940" s="592"/>
      <c r="AU940" s="592"/>
      <c r="AV940" s="592"/>
      <c r="AW940" s="592"/>
      <c r="AX940" s="592"/>
      <c r="AY940" s="592"/>
      <c r="AZ940" s="592"/>
      <c r="BA940" s="617"/>
      <c r="BB940" s="592"/>
      <c r="BC940" s="592"/>
      <c r="BD940" s="592"/>
      <c r="BE940" s="592"/>
      <c r="BF940" s="592"/>
      <c r="BG940" s="358"/>
      <c r="BH940" s="592"/>
      <c r="BI940" s="592"/>
      <c r="BJ940" s="592"/>
      <c r="BK940" s="592"/>
      <c r="BL940" s="592"/>
      <c r="BM940" s="592"/>
      <c r="BN940" s="592"/>
      <c r="BO940" s="592"/>
      <c r="BP940" s="592"/>
      <c r="BQ940" s="594"/>
      <c r="BR940" s="594"/>
      <c r="BS940" s="394"/>
      <c r="BT940" s="594"/>
      <c r="BU940" s="594"/>
      <c r="BV940" s="594"/>
      <c r="BW940" s="618"/>
      <c r="BX940" s="644"/>
      <c r="BY940" s="644"/>
    </row>
    <row r="941" ht="25.5" customHeight="1">
      <c r="A941" s="635"/>
      <c r="B941" s="695"/>
      <c r="C941" s="642"/>
      <c r="D941" s="642"/>
      <c r="E941" s="696"/>
      <c r="F941" s="696"/>
      <c r="G941" s="621"/>
      <c r="H941" s="577"/>
      <c r="I941" s="577"/>
      <c r="J941" s="613"/>
      <c r="K941" s="581"/>
      <c r="L941" s="581"/>
      <c r="M941" s="613"/>
      <c r="N941" s="613"/>
      <c r="O941" s="613"/>
      <c r="P941" s="580"/>
      <c r="Q941" s="580"/>
      <c r="R941" s="581"/>
      <c r="S941" s="581"/>
      <c r="T941" s="581"/>
      <c r="U941" s="582"/>
      <c r="V941" s="614"/>
      <c r="W941" s="581"/>
      <c r="X941" s="615"/>
      <c r="Y941" s="613"/>
      <c r="Z941" s="580"/>
      <c r="AA941" s="634"/>
      <c r="AB941" s="577"/>
      <c r="AC941" s="673"/>
      <c r="AD941" s="634"/>
      <c r="AE941" s="587"/>
      <c r="AF941" s="587"/>
      <c r="AG941" s="582"/>
      <c r="AH941" s="582"/>
      <c r="AI941" s="582"/>
      <c r="AJ941" s="582"/>
      <c r="AK941" s="588"/>
      <c r="AL941" s="582"/>
      <c r="AM941" s="582"/>
      <c r="AN941" s="589"/>
      <c r="AO941" s="616"/>
      <c r="AP941" s="592"/>
      <c r="AQ941" s="358"/>
      <c r="AR941" s="592"/>
      <c r="AS941" s="592"/>
      <c r="AT941" s="592"/>
      <c r="AU941" s="592"/>
      <c r="AV941" s="592"/>
      <c r="AW941" s="592"/>
      <c r="AX941" s="592"/>
      <c r="AY941" s="592"/>
      <c r="AZ941" s="592"/>
      <c r="BA941" s="617"/>
      <c r="BB941" s="592"/>
      <c r="BC941" s="592"/>
      <c r="BD941" s="592"/>
      <c r="BE941" s="592"/>
      <c r="BF941" s="592"/>
      <c r="BG941" s="358"/>
      <c r="BH941" s="592"/>
      <c r="BI941" s="592"/>
      <c r="BJ941" s="592"/>
      <c r="BK941" s="592"/>
      <c r="BL941" s="592"/>
      <c r="BM941" s="592"/>
      <c r="BN941" s="592"/>
      <c r="BO941" s="592"/>
      <c r="BP941" s="592"/>
      <c r="BQ941" s="594"/>
      <c r="BR941" s="594"/>
      <c r="BS941" s="394"/>
      <c r="BT941" s="594"/>
      <c r="BU941" s="594"/>
      <c r="BV941" s="594"/>
      <c r="BW941" s="618"/>
      <c r="BX941" s="644"/>
      <c r="BY941" s="644"/>
    </row>
    <row r="942" ht="25.5" customHeight="1">
      <c r="A942" s="635"/>
      <c r="B942" s="695"/>
      <c r="C942" s="642"/>
      <c r="D942" s="642"/>
      <c r="E942" s="696"/>
      <c r="F942" s="696"/>
      <c r="G942" s="621"/>
      <c r="H942" s="577"/>
      <c r="I942" s="577"/>
      <c r="J942" s="613"/>
      <c r="K942" s="581"/>
      <c r="L942" s="581"/>
      <c r="M942" s="613"/>
      <c r="N942" s="613"/>
      <c r="O942" s="613"/>
      <c r="P942" s="580"/>
      <c r="Q942" s="580"/>
      <c r="R942" s="581"/>
      <c r="S942" s="581"/>
      <c r="T942" s="581"/>
      <c r="U942" s="582"/>
      <c r="V942" s="614"/>
      <c r="W942" s="581"/>
      <c r="X942" s="615"/>
      <c r="Y942" s="613"/>
      <c r="Z942" s="580"/>
      <c r="AA942" s="634"/>
      <c r="AB942" s="577"/>
      <c r="AC942" s="673"/>
      <c r="AD942" s="634"/>
      <c r="AE942" s="587"/>
      <c r="AF942" s="587"/>
      <c r="AG942" s="582"/>
      <c r="AH942" s="582"/>
      <c r="AI942" s="582"/>
      <c r="AJ942" s="582"/>
      <c r="AK942" s="588"/>
      <c r="AL942" s="582"/>
      <c r="AM942" s="582"/>
      <c r="AN942" s="589"/>
      <c r="AO942" s="616"/>
      <c r="AP942" s="592"/>
      <c r="AQ942" s="358"/>
      <c r="AR942" s="592"/>
      <c r="AS942" s="592"/>
      <c r="AT942" s="592"/>
      <c r="AU942" s="592"/>
      <c r="AV942" s="592"/>
      <c r="AW942" s="592"/>
      <c r="AX942" s="592"/>
      <c r="AY942" s="592"/>
      <c r="AZ942" s="592"/>
      <c r="BA942" s="617"/>
      <c r="BB942" s="592"/>
      <c r="BC942" s="592"/>
      <c r="BD942" s="592"/>
      <c r="BE942" s="592"/>
      <c r="BF942" s="592"/>
      <c r="BG942" s="358"/>
      <c r="BH942" s="592"/>
      <c r="BI942" s="592"/>
      <c r="BJ942" s="592"/>
      <c r="BK942" s="592"/>
      <c r="BL942" s="592"/>
      <c r="BM942" s="592"/>
      <c r="BN942" s="592"/>
      <c r="BO942" s="592"/>
      <c r="BP942" s="592"/>
      <c r="BQ942" s="594"/>
      <c r="BR942" s="594"/>
      <c r="BS942" s="394"/>
      <c r="BT942" s="594"/>
      <c r="BU942" s="594"/>
      <c r="BV942" s="594"/>
      <c r="BW942" s="618"/>
      <c r="BX942" s="644"/>
      <c r="BY942" s="644"/>
    </row>
    <row r="943" ht="25.5" customHeight="1">
      <c r="A943" s="635"/>
      <c r="B943" s="695"/>
      <c r="C943" s="642"/>
      <c r="D943" s="642"/>
      <c r="E943" s="696"/>
      <c r="F943" s="696"/>
      <c r="G943" s="621"/>
      <c r="H943" s="577"/>
      <c r="I943" s="577"/>
      <c r="J943" s="613"/>
      <c r="K943" s="581"/>
      <c r="L943" s="581"/>
      <c r="M943" s="613"/>
      <c r="N943" s="613"/>
      <c r="O943" s="613"/>
      <c r="P943" s="580"/>
      <c r="Q943" s="580"/>
      <c r="R943" s="581"/>
      <c r="S943" s="581"/>
      <c r="T943" s="581"/>
      <c r="U943" s="582"/>
      <c r="V943" s="614"/>
      <c r="W943" s="581"/>
      <c r="X943" s="615"/>
      <c r="Y943" s="613"/>
      <c r="Z943" s="580"/>
      <c r="AA943" s="634"/>
      <c r="AB943" s="577"/>
      <c r="AC943" s="673"/>
      <c r="AD943" s="634"/>
      <c r="AE943" s="587"/>
      <c r="AF943" s="587"/>
      <c r="AG943" s="582"/>
      <c r="AH943" s="582"/>
      <c r="AI943" s="582"/>
      <c r="AJ943" s="582"/>
      <c r="AK943" s="588"/>
      <c r="AL943" s="582"/>
      <c r="AM943" s="582"/>
      <c r="AN943" s="589"/>
      <c r="AO943" s="616"/>
      <c r="AP943" s="592"/>
      <c r="AQ943" s="358"/>
      <c r="AR943" s="592"/>
      <c r="AS943" s="592"/>
      <c r="AT943" s="592"/>
      <c r="AU943" s="592"/>
      <c r="AV943" s="592"/>
      <c r="AW943" s="592"/>
      <c r="AX943" s="592"/>
      <c r="AY943" s="592"/>
      <c r="AZ943" s="592"/>
      <c r="BA943" s="617"/>
      <c r="BB943" s="592"/>
      <c r="BC943" s="592"/>
      <c r="BD943" s="592"/>
      <c r="BE943" s="592"/>
      <c r="BF943" s="592"/>
      <c r="BG943" s="358"/>
      <c r="BH943" s="592"/>
      <c r="BI943" s="592"/>
      <c r="BJ943" s="592"/>
      <c r="BK943" s="592"/>
      <c r="BL943" s="592"/>
      <c r="BM943" s="592"/>
      <c r="BN943" s="592"/>
      <c r="BO943" s="592"/>
      <c r="BP943" s="592"/>
      <c r="BQ943" s="594"/>
      <c r="BR943" s="594"/>
      <c r="BS943" s="394"/>
      <c r="BT943" s="594"/>
      <c r="BU943" s="594"/>
      <c r="BV943" s="594"/>
      <c r="BW943" s="618"/>
      <c r="BX943" s="644"/>
      <c r="BY943" s="644"/>
    </row>
    <row r="944" ht="25.5" customHeight="1">
      <c r="A944" s="635"/>
      <c r="B944" s="695"/>
      <c r="C944" s="642"/>
      <c r="D944" s="642"/>
      <c r="E944" s="696"/>
      <c r="F944" s="696"/>
      <c r="G944" s="621"/>
      <c r="H944" s="577"/>
      <c r="I944" s="577"/>
      <c r="J944" s="613"/>
      <c r="K944" s="581"/>
      <c r="L944" s="581"/>
      <c r="M944" s="613"/>
      <c r="N944" s="613"/>
      <c r="O944" s="613"/>
      <c r="P944" s="580"/>
      <c r="Q944" s="580"/>
      <c r="R944" s="581"/>
      <c r="S944" s="581"/>
      <c r="T944" s="581"/>
      <c r="U944" s="582"/>
      <c r="V944" s="614"/>
      <c r="W944" s="581"/>
      <c r="X944" s="615"/>
      <c r="Y944" s="613"/>
      <c r="Z944" s="580"/>
      <c r="AA944" s="634"/>
      <c r="AB944" s="577"/>
      <c r="AC944" s="673"/>
      <c r="AD944" s="634"/>
      <c r="AE944" s="587"/>
      <c r="AF944" s="587"/>
      <c r="AG944" s="582"/>
      <c r="AH944" s="582"/>
      <c r="AI944" s="582"/>
      <c r="AJ944" s="582"/>
      <c r="AK944" s="588"/>
      <c r="AL944" s="582"/>
      <c r="AM944" s="582"/>
      <c r="AN944" s="589"/>
      <c r="AO944" s="616"/>
      <c r="AP944" s="592"/>
      <c r="AQ944" s="358"/>
      <c r="AR944" s="592"/>
      <c r="AS944" s="592"/>
      <c r="AT944" s="592"/>
      <c r="AU944" s="592"/>
      <c r="AV944" s="592"/>
      <c r="AW944" s="592"/>
      <c r="AX944" s="592"/>
      <c r="AY944" s="592"/>
      <c r="AZ944" s="592"/>
      <c r="BA944" s="617"/>
      <c r="BB944" s="592"/>
      <c r="BC944" s="592"/>
      <c r="BD944" s="592"/>
      <c r="BE944" s="592"/>
      <c r="BF944" s="592"/>
      <c r="BG944" s="358"/>
      <c r="BH944" s="592"/>
      <c r="BI944" s="592"/>
      <c r="BJ944" s="592"/>
      <c r="BK944" s="592"/>
      <c r="BL944" s="592"/>
      <c r="BM944" s="592"/>
      <c r="BN944" s="592"/>
      <c r="BO944" s="592"/>
      <c r="BP944" s="592"/>
      <c r="BQ944" s="594"/>
      <c r="BR944" s="594"/>
      <c r="BS944" s="394"/>
      <c r="BT944" s="594"/>
      <c r="BU944" s="594"/>
      <c r="BV944" s="594"/>
      <c r="BW944" s="618"/>
      <c r="BX944" s="644"/>
      <c r="BY944" s="644"/>
    </row>
    <row r="945" ht="25.5" customHeight="1">
      <c r="A945" s="635"/>
      <c r="B945" s="695"/>
      <c r="C945" s="642"/>
      <c r="D945" s="642"/>
      <c r="E945" s="696"/>
      <c r="F945" s="696"/>
      <c r="G945" s="621"/>
      <c r="H945" s="577"/>
      <c r="I945" s="577"/>
      <c r="J945" s="613"/>
      <c r="K945" s="581"/>
      <c r="L945" s="581"/>
      <c r="M945" s="613"/>
      <c r="N945" s="613"/>
      <c r="O945" s="613"/>
      <c r="P945" s="580"/>
      <c r="Q945" s="580"/>
      <c r="R945" s="581"/>
      <c r="S945" s="581"/>
      <c r="T945" s="581"/>
      <c r="U945" s="582"/>
      <c r="V945" s="614"/>
      <c r="W945" s="581"/>
      <c r="X945" s="615"/>
      <c r="Y945" s="613"/>
      <c r="Z945" s="580"/>
      <c r="AA945" s="634"/>
      <c r="AB945" s="577"/>
      <c r="AC945" s="673"/>
      <c r="AD945" s="634"/>
      <c r="AE945" s="587"/>
      <c r="AF945" s="587"/>
      <c r="AG945" s="582"/>
      <c r="AH945" s="582"/>
      <c r="AI945" s="582"/>
      <c r="AJ945" s="582"/>
      <c r="AK945" s="588"/>
      <c r="AL945" s="582"/>
      <c r="AM945" s="582"/>
      <c r="AN945" s="589"/>
      <c r="AO945" s="616"/>
      <c r="AP945" s="592"/>
      <c r="AQ945" s="358"/>
      <c r="AR945" s="592"/>
      <c r="AS945" s="592"/>
      <c r="AT945" s="592"/>
      <c r="AU945" s="592"/>
      <c r="AV945" s="592"/>
      <c r="AW945" s="592"/>
      <c r="AX945" s="592"/>
      <c r="AY945" s="592"/>
      <c r="AZ945" s="592"/>
      <c r="BA945" s="617"/>
      <c r="BB945" s="592"/>
      <c r="BC945" s="592"/>
      <c r="BD945" s="592"/>
      <c r="BE945" s="592"/>
      <c r="BF945" s="592"/>
      <c r="BG945" s="358"/>
      <c r="BH945" s="592"/>
      <c r="BI945" s="592"/>
      <c r="BJ945" s="592"/>
      <c r="BK945" s="592"/>
      <c r="BL945" s="592"/>
      <c r="BM945" s="592"/>
      <c r="BN945" s="592"/>
      <c r="BO945" s="592"/>
      <c r="BP945" s="592"/>
      <c r="BQ945" s="594"/>
      <c r="BR945" s="594"/>
      <c r="BS945" s="394"/>
      <c r="BT945" s="594"/>
      <c r="BU945" s="594"/>
      <c r="BV945" s="594"/>
      <c r="BW945" s="618"/>
      <c r="BX945" s="644"/>
      <c r="BY945" s="644"/>
    </row>
    <row r="946" ht="25.5" customHeight="1">
      <c r="A946" s="635"/>
      <c r="B946" s="695"/>
      <c r="C946" s="642"/>
      <c r="D946" s="642"/>
      <c r="E946" s="696"/>
      <c r="F946" s="696"/>
      <c r="G946" s="621"/>
      <c r="H946" s="577"/>
      <c r="I946" s="577"/>
      <c r="J946" s="613"/>
      <c r="K946" s="581"/>
      <c r="L946" s="581"/>
      <c r="M946" s="613"/>
      <c r="N946" s="613"/>
      <c r="O946" s="613"/>
      <c r="P946" s="580"/>
      <c r="Q946" s="580"/>
      <c r="R946" s="581"/>
      <c r="S946" s="581"/>
      <c r="T946" s="581"/>
      <c r="U946" s="582"/>
      <c r="V946" s="614"/>
      <c r="W946" s="581"/>
      <c r="X946" s="615"/>
      <c r="Y946" s="613"/>
      <c r="Z946" s="580"/>
      <c r="AA946" s="634"/>
      <c r="AB946" s="577"/>
      <c r="AC946" s="673"/>
      <c r="AD946" s="634"/>
      <c r="AE946" s="587"/>
      <c r="AF946" s="587"/>
      <c r="AG946" s="582"/>
      <c r="AH946" s="582"/>
      <c r="AI946" s="582"/>
      <c r="AJ946" s="582"/>
      <c r="AK946" s="588"/>
      <c r="AL946" s="582"/>
      <c r="AM946" s="582"/>
      <c r="AN946" s="589"/>
      <c r="AO946" s="616"/>
      <c r="AP946" s="592"/>
      <c r="AQ946" s="358"/>
      <c r="AR946" s="592"/>
      <c r="AS946" s="592"/>
      <c r="AT946" s="592"/>
      <c r="AU946" s="592"/>
      <c r="AV946" s="592"/>
      <c r="AW946" s="592"/>
      <c r="AX946" s="592"/>
      <c r="AY946" s="592"/>
      <c r="AZ946" s="592"/>
      <c r="BA946" s="617"/>
      <c r="BB946" s="592"/>
      <c r="BC946" s="592"/>
      <c r="BD946" s="592"/>
      <c r="BE946" s="592"/>
      <c r="BF946" s="592"/>
      <c r="BG946" s="358"/>
      <c r="BH946" s="592"/>
      <c r="BI946" s="592"/>
      <c r="BJ946" s="592"/>
      <c r="BK946" s="592"/>
      <c r="BL946" s="592"/>
      <c r="BM946" s="592"/>
      <c r="BN946" s="592"/>
      <c r="BO946" s="592"/>
      <c r="BP946" s="592"/>
      <c r="BQ946" s="594"/>
      <c r="BR946" s="594"/>
      <c r="BS946" s="394"/>
      <c r="BT946" s="594"/>
      <c r="BU946" s="594"/>
      <c r="BV946" s="594"/>
      <c r="BW946" s="618"/>
      <c r="BX946" s="644"/>
      <c r="BY946" s="644"/>
    </row>
    <row r="947" ht="25.5" customHeight="1">
      <c r="A947" s="635"/>
      <c r="B947" s="695"/>
      <c r="C947" s="642"/>
      <c r="D947" s="642"/>
      <c r="E947" s="696"/>
      <c r="F947" s="696"/>
      <c r="G947" s="621"/>
      <c r="H947" s="577"/>
      <c r="I947" s="577"/>
      <c r="J947" s="613"/>
      <c r="K947" s="581"/>
      <c r="L947" s="581"/>
      <c r="M947" s="613"/>
      <c r="N947" s="613"/>
      <c r="O947" s="613"/>
      <c r="P947" s="580"/>
      <c r="Q947" s="580"/>
      <c r="R947" s="581"/>
      <c r="S947" s="581"/>
      <c r="T947" s="581"/>
      <c r="U947" s="582"/>
      <c r="V947" s="614"/>
      <c r="W947" s="581"/>
      <c r="X947" s="615"/>
      <c r="Y947" s="613"/>
      <c r="Z947" s="580"/>
      <c r="AA947" s="634"/>
      <c r="AB947" s="577"/>
      <c r="AC947" s="673"/>
      <c r="AD947" s="634"/>
      <c r="AE947" s="587"/>
      <c r="AF947" s="587"/>
      <c r="AG947" s="582"/>
      <c r="AH947" s="582"/>
      <c r="AI947" s="582"/>
      <c r="AJ947" s="582"/>
      <c r="AK947" s="588"/>
      <c r="AL947" s="582"/>
      <c r="AM947" s="582"/>
      <c r="AN947" s="589"/>
      <c r="AO947" s="616"/>
      <c r="AP947" s="592"/>
      <c r="AQ947" s="358"/>
      <c r="AR947" s="592"/>
      <c r="AS947" s="592"/>
      <c r="AT947" s="592"/>
      <c r="AU947" s="592"/>
      <c r="AV947" s="592"/>
      <c r="AW947" s="592"/>
      <c r="AX947" s="592"/>
      <c r="AY947" s="592"/>
      <c r="AZ947" s="592"/>
      <c r="BA947" s="617"/>
      <c r="BB947" s="592"/>
      <c r="BC947" s="592"/>
      <c r="BD947" s="592"/>
      <c r="BE947" s="592"/>
      <c r="BF947" s="592"/>
      <c r="BG947" s="358"/>
      <c r="BH947" s="592"/>
      <c r="BI947" s="592"/>
      <c r="BJ947" s="592"/>
      <c r="BK947" s="592"/>
      <c r="BL947" s="592"/>
      <c r="BM947" s="592"/>
      <c r="BN947" s="592"/>
      <c r="BO947" s="592"/>
      <c r="BP947" s="592"/>
      <c r="BQ947" s="594"/>
      <c r="BR947" s="594"/>
      <c r="BS947" s="394"/>
      <c r="BT947" s="594"/>
      <c r="BU947" s="594"/>
      <c r="BV947" s="594"/>
      <c r="BW947" s="618"/>
      <c r="BX947" s="644"/>
      <c r="BY947" s="644"/>
    </row>
    <row r="948" ht="25.5" customHeight="1">
      <c r="A948" s="635"/>
      <c r="B948" s="695"/>
      <c r="C948" s="642"/>
      <c r="D948" s="642"/>
      <c r="E948" s="696"/>
      <c r="F948" s="696"/>
      <c r="G948" s="621"/>
      <c r="H948" s="577"/>
      <c r="I948" s="577"/>
      <c r="J948" s="613"/>
      <c r="K948" s="581"/>
      <c r="L948" s="581"/>
      <c r="M948" s="613"/>
      <c r="N948" s="613"/>
      <c r="O948" s="613"/>
      <c r="P948" s="580"/>
      <c r="Q948" s="580"/>
      <c r="R948" s="581"/>
      <c r="S948" s="581"/>
      <c r="T948" s="581"/>
      <c r="U948" s="582"/>
      <c r="V948" s="614"/>
      <c r="W948" s="581"/>
      <c r="X948" s="615"/>
      <c r="Y948" s="613"/>
      <c r="Z948" s="580"/>
      <c r="AA948" s="634"/>
      <c r="AB948" s="577"/>
      <c r="AC948" s="673"/>
      <c r="AD948" s="634"/>
      <c r="AE948" s="587"/>
      <c r="AF948" s="587"/>
      <c r="AG948" s="582"/>
      <c r="AH948" s="582"/>
      <c r="AI948" s="582"/>
      <c r="AJ948" s="582"/>
      <c r="AK948" s="588"/>
      <c r="AL948" s="582"/>
      <c r="AM948" s="582"/>
      <c r="AN948" s="589"/>
      <c r="AO948" s="616"/>
      <c r="AP948" s="592"/>
      <c r="AQ948" s="358"/>
      <c r="AR948" s="592"/>
      <c r="AS948" s="592"/>
      <c r="AT948" s="592"/>
      <c r="AU948" s="592"/>
      <c r="AV948" s="592"/>
      <c r="AW948" s="592"/>
      <c r="AX948" s="592"/>
      <c r="AY948" s="592"/>
      <c r="AZ948" s="592"/>
      <c r="BA948" s="617"/>
      <c r="BB948" s="592"/>
      <c r="BC948" s="592"/>
      <c r="BD948" s="592"/>
      <c r="BE948" s="592"/>
      <c r="BF948" s="592"/>
      <c r="BG948" s="358"/>
      <c r="BH948" s="592"/>
      <c r="BI948" s="592"/>
      <c r="BJ948" s="592"/>
      <c r="BK948" s="592"/>
      <c r="BL948" s="592"/>
      <c r="BM948" s="592"/>
      <c r="BN948" s="592"/>
      <c r="BO948" s="592"/>
      <c r="BP948" s="592"/>
      <c r="BQ948" s="594"/>
      <c r="BR948" s="594"/>
      <c r="BS948" s="394"/>
      <c r="BT948" s="594"/>
      <c r="BU948" s="594"/>
      <c r="BV948" s="594"/>
      <c r="BW948" s="618"/>
      <c r="BX948" s="644"/>
      <c r="BY948" s="644"/>
    </row>
    <row r="949" ht="25.5" customHeight="1">
      <c r="A949" s="635"/>
      <c r="B949" s="695"/>
      <c r="C949" s="642"/>
      <c r="D949" s="642"/>
      <c r="E949" s="696"/>
      <c r="F949" s="696"/>
      <c r="G949" s="621"/>
      <c r="H949" s="577"/>
      <c r="I949" s="577"/>
      <c r="J949" s="613"/>
      <c r="K949" s="581"/>
      <c r="L949" s="581"/>
      <c r="M949" s="613"/>
      <c r="N949" s="613"/>
      <c r="O949" s="613"/>
      <c r="P949" s="580"/>
      <c r="Q949" s="580"/>
      <c r="R949" s="581"/>
      <c r="S949" s="581"/>
      <c r="T949" s="581"/>
      <c r="U949" s="582"/>
      <c r="V949" s="614"/>
      <c r="W949" s="581"/>
      <c r="X949" s="615"/>
      <c r="Y949" s="613"/>
      <c r="Z949" s="580"/>
      <c r="AA949" s="634"/>
      <c r="AB949" s="577"/>
      <c r="AC949" s="673"/>
      <c r="AD949" s="634"/>
      <c r="AE949" s="587"/>
      <c r="AF949" s="587"/>
      <c r="AG949" s="582"/>
      <c r="AH949" s="582"/>
      <c r="AI949" s="582"/>
      <c r="AJ949" s="582"/>
      <c r="AK949" s="588"/>
      <c r="AL949" s="582"/>
      <c r="AM949" s="582"/>
      <c r="AN949" s="589"/>
      <c r="AO949" s="616"/>
      <c r="AP949" s="592"/>
      <c r="AQ949" s="358"/>
      <c r="AR949" s="592"/>
      <c r="AS949" s="592"/>
      <c r="AT949" s="592"/>
      <c r="AU949" s="592"/>
      <c r="AV949" s="592"/>
      <c r="AW949" s="592"/>
      <c r="AX949" s="592"/>
      <c r="AY949" s="592"/>
      <c r="AZ949" s="592"/>
      <c r="BA949" s="617"/>
      <c r="BB949" s="592"/>
      <c r="BC949" s="592"/>
      <c r="BD949" s="592"/>
      <c r="BE949" s="592"/>
      <c r="BF949" s="592"/>
      <c r="BG949" s="358"/>
      <c r="BH949" s="592"/>
      <c r="BI949" s="592"/>
      <c r="BJ949" s="592"/>
      <c r="BK949" s="592"/>
      <c r="BL949" s="592"/>
      <c r="BM949" s="592"/>
      <c r="BN949" s="592"/>
      <c r="BO949" s="592"/>
      <c r="BP949" s="592"/>
      <c r="BQ949" s="594"/>
      <c r="BR949" s="594"/>
      <c r="BS949" s="394"/>
      <c r="BT949" s="594"/>
      <c r="BU949" s="594"/>
      <c r="BV949" s="594"/>
      <c r="BW949" s="618"/>
      <c r="BX949" s="644"/>
      <c r="BY949" s="644"/>
    </row>
    <row r="950" ht="25.5" customHeight="1">
      <c r="A950" s="635"/>
      <c r="B950" s="695"/>
      <c r="C950" s="642"/>
      <c r="D950" s="642"/>
      <c r="E950" s="696"/>
      <c r="F950" s="696"/>
      <c r="G950" s="621"/>
      <c r="H950" s="577"/>
      <c r="I950" s="577"/>
      <c r="J950" s="613"/>
      <c r="K950" s="581"/>
      <c r="L950" s="581"/>
      <c r="M950" s="613"/>
      <c r="N950" s="613"/>
      <c r="O950" s="613"/>
      <c r="P950" s="580"/>
      <c r="Q950" s="580"/>
      <c r="R950" s="581"/>
      <c r="S950" s="581"/>
      <c r="T950" s="581"/>
      <c r="U950" s="582"/>
      <c r="V950" s="614"/>
      <c r="W950" s="581"/>
      <c r="X950" s="615"/>
      <c r="Y950" s="613"/>
      <c r="Z950" s="580"/>
      <c r="AA950" s="634"/>
      <c r="AB950" s="577"/>
      <c r="AC950" s="673"/>
      <c r="AD950" s="634"/>
      <c r="AE950" s="587"/>
      <c r="AF950" s="587"/>
      <c r="AG950" s="582"/>
      <c r="AH950" s="582"/>
      <c r="AI950" s="582"/>
      <c r="AJ950" s="582"/>
      <c r="AK950" s="588"/>
      <c r="AL950" s="582"/>
      <c r="AM950" s="582"/>
      <c r="AN950" s="589"/>
      <c r="AO950" s="616"/>
      <c r="AP950" s="592"/>
      <c r="AQ950" s="358"/>
      <c r="AR950" s="592"/>
      <c r="AS950" s="592"/>
      <c r="AT950" s="592"/>
      <c r="AU950" s="592"/>
      <c r="AV950" s="592"/>
      <c r="AW950" s="592"/>
      <c r="AX950" s="592"/>
      <c r="AY950" s="592"/>
      <c r="AZ950" s="592"/>
      <c r="BA950" s="617"/>
      <c r="BB950" s="592"/>
      <c r="BC950" s="592"/>
      <c r="BD950" s="592"/>
      <c r="BE950" s="592"/>
      <c r="BF950" s="592"/>
      <c r="BG950" s="358"/>
      <c r="BH950" s="592"/>
      <c r="BI950" s="592"/>
      <c r="BJ950" s="592"/>
      <c r="BK950" s="592"/>
      <c r="BL950" s="592"/>
      <c r="BM950" s="592"/>
      <c r="BN950" s="592"/>
      <c r="BO950" s="592"/>
      <c r="BP950" s="592"/>
      <c r="BQ950" s="594"/>
      <c r="BR950" s="594"/>
      <c r="BS950" s="394"/>
      <c r="BT950" s="594"/>
      <c r="BU950" s="594"/>
      <c r="BV950" s="594"/>
      <c r="BW950" s="618"/>
      <c r="BX950" s="644"/>
      <c r="BY950" s="644"/>
    </row>
    <row r="951" ht="25.5" customHeight="1">
      <c r="A951" s="635"/>
      <c r="B951" s="695"/>
      <c r="C951" s="642"/>
      <c r="D951" s="642"/>
      <c r="E951" s="696"/>
      <c r="F951" s="696"/>
      <c r="G951" s="621"/>
      <c r="H951" s="577"/>
      <c r="I951" s="577"/>
      <c r="J951" s="613"/>
      <c r="K951" s="581"/>
      <c r="L951" s="581"/>
      <c r="M951" s="613"/>
      <c r="N951" s="613"/>
      <c r="O951" s="613"/>
      <c r="P951" s="580"/>
      <c r="Q951" s="580"/>
      <c r="R951" s="581"/>
      <c r="S951" s="581"/>
      <c r="T951" s="581"/>
      <c r="U951" s="582"/>
      <c r="V951" s="614"/>
      <c r="W951" s="581"/>
      <c r="X951" s="615"/>
      <c r="Y951" s="613"/>
      <c r="Z951" s="580"/>
      <c r="AA951" s="634"/>
      <c r="AB951" s="577"/>
      <c r="AC951" s="673"/>
      <c r="AD951" s="634"/>
      <c r="AE951" s="587"/>
      <c r="AF951" s="587"/>
      <c r="AG951" s="582"/>
      <c r="AH951" s="582"/>
      <c r="AI951" s="582"/>
      <c r="AJ951" s="582"/>
      <c r="AK951" s="588"/>
      <c r="AL951" s="582"/>
      <c r="AM951" s="582"/>
      <c r="AN951" s="589"/>
      <c r="AO951" s="616"/>
      <c r="AP951" s="592"/>
      <c r="AQ951" s="358"/>
      <c r="AR951" s="592"/>
      <c r="AS951" s="592"/>
      <c r="AT951" s="592"/>
      <c r="AU951" s="592"/>
      <c r="AV951" s="592"/>
      <c r="AW951" s="592"/>
      <c r="AX951" s="592"/>
      <c r="AY951" s="592"/>
      <c r="AZ951" s="592"/>
      <c r="BA951" s="617"/>
      <c r="BB951" s="592"/>
      <c r="BC951" s="592"/>
      <c r="BD951" s="592"/>
      <c r="BE951" s="592"/>
      <c r="BF951" s="592"/>
      <c r="BG951" s="358"/>
      <c r="BH951" s="592"/>
      <c r="BI951" s="592"/>
      <c r="BJ951" s="592"/>
      <c r="BK951" s="592"/>
      <c r="BL951" s="592"/>
      <c r="BM951" s="592"/>
      <c r="BN951" s="592"/>
      <c r="BO951" s="592"/>
      <c r="BP951" s="592"/>
      <c r="BQ951" s="594"/>
      <c r="BR951" s="594"/>
      <c r="BS951" s="394"/>
      <c r="BT951" s="594"/>
      <c r="BU951" s="594"/>
      <c r="BV951" s="594"/>
      <c r="BW951" s="618"/>
      <c r="BX951" s="644"/>
      <c r="BY951" s="644"/>
    </row>
    <row r="952" ht="25.5" customHeight="1">
      <c r="A952" s="635"/>
      <c r="B952" s="695"/>
      <c r="C952" s="642"/>
      <c r="D952" s="642"/>
      <c r="E952" s="696"/>
      <c r="F952" s="696"/>
      <c r="G952" s="621"/>
      <c r="H952" s="577"/>
      <c r="I952" s="577"/>
      <c r="J952" s="613"/>
      <c r="K952" s="581"/>
      <c r="L952" s="581"/>
      <c r="M952" s="613"/>
      <c r="N952" s="613"/>
      <c r="O952" s="613"/>
      <c r="P952" s="580"/>
      <c r="Q952" s="580"/>
      <c r="R952" s="581"/>
      <c r="S952" s="581"/>
      <c r="T952" s="581"/>
      <c r="U952" s="582"/>
      <c r="V952" s="614"/>
      <c r="W952" s="581"/>
      <c r="X952" s="615"/>
      <c r="Y952" s="613"/>
      <c r="Z952" s="580"/>
      <c r="AA952" s="634"/>
      <c r="AB952" s="577"/>
      <c r="AC952" s="673"/>
      <c r="AD952" s="634"/>
      <c r="AE952" s="587"/>
      <c r="AF952" s="587"/>
      <c r="AG952" s="582"/>
      <c r="AH952" s="582"/>
      <c r="AI952" s="582"/>
      <c r="AJ952" s="582"/>
      <c r="AK952" s="588"/>
      <c r="AL952" s="582"/>
      <c r="AM952" s="582"/>
      <c r="AN952" s="589"/>
      <c r="AO952" s="616"/>
      <c r="AP952" s="592"/>
      <c r="AQ952" s="358"/>
      <c r="AR952" s="592"/>
      <c r="AS952" s="592"/>
      <c r="AT952" s="592"/>
      <c r="AU952" s="592"/>
      <c r="AV952" s="592"/>
      <c r="AW952" s="592"/>
      <c r="AX952" s="592"/>
      <c r="AY952" s="592"/>
      <c r="AZ952" s="592"/>
      <c r="BA952" s="617"/>
      <c r="BB952" s="592"/>
      <c r="BC952" s="592"/>
      <c r="BD952" s="592"/>
      <c r="BE952" s="592"/>
      <c r="BF952" s="592"/>
      <c r="BG952" s="358"/>
      <c r="BH952" s="592"/>
      <c r="BI952" s="592"/>
      <c r="BJ952" s="592"/>
      <c r="BK952" s="592"/>
      <c r="BL952" s="592"/>
      <c r="BM952" s="592"/>
      <c r="BN952" s="592"/>
      <c r="BO952" s="592"/>
      <c r="BP952" s="592"/>
      <c r="BQ952" s="594"/>
      <c r="BR952" s="594"/>
      <c r="BS952" s="394"/>
      <c r="BT952" s="594"/>
      <c r="BU952" s="594"/>
      <c r="BV952" s="594"/>
      <c r="BW952" s="618"/>
      <c r="BX952" s="644"/>
      <c r="BY952" s="644"/>
    </row>
    <row r="953" ht="25.5" customHeight="1">
      <c r="A953" s="635"/>
      <c r="B953" s="695"/>
      <c r="C953" s="642"/>
      <c r="D953" s="642"/>
      <c r="E953" s="696"/>
      <c r="F953" s="696"/>
      <c r="G953" s="621"/>
      <c r="H953" s="577"/>
      <c r="I953" s="577"/>
      <c r="J953" s="613"/>
      <c r="K953" s="581"/>
      <c r="L953" s="581"/>
      <c r="M953" s="613"/>
      <c r="N953" s="613"/>
      <c r="O953" s="613"/>
      <c r="P953" s="580"/>
      <c r="Q953" s="580"/>
      <c r="R953" s="581"/>
      <c r="S953" s="581"/>
      <c r="T953" s="581"/>
      <c r="U953" s="582"/>
      <c r="V953" s="614"/>
      <c r="W953" s="581"/>
      <c r="X953" s="615"/>
      <c r="Y953" s="613"/>
      <c r="Z953" s="580"/>
      <c r="AA953" s="634"/>
      <c r="AB953" s="577"/>
      <c r="AC953" s="673"/>
      <c r="AD953" s="634"/>
      <c r="AE953" s="587"/>
      <c r="AF953" s="587"/>
      <c r="AG953" s="582"/>
      <c r="AH953" s="582"/>
      <c r="AI953" s="582"/>
      <c r="AJ953" s="582"/>
      <c r="AK953" s="588"/>
      <c r="AL953" s="582"/>
      <c r="AM953" s="582"/>
      <c r="AN953" s="589"/>
      <c r="AO953" s="616"/>
      <c r="AP953" s="592"/>
      <c r="AQ953" s="358"/>
      <c r="AR953" s="592"/>
      <c r="AS953" s="592"/>
      <c r="AT953" s="592"/>
      <c r="AU953" s="592"/>
      <c r="AV953" s="592"/>
      <c r="AW953" s="592"/>
      <c r="AX953" s="592"/>
      <c r="AY953" s="592"/>
      <c r="AZ953" s="592"/>
      <c r="BA953" s="617"/>
      <c r="BB953" s="592"/>
      <c r="BC953" s="592"/>
      <c r="BD953" s="592"/>
      <c r="BE953" s="592"/>
      <c r="BF953" s="592"/>
      <c r="BG953" s="358"/>
      <c r="BH953" s="592"/>
      <c r="BI953" s="592"/>
      <c r="BJ953" s="592"/>
      <c r="BK953" s="592"/>
      <c r="BL953" s="592"/>
      <c r="BM953" s="592"/>
      <c r="BN953" s="592"/>
      <c r="BO953" s="592"/>
      <c r="BP953" s="592"/>
      <c r="BQ953" s="594"/>
      <c r="BR953" s="594"/>
      <c r="BS953" s="394"/>
      <c r="BT953" s="594"/>
      <c r="BU953" s="594"/>
      <c r="BV953" s="594"/>
      <c r="BW953" s="618"/>
      <c r="BX953" s="644"/>
      <c r="BY953" s="644"/>
    </row>
    <row r="954" ht="25.5" customHeight="1">
      <c r="A954" s="635"/>
      <c r="B954" s="695"/>
      <c r="C954" s="642"/>
      <c r="D954" s="642"/>
      <c r="E954" s="696"/>
      <c r="F954" s="696"/>
      <c r="G954" s="621"/>
      <c r="H954" s="577"/>
      <c r="I954" s="577"/>
      <c r="J954" s="613"/>
      <c r="K954" s="581"/>
      <c r="L954" s="581"/>
      <c r="M954" s="613"/>
      <c r="N954" s="613"/>
      <c r="O954" s="613"/>
      <c r="P954" s="580"/>
      <c r="Q954" s="580"/>
      <c r="R954" s="581"/>
      <c r="S954" s="581"/>
      <c r="T954" s="581"/>
      <c r="U954" s="582"/>
      <c r="V954" s="614"/>
      <c r="W954" s="581"/>
      <c r="X954" s="615"/>
      <c r="Y954" s="613"/>
      <c r="Z954" s="580"/>
      <c r="AA954" s="634"/>
      <c r="AB954" s="577"/>
      <c r="AC954" s="673"/>
      <c r="AD954" s="634"/>
      <c r="AE954" s="587"/>
      <c r="AF954" s="587"/>
      <c r="AG954" s="582"/>
      <c r="AH954" s="582"/>
      <c r="AI954" s="582"/>
      <c r="AJ954" s="582"/>
      <c r="AK954" s="588"/>
      <c r="AL954" s="582"/>
      <c r="AM954" s="582"/>
      <c r="AN954" s="589"/>
      <c r="AO954" s="616"/>
      <c r="AP954" s="592"/>
      <c r="AQ954" s="358"/>
      <c r="AR954" s="592"/>
      <c r="AS954" s="592"/>
      <c r="AT954" s="592"/>
      <c r="AU954" s="592"/>
      <c r="AV954" s="592"/>
      <c r="AW954" s="592"/>
      <c r="AX954" s="592"/>
      <c r="AY954" s="592"/>
      <c r="AZ954" s="592"/>
      <c r="BA954" s="617"/>
      <c r="BB954" s="592"/>
      <c r="BC954" s="592"/>
      <c r="BD954" s="592"/>
      <c r="BE954" s="592"/>
      <c r="BF954" s="592"/>
      <c r="BG954" s="358"/>
      <c r="BH954" s="592"/>
      <c r="BI954" s="592"/>
      <c r="BJ954" s="592"/>
      <c r="BK954" s="592"/>
      <c r="BL954" s="592"/>
      <c r="BM954" s="592"/>
      <c r="BN954" s="592"/>
      <c r="BO954" s="592"/>
      <c r="BP954" s="592"/>
      <c r="BQ954" s="594"/>
      <c r="BR954" s="594"/>
      <c r="BS954" s="394"/>
      <c r="BT954" s="594"/>
      <c r="BU954" s="594"/>
      <c r="BV954" s="594"/>
      <c r="BW954" s="618"/>
      <c r="BX954" s="644"/>
      <c r="BY954" s="644"/>
    </row>
    <row r="955" ht="25.5" customHeight="1">
      <c r="A955" s="635"/>
      <c r="B955" s="695"/>
      <c r="C955" s="642"/>
      <c r="D955" s="642"/>
      <c r="E955" s="696"/>
      <c r="F955" s="696"/>
      <c r="G955" s="621"/>
      <c r="H955" s="577"/>
      <c r="I955" s="577"/>
      <c r="J955" s="613"/>
      <c r="K955" s="581"/>
      <c r="L955" s="581"/>
      <c r="M955" s="613"/>
      <c r="N955" s="613"/>
      <c r="O955" s="613"/>
      <c r="P955" s="580"/>
      <c r="Q955" s="580"/>
      <c r="R955" s="581"/>
      <c r="S955" s="581"/>
      <c r="T955" s="581"/>
      <c r="U955" s="582"/>
      <c r="V955" s="614"/>
      <c r="W955" s="581"/>
      <c r="X955" s="615"/>
      <c r="Y955" s="613"/>
      <c r="Z955" s="580"/>
      <c r="AA955" s="634"/>
      <c r="AB955" s="577"/>
      <c r="AC955" s="673"/>
      <c r="AD955" s="634"/>
      <c r="AE955" s="587"/>
      <c r="AF955" s="587"/>
      <c r="AG955" s="582"/>
      <c r="AH955" s="582"/>
      <c r="AI955" s="582"/>
      <c r="AJ955" s="582"/>
      <c r="AK955" s="588"/>
      <c r="AL955" s="582"/>
      <c r="AM955" s="582"/>
      <c r="AN955" s="589"/>
      <c r="AO955" s="616"/>
      <c r="AP955" s="592"/>
      <c r="AQ955" s="358"/>
      <c r="AR955" s="592"/>
      <c r="AS955" s="592"/>
      <c r="AT955" s="592"/>
      <c r="AU955" s="592"/>
      <c r="AV955" s="592"/>
      <c r="AW955" s="592"/>
      <c r="AX955" s="592"/>
      <c r="AY955" s="592"/>
      <c r="AZ955" s="592"/>
      <c r="BA955" s="617"/>
      <c r="BB955" s="592"/>
      <c r="BC955" s="592"/>
      <c r="BD955" s="592"/>
      <c r="BE955" s="592"/>
      <c r="BF955" s="592"/>
      <c r="BG955" s="358"/>
      <c r="BH955" s="592"/>
      <c r="BI955" s="592"/>
      <c r="BJ955" s="592"/>
      <c r="BK955" s="592"/>
      <c r="BL955" s="592"/>
      <c r="BM955" s="592"/>
      <c r="BN955" s="592"/>
      <c r="BO955" s="592"/>
      <c r="BP955" s="592"/>
      <c r="BQ955" s="594"/>
      <c r="BR955" s="594"/>
      <c r="BS955" s="394"/>
      <c r="BT955" s="594"/>
      <c r="BU955" s="594"/>
      <c r="BV955" s="594"/>
      <c r="BW955" s="618"/>
      <c r="BX955" s="644"/>
      <c r="BY955" s="644"/>
    </row>
    <row r="956" ht="25.5" customHeight="1">
      <c r="A956" s="635"/>
      <c r="B956" s="695"/>
      <c r="C956" s="642"/>
      <c r="D956" s="642"/>
      <c r="E956" s="696"/>
      <c r="F956" s="696"/>
      <c r="G956" s="621"/>
      <c r="H956" s="577"/>
      <c r="I956" s="577"/>
      <c r="J956" s="613"/>
      <c r="K956" s="581"/>
      <c r="L956" s="581"/>
      <c r="M956" s="613"/>
      <c r="N956" s="613"/>
      <c r="O956" s="613"/>
      <c r="P956" s="580"/>
      <c r="Q956" s="580"/>
      <c r="R956" s="581"/>
      <c r="S956" s="581"/>
      <c r="T956" s="581"/>
      <c r="U956" s="582"/>
      <c r="V956" s="614"/>
      <c r="W956" s="581"/>
      <c r="X956" s="615"/>
      <c r="Y956" s="613"/>
      <c r="Z956" s="580"/>
      <c r="AA956" s="634"/>
      <c r="AB956" s="577"/>
      <c r="AC956" s="673"/>
      <c r="AD956" s="634"/>
      <c r="AE956" s="587"/>
      <c r="AF956" s="587"/>
      <c r="AG956" s="582"/>
      <c r="AH956" s="582"/>
      <c r="AI956" s="582"/>
      <c r="AJ956" s="582"/>
      <c r="AK956" s="588"/>
      <c r="AL956" s="582"/>
      <c r="AM956" s="582"/>
      <c r="AN956" s="589"/>
      <c r="AO956" s="616"/>
      <c r="AP956" s="592"/>
      <c r="AQ956" s="358"/>
      <c r="AR956" s="592"/>
      <c r="AS956" s="592"/>
      <c r="AT956" s="592"/>
      <c r="AU956" s="592"/>
      <c r="AV956" s="592"/>
      <c r="AW956" s="592"/>
      <c r="AX956" s="592"/>
      <c r="AY956" s="592"/>
      <c r="AZ956" s="592"/>
      <c r="BA956" s="617"/>
      <c r="BB956" s="592"/>
      <c r="BC956" s="592"/>
      <c r="BD956" s="592"/>
      <c r="BE956" s="592"/>
      <c r="BF956" s="592"/>
      <c r="BG956" s="358"/>
      <c r="BH956" s="592"/>
      <c r="BI956" s="592"/>
      <c r="BJ956" s="592"/>
      <c r="BK956" s="592"/>
      <c r="BL956" s="592"/>
      <c r="BM956" s="592"/>
      <c r="BN956" s="592"/>
      <c r="BO956" s="592"/>
      <c r="BP956" s="592"/>
      <c r="BQ956" s="594"/>
      <c r="BR956" s="594"/>
      <c r="BS956" s="394"/>
      <c r="BT956" s="594"/>
      <c r="BU956" s="594"/>
      <c r="BV956" s="594"/>
      <c r="BW956" s="618"/>
      <c r="BX956" s="644"/>
      <c r="BY956" s="644"/>
    </row>
    <row r="957" ht="25.5" customHeight="1">
      <c r="A957" s="635"/>
      <c r="B957" s="695"/>
      <c r="C957" s="642"/>
      <c r="D957" s="642"/>
      <c r="E957" s="696"/>
      <c r="F957" s="696"/>
      <c r="G957" s="621"/>
      <c r="H957" s="577"/>
      <c r="I957" s="577"/>
      <c r="J957" s="613"/>
      <c r="K957" s="581"/>
      <c r="L957" s="581"/>
      <c r="M957" s="613"/>
      <c r="N957" s="613"/>
      <c r="O957" s="613"/>
      <c r="P957" s="580"/>
      <c r="Q957" s="580"/>
      <c r="R957" s="581"/>
      <c r="S957" s="581"/>
      <c r="T957" s="581"/>
      <c r="U957" s="582"/>
      <c r="V957" s="614"/>
      <c r="W957" s="581"/>
      <c r="X957" s="615"/>
      <c r="Y957" s="613"/>
      <c r="Z957" s="580"/>
      <c r="AA957" s="634"/>
      <c r="AB957" s="577"/>
      <c r="AC957" s="673"/>
      <c r="AD957" s="634"/>
      <c r="AE957" s="587"/>
      <c r="AF957" s="587"/>
      <c r="AG957" s="582"/>
      <c r="AH957" s="582"/>
      <c r="AI957" s="582"/>
      <c r="AJ957" s="582"/>
      <c r="AK957" s="588"/>
      <c r="AL957" s="582"/>
      <c r="AM957" s="582"/>
      <c r="AN957" s="589"/>
      <c r="AO957" s="616"/>
      <c r="AP957" s="592"/>
      <c r="AQ957" s="358"/>
      <c r="AR957" s="592"/>
      <c r="AS957" s="592"/>
      <c r="AT957" s="592"/>
      <c r="AU957" s="592"/>
      <c r="AV957" s="592"/>
      <c r="AW957" s="592"/>
      <c r="AX957" s="592"/>
      <c r="AY957" s="592"/>
      <c r="AZ957" s="592"/>
      <c r="BA957" s="617"/>
      <c r="BB957" s="592"/>
      <c r="BC957" s="592"/>
      <c r="BD957" s="592"/>
      <c r="BE957" s="592"/>
      <c r="BF957" s="592"/>
      <c r="BG957" s="358"/>
      <c r="BH957" s="592"/>
      <c r="BI957" s="592"/>
      <c r="BJ957" s="592"/>
      <c r="BK957" s="592"/>
      <c r="BL957" s="592"/>
      <c r="BM957" s="592"/>
      <c r="BN957" s="592"/>
      <c r="BO957" s="592"/>
      <c r="BP957" s="592"/>
      <c r="BQ957" s="594"/>
      <c r="BR957" s="594"/>
      <c r="BS957" s="394"/>
      <c r="BT957" s="594"/>
      <c r="BU957" s="594"/>
      <c r="BV957" s="594"/>
      <c r="BW957" s="618"/>
      <c r="BX957" s="644"/>
      <c r="BY957" s="644"/>
    </row>
    <row r="958" ht="25.5" customHeight="1">
      <c r="A958" s="635"/>
      <c r="B958" s="695"/>
      <c r="C958" s="642"/>
      <c r="D958" s="642"/>
      <c r="E958" s="696"/>
      <c r="F958" s="696"/>
      <c r="G958" s="621"/>
      <c r="H958" s="577"/>
      <c r="I958" s="577"/>
      <c r="J958" s="613"/>
      <c r="K958" s="581"/>
      <c r="L958" s="581"/>
      <c r="M958" s="613"/>
      <c r="N958" s="613"/>
      <c r="O958" s="613"/>
      <c r="P958" s="580"/>
      <c r="Q958" s="580"/>
      <c r="R958" s="581"/>
      <c r="S958" s="581"/>
      <c r="T958" s="581"/>
      <c r="U958" s="582"/>
      <c r="V958" s="614"/>
      <c r="W958" s="581"/>
      <c r="X958" s="615"/>
      <c r="Y958" s="613"/>
      <c r="Z958" s="580"/>
      <c r="AA958" s="634"/>
      <c r="AB958" s="577"/>
      <c r="AC958" s="673"/>
      <c r="AD958" s="634"/>
      <c r="AE958" s="587"/>
      <c r="AF958" s="587"/>
      <c r="AG958" s="582"/>
      <c r="AH958" s="582"/>
      <c r="AI958" s="582"/>
      <c r="AJ958" s="582"/>
      <c r="AK958" s="588"/>
      <c r="AL958" s="582"/>
      <c r="AM958" s="582"/>
      <c r="AN958" s="589"/>
      <c r="AO958" s="616"/>
      <c r="AP958" s="592"/>
      <c r="AQ958" s="358"/>
      <c r="AR958" s="592"/>
      <c r="AS958" s="592"/>
      <c r="AT958" s="592"/>
      <c r="AU958" s="592"/>
      <c r="AV958" s="592"/>
      <c r="AW958" s="592"/>
      <c r="AX958" s="592"/>
      <c r="AY958" s="592"/>
      <c r="AZ958" s="592"/>
      <c r="BA958" s="617"/>
      <c r="BB958" s="592"/>
      <c r="BC958" s="592"/>
      <c r="BD958" s="592"/>
      <c r="BE958" s="592"/>
      <c r="BF958" s="592"/>
      <c r="BG958" s="358"/>
      <c r="BH958" s="592"/>
      <c r="BI958" s="592"/>
      <c r="BJ958" s="592"/>
      <c r="BK958" s="592"/>
      <c r="BL958" s="592"/>
      <c r="BM958" s="592"/>
      <c r="BN958" s="592"/>
      <c r="BO958" s="592"/>
      <c r="BP958" s="592"/>
      <c r="BQ958" s="594"/>
      <c r="BR958" s="594"/>
      <c r="BS958" s="394"/>
      <c r="BT958" s="594"/>
      <c r="BU958" s="594"/>
      <c r="BV958" s="594"/>
      <c r="BW958" s="618"/>
      <c r="BX958" s="644"/>
      <c r="BY958" s="644"/>
    </row>
    <row r="959" ht="25.5" customHeight="1">
      <c r="A959" s="635"/>
      <c r="B959" s="695"/>
      <c r="C959" s="642"/>
      <c r="D959" s="642"/>
      <c r="E959" s="696"/>
      <c r="F959" s="696"/>
      <c r="G959" s="621"/>
      <c r="H959" s="577"/>
      <c r="I959" s="577"/>
      <c r="J959" s="613"/>
      <c r="K959" s="581"/>
      <c r="L959" s="581"/>
      <c r="M959" s="613"/>
      <c r="N959" s="613"/>
      <c r="O959" s="613"/>
      <c r="P959" s="580"/>
      <c r="Q959" s="580"/>
      <c r="R959" s="581"/>
      <c r="S959" s="581"/>
      <c r="T959" s="581"/>
      <c r="U959" s="582"/>
      <c r="V959" s="614"/>
      <c r="W959" s="581"/>
      <c r="X959" s="615"/>
      <c r="Y959" s="613"/>
      <c r="Z959" s="580"/>
      <c r="AA959" s="634"/>
      <c r="AB959" s="577"/>
      <c r="AC959" s="673"/>
      <c r="AD959" s="634"/>
      <c r="AE959" s="587"/>
      <c r="AF959" s="587"/>
      <c r="AG959" s="582"/>
      <c r="AH959" s="582"/>
      <c r="AI959" s="582"/>
      <c r="AJ959" s="582"/>
      <c r="AK959" s="588"/>
      <c r="AL959" s="582"/>
      <c r="AM959" s="582"/>
      <c r="AN959" s="589"/>
      <c r="AO959" s="616"/>
      <c r="AP959" s="592"/>
      <c r="AQ959" s="358"/>
      <c r="AR959" s="592"/>
      <c r="AS959" s="592"/>
      <c r="AT959" s="592"/>
      <c r="AU959" s="592"/>
      <c r="AV959" s="592"/>
      <c r="AW959" s="592"/>
      <c r="AX959" s="592"/>
      <c r="AY959" s="592"/>
      <c r="AZ959" s="592"/>
      <c r="BA959" s="617"/>
      <c r="BB959" s="592"/>
      <c r="BC959" s="592"/>
      <c r="BD959" s="592"/>
      <c r="BE959" s="592"/>
      <c r="BF959" s="592"/>
      <c r="BG959" s="358"/>
      <c r="BH959" s="592"/>
      <c r="BI959" s="592"/>
      <c r="BJ959" s="592"/>
      <c r="BK959" s="592"/>
      <c r="BL959" s="592"/>
      <c r="BM959" s="592"/>
      <c r="BN959" s="592"/>
      <c r="BO959" s="592"/>
      <c r="BP959" s="592"/>
      <c r="BQ959" s="594"/>
      <c r="BR959" s="594"/>
      <c r="BS959" s="394"/>
      <c r="BT959" s="594"/>
      <c r="BU959" s="594"/>
      <c r="BV959" s="594"/>
      <c r="BW959" s="618"/>
      <c r="BX959" s="644"/>
      <c r="BY959" s="644"/>
    </row>
    <row r="960" ht="25.5" customHeight="1">
      <c r="A960" s="635"/>
      <c r="B960" s="695"/>
      <c r="C960" s="642"/>
      <c r="D960" s="642"/>
      <c r="E960" s="696"/>
      <c r="F960" s="696"/>
      <c r="G960" s="621"/>
      <c r="H960" s="577"/>
      <c r="I960" s="577"/>
      <c r="J960" s="613"/>
      <c r="K960" s="581"/>
      <c r="L960" s="581"/>
      <c r="M960" s="613"/>
      <c r="N960" s="613"/>
      <c r="O960" s="613"/>
      <c r="P960" s="580"/>
      <c r="Q960" s="580"/>
      <c r="R960" s="581"/>
      <c r="S960" s="581"/>
      <c r="T960" s="581"/>
      <c r="U960" s="582"/>
      <c r="V960" s="614"/>
      <c r="W960" s="581"/>
      <c r="X960" s="615"/>
      <c r="Y960" s="613"/>
      <c r="Z960" s="580"/>
      <c r="AA960" s="634"/>
      <c r="AB960" s="577"/>
      <c r="AC960" s="673"/>
      <c r="AD960" s="634"/>
      <c r="AE960" s="587"/>
      <c r="AF960" s="587"/>
      <c r="AG960" s="582"/>
      <c r="AH960" s="582"/>
      <c r="AI960" s="582"/>
      <c r="AJ960" s="582"/>
      <c r="AK960" s="588"/>
      <c r="AL960" s="582"/>
      <c r="AM960" s="582"/>
      <c r="AN960" s="589"/>
      <c r="AO960" s="616"/>
      <c r="AP960" s="592"/>
      <c r="AQ960" s="358"/>
      <c r="AR960" s="592"/>
      <c r="AS960" s="592"/>
      <c r="AT960" s="592"/>
      <c r="AU960" s="592"/>
      <c r="AV960" s="592"/>
      <c r="AW960" s="592"/>
      <c r="AX960" s="592"/>
      <c r="AY960" s="592"/>
      <c r="AZ960" s="592"/>
      <c r="BA960" s="617"/>
      <c r="BB960" s="592"/>
      <c r="BC960" s="592"/>
      <c r="BD960" s="592"/>
      <c r="BE960" s="592"/>
      <c r="BF960" s="592"/>
      <c r="BG960" s="358"/>
      <c r="BH960" s="592"/>
      <c r="BI960" s="592"/>
      <c r="BJ960" s="592"/>
      <c r="BK960" s="592"/>
      <c r="BL960" s="592"/>
      <c r="BM960" s="592"/>
      <c r="BN960" s="592"/>
      <c r="BO960" s="592"/>
      <c r="BP960" s="592"/>
      <c r="BQ960" s="594"/>
      <c r="BR960" s="594"/>
      <c r="BS960" s="394"/>
      <c r="BT960" s="594"/>
      <c r="BU960" s="594"/>
      <c r="BV960" s="594"/>
      <c r="BW960" s="618"/>
      <c r="BX960" s="644"/>
      <c r="BY960" s="644"/>
    </row>
    <row r="961" ht="25.5" customHeight="1">
      <c r="A961" s="635"/>
      <c r="B961" s="695"/>
      <c r="C961" s="642"/>
      <c r="D961" s="642"/>
      <c r="E961" s="696"/>
      <c r="F961" s="696"/>
      <c r="G961" s="621"/>
      <c r="H961" s="577"/>
      <c r="I961" s="577"/>
      <c r="J961" s="613"/>
      <c r="K961" s="581"/>
      <c r="L961" s="581"/>
      <c r="M961" s="613"/>
      <c r="N961" s="613"/>
      <c r="O961" s="613"/>
      <c r="P961" s="580"/>
      <c r="Q961" s="580"/>
      <c r="R961" s="581"/>
      <c r="S961" s="581"/>
      <c r="T961" s="581"/>
      <c r="U961" s="582"/>
      <c r="V961" s="614"/>
      <c r="W961" s="581"/>
      <c r="X961" s="615"/>
      <c r="Y961" s="613"/>
      <c r="Z961" s="580"/>
      <c r="AA961" s="634"/>
      <c r="AB961" s="577"/>
      <c r="AC961" s="673"/>
      <c r="AD961" s="634"/>
      <c r="AE961" s="587"/>
      <c r="AF961" s="587"/>
      <c r="AG961" s="582"/>
      <c r="AH961" s="582"/>
      <c r="AI961" s="582"/>
      <c r="AJ961" s="582"/>
      <c r="AK961" s="588"/>
      <c r="AL961" s="582"/>
      <c r="AM961" s="582"/>
      <c r="AN961" s="589"/>
      <c r="AO961" s="616"/>
      <c r="AP961" s="592"/>
      <c r="AQ961" s="358"/>
      <c r="AR961" s="592"/>
      <c r="AS961" s="592"/>
      <c r="AT961" s="592"/>
      <c r="AU961" s="592"/>
      <c r="AV961" s="592"/>
      <c r="AW961" s="592"/>
      <c r="AX961" s="592"/>
      <c r="AY961" s="592"/>
      <c r="AZ961" s="592"/>
      <c r="BA961" s="617"/>
      <c r="BB961" s="592"/>
      <c r="BC961" s="592"/>
      <c r="BD961" s="592"/>
      <c r="BE961" s="592"/>
      <c r="BF961" s="592"/>
      <c r="BG961" s="358"/>
      <c r="BH961" s="592"/>
      <c r="BI961" s="592"/>
      <c r="BJ961" s="592"/>
      <c r="BK961" s="592"/>
      <c r="BL961" s="592"/>
      <c r="BM961" s="592"/>
      <c r="BN961" s="592"/>
      <c r="BO961" s="592"/>
      <c r="BP961" s="592"/>
      <c r="BQ961" s="594"/>
      <c r="BR961" s="594"/>
      <c r="BS961" s="394"/>
      <c r="BT961" s="594"/>
      <c r="BU961" s="594"/>
      <c r="BV961" s="594"/>
      <c r="BW961" s="618"/>
      <c r="BX961" s="644"/>
      <c r="BY961" s="644"/>
    </row>
    <row r="962" ht="25.5" customHeight="1">
      <c r="A962" s="635"/>
      <c r="B962" s="695"/>
      <c r="C962" s="642"/>
      <c r="D962" s="642"/>
      <c r="E962" s="696"/>
      <c r="F962" s="696"/>
      <c r="G962" s="621"/>
      <c r="H962" s="577"/>
      <c r="I962" s="577"/>
      <c r="J962" s="613"/>
      <c r="K962" s="581"/>
      <c r="L962" s="581"/>
      <c r="M962" s="613"/>
      <c r="N962" s="613"/>
      <c r="O962" s="613"/>
      <c r="P962" s="580"/>
      <c r="Q962" s="580"/>
      <c r="R962" s="581"/>
      <c r="S962" s="581"/>
      <c r="T962" s="581"/>
      <c r="U962" s="582"/>
      <c r="V962" s="614"/>
      <c r="W962" s="581"/>
      <c r="X962" s="615"/>
      <c r="Y962" s="613"/>
      <c r="Z962" s="580"/>
      <c r="AA962" s="634"/>
      <c r="AB962" s="577"/>
      <c r="AC962" s="673"/>
      <c r="AD962" s="634"/>
      <c r="AE962" s="587"/>
      <c r="AF962" s="587"/>
      <c r="AG962" s="582"/>
      <c r="AH962" s="582"/>
      <c r="AI962" s="582"/>
      <c r="AJ962" s="582"/>
      <c r="AK962" s="588"/>
      <c r="AL962" s="582"/>
      <c r="AM962" s="582"/>
      <c r="AN962" s="589"/>
      <c r="AO962" s="616"/>
      <c r="AP962" s="592"/>
      <c r="AQ962" s="358"/>
      <c r="AR962" s="592"/>
      <c r="AS962" s="592"/>
      <c r="AT962" s="592"/>
      <c r="AU962" s="592"/>
      <c r="AV962" s="592"/>
      <c r="AW962" s="592"/>
      <c r="AX962" s="592"/>
      <c r="AY962" s="592"/>
      <c r="AZ962" s="592"/>
      <c r="BA962" s="617"/>
      <c r="BB962" s="592"/>
      <c r="BC962" s="592"/>
      <c r="BD962" s="592"/>
      <c r="BE962" s="592"/>
      <c r="BF962" s="592"/>
      <c r="BG962" s="358"/>
      <c r="BH962" s="592"/>
      <c r="BI962" s="592"/>
      <c r="BJ962" s="592"/>
      <c r="BK962" s="592"/>
      <c r="BL962" s="592"/>
      <c r="BM962" s="592"/>
      <c r="BN962" s="592"/>
      <c r="BO962" s="592"/>
      <c r="BP962" s="592"/>
      <c r="BQ962" s="594"/>
      <c r="BR962" s="594"/>
      <c r="BS962" s="394"/>
      <c r="BT962" s="594"/>
      <c r="BU962" s="594"/>
      <c r="BV962" s="594"/>
      <c r="BW962" s="618"/>
      <c r="BX962" s="644"/>
      <c r="BY962" s="644"/>
    </row>
    <row r="963" ht="25.5" customHeight="1">
      <c r="A963" s="635"/>
      <c r="B963" s="695"/>
      <c r="C963" s="642"/>
      <c r="D963" s="642"/>
      <c r="E963" s="696"/>
      <c r="F963" s="696"/>
      <c r="G963" s="621"/>
      <c r="H963" s="577"/>
      <c r="I963" s="577"/>
      <c r="J963" s="613"/>
      <c r="K963" s="581"/>
      <c r="L963" s="581"/>
      <c r="M963" s="613"/>
      <c r="N963" s="613"/>
      <c r="O963" s="613"/>
      <c r="P963" s="580"/>
      <c r="Q963" s="580"/>
      <c r="R963" s="581"/>
      <c r="S963" s="581"/>
      <c r="T963" s="581"/>
      <c r="U963" s="582"/>
      <c r="V963" s="614"/>
      <c r="W963" s="581"/>
      <c r="X963" s="615"/>
      <c r="Y963" s="613"/>
      <c r="Z963" s="580"/>
      <c r="AA963" s="634"/>
      <c r="AB963" s="577"/>
      <c r="AC963" s="673"/>
      <c r="AD963" s="634"/>
      <c r="AE963" s="587"/>
      <c r="AF963" s="587"/>
      <c r="AG963" s="582"/>
      <c r="AH963" s="582"/>
      <c r="AI963" s="582"/>
      <c r="AJ963" s="582"/>
      <c r="AK963" s="588"/>
      <c r="AL963" s="582"/>
      <c r="AM963" s="582"/>
      <c r="AN963" s="589"/>
      <c r="AO963" s="616"/>
      <c r="AP963" s="592"/>
      <c r="AQ963" s="358"/>
      <c r="AR963" s="592"/>
      <c r="AS963" s="592"/>
      <c r="AT963" s="592"/>
      <c r="AU963" s="592"/>
      <c r="AV963" s="592"/>
      <c r="AW963" s="592"/>
      <c r="AX963" s="592"/>
      <c r="AY963" s="592"/>
      <c r="AZ963" s="592"/>
      <c r="BA963" s="617"/>
      <c r="BB963" s="592"/>
      <c r="BC963" s="592"/>
      <c r="BD963" s="592"/>
      <c r="BE963" s="592"/>
      <c r="BF963" s="592"/>
      <c r="BG963" s="358"/>
      <c r="BH963" s="592"/>
      <c r="BI963" s="592"/>
      <c r="BJ963" s="592"/>
      <c r="BK963" s="592"/>
      <c r="BL963" s="592"/>
      <c r="BM963" s="592"/>
      <c r="BN963" s="592"/>
      <c r="BO963" s="592"/>
      <c r="BP963" s="592"/>
      <c r="BQ963" s="594"/>
      <c r="BR963" s="594"/>
      <c r="BS963" s="394"/>
      <c r="BT963" s="594"/>
      <c r="BU963" s="594"/>
      <c r="BV963" s="594"/>
      <c r="BW963" s="618"/>
      <c r="BX963" s="644"/>
      <c r="BY963" s="644"/>
    </row>
    <row r="964" ht="25.5" customHeight="1">
      <c r="A964" s="635"/>
      <c r="B964" s="695"/>
      <c r="C964" s="642"/>
      <c r="D964" s="642"/>
      <c r="E964" s="696"/>
      <c r="F964" s="696"/>
      <c r="G964" s="621"/>
      <c r="H964" s="577"/>
      <c r="I964" s="577"/>
      <c r="J964" s="613"/>
      <c r="K964" s="581"/>
      <c r="L964" s="581"/>
      <c r="M964" s="613"/>
      <c r="N964" s="613"/>
      <c r="O964" s="613"/>
      <c r="P964" s="580"/>
      <c r="Q964" s="580"/>
      <c r="R964" s="581"/>
      <c r="S964" s="581"/>
      <c r="T964" s="581"/>
      <c r="U964" s="582"/>
      <c r="V964" s="614"/>
      <c r="W964" s="581"/>
      <c r="X964" s="615"/>
      <c r="Y964" s="613"/>
      <c r="Z964" s="580"/>
      <c r="AA964" s="634"/>
      <c r="AB964" s="577"/>
      <c r="AC964" s="673"/>
      <c r="AD964" s="634"/>
      <c r="AE964" s="587"/>
      <c r="AF964" s="587"/>
      <c r="AG964" s="582"/>
      <c r="AH964" s="582"/>
      <c r="AI964" s="582"/>
      <c r="AJ964" s="582"/>
      <c r="AK964" s="588"/>
      <c r="AL964" s="582"/>
      <c r="AM964" s="582"/>
      <c r="AN964" s="589"/>
      <c r="AO964" s="616"/>
      <c r="AP964" s="592"/>
      <c r="AQ964" s="358"/>
      <c r="AR964" s="592"/>
      <c r="AS964" s="592"/>
      <c r="AT964" s="592"/>
      <c r="AU964" s="592"/>
      <c r="AV964" s="592"/>
      <c r="AW964" s="592"/>
      <c r="AX964" s="592"/>
      <c r="AY964" s="592"/>
      <c r="AZ964" s="592"/>
      <c r="BA964" s="617"/>
      <c r="BB964" s="592"/>
      <c r="BC964" s="592"/>
      <c r="BD964" s="592"/>
      <c r="BE964" s="592"/>
      <c r="BF964" s="592"/>
      <c r="BG964" s="358"/>
      <c r="BH964" s="592"/>
      <c r="BI964" s="592"/>
      <c r="BJ964" s="592"/>
      <c r="BK964" s="592"/>
      <c r="BL964" s="592"/>
      <c r="BM964" s="592"/>
      <c r="BN964" s="592"/>
      <c r="BO964" s="592"/>
      <c r="BP964" s="592"/>
      <c r="BQ964" s="594"/>
      <c r="BR964" s="594"/>
      <c r="BS964" s="394"/>
      <c r="BT964" s="594"/>
      <c r="BU964" s="594"/>
      <c r="BV964" s="594"/>
      <c r="BW964" s="618"/>
      <c r="BX964" s="644"/>
      <c r="BY964" s="644"/>
    </row>
    <row r="965" ht="25.5" customHeight="1">
      <c r="A965" s="635"/>
      <c r="B965" s="695"/>
      <c r="C965" s="642"/>
      <c r="D965" s="642"/>
      <c r="E965" s="696"/>
      <c r="F965" s="696"/>
      <c r="G965" s="621"/>
      <c r="H965" s="577"/>
      <c r="I965" s="577"/>
      <c r="J965" s="613"/>
      <c r="K965" s="581"/>
      <c r="L965" s="581"/>
      <c r="M965" s="613"/>
      <c r="N965" s="613"/>
      <c r="O965" s="613"/>
      <c r="P965" s="580"/>
      <c r="Q965" s="580"/>
      <c r="R965" s="581"/>
      <c r="S965" s="581"/>
      <c r="T965" s="581"/>
      <c r="U965" s="582"/>
      <c r="V965" s="614"/>
      <c r="W965" s="581"/>
      <c r="X965" s="615"/>
      <c r="Y965" s="613"/>
      <c r="Z965" s="580"/>
      <c r="AA965" s="634"/>
      <c r="AB965" s="577"/>
      <c r="AC965" s="673"/>
      <c r="AD965" s="634"/>
      <c r="AE965" s="587"/>
      <c r="AF965" s="587"/>
      <c r="AG965" s="582"/>
      <c r="AH965" s="582"/>
      <c r="AI965" s="582"/>
      <c r="AJ965" s="582"/>
      <c r="AK965" s="588"/>
      <c r="AL965" s="582"/>
      <c r="AM965" s="582"/>
      <c r="AN965" s="589"/>
      <c r="AO965" s="616"/>
      <c r="AP965" s="592"/>
      <c r="AQ965" s="358"/>
      <c r="AR965" s="592"/>
      <c r="AS965" s="592"/>
      <c r="AT965" s="592"/>
      <c r="AU965" s="592"/>
      <c r="AV965" s="592"/>
      <c r="AW965" s="592"/>
      <c r="AX965" s="592"/>
      <c r="AY965" s="592"/>
      <c r="AZ965" s="592"/>
      <c r="BA965" s="617"/>
      <c r="BB965" s="592"/>
      <c r="BC965" s="592"/>
      <c r="BD965" s="592"/>
      <c r="BE965" s="592"/>
      <c r="BF965" s="592"/>
      <c r="BG965" s="358"/>
      <c r="BH965" s="592"/>
      <c r="BI965" s="592"/>
      <c r="BJ965" s="592"/>
      <c r="BK965" s="592"/>
      <c r="BL965" s="592"/>
      <c r="BM965" s="592"/>
      <c r="BN965" s="592"/>
      <c r="BO965" s="592"/>
      <c r="BP965" s="592"/>
      <c r="BQ965" s="594"/>
      <c r="BR965" s="594"/>
      <c r="BS965" s="394"/>
      <c r="BT965" s="594"/>
      <c r="BU965" s="594"/>
      <c r="BV965" s="594"/>
      <c r="BW965" s="618"/>
      <c r="BX965" s="644"/>
      <c r="BY965" s="644"/>
    </row>
    <row r="966" ht="25.5" customHeight="1">
      <c r="A966" s="635"/>
      <c r="B966" s="695"/>
      <c r="C966" s="642"/>
      <c r="D966" s="642"/>
      <c r="E966" s="696"/>
      <c r="F966" s="696"/>
      <c r="G966" s="621"/>
      <c r="H966" s="577"/>
      <c r="I966" s="577"/>
      <c r="J966" s="613"/>
      <c r="K966" s="581"/>
      <c r="L966" s="581"/>
      <c r="M966" s="613"/>
      <c r="N966" s="613"/>
      <c r="O966" s="613"/>
      <c r="P966" s="580"/>
      <c r="Q966" s="580"/>
      <c r="R966" s="581"/>
      <c r="S966" s="581"/>
      <c r="T966" s="581"/>
      <c r="U966" s="582"/>
      <c r="V966" s="614"/>
      <c r="W966" s="581"/>
      <c r="X966" s="615"/>
      <c r="Y966" s="613"/>
      <c r="Z966" s="580"/>
      <c r="AA966" s="634"/>
      <c r="AB966" s="577"/>
      <c r="AC966" s="673"/>
      <c r="AD966" s="634"/>
      <c r="AE966" s="587"/>
      <c r="AF966" s="587"/>
      <c r="AG966" s="582"/>
      <c r="AH966" s="582"/>
      <c r="AI966" s="582"/>
      <c r="AJ966" s="582"/>
      <c r="AK966" s="588"/>
      <c r="AL966" s="582"/>
      <c r="AM966" s="582"/>
      <c r="AN966" s="589"/>
      <c r="AO966" s="616"/>
      <c r="AP966" s="592"/>
      <c r="AQ966" s="358"/>
      <c r="AR966" s="592"/>
      <c r="AS966" s="592"/>
      <c r="AT966" s="592"/>
      <c r="AU966" s="592"/>
      <c r="AV966" s="592"/>
      <c r="AW966" s="592"/>
      <c r="AX966" s="592"/>
      <c r="AY966" s="592"/>
      <c r="AZ966" s="592"/>
      <c r="BA966" s="617"/>
      <c r="BB966" s="592"/>
      <c r="BC966" s="592"/>
      <c r="BD966" s="592"/>
      <c r="BE966" s="592"/>
      <c r="BF966" s="592"/>
      <c r="BG966" s="358"/>
      <c r="BH966" s="592"/>
      <c r="BI966" s="592"/>
      <c r="BJ966" s="592"/>
      <c r="BK966" s="592"/>
      <c r="BL966" s="592"/>
      <c r="BM966" s="592"/>
      <c r="BN966" s="592"/>
      <c r="BO966" s="592"/>
      <c r="BP966" s="592"/>
      <c r="BQ966" s="594"/>
      <c r="BR966" s="594"/>
      <c r="BS966" s="394"/>
      <c r="BT966" s="594"/>
      <c r="BU966" s="594"/>
      <c r="BV966" s="594"/>
      <c r="BW966" s="618"/>
      <c r="BX966" s="644"/>
      <c r="BY966" s="644"/>
    </row>
    <row r="967" ht="25.5" customHeight="1">
      <c r="A967" s="635"/>
      <c r="B967" s="695"/>
      <c r="C967" s="642"/>
      <c r="D967" s="642"/>
      <c r="E967" s="696"/>
      <c r="F967" s="696"/>
      <c r="G967" s="621"/>
      <c r="H967" s="577"/>
      <c r="I967" s="577"/>
      <c r="J967" s="613"/>
      <c r="K967" s="581"/>
      <c r="L967" s="581"/>
      <c r="M967" s="613"/>
      <c r="N967" s="613"/>
      <c r="O967" s="613"/>
      <c r="P967" s="580"/>
      <c r="Q967" s="580"/>
      <c r="R967" s="581"/>
      <c r="S967" s="581"/>
      <c r="T967" s="581"/>
      <c r="U967" s="582"/>
      <c r="V967" s="614"/>
      <c r="W967" s="581"/>
      <c r="X967" s="615"/>
      <c r="Y967" s="613"/>
      <c r="Z967" s="580"/>
      <c r="AA967" s="634"/>
      <c r="AB967" s="577"/>
      <c r="AC967" s="673"/>
      <c r="AD967" s="634"/>
      <c r="AE967" s="587"/>
      <c r="AF967" s="587"/>
      <c r="AG967" s="582"/>
      <c r="AH967" s="582"/>
      <c r="AI967" s="582"/>
      <c r="AJ967" s="582"/>
      <c r="AK967" s="588"/>
      <c r="AL967" s="582"/>
      <c r="AM967" s="582"/>
      <c r="AN967" s="589"/>
      <c r="AO967" s="616"/>
      <c r="AP967" s="592"/>
      <c r="AQ967" s="358"/>
      <c r="AR967" s="592"/>
      <c r="AS967" s="592"/>
      <c r="AT967" s="592"/>
      <c r="AU967" s="592"/>
      <c r="AV967" s="592"/>
      <c r="AW967" s="592"/>
      <c r="AX967" s="592"/>
      <c r="AY967" s="592"/>
      <c r="AZ967" s="592"/>
      <c r="BA967" s="617"/>
      <c r="BB967" s="592"/>
      <c r="BC967" s="592"/>
      <c r="BD967" s="592"/>
      <c r="BE967" s="592"/>
      <c r="BF967" s="592"/>
      <c r="BG967" s="358"/>
      <c r="BH967" s="592"/>
      <c r="BI967" s="592"/>
      <c r="BJ967" s="592"/>
      <c r="BK967" s="592"/>
      <c r="BL967" s="592"/>
      <c r="BM967" s="592"/>
      <c r="BN967" s="592"/>
      <c r="BO967" s="592"/>
      <c r="BP967" s="592"/>
      <c r="BQ967" s="594"/>
      <c r="BR967" s="594"/>
      <c r="BS967" s="394"/>
      <c r="BT967" s="594"/>
      <c r="BU967" s="594"/>
      <c r="BV967" s="594"/>
      <c r="BW967" s="618"/>
      <c r="BX967" s="644"/>
      <c r="BY967" s="644"/>
    </row>
    <row r="968" ht="25.5" customHeight="1">
      <c r="A968" s="635"/>
      <c r="B968" s="695"/>
      <c r="C968" s="642"/>
      <c r="D968" s="642"/>
      <c r="E968" s="696"/>
      <c r="F968" s="696"/>
      <c r="G968" s="621"/>
      <c r="H968" s="577"/>
      <c r="I968" s="577"/>
      <c r="J968" s="613"/>
      <c r="K968" s="581"/>
      <c r="L968" s="581"/>
      <c r="M968" s="613"/>
      <c r="N968" s="613"/>
      <c r="O968" s="613"/>
      <c r="P968" s="580"/>
      <c r="Q968" s="580"/>
      <c r="R968" s="581"/>
      <c r="S968" s="581"/>
      <c r="T968" s="581"/>
      <c r="U968" s="582"/>
      <c r="V968" s="614"/>
      <c r="W968" s="581"/>
      <c r="X968" s="615"/>
      <c r="Y968" s="613"/>
      <c r="Z968" s="580"/>
      <c r="AA968" s="634"/>
      <c r="AB968" s="577"/>
      <c r="AC968" s="673"/>
      <c r="AD968" s="634"/>
      <c r="AE968" s="587"/>
      <c r="AF968" s="587"/>
      <c r="AG968" s="582"/>
      <c r="AH968" s="582"/>
      <c r="AI968" s="582"/>
      <c r="AJ968" s="582"/>
      <c r="AK968" s="588"/>
      <c r="AL968" s="582"/>
      <c r="AM968" s="582"/>
      <c r="AN968" s="589"/>
      <c r="AO968" s="616"/>
      <c r="AP968" s="592"/>
      <c r="AQ968" s="358"/>
      <c r="AR968" s="592"/>
      <c r="AS968" s="592"/>
      <c r="AT968" s="592"/>
      <c r="AU968" s="592"/>
      <c r="AV968" s="592"/>
      <c r="AW968" s="592"/>
      <c r="AX968" s="592"/>
      <c r="AY968" s="592"/>
      <c r="AZ968" s="592"/>
      <c r="BA968" s="617"/>
      <c r="BB968" s="592"/>
      <c r="BC968" s="592"/>
      <c r="BD968" s="592"/>
      <c r="BE968" s="592"/>
      <c r="BF968" s="592"/>
      <c r="BG968" s="358"/>
      <c r="BH968" s="592"/>
      <c r="BI968" s="592"/>
      <c r="BJ968" s="592"/>
      <c r="BK968" s="592"/>
      <c r="BL968" s="592"/>
      <c r="BM968" s="592"/>
      <c r="BN968" s="592"/>
      <c r="BO968" s="592"/>
      <c r="BP968" s="592"/>
      <c r="BQ968" s="594"/>
      <c r="BR968" s="594"/>
      <c r="BS968" s="394"/>
      <c r="BT968" s="594"/>
      <c r="BU968" s="594"/>
      <c r="BV968" s="594"/>
      <c r="BW968" s="618"/>
      <c r="BX968" s="644"/>
      <c r="BY968" s="644"/>
    </row>
    <row r="969" ht="25.5" customHeight="1">
      <c r="A969" s="635"/>
      <c r="B969" s="695"/>
      <c r="C969" s="642"/>
      <c r="D969" s="642"/>
      <c r="E969" s="696"/>
      <c r="F969" s="696"/>
      <c r="G969" s="621"/>
      <c r="H969" s="577"/>
      <c r="I969" s="577"/>
      <c r="J969" s="613"/>
      <c r="K969" s="581"/>
      <c r="L969" s="581"/>
      <c r="M969" s="613"/>
      <c r="N969" s="613"/>
      <c r="O969" s="613"/>
      <c r="P969" s="580"/>
      <c r="Q969" s="580"/>
      <c r="R969" s="581"/>
      <c r="S969" s="581"/>
      <c r="T969" s="581"/>
      <c r="U969" s="582"/>
      <c r="V969" s="614"/>
      <c r="W969" s="581"/>
      <c r="X969" s="615"/>
      <c r="Y969" s="613"/>
      <c r="Z969" s="580"/>
      <c r="AA969" s="634"/>
      <c r="AB969" s="577"/>
      <c r="AC969" s="673"/>
      <c r="AD969" s="634"/>
      <c r="AE969" s="587"/>
      <c r="AF969" s="587"/>
      <c r="AG969" s="582"/>
      <c r="AH969" s="582"/>
      <c r="AI969" s="582"/>
      <c r="AJ969" s="582"/>
      <c r="AK969" s="588"/>
      <c r="AL969" s="582"/>
      <c r="AM969" s="582"/>
      <c r="AN969" s="589"/>
      <c r="AO969" s="616"/>
      <c r="AP969" s="592"/>
      <c r="AQ969" s="358"/>
      <c r="AR969" s="592"/>
      <c r="AS969" s="592"/>
      <c r="AT969" s="592"/>
      <c r="AU969" s="592"/>
      <c r="AV969" s="592"/>
      <c r="AW969" s="592"/>
      <c r="AX969" s="592"/>
      <c r="AY969" s="592"/>
      <c r="AZ969" s="592"/>
      <c r="BA969" s="617"/>
      <c r="BB969" s="592"/>
      <c r="BC969" s="592"/>
      <c r="BD969" s="592"/>
      <c r="BE969" s="592"/>
      <c r="BF969" s="592"/>
      <c r="BG969" s="358"/>
      <c r="BH969" s="592"/>
      <c r="BI969" s="592"/>
      <c r="BJ969" s="592"/>
      <c r="BK969" s="592"/>
      <c r="BL969" s="592"/>
      <c r="BM969" s="592"/>
      <c r="BN969" s="592"/>
      <c r="BO969" s="592"/>
      <c r="BP969" s="592"/>
      <c r="BQ969" s="594"/>
      <c r="BR969" s="594"/>
      <c r="BS969" s="394"/>
      <c r="BT969" s="594"/>
      <c r="BU969" s="594"/>
      <c r="BV969" s="594"/>
      <c r="BW969" s="618"/>
      <c r="BX969" s="644"/>
      <c r="BY969" s="644"/>
    </row>
    <row r="970" ht="25.5" customHeight="1">
      <c r="A970" s="635"/>
      <c r="B970" s="695"/>
      <c r="C970" s="642"/>
      <c r="D970" s="642"/>
      <c r="E970" s="574"/>
      <c r="F970" s="696"/>
      <c r="G970" s="621"/>
      <c r="H970" s="577"/>
      <c r="I970" s="577"/>
      <c r="J970" s="613"/>
      <c r="K970" s="581"/>
      <c r="L970" s="581"/>
      <c r="M970" s="613"/>
      <c r="N970" s="613"/>
      <c r="O970" s="613"/>
      <c r="P970" s="580"/>
      <c r="Q970" s="580"/>
      <c r="R970" s="581"/>
      <c r="S970" s="581"/>
      <c r="T970" s="581"/>
      <c r="U970" s="582"/>
      <c r="V970" s="614"/>
      <c r="W970" s="581"/>
      <c r="X970" s="615"/>
      <c r="Y970" s="613"/>
      <c r="Z970" s="580"/>
      <c r="AA970" s="634"/>
      <c r="AB970" s="577"/>
      <c r="AC970" s="673"/>
      <c r="AD970" s="634"/>
      <c r="AE970" s="587"/>
      <c r="AF970" s="587"/>
      <c r="AG970" s="582"/>
      <c r="AH970" s="582"/>
      <c r="AI970" s="582"/>
      <c r="AJ970" s="582"/>
      <c r="AK970" s="588"/>
      <c r="AL970" s="582"/>
      <c r="AM970" s="582"/>
      <c r="AN970" s="589"/>
      <c r="AO970" s="616"/>
      <c r="AP970" s="592"/>
      <c r="AQ970" s="358"/>
      <c r="AR970" s="592"/>
      <c r="AS970" s="592"/>
      <c r="AT970" s="592"/>
      <c r="AU970" s="592"/>
      <c r="AV970" s="592"/>
      <c r="AW970" s="592"/>
      <c r="AX970" s="592"/>
      <c r="AY970" s="592"/>
      <c r="AZ970" s="592"/>
      <c r="BA970" s="617"/>
      <c r="BB970" s="592"/>
      <c r="BC970" s="592"/>
      <c r="BD970" s="592"/>
      <c r="BE970" s="592"/>
      <c r="BF970" s="592"/>
      <c r="BG970" s="358"/>
      <c r="BH970" s="592"/>
      <c r="BI970" s="592"/>
      <c r="BJ970" s="592"/>
      <c r="BK970" s="592"/>
      <c r="BL970" s="592"/>
      <c r="BM970" s="592"/>
      <c r="BN970" s="592"/>
      <c r="BO970" s="592"/>
      <c r="BP970" s="592"/>
      <c r="BQ970" s="594"/>
      <c r="BR970" s="594"/>
      <c r="BS970" s="394"/>
      <c r="BT970" s="594"/>
      <c r="BU970" s="594"/>
      <c r="BV970" s="594"/>
      <c r="BW970" s="618"/>
      <c r="BX970" s="644"/>
      <c r="BY970" s="644"/>
    </row>
  </sheetData>
  <autoFilter ref="$A$15:$CF$436"/>
  <conditionalFormatting sqref="AM11 AP11:AT11 AV11:BV11">
    <cfRule type="colorScale" priority="1">
      <colorScale>
        <cfvo type="min"/>
        <cfvo type="percentile" val="50"/>
        <cfvo type="max"/>
        <color rgb="FFF3F3F3"/>
        <color rgb="FFFFE599"/>
        <color rgb="FFD5A6BD"/>
      </colorScale>
    </cfRule>
  </conditionalFormatting>
  <conditionalFormatting sqref="AO3:BV3">
    <cfRule type="colorScale" priority="2">
      <colorScale>
        <cfvo type="formula" val="-1000"/>
        <cfvo type="formula" val="0"/>
        <cfvo type="formula" val="5000"/>
        <color rgb="FFE67C73"/>
        <color rgb="FFFFFFFF"/>
        <color rgb="FF57BB8A"/>
      </colorScale>
    </cfRule>
  </conditionalFormatting>
  <conditionalFormatting sqref="AO2:AT2 AV2:BV2">
    <cfRule type="colorScale" priority="3">
      <colorScale>
        <cfvo type="formula" val="-0.3"/>
        <cfvo type="formula" val="0"/>
        <cfvo type="formula" val="1"/>
        <color rgb="FF980000"/>
        <color rgb="FFFFFFFF"/>
        <color rgb="FF6AA84F"/>
      </colorScale>
    </cfRule>
  </conditionalFormatting>
  <conditionalFormatting sqref="I12:J14">
    <cfRule type="expression" dxfId="1" priority="4">
      <formula>0</formula>
    </cfRule>
  </conditionalFormatting>
  <hyperlinks>
    <hyperlink r:id="rId1" ref="Y3"/>
    <hyperlink r:id="rId2" location="/arbitrum/swap?from=0xaf88d065e77c8cc2239327c5edb3a432268e5831&amp;to=0xfea7a6a0b346362bf88a9e4a88416b77a57d6c2a" ref="X6"/>
    <hyperlink r:id="rId3" ref="Y6"/>
    <hyperlink r:id="rId4" ref="T7"/>
    <hyperlink r:id="rId5" location="/pool/2/42161" ref="X7"/>
    <hyperlink r:id="rId6" ref="Y7"/>
    <hyperlink r:id="rId7" ref="AW7"/>
    <hyperlink r:id="rId8" ref="BA7"/>
    <hyperlink r:id="rId9" ref="BB7"/>
    <hyperlink r:id="rId10" ref="BD7"/>
    <hyperlink r:id="rId11" ref="BE7"/>
    <hyperlink r:id="rId12" ref="BH7"/>
    <hyperlink r:id="rId13" ref="BI7"/>
    <hyperlink r:id="rId14" ref="BN7"/>
    <hyperlink r:id="rId15" ref="BS7"/>
    <hyperlink r:id="rId16" ref="L8"/>
    <hyperlink r:id="rId17" ref="M8"/>
    <hyperlink r:id="rId18" ref="N8"/>
    <hyperlink r:id="rId19" location="/42161/simple/swap/SPELL/USDT" ref="X8"/>
    <hyperlink r:id="rId20" ref="Z8"/>
    <hyperlink r:id="rId21" ref="BI8"/>
    <hyperlink r:id="rId22" ref="F14"/>
    <hyperlink r:id="rId23" ref="AG14"/>
    <hyperlink r:id="rId24" ref="AH14"/>
    <hyperlink r:id="rId25" ref="BZ16"/>
    <hyperlink r:id="rId26" ref="BZ17"/>
    <hyperlink r:id="rId27" ref="BZ18"/>
    <hyperlink r:id="rId28" ref="BZ19"/>
    <hyperlink r:id="rId29" ref="BZ20"/>
    <hyperlink r:id="rId30" ref="BZ21"/>
    <hyperlink r:id="rId31" ref="BZ22"/>
    <hyperlink r:id="rId32" ref="BZ23"/>
    <hyperlink r:id="rId33" ref="BZ24"/>
    <hyperlink r:id="rId34" ref="BZ25"/>
    <hyperlink r:id="rId35" ref="BZ26"/>
    <hyperlink r:id="rId36" ref="BZ27"/>
    <hyperlink r:id="rId37" ref="BZ28"/>
    <hyperlink r:id="rId38" ref="BZ30"/>
    <hyperlink r:id="rId39" ref="BZ31"/>
    <hyperlink r:id="rId40" ref="BZ32"/>
    <hyperlink r:id="rId41" ref="BZ33"/>
    <hyperlink r:id="rId42" ref="BZ34"/>
    <hyperlink r:id="rId43" ref="BZ35"/>
    <hyperlink r:id="rId44" ref="BZ37"/>
    <hyperlink r:id="rId45" ref="BZ38"/>
    <hyperlink r:id="rId46" ref="BZ40"/>
    <hyperlink r:id="rId47" ref="BZ42"/>
    <hyperlink r:id="rId48" ref="BZ43"/>
    <hyperlink r:id="rId49" ref="BZ45"/>
    <hyperlink r:id="rId50" ref="BZ46"/>
    <hyperlink r:id="rId51" ref="BZ47"/>
    <hyperlink r:id="rId52" ref="BZ52"/>
    <hyperlink r:id="rId53" ref="BZ54"/>
    <hyperlink r:id="rId54" ref="BZ59"/>
    <hyperlink r:id="rId55" ref="CA59"/>
    <hyperlink r:id="rId56" ref="BZ60"/>
    <hyperlink r:id="rId57" ref="BZ64"/>
    <hyperlink r:id="rId58" ref="BZ65"/>
    <hyperlink r:id="rId59" ref="CA65"/>
    <hyperlink r:id="rId60" ref="CB65"/>
    <hyperlink r:id="rId61" ref="BZ67"/>
    <hyperlink r:id="rId62" ref="BZ68"/>
    <hyperlink r:id="rId63" ref="BZ72"/>
    <hyperlink r:id="rId64" ref="BZ75"/>
    <hyperlink r:id="rId65" ref="CA75"/>
    <hyperlink r:id="rId66" ref="BZ76"/>
    <hyperlink r:id="rId67" ref="BZ77"/>
    <hyperlink r:id="rId68" ref="BZ78"/>
    <hyperlink r:id="rId69" ref="BZ79"/>
    <hyperlink r:id="rId70" ref="BZ80"/>
    <hyperlink r:id="rId71" ref="BZ81"/>
    <hyperlink r:id="rId72" ref="BZ82"/>
    <hyperlink r:id="rId73" ref="BZ83"/>
    <hyperlink r:id="rId74" ref="BZ84"/>
    <hyperlink r:id="rId75" ref="BZ87"/>
    <hyperlink r:id="rId76" ref="BZ88"/>
    <hyperlink r:id="rId77" ref="BZ89"/>
    <hyperlink r:id="rId78" ref="BZ90"/>
    <hyperlink r:id="rId79" ref="BZ97"/>
    <hyperlink r:id="rId80" ref="BY98"/>
    <hyperlink r:id="rId81" ref="BZ99"/>
    <hyperlink r:id="rId82" ref="BZ100"/>
    <hyperlink r:id="rId83" ref="BZ101"/>
    <hyperlink r:id="rId84" ref="BZ105"/>
    <hyperlink r:id="rId85" ref="BZ107"/>
    <hyperlink r:id="rId86" ref="BZ112"/>
    <hyperlink r:id="rId87" ref="CA112"/>
    <hyperlink r:id="rId88" ref="BZ117"/>
    <hyperlink r:id="rId89" ref="BZ118"/>
    <hyperlink r:id="rId90" ref="BZ126"/>
    <hyperlink r:id="rId91" ref="BZ129"/>
    <hyperlink r:id="rId92" ref="BZ135"/>
    <hyperlink r:id="rId93" ref="BZ140"/>
    <hyperlink r:id="rId94" ref="BZ141"/>
    <hyperlink r:id="rId95" ref="BZ142"/>
    <hyperlink r:id="rId96" ref="BZ144"/>
    <hyperlink r:id="rId97" ref="BZ149"/>
    <hyperlink r:id="rId98" ref="BZ150"/>
    <hyperlink r:id="rId99" ref="BZ151"/>
    <hyperlink r:id="rId100" ref="BZ152"/>
    <hyperlink r:id="rId101" ref="BZ153"/>
    <hyperlink r:id="rId102" ref="BZ154"/>
    <hyperlink r:id="rId103" ref="BZ155"/>
    <hyperlink r:id="rId104" ref="BZ156"/>
    <hyperlink r:id="rId105" ref="BZ158"/>
    <hyperlink r:id="rId106" ref="BZ165"/>
    <hyperlink r:id="rId107" ref="BZ166"/>
    <hyperlink r:id="rId108" ref="BZ167"/>
    <hyperlink r:id="rId109" ref="BZ170"/>
    <hyperlink r:id="rId110" ref="BZ171"/>
    <hyperlink r:id="rId111" ref="CA171"/>
    <hyperlink r:id="rId112" ref="CB171"/>
    <hyperlink r:id="rId113" ref="BZ173"/>
    <hyperlink r:id="rId114" ref="BZ175"/>
    <hyperlink r:id="rId115" ref="BZ176"/>
    <hyperlink r:id="rId116" ref="BZ177"/>
    <hyperlink r:id="rId117" ref="BZ178"/>
    <hyperlink r:id="rId118" ref="BZ179"/>
    <hyperlink r:id="rId119" ref="BZ184"/>
    <hyperlink r:id="rId120" ref="BZ185"/>
    <hyperlink r:id="rId121" ref="BZ186"/>
    <hyperlink r:id="rId122" ref="BZ187"/>
    <hyperlink r:id="rId123" ref="BZ188"/>
    <hyperlink r:id="rId124" ref="BZ195"/>
    <hyperlink r:id="rId125" ref="BZ196"/>
    <hyperlink r:id="rId126" ref="CA196"/>
    <hyperlink r:id="rId127" ref="BZ197"/>
    <hyperlink r:id="rId128" ref="BZ198"/>
    <hyperlink r:id="rId129" ref="CA198"/>
    <hyperlink r:id="rId130" ref="BZ199"/>
    <hyperlink r:id="rId131" ref="BZ200"/>
    <hyperlink r:id="rId132" ref="BZ201"/>
    <hyperlink r:id="rId133" ref="BZ203"/>
    <hyperlink r:id="rId134" ref="BZ204"/>
    <hyperlink r:id="rId135" ref="BZ206"/>
    <hyperlink r:id="rId136" ref="BZ207"/>
    <hyperlink r:id="rId137" ref="BZ208"/>
    <hyperlink r:id="rId138" ref="BZ209"/>
    <hyperlink r:id="rId139" ref="BZ211"/>
    <hyperlink r:id="rId140" ref="BZ212"/>
    <hyperlink r:id="rId141" ref="BZ216"/>
    <hyperlink r:id="rId142" ref="BZ217"/>
    <hyperlink r:id="rId143" ref="BZ219"/>
    <hyperlink r:id="rId144" ref="BZ223"/>
    <hyperlink r:id="rId145" ref="CA223"/>
    <hyperlink r:id="rId146" ref="CB223"/>
    <hyperlink r:id="rId147" ref="BZ232"/>
    <hyperlink r:id="rId148" ref="BZ233"/>
    <hyperlink r:id="rId149" ref="BZ236"/>
    <hyperlink r:id="rId150" ref="CA236"/>
    <hyperlink r:id="rId151" ref="CB236"/>
    <hyperlink r:id="rId152" ref="BZ237"/>
    <hyperlink r:id="rId153" ref="BZ238"/>
    <hyperlink r:id="rId154" ref="BZ242"/>
    <hyperlink r:id="rId155" ref="CA242"/>
    <hyperlink r:id="rId156" ref="BZ243"/>
    <hyperlink r:id="rId157" ref="BZ244"/>
    <hyperlink r:id="rId158" ref="CA244"/>
    <hyperlink r:id="rId159" ref="BZ250"/>
    <hyperlink r:id="rId160" ref="BZ251"/>
    <hyperlink r:id="rId161" ref="BZ252"/>
    <hyperlink r:id="rId162" ref="BZ255"/>
    <hyperlink r:id="rId163" ref="CA255"/>
    <hyperlink r:id="rId164" ref="BZ256"/>
    <hyperlink r:id="rId165" ref="BZ257"/>
    <hyperlink r:id="rId166" ref="BZ258"/>
    <hyperlink r:id="rId167" ref="BZ259"/>
    <hyperlink r:id="rId168" ref="BZ262"/>
    <hyperlink r:id="rId169" ref="BZ263"/>
    <hyperlink r:id="rId170" ref="BZ264"/>
    <hyperlink r:id="rId171" ref="BZ265"/>
    <hyperlink r:id="rId172" ref="BZ266"/>
    <hyperlink r:id="rId173" ref="BZ268"/>
    <hyperlink r:id="rId174" ref="BZ272"/>
    <hyperlink r:id="rId175" ref="BZ273"/>
    <hyperlink r:id="rId176" ref="BZ274"/>
    <hyperlink r:id="rId177" ref="BZ275"/>
    <hyperlink r:id="rId178" ref="BZ276"/>
    <hyperlink r:id="rId179" ref="BZ287"/>
    <hyperlink r:id="rId180" ref="BZ288"/>
    <hyperlink r:id="rId181" ref="BZ289"/>
    <hyperlink r:id="rId182" ref="CA289"/>
    <hyperlink r:id="rId183" ref="BZ291"/>
    <hyperlink r:id="rId184" ref="BZ292"/>
    <hyperlink r:id="rId185" ref="CC295"/>
    <hyperlink r:id="rId186" ref="BZ296"/>
    <hyperlink r:id="rId187" ref="BZ297"/>
    <hyperlink r:id="rId188" ref="BZ302"/>
    <hyperlink r:id="rId189" ref="BZ303"/>
    <hyperlink r:id="rId190" ref="BZ306"/>
    <hyperlink r:id="rId191" ref="BZ309"/>
    <hyperlink r:id="rId192" ref="BZ310"/>
    <hyperlink r:id="rId193" ref="BZ312"/>
    <hyperlink r:id="rId194" ref="BZ316"/>
    <hyperlink r:id="rId195" ref="BZ317"/>
    <hyperlink r:id="rId196" ref="BZ318"/>
    <hyperlink r:id="rId197" ref="CA318"/>
    <hyperlink r:id="rId198" ref="BZ319"/>
    <hyperlink r:id="rId199" ref="BZ323"/>
    <hyperlink r:id="rId200" ref="CA323"/>
    <hyperlink r:id="rId201" ref="BZ325"/>
    <hyperlink r:id="rId202" ref="BZ326"/>
    <hyperlink r:id="rId203" ref="BZ327"/>
    <hyperlink r:id="rId204" ref="BZ328"/>
    <hyperlink r:id="rId205" ref="CA328"/>
    <hyperlink r:id="rId206" ref="BZ330"/>
    <hyperlink r:id="rId207" ref="BZ331"/>
    <hyperlink r:id="rId208" ref="CA331"/>
    <hyperlink r:id="rId209" ref="BZ332"/>
    <hyperlink r:id="rId210" ref="BZ334"/>
    <hyperlink r:id="rId211" ref="CA334"/>
    <hyperlink r:id="rId212" ref="BZ335"/>
    <hyperlink r:id="rId213" ref="BZ338"/>
    <hyperlink r:id="rId214" ref="BZ339"/>
    <hyperlink r:id="rId215" ref="CA339"/>
    <hyperlink r:id="rId216" ref="CB339"/>
    <hyperlink r:id="rId217" ref="BZ340"/>
    <hyperlink r:id="rId218" ref="BZ342"/>
    <hyperlink r:id="rId219" ref="CA342"/>
    <hyperlink r:id="rId220" ref="BZ343"/>
    <hyperlink r:id="rId221" ref="CA343"/>
    <hyperlink r:id="rId222" ref="BZ345"/>
    <hyperlink r:id="rId223" ref="BZ347"/>
    <hyperlink r:id="rId224" ref="CA347"/>
    <hyperlink r:id="rId225" ref="BZ350"/>
    <hyperlink r:id="rId226" ref="BZ352"/>
    <hyperlink r:id="rId227" ref="BZ353"/>
    <hyperlink r:id="rId228" ref="BZ355"/>
    <hyperlink r:id="rId229" ref="CA355"/>
    <hyperlink r:id="rId230" ref="CB355"/>
    <hyperlink r:id="rId231" ref="BZ356"/>
    <hyperlink r:id="rId232" ref="CA356"/>
    <hyperlink r:id="rId233" ref="CD356"/>
    <hyperlink r:id="rId234" ref="CE356"/>
    <hyperlink r:id="rId235" ref="BZ357"/>
    <hyperlink r:id="rId236" ref="BZ358"/>
    <hyperlink r:id="rId237" ref="CA358"/>
    <hyperlink r:id="rId238" ref="BZ359"/>
    <hyperlink r:id="rId239" ref="CA359"/>
    <hyperlink r:id="rId240" ref="CB359"/>
    <hyperlink r:id="rId241" ref="BZ363"/>
    <hyperlink r:id="rId242" ref="BZ364"/>
    <hyperlink r:id="rId243" ref="BZ365"/>
    <hyperlink r:id="rId244" ref="CA365"/>
    <hyperlink r:id="rId245" ref="BZ366"/>
    <hyperlink r:id="rId246" ref="CA366"/>
    <hyperlink r:id="rId247" ref="CB366"/>
    <hyperlink r:id="rId248" ref="CC366"/>
    <hyperlink r:id="rId249" ref="BZ367"/>
    <hyperlink r:id="rId250" ref="BZ369"/>
    <hyperlink r:id="rId251" ref="BZ370"/>
    <hyperlink r:id="rId252" ref="CA370"/>
    <hyperlink r:id="rId253" ref="BZ371"/>
    <hyperlink r:id="rId254" ref="CA371"/>
    <hyperlink r:id="rId255" ref="CB371"/>
    <hyperlink r:id="rId256" ref="BZ372"/>
    <hyperlink r:id="rId257" ref="CA372"/>
    <hyperlink r:id="rId258" ref="CB372"/>
    <hyperlink r:id="rId259" ref="BZ373"/>
    <hyperlink r:id="rId260" ref="BZ375"/>
    <hyperlink r:id="rId261" ref="CA375"/>
    <hyperlink r:id="rId262" ref="CB375"/>
    <hyperlink r:id="rId263" ref="BZ376"/>
    <hyperlink r:id="rId264" ref="BZ379"/>
    <hyperlink r:id="rId265" ref="BZ380"/>
    <hyperlink r:id="rId266" ref="BZ383"/>
    <hyperlink r:id="rId267" ref="BZ384"/>
    <hyperlink r:id="rId268" ref="BZ385"/>
    <hyperlink r:id="rId269" ref="BZ386"/>
    <hyperlink r:id="rId270" ref="BZ387"/>
    <hyperlink r:id="rId271" ref="BZ388"/>
    <hyperlink r:id="rId272" ref="BZ392"/>
    <hyperlink r:id="rId273" ref="BZ393"/>
    <hyperlink r:id="rId274" ref="BZ395"/>
    <hyperlink r:id="rId275" ref="BZ397"/>
    <hyperlink r:id="rId276" ref="BZ398"/>
    <hyperlink r:id="rId277" ref="BZ401"/>
    <hyperlink r:id="rId278" ref="BZ404"/>
    <hyperlink r:id="rId279" ref="BZ405"/>
    <hyperlink r:id="rId280" ref="BZ413"/>
    <hyperlink r:id="rId281" ref="BZ414"/>
    <hyperlink r:id="rId282" ref="BZ416"/>
  </hyperlinks>
  <drawing r:id="rId28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17.0"/>
    <col customWidth="1" min="3" max="3" width="7.89"/>
    <col customWidth="1" min="4" max="4" width="4.22"/>
  </cols>
  <sheetData>
    <row r="1">
      <c r="A1" s="716" t="s">
        <v>570</v>
      </c>
      <c r="B1" s="717"/>
      <c r="C1" s="718"/>
      <c r="D1" s="719" t="s">
        <v>571</v>
      </c>
      <c r="E1" s="720"/>
      <c r="F1" s="721" t="s">
        <v>572</v>
      </c>
      <c r="G1" s="722"/>
      <c r="H1" s="449" t="s">
        <v>55</v>
      </c>
      <c r="I1" s="723"/>
      <c r="J1" s="724"/>
      <c r="K1" s="720"/>
      <c r="L1" s="720"/>
      <c r="M1" s="720"/>
      <c r="N1" s="720"/>
      <c r="O1" s="720"/>
      <c r="P1" s="720"/>
      <c r="Q1" s="720"/>
      <c r="R1" s="720"/>
      <c r="S1" s="720"/>
      <c r="T1" s="720"/>
      <c r="U1" s="720"/>
      <c r="V1" s="720"/>
      <c r="W1" s="720"/>
    </row>
    <row r="2">
      <c r="A2" s="725">
        <f>G6+I6+E6</f>
        <v>29458.08</v>
      </c>
      <c r="B2" s="717"/>
      <c r="C2" s="726"/>
      <c r="D2" s="719" t="s">
        <v>573</v>
      </c>
      <c r="E2" s="423"/>
      <c r="F2" s="727" t="s">
        <v>574</v>
      </c>
      <c r="G2" s="723"/>
      <c r="H2" s="423"/>
      <c r="I2" s="723"/>
      <c r="J2" s="728"/>
      <c r="K2" s="423"/>
      <c r="L2" s="423"/>
      <c r="M2" s="423"/>
      <c r="N2" s="423"/>
      <c r="O2" s="423"/>
      <c r="P2" s="423"/>
      <c r="Q2" s="423"/>
      <c r="R2" s="423"/>
      <c r="S2" s="423"/>
      <c r="T2" s="423"/>
      <c r="U2" s="423"/>
      <c r="V2" s="423"/>
      <c r="W2" s="423"/>
    </row>
    <row r="3">
      <c r="A3" s="729"/>
      <c r="B3" s="717"/>
      <c r="C3" s="726"/>
      <c r="D3" s="719" t="s">
        <v>575</v>
      </c>
      <c r="E3" s="449">
        <v>1.0</v>
      </c>
      <c r="F3" s="727" t="s">
        <v>576</v>
      </c>
      <c r="G3" s="730">
        <f>IntelligentData!C31</f>
        <v>23.35779127</v>
      </c>
      <c r="H3" s="727" t="s">
        <v>576</v>
      </c>
      <c r="I3" s="731">
        <v>8.0</v>
      </c>
      <c r="J3" s="728"/>
      <c r="K3" s="423"/>
      <c r="L3" s="423"/>
      <c r="M3" s="423"/>
      <c r="N3" s="423"/>
      <c r="O3" s="423"/>
      <c r="P3" s="423"/>
      <c r="Q3" s="423"/>
      <c r="R3" s="423"/>
      <c r="S3" s="423"/>
      <c r="T3" s="423"/>
      <c r="U3" s="423"/>
      <c r="V3" s="423"/>
      <c r="W3" s="423"/>
    </row>
    <row r="4">
      <c r="A4" s="729"/>
      <c r="B4" s="717"/>
      <c r="C4" s="726"/>
      <c r="D4" s="719" t="s">
        <v>577</v>
      </c>
      <c r="E4" s="423">
        <f>SUM(E11:E1003)</f>
        <v>3702</v>
      </c>
      <c r="F4" s="727" t="s">
        <v>578</v>
      </c>
      <c r="G4" s="732">
        <f>SUM(G11:G1003)</f>
        <v>-0.00000002999991011</v>
      </c>
      <c r="H4" s="727" t="s">
        <v>578</v>
      </c>
      <c r="I4" s="733">
        <f>SUM(I11:I1003)</f>
        <v>3219.51</v>
      </c>
      <c r="J4" s="728"/>
      <c r="K4" s="423"/>
      <c r="L4" s="423"/>
      <c r="M4" s="423"/>
      <c r="N4" s="423"/>
      <c r="O4" s="423"/>
      <c r="P4" s="423"/>
      <c r="Q4" s="423"/>
      <c r="R4" s="423"/>
      <c r="S4" s="423"/>
      <c r="T4" s="423"/>
      <c r="U4" s="423"/>
      <c r="V4" s="423"/>
      <c r="W4" s="423"/>
    </row>
    <row r="5">
      <c r="A5" s="734"/>
      <c r="B5" s="735"/>
      <c r="C5" s="726"/>
      <c r="D5" s="719"/>
      <c r="E5" s="736"/>
      <c r="F5" s="737"/>
      <c r="G5" s="738"/>
      <c r="H5" s="737" t="s">
        <v>579</v>
      </c>
      <c r="I5" s="738">
        <f>SUM(H12:H1000)</f>
        <v>20110</v>
      </c>
      <c r="J5" s="739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</row>
    <row r="6">
      <c r="A6" s="734"/>
      <c r="B6" s="735"/>
      <c r="C6" s="726"/>
      <c r="D6" s="719" t="s">
        <v>580</v>
      </c>
      <c r="E6" s="736">
        <f>E3*E4</f>
        <v>3702</v>
      </c>
      <c r="F6" s="737" t="s">
        <v>581</v>
      </c>
      <c r="G6" s="738">
        <f>G3*G4</f>
        <v>-0.0000007007316385</v>
      </c>
      <c r="H6" s="737" t="s">
        <v>581</v>
      </c>
      <c r="I6" s="738">
        <f>I3*I4</f>
        <v>25756.08</v>
      </c>
      <c r="J6" s="739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</row>
    <row r="7">
      <c r="A7" s="729"/>
      <c r="B7" s="717"/>
      <c r="C7" s="726"/>
      <c r="D7" s="719"/>
      <c r="E7" s="449"/>
      <c r="F7" s="727" t="s">
        <v>582</v>
      </c>
      <c r="G7" s="730"/>
      <c r="H7" s="727"/>
      <c r="I7" s="730"/>
      <c r="J7" s="728"/>
      <c r="K7" s="423"/>
      <c r="L7" s="423"/>
      <c r="M7" s="423"/>
      <c r="N7" s="423"/>
      <c r="O7" s="423"/>
      <c r="P7" s="423"/>
      <c r="Q7" s="423"/>
      <c r="R7" s="423"/>
      <c r="S7" s="423"/>
      <c r="T7" s="423"/>
      <c r="U7" s="423"/>
      <c r="V7" s="423"/>
      <c r="W7" s="423"/>
    </row>
    <row r="8">
      <c r="A8" s="729"/>
      <c r="B8" s="717"/>
      <c r="C8" s="726"/>
      <c r="D8" s="719" t="s">
        <v>583</v>
      </c>
      <c r="E8" s="449">
        <v>4900.0</v>
      </c>
      <c r="F8" s="727" t="s">
        <v>583</v>
      </c>
      <c r="G8" s="730">
        <f>sum(F12:F1002)/G4</f>
        <v>0</v>
      </c>
      <c r="H8" s="727" t="s">
        <v>583</v>
      </c>
      <c r="I8" s="730">
        <f>I5/I4</f>
        <v>6.246292138</v>
      </c>
      <c r="J8" s="728"/>
      <c r="K8" s="423"/>
      <c r="L8" s="423"/>
      <c r="M8" s="423"/>
      <c r="N8" s="423"/>
      <c r="O8" s="423"/>
      <c r="P8" s="423"/>
      <c r="Q8" s="423"/>
      <c r="R8" s="423"/>
      <c r="S8" s="423"/>
      <c r="T8" s="423"/>
      <c r="U8" s="423"/>
      <c r="V8" s="423"/>
      <c r="W8" s="423"/>
    </row>
    <row r="9" ht="10.5" customHeight="1">
      <c r="A9" s="740"/>
      <c r="B9" s="741"/>
      <c r="C9" s="742"/>
      <c r="D9" s="743" t="s">
        <v>584</v>
      </c>
      <c r="E9" s="744" t="s">
        <v>585</v>
      </c>
      <c r="F9" s="745"/>
      <c r="G9" s="746" t="s">
        <v>585</v>
      </c>
      <c r="H9" s="747"/>
      <c r="I9" s="746" t="s">
        <v>586</v>
      </c>
      <c r="J9" s="748"/>
      <c r="K9" s="749"/>
      <c r="L9" s="749"/>
      <c r="M9" s="749"/>
      <c r="N9" s="749"/>
      <c r="O9" s="749"/>
      <c r="P9" s="749"/>
      <c r="Q9" s="749"/>
      <c r="R9" s="749"/>
      <c r="S9" s="749"/>
      <c r="T9" s="749"/>
      <c r="U9" s="749"/>
      <c r="V9" s="749"/>
      <c r="W9" s="749"/>
    </row>
    <row r="10">
      <c r="B10" s="750"/>
      <c r="D10" s="751" t="s">
        <v>587</v>
      </c>
      <c r="E10" s="449" t="s">
        <v>31</v>
      </c>
      <c r="F10" s="747"/>
      <c r="G10" s="752" t="s">
        <v>53</v>
      </c>
      <c r="H10" s="747"/>
      <c r="I10" s="752" t="s">
        <v>55</v>
      </c>
      <c r="J10" s="728"/>
      <c r="K10" s="423"/>
      <c r="L10" s="423"/>
      <c r="M10" s="423"/>
      <c r="N10" s="423"/>
      <c r="O10" s="423"/>
      <c r="P10" s="423"/>
      <c r="Q10" s="423"/>
      <c r="R10" s="423"/>
      <c r="S10" s="423"/>
      <c r="T10" s="423"/>
      <c r="U10" s="423"/>
      <c r="V10" s="423"/>
      <c r="W10" s="423"/>
    </row>
    <row r="11">
      <c r="A11" s="753" t="s">
        <v>588</v>
      </c>
      <c r="B11" s="754" t="s">
        <v>589</v>
      </c>
      <c r="C11" s="755" t="s">
        <v>590</v>
      </c>
      <c r="D11" s="756"/>
      <c r="E11" s="757"/>
      <c r="F11" s="758" t="s">
        <v>591</v>
      </c>
      <c r="G11" s="759" t="s">
        <v>592</v>
      </c>
      <c r="H11" s="757" t="s">
        <v>591</v>
      </c>
      <c r="I11" s="759" t="s">
        <v>592</v>
      </c>
      <c r="J11" s="760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2"/>
    </row>
    <row r="12" ht="19.5" customHeight="1">
      <c r="A12" s="729">
        <v>45628.428564814814</v>
      </c>
      <c r="B12" s="741" t="s">
        <v>593</v>
      </c>
      <c r="C12" s="763"/>
      <c r="D12" s="763"/>
      <c r="E12" s="449">
        <v>4900.0</v>
      </c>
      <c r="F12" s="764"/>
      <c r="G12" s="765"/>
      <c r="H12" s="423"/>
      <c r="I12" s="765"/>
      <c r="J12" s="728"/>
      <c r="K12" s="423"/>
      <c r="L12" s="423"/>
      <c r="M12" s="423"/>
      <c r="N12" s="423"/>
      <c r="O12" s="423"/>
      <c r="P12" s="423"/>
      <c r="Q12" s="423"/>
      <c r="R12" s="423"/>
      <c r="S12" s="423"/>
      <c r="T12" s="423"/>
      <c r="U12" s="423"/>
      <c r="V12" s="423"/>
      <c r="W12" s="423"/>
    </row>
    <row r="13">
      <c r="A13" s="766">
        <v>45627.838141678236</v>
      </c>
      <c r="B13" s="717"/>
      <c r="C13" s="763"/>
      <c r="D13" s="763"/>
      <c r="E13" s="449">
        <v>-1000.0</v>
      </c>
      <c r="F13" s="727">
        <v>1000.0</v>
      </c>
      <c r="G13" s="731">
        <v>114.23857507</v>
      </c>
      <c r="H13" s="423"/>
      <c r="I13" s="765"/>
      <c r="J13" s="728"/>
      <c r="K13" s="423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423"/>
    </row>
    <row r="14">
      <c r="A14" s="766">
        <v>45628.491781273144</v>
      </c>
      <c r="B14" s="717"/>
      <c r="C14" s="763"/>
      <c r="D14" s="763"/>
      <c r="E14" s="449">
        <v>-1000.0</v>
      </c>
      <c r="F14" s="727">
        <v>1000.0</v>
      </c>
      <c r="G14" s="765">
        <f>231.186-114.2385751</f>
        <v>116.9474249</v>
      </c>
      <c r="H14" s="423"/>
      <c r="I14" s="765"/>
      <c r="J14" s="728"/>
      <c r="K14" s="423"/>
      <c r="L14" s="423"/>
      <c r="M14" s="423"/>
      <c r="N14" s="423"/>
      <c r="O14" s="423"/>
      <c r="P14" s="423"/>
      <c r="Q14" s="423"/>
      <c r="R14" s="423"/>
      <c r="S14" s="423"/>
      <c r="T14" s="423"/>
      <c r="U14" s="423"/>
      <c r="V14" s="423"/>
      <c r="W14" s="423"/>
    </row>
    <row r="15">
      <c r="A15" s="766">
        <v>45628.867687094906</v>
      </c>
      <c r="B15" s="717"/>
      <c r="C15" s="763"/>
      <c r="D15" s="763"/>
      <c r="E15" s="449">
        <v>-1000.0</v>
      </c>
      <c r="F15" s="727">
        <v>1000.0</v>
      </c>
      <c r="G15" s="765">
        <f>363.633-231.186</f>
        <v>132.447</v>
      </c>
      <c r="H15" s="423"/>
      <c r="I15" s="765"/>
      <c r="J15" s="728"/>
      <c r="K15" s="423"/>
      <c r="L15" s="423"/>
      <c r="M15" s="423"/>
      <c r="N15" s="423"/>
      <c r="O15" s="423"/>
      <c r="P15" s="423"/>
      <c r="Q15" s="423"/>
      <c r="R15" s="423"/>
      <c r="S15" s="423"/>
      <c r="T15" s="423"/>
      <c r="U15" s="423"/>
      <c r="V15" s="423"/>
      <c r="W15" s="423"/>
    </row>
    <row r="16">
      <c r="A16" s="766"/>
      <c r="B16" s="717"/>
      <c r="C16" s="763"/>
      <c r="D16" s="763"/>
      <c r="E16" s="449">
        <v>-950.0</v>
      </c>
      <c r="F16" s="727">
        <v>950.0</v>
      </c>
      <c r="G16" s="765">
        <f>454.054-363.633</f>
        <v>90.421</v>
      </c>
      <c r="H16" s="423"/>
      <c r="I16" s="765"/>
      <c r="J16" s="728"/>
      <c r="K16" s="423"/>
      <c r="L16" s="423"/>
      <c r="M16" s="423"/>
      <c r="N16" s="423"/>
      <c r="O16" s="423"/>
      <c r="P16" s="423"/>
      <c r="Q16" s="423"/>
      <c r="R16" s="423"/>
      <c r="S16" s="423"/>
      <c r="T16" s="423"/>
      <c r="U16" s="423"/>
      <c r="V16" s="423"/>
      <c r="W16" s="423"/>
    </row>
    <row r="17">
      <c r="A17" s="766"/>
      <c r="B17" s="717"/>
      <c r="C17" s="763"/>
      <c r="D17" s="763"/>
      <c r="E17" s="449">
        <v>-950.0</v>
      </c>
      <c r="F17" s="727">
        <v>950.0</v>
      </c>
      <c r="G17" s="765">
        <f>530.396-454.054</f>
        <v>76.342</v>
      </c>
      <c r="H17" s="423"/>
      <c r="I17" s="765"/>
      <c r="J17" s="728"/>
      <c r="K17" s="423"/>
      <c r="L17" s="423"/>
      <c r="M17" s="423"/>
      <c r="N17" s="423"/>
      <c r="O17" s="423"/>
      <c r="P17" s="423"/>
      <c r="Q17" s="423"/>
      <c r="R17" s="423"/>
      <c r="S17" s="423"/>
      <c r="T17" s="423"/>
      <c r="U17" s="423"/>
      <c r="V17" s="423"/>
      <c r="W17" s="423"/>
    </row>
    <row r="18">
      <c r="A18" s="766"/>
      <c r="B18" s="741" t="s">
        <v>594</v>
      </c>
      <c r="C18" s="763"/>
      <c r="D18" s="763"/>
      <c r="E18" s="423"/>
      <c r="F18" s="727">
        <v>0.0</v>
      </c>
      <c r="G18" s="731">
        <v>-4.0</v>
      </c>
      <c r="H18" s="423"/>
      <c r="I18" s="765"/>
      <c r="J18" s="728"/>
      <c r="K18" s="423"/>
      <c r="L18" s="423"/>
      <c r="M18" s="423"/>
      <c r="N18" s="423"/>
      <c r="O18" s="423"/>
      <c r="P18" s="423"/>
      <c r="Q18" s="423"/>
      <c r="R18" s="423"/>
      <c r="S18" s="423"/>
      <c r="T18" s="423"/>
      <c r="U18" s="423"/>
      <c r="V18" s="423"/>
      <c r="W18" s="423"/>
    </row>
    <row r="19">
      <c r="A19" s="766">
        <v>45637.759028078704</v>
      </c>
      <c r="B19" s="741" t="s">
        <v>595</v>
      </c>
      <c r="C19" s="763"/>
      <c r="D19" s="763"/>
      <c r="E19" s="423"/>
      <c r="F19" s="764"/>
      <c r="G19" s="765"/>
      <c r="H19" s="449"/>
      <c r="I19" s="731"/>
      <c r="J19" s="728"/>
      <c r="K19" s="423"/>
      <c r="L19" s="423"/>
      <c r="M19" s="423"/>
      <c r="N19" s="423"/>
      <c r="O19" s="423"/>
      <c r="P19" s="423"/>
      <c r="Q19" s="423"/>
      <c r="R19" s="423"/>
      <c r="S19" s="423"/>
      <c r="T19" s="423"/>
      <c r="U19" s="423"/>
      <c r="V19" s="423"/>
      <c r="W19" s="423"/>
    </row>
    <row r="20">
      <c r="A20" s="766">
        <v>45646.49708480324</v>
      </c>
      <c r="B20" s="741" t="s">
        <v>596</v>
      </c>
      <c r="C20" s="763"/>
      <c r="D20" s="763"/>
      <c r="E20" s="423"/>
      <c r="F20" s="764"/>
      <c r="G20" s="765"/>
      <c r="H20" s="449"/>
      <c r="I20" s="731"/>
      <c r="J20" s="728"/>
      <c r="K20" s="423"/>
      <c r="L20" s="423"/>
      <c r="M20" s="423"/>
      <c r="N20" s="423"/>
      <c r="O20" s="423"/>
      <c r="P20" s="423"/>
      <c r="Q20" s="423"/>
      <c r="R20" s="423"/>
      <c r="S20" s="423"/>
      <c r="T20" s="423"/>
      <c r="U20" s="423"/>
      <c r="V20" s="423"/>
      <c r="W20" s="423"/>
    </row>
    <row r="21">
      <c r="A21" s="766"/>
      <c r="B21" s="717"/>
      <c r="C21" s="763"/>
      <c r="D21" s="763"/>
      <c r="E21" s="449">
        <v>6887.0</v>
      </c>
      <c r="F21" s="764"/>
      <c r="G21" s="765"/>
      <c r="H21" s="423"/>
      <c r="I21" s="731"/>
      <c r="J21" s="728"/>
      <c r="K21" s="423"/>
      <c r="L21" s="423"/>
      <c r="M21" s="423"/>
      <c r="N21" s="423"/>
      <c r="O21" s="423"/>
      <c r="P21" s="423"/>
      <c r="Q21" s="423"/>
      <c r="R21" s="423"/>
      <c r="S21" s="423"/>
      <c r="T21" s="423"/>
      <c r="U21" s="423"/>
      <c r="V21" s="423"/>
      <c r="W21" s="423"/>
    </row>
    <row r="22">
      <c r="A22" s="766">
        <v>45649.425848750005</v>
      </c>
      <c r="B22" s="717"/>
      <c r="C22" s="763"/>
      <c r="D22" s="763"/>
      <c r="E22" s="767">
        <v>-6887.0</v>
      </c>
      <c r="F22" s="768">
        <v>6887.0</v>
      </c>
      <c r="G22" s="769">
        <f>788.665-526.396</f>
        <v>262.269</v>
      </c>
      <c r="H22" s="423"/>
      <c r="I22" s="765"/>
      <c r="J22" s="728"/>
      <c r="K22" s="423"/>
      <c r="L22" s="423"/>
      <c r="M22" s="423"/>
      <c r="N22" s="423"/>
      <c r="O22" s="423"/>
      <c r="P22" s="423"/>
      <c r="Q22" s="423"/>
      <c r="R22" s="423"/>
      <c r="S22" s="423"/>
      <c r="T22" s="423"/>
      <c r="U22" s="423"/>
      <c r="V22" s="423"/>
      <c r="W22" s="423"/>
    </row>
    <row r="23">
      <c r="A23" s="766">
        <v>45649.728606805555</v>
      </c>
      <c r="B23" s="717"/>
      <c r="C23" s="763"/>
      <c r="D23" s="763"/>
      <c r="E23" s="449">
        <v>6830.0</v>
      </c>
      <c r="F23" s="764"/>
      <c r="G23" s="765"/>
      <c r="H23" s="423"/>
      <c r="I23" s="731"/>
      <c r="J23" s="728"/>
      <c r="K23" s="423"/>
      <c r="L23" s="423"/>
      <c r="M23" s="423"/>
      <c r="N23" s="423"/>
      <c r="O23" s="423"/>
      <c r="P23" s="423"/>
      <c r="Q23" s="423"/>
      <c r="R23" s="423"/>
      <c r="S23" s="423"/>
      <c r="T23" s="423"/>
      <c r="U23" s="423"/>
      <c r="V23" s="423"/>
      <c r="W23" s="423"/>
    </row>
    <row r="24">
      <c r="A24" s="766">
        <v>45651.71971027778</v>
      </c>
      <c r="B24" s="717"/>
      <c r="C24" s="763"/>
      <c r="D24" s="763"/>
      <c r="E24" s="449">
        <v>-6830.0</v>
      </c>
      <c r="F24" s="727">
        <v>6830.0</v>
      </c>
      <c r="G24" s="765">
        <f>1042.969-788.665</f>
        <v>254.304</v>
      </c>
      <c r="H24" s="423"/>
      <c r="I24" s="765"/>
      <c r="J24" s="728"/>
      <c r="K24" s="423"/>
      <c r="L24" s="423"/>
      <c r="M24" s="423"/>
      <c r="N24" s="423"/>
      <c r="O24" s="423"/>
      <c r="P24" s="423"/>
      <c r="Q24" s="423"/>
      <c r="R24" s="423"/>
      <c r="S24" s="423"/>
      <c r="T24" s="423"/>
      <c r="U24" s="423"/>
      <c r="V24" s="423"/>
      <c r="W24" s="423"/>
    </row>
    <row r="25">
      <c r="A25" s="766">
        <v>45660.3459830787</v>
      </c>
      <c r="B25" s="717"/>
      <c r="C25" s="763"/>
      <c r="D25" s="763"/>
      <c r="E25" s="449">
        <v>23812.0</v>
      </c>
      <c r="F25" s="727">
        <v>-18617.0</v>
      </c>
      <c r="G25" s="731">
        <v>-1042.969</v>
      </c>
      <c r="H25" s="423"/>
      <c r="I25" s="765"/>
      <c r="J25" s="728"/>
      <c r="K25" s="423"/>
      <c r="L25" s="423"/>
      <c r="M25" s="423"/>
      <c r="N25" s="423"/>
      <c r="O25" s="423"/>
      <c r="P25" s="423"/>
      <c r="Q25" s="423"/>
      <c r="R25" s="423"/>
      <c r="S25" s="423"/>
      <c r="T25" s="423"/>
      <c r="U25" s="423"/>
      <c r="V25" s="423"/>
      <c r="W25" s="423"/>
    </row>
    <row r="26">
      <c r="A26" s="729">
        <v>45659.315833333334</v>
      </c>
      <c r="B26" s="717"/>
      <c r="C26" s="763"/>
      <c r="D26" s="763"/>
      <c r="E26" s="449">
        <f t="shared" ref="E26:E34" si="1">-H26</f>
        <v>-10100</v>
      </c>
      <c r="F26" s="764"/>
      <c r="G26" s="765"/>
      <c r="H26" s="449">
        <v>10100.0</v>
      </c>
      <c r="I26" s="731">
        <v>1948.125685908</v>
      </c>
      <c r="J26" s="728">
        <f t="shared" ref="J26:J35" si="2">H26/I26</f>
        <v>5.184470424</v>
      </c>
      <c r="K26" s="423"/>
      <c r="L26" s="423"/>
      <c r="M26" s="423"/>
      <c r="N26" s="423"/>
      <c r="O26" s="423"/>
      <c r="P26" s="423"/>
      <c r="Q26" s="423"/>
      <c r="R26" s="423"/>
      <c r="S26" s="423"/>
      <c r="T26" s="423"/>
      <c r="U26" s="423"/>
      <c r="V26" s="423"/>
      <c r="W26" s="423"/>
    </row>
    <row r="27">
      <c r="A27" s="766">
        <v>45661.315830844906</v>
      </c>
      <c r="B27" s="717"/>
      <c r="C27" s="763"/>
      <c r="D27" s="763"/>
      <c r="E27" s="449">
        <f t="shared" si="1"/>
        <v>-2000</v>
      </c>
      <c r="F27" s="764"/>
      <c r="G27" s="765"/>
      <c r="H27" s="449">
        <v>2000.0</v>
      </c>
      <c r="I27" s="765">
        <f>-1948.125686+2204.8</f>
        <v>256.674314</v>
      </c>
      <c r="J27" s="728">
        <f t="shared" si="2"/>
        <v>7.791975632</v>
      </c>
      <c r="K27" s="423"/>
      <c r="L27" s="423"/>
      <c r="M27" s="423"/>
      <c r="N27" s="423"/>
      <c r="O27" s="423"/>
      <c r="P27" s="423"/>
      <c r="Q27" s="423"/>
      <c r="R27" s="423"/>
      <c r="S27" s="423"/>
      <c r="T27" s="423"/>
      <c r="U27" s="423"/>
      <c r="V27" s="423"/>
      <c r="W27" s="423"/>
    </row>
    <row r="28">
      <c r="A28" s="766">
        <v>45662.41863414352</v>
      </c>
      <c r="B28" s="717"/>
      <c r="C28" s="763"/>
      <c r="D28" s="763"/>
      <c r="E28" s="449">
        <f t="shared" si="1"/>
        <v>-1005</v>
      </c>
      <c r="F28" s="764"/>
      <c r="G28" s="765"/>
      <c r="H28" s="449">
        <v>1005.0</v>
      </c>
      <c r="I28" s="765">
        <f>2327.89-2204.8</f>
        <v>123.09</v>
      </c>
      <c r="J28" s="728">
        <f t="shared" si="2"/>
        <v>8.164757495</v>
      </c>
      <c r="K28" s="423"/>
      <c r="L28" s="423"/>
      <c r="M28" s="423"/>
      <c r="N28" s="423"/>
      <c r="O28" s="423"/>
      <c r="P28" s="423"/>
      <c r="Q28" s="423"/>
      <c r="R28" s="423"/>
      <c r="S28" s="423"/>
      <c r="T28" s="423"/>
      <c r="U28" s="423"/>
      <c r="V28" s="423"/>
      <c r="W28" s="423"/>
    </row>
    <row r="29">
      <c r="A29" s="766">
        <v>45663.41863425926</v>
      </c>
      <c r="B29" s="717"/>
      <c r="C29" s="763"/>
      <c r="D29" s="763"/>
      <c r="E29" s="449">
        <f t="shared" si="1"/>
        <v>-1005</v>
      </c>
      <c r="F29" s="764"/>
      <c r="G29" s="765"/>
      <c r="H29" s="449">
        <v>1005.0</v>
      </c>
      <c r="I29" s="765">
        <f>2459.15-2327.89</f>
        <v>131.26</v>
      </c>
      <c r="J29" s="728">
        <f t="shared" si="2"/>
        <v>7.6565595</v>
      </c>
      <c r="K29" s="423"/>
      <c r="L29" s="423"/>
      <c r="M29" s="423"/>
      <c r="N29" s="423"/>
      <c r="O29" s="423"/>
      <c r="P29" s="423"/>
      <c r="Q29" s="423"/>
      <c r="R29" s="423"/>
      <c r="S29" s="423"/>
      <c r="T29" s="423"/>
      <c r="U29" s="423"/>
      <c r="V29" s="423"/>
      <c r="W29" s="423"/>
    </row>
    <row r="30">
      <c r="A30" s="766">
        <v>45662.472222337965</v>
      </c>
      <c r="B30" s="717"/>
      <c r="C30" s="763"/>
      <c r="D30" s="763"/>
      <c r="E30" s="449">
        <f t="shared" si="1"/>
        <v>-1000</v>
      </c>
      <c r="F30" s="764"/>
      <c r="G30" s="765"/>
      <c r="H30" s="449">
        <v>1000.0</v>
      </c>
      <c r="I30" s="765">
        <f>2595.91-2459.15</f>
        <v>136.76</v>
      </c>
      <c r="J30" s="728">
        <f t="shared" si="2"/>
        <v>7.312079555</v>
      </c>
      <c r="K30" s="423"/>
      <c r="L30" s="423"/>
      <c r="M30" s="423"/>
      <c r="N30" s="423"/>
      <c r="O30" s="423"/>
      <c r="P30" s="423"/>
      <c r="Q30" s="423"/>
      <c r="R30" s="423"/>
      <c r="S30" s="423"/>
      <c r="T30" s="423"/>
      <c r="U30" s="423"/>
      <c r="V30" s="423"/>
      <c r="W30" s="423"/>
    </row>
    <row r="31">
      <c r="A31" s="766">
        <v>45662.47384265046</v>
      </c>
      <c r="B31" s="717"/>
      <c r="C31" s="763"/>
      <c r="D31" s="763"/>
      <c r="E31" s="449">
        <f t="shared" si="1"/>
        <v>-1000</v>
      </c>
      <c r="F31" s="764"/>
      <c r="G31" s="765"/>
      <c r="H31" s="449">
        <v>1000.0</v>
      </c>
      <c r="I31" s="765">
        <f>2736-2595.91</f>
        <v>140.09</v>
      </c>
      <c r="J31" s="728">
        <f t="shared" si="2"/>
        <v>7.138268256</v>
      </c>
      <c r="K31" s="423"/>
      <c r="L31" s="423"/>
      <c r="M31" s="423"/>
      <c r="N31" s="423"/>
      <c r="O31" s="423"/>
      <c r="P31" s="423"/>
      <c r="Q31" s="423"/>
      <c r="R31" s="423"/>
      <c r="S31" s="423"/>
      <c r="T31" s="423"/>
      <c r="U31" s="423"/>
      <c r="V31" s="423"/>
      <c r="W31" s="423"/>
    </row>
    <row r="32">
      <c r="A32" s="766">
        <v>45662.709744120366</v>
      </c>
      <c r="B32" s="717"/>
      <c r="C32" s="763"/>
      <c r="D32" s="763"/>
      <c r="E32" s="449">
        <f t="shared" si="1"/>
        <v>-1000</v>
      </c>
      <c r="F32" s="764"/>
      <c r="G32" s="765"/>
      <c r="H32" s="449">
        <v>1000.0</v>
      </c>
      <c r="I32" s="765">
        <f>2865.187-2736</f>
        <v>129.187</v>
      </c>
      <c r="J32" s="728">
        <f t="shared" si="2"/>
        <v>7.740716945</v>
      </c>
      <c r="K32" s="423"/>
      <c r="L32" s="423"/>
      <c r="M32" s="423"/>
      <c r="N32" s="423"/>
      <c r="O32" s="423"/>
      <c r="P32" s="423"/>
      <c r="Q32" s="423"/>
      <c r="R32" s="423"/>
      <c r="S32" s="423"/>
      <c r="T32" s="423"/>
      <c r="U32" s="423"/>
      <c r="V32" s="423"/>
      <c r="W32" s="423"/>
    </row>
    <row r="33">
      <c r="A33" s="766">
        <v>45663.81609179398</v>
      </c>
      <c r="B33" s="717"/>
      <c r="C33" s="763"/>
      <c r="D33" s="763"/>
      <c r="E33" s="449">
        <f t="shared" si="1"/>
        <v>-1000</v>
      </c>
      <c r="F33" s="764"/>
      <c r="G33" s="765"/>
      <c r="H33" s="449">
        <v>1000.0</v>
      </c>
      <c r="I33" s="731">
        <v>108.43</v>
      </c>
      <c r="J33" s="728">
        <f t="shared" si="2"/>
        <v>9.222539887</v>
      </c>
      <c r="K33" s="423"/>
      <c r="L33" s="423"/>
      <c r="M33" s="423"/>
      <c r="N33" s="423"/>
      <c r="O33" s="423"/>
      <c r="P33" s="423"/>
      <c r="Q33" s="423"/>
      <c r="R33" s="423"/>
      <c r="S33" s="423"/>
      <c r="T33" s="423"/>
      <c r="U33" s="423"/>
      <c r="V33" s="423"/>
      <c r="W33" s="423"/>
    </row>
    <row r="34">
      <c r="A34" s="766">
        <v>45664.292870034726</v>
      </c>
      <c r="B34" s="717"/>
      <c r="C34" s="763"/>
      <c r="D34" s="763"/>
      <c r="E34" s="449">
        <f t="shared" si="1"/>
        <v>-1000</v>
      </c>
      <c r="F34" s="764"/>
      <c r="G34" s="765"/>
      <c r="H34" s="449">
        <v>1000.0</v>
      </c>
      <c r="I34" s="731">
        <v>114.456</v>
      </c>
      <c r="J34" s="728">
        <f t="shared" si="2"/>
        <v>8.736981897</v>
      </c>
      <c r="K34" s="423"/>
      <c r="L34" s="423"/>
      <c r="M34" s="423"/>
      <c r="N34" s="423"/>
      <c r="O34" s="423"/>
      <c r="P34" s="423"/>
      <c r="Q34" s="423"/>
      <c r="R34" s="423"/>
      <c r="S34" s="423"/>
      <c r="T34" s="423"/>
      <c r="U34" s="423"/>
      <c r="V34" s="423"/>
      <c r="W34" s="423"/>
    </row>
    <row r="35">
      <c r="A35" s="766">
        <v>45664.68278502315</v>
      </c>
      <c r="B35" s="717"/>
      <c r="C35" s="763"/>
      <c r="D35" s="763"/>
      <c r="E35" s="449">
        <v>-1000.0</v>
      </c>
      <c r="F35" s="764"/>
      <c r="G35" s="765"/>
      <c r="H35" s="449">
        <v>1000.0</v>
      </c>
      <c r="I35" s="765">
        <f>-3088.073+3219.51</f>
        <v>131.437</v>
      </c>
      <c r="J35" s="728">
        <f t="shared" si="2"/>
        <v>7.608207735</v>
      </c>
      <c r="K35" s="423"/>
      <c r="L35" s="423"/>
      <c r="M35" s="423"/>
      <c r="N35" s="423"/>
      <c r="O35" s="423"/>
      <c r="P35" s="423"/>
      <c r="Q35" s="423"/>
      <c r="R35" s="423"/>
      <c r="S35" s="423"/>
      <c r="T35" s="423"/>
      <c r="U35" s="423"/>
      <c r="V35" s="423"/>
      <c r="W35" s="423"/>
    </row>
    <row r="36">
      <c r="A36" s="766">
        <f>now()</f>
        <v>45664.89611</v>
      </c>
      <c r="B36" s="717"/>
      <c r="C36" s="763"/>
      <c r="D36" s="763"/>
      <c r="E36" s="423"/>
      <c r="F36" s="764"/>
      <c r="G36" s="765"/>
      <c r="H36" s="423"/>
      <c r="I36" s="765"/>
      <c r="J36" s="728"/>
      <c r="K36" s="423"/>
      <c r="L36" s="423"/>
      <c r="M36" s="423"/>
      <c r="N36" s="423"/>
      <c r="O36" s="423"/>
      <c r="P36" s="423"/>
      <c r="Q36" s="423"/>
      <c r="R36" s="423"/>
      <c r="S36" s="423"/>
      <c r="T36" s="423"/>
      <c r="U36" s="423"/>
      <c r="V36" s="423"/>
      <c r="W36" s="423"/>
    </row>
    <row r="37">
      <c r="A37" s="766"/>
      <c r="B37" s="717"/>
      <c r="C37" s="763"/>
      <c r="D37" s="763"/>
      <c r="E37" s="423"/>
      <c r="F37" s="764"/>
      <c r="G37" s="765"/>
      <c r="H37" s="423"/>
      <c r="I37" s="765"/>
      <c r="J37" s="728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</row>
    <row r="38">
      <c r="A38" s="766"/>
      <c r="B38" s="717"/>
      <c r="C38" s="763"/>
      <c r="D38" s="763"/>
      <c r="E38" s="423"/>
      <c r="F38" s="764"/>
      <c r="G38" s="765"/>
      <c r="H38" s="423"/>
      <c r="I38" s="765"/>
      <c r="J38" s="728"/>
      <c r="K38" s="423"/>
      <c r="L38" s="423"/>
      <c r="M38" s="423"/>
      <c r="N38" s="423"/>
      <c r="O38" s="423"/>
      <c r="P38" s="423"/>
      <c r="Q38" s="423"/>
      <c r="R38" s="423"/>
      <c r="S38" s="423"/>
      <c r="T38" s="423"/>
      <c r="U38" s="423"/>
      <c r="V38" s="423"/>
      <c r="W38" s="423"/>
    </row>
    <row r="39">
      <c r="A39" s="766"/>
      <c r="B39" s="717"/>
      <c r="C39" s="763"/>
      <c r="D39" s="763"/>
      <c r="E39" s="423"/>
      <c r="F39" s="764"/>
      <c r="G39" s="765"/>
      <c r="H39" s="423"/>
      <c r="I39" s="765"/>
      <c r="J39" s="728"/>
      <c r="K39" s="423"/>
      <c r="L39" s="423"/>
      <c r="M39" s="423"/>
      <c r="N39" s="423"/>
      <c r="O39" s="423"/>
      <c r="P39" s="423"/>
      <c r="Q39" s="423"/>
      <c r="R39" s="423"/>
      <c r="S39" s="423"/>
      <c r="T39" s="423"/>
      <c r="U39" s="423"/>
      <c r="V39" s="423"/>
      <c r="W39" s="423"/>
    </row>
    <row r="40">
      <c r="A40" s="766"/>
      <c r="B40" s="717"/>
      <c r="C40" s="763"/>
      <c r="D40" s="763"/>
      <c r="E40" s="423"/>
      <c r="F40" s="764"/>
      <c r="G40" s="765"/>
      <c r="H40" s="423"/>
      <c r="I40" s="765"/>
      <c r="J40" s="728"/>
      <c r="K40" s="423"/>
      <c r="L40" s="423"/>
      <c r="M40" s="423"/>
      <c r="N40" s="423"/>
      <c r="O40" s="423"/>
      <c r="P40" s="423"/>
      <c r="Q40" s="423"/>
      <c r="R40" s="423"/>
      <c r="S40" s="423"/>
      <c r="T40" s="423"/>
      <c r="U40" s="423"/>
      <c r="V40" s="423"/>
      <c r="W40" s="423"/>
    </row>
    <row r="41">
      <c r="A41" s="766"/>
      <c r="B41" s="717"/>
      <c r="C41" s="763"/>
      <c r="D41" s="763"/>
      <c r="E41" s="423"/>
      <c r="F41" s="764"/>
      <c r="G41" s="765"/>
      <c r="H41" s="423"/>
      <c r="I41" s="765"/>
      <c r="J41" s="728"/>
      <c r="K41" s="423"/>
      <c r="L41" s="423"/>
      <c r="M41" s="423"/>
      <c r="N41" s="423"/>
      <c r="O41" s="423"/>
      <c r="P41" s="423"/>
      <c r="Q41" s="423"/>
      <c r="R41" s="423"/>
      <c r="S41" s="423"/>
      <c r="T41" s="423"/>
      <c r="U41" s="423"/>
      <c r="V41" s="423"/>
      <c r="W41" s="423"/>
    </row>
    <row r="42">
      <c r="A42" s="766"/>
      <c r="B42" s="717"/>
      <c r="C42" s="763"/>
      <c r="D42" s="763"/>
      <c r="E42" s="423"/>
      <c r="F42" s="764"/>
      <c r="G42" s="765"/>
      <c r="H42" s="423"/>
      <c r="I42" s="765"/>
      <c r="J42" s="728"/>
      <c r="K42" s="423"/>
      <c r="L42" s="423"/>
      <c r="M42" s="423"/>
      <c r="N42" s="423"/>
      <c r="O42" s="423"/>
      <c r="P42" s="423"/>
      <c r="Q42" s="423"/>
      <c r="R42" s="423"/>
      <c r="S42" s="423"/>
      <c r="T42" s="423"/>
      <c r="U42" s="423"/>
      <c r="V42" s="423"/>
      <c r="W42" s="423"/>
    </row>
    <row r="43">
      <c r="A43" s="766"/>
      <c r="B43" s="717"/>
      <c r="C43" s="763"/>
      <c r="D43" s="763"/>
      <c r="E43" s="423"/>
      <c r="F43" s="764"/>
      <c r="G43" s="765"/>
      <c r="H43" s="423"/>
      <c r="I43" s="765"/>
      <c r="J43" s="728"/>
      <c r="K43" s="423"/>
      <c r="L43" s="423"/>
      <c r="M43" s="423"/>
      <c r="N43" s="423"/>
      <c r="O43" s="423"/>
      <c r="P43" s="423"/>
      <c r="Q43" s="423"/>
      <c r="R43" s="423"/>
      <c r="S43" s="423"/>
      <c r="T43" s="423"/>
      <c r="U43" s="423"/>
      <c r="V43" s="423"/>
      <c r="W43" s="423"/>
    </row>
    <row r="44">
      <c r="A44" s="766"/>
      <c r="B44" s="717"/>
      <c r="C44" s="763"/>
      <c r="D44" s="763"/>
      <c r="E44" s="423"/>
      <c r="F44" s="764"/>
      <c r="G44" s="765"/>
      <c r="H44" s="423"/>
      <c r="I44" s="765"/>
      <c r="J44" s="728"/>
      <c r="K44" s="423"/>
      <c r="L44" s="423"/>
      <c r="M44" s="423"/>
      <c r="N44" s="423"/>
      <c r="O44" s="423"/>
      <c r="P44" s="423"/>
      <c r="Q44" s="423"/>
      <c r="R44" s="423"/>
      <c r="S44" s="423"/>
      <c r="T44" s="423"/>
      <c r="U44" s="423"/>
      <c r="V44" s="423"/>
      <c r="W44" s="423"/>
    </row>
    <row r="45">
      <c r="A45" s="766"/>
      <c r="B45" s="717"/>
      <c r="C45" s="763"/>
      <c r="D45" s="763"/>
      <c r="E45" s="423"/>
      <c r="F45" s="764"/>
      <c r="G45" s="765"/>
      <c r="H45" s="423"/>
      <c r="I45" s="765"/>
      <c r="J45" s="728"/>
      <c r="K45" s="423"/>
      <c r="L45" s="423"/>
      <c r="M45" s="423"/>
      <c r="N45" s="423"/>
      <c r="O45" s="423"/>
      <c r="P45" s="423"/>
      <c r="Q45" s="423"/>
      <c r="R45" s="423"/>
      <c r="S45" s="423"/>
      <c r="T45" s="423"/>
      <c r="U45" s="423"/>
      <c r="V45" s="423"/>
      <c r="W45" s="423"/>
    </row>
    <row r="46">
      <c r="A46" s="766"/>
      <c r="B46" s="717"/>
      <c r="C46" s="763"/>
      <c r="D46" s="763"/>
      <c r="E46" s="423"/>
      <c r="F46" s="764"/>
      <c r="G46" s="765"/>
      <c r="H46" s="423"/>
      <c r="I46" s="765"/>
      <c r="J46" s="728"/>
      <c r="K46" s="423"/>
      <c r="L46" s="423"/>
      <c r="M46" s="423"/>
      <c r="N46" s="423"/>
      <c r="O46" s="423"/>
      <c r="P46" s="423"/>
      <c r="Q46" s="423"/>
      <c r="R46" s="423"/>
      <c r="S46" s="423"/>
      <c r="T46" s="423"/>
      <c r="U46" s="423"/>
      <c r="V46" s="423"/>
      <c r="W46" s="423"/>
    </row>
    <row r="47">
      <c r="A47" s="766"/>
      <c r="B47" s="717"/>
      <c r="C47" s="763"/>
      <c r="D47" s="763"/>
      <c r="E47" s="423"/>
      <c r="F47" s="764"/>
      <c r="G47" s="765"/>
      <c r="H47" s="423"/>
      <c r="I47" s="765"/>
      <c r="J47" s="728"/>
      <c r="K47" s="423"/>
      <c r="L47" s="423"/>
      <c r="M47" s="423"/>
      <c r="N47" s="423"/>
      <c r="O47" s="423"/>
      <c r="P47" s="423"/>
      <c r="Q47" s="423"/>
      <c r="R47" s="423"/>
      <c r="S47" s="423"/>
      <c r="T47" s="423"/>
      <c r="U47" s="423"/>
      <c r="V47" s="423"/>
      <c r="W47" s="423"/>
    </row>
    <row r="48">
      <c r="A48" s="766"/>
      <c r="B48" s="717"/>
      <c r="C48" s="763"/>
      <c r="D48" s="763"/>
      <c r="E48" s="423"/>
      <c r="F48" s="764"/>
      <c r="G48" s="765"/>
      <c r="H48" s="423"/>
      <c r="I48" s="765"/>
      <c r="J48" s="728"/>
      <c r="K48" s="423"/>
      <c r="L48" s="423"/>
      <c r="M48" s="423"/>
      <c r="N48" s="423"/>
      <c r="O48" s="423"/>
      <c r="P48" s="423"/>
      <c r="Q48" s="423"/>
      <c r="R48" s="423"/>
      <c r="S48" s="423"/>
      <c r="T48" s="423"/>
      <c r="U48" s="423"/>
      <c r="V48" s="423"/>
      <c r="W48" s="423"/>
    </row>
    <row r="49">
      <c r="A49" s="766"/>
      <c r="B49" s="717"/>
      <c r="C49" s="763"/>
      <c r="D49" s="763"/>
      <c r="E49" s="423"/>
      <c r="F49" s="764"/>
      <c r="G49" s="765"/>
      <c r="H49" s="423"/>
      <c r="I49" s="765"/>
      <c r="J49" s="728"/>
      <c r="K49" s="423"/>
      <c r="L49" s="423"/>
      <c r="M49" s="423"/>
      <c r="N49" s="423"/>
      <c r="O49" s="423"/>
      <c r="P49" s="423"/>
      <c r="Q49" s="423"/>
      <c r="R49" s="423"/>
      <c r="S49" s="423"/>
      <c r="T49" s="423"/>
      <c r="U49" s="423"/>
      <c r="V49" s="423"/>
      <c r="W49" s="423"/>
    </row>
    <row r="50">
      <c r="A50" s="766"/>
      <c r="B50" s="717"/>
      <c r="C50" s="763"/>
      <c r="D50" s="763"/>
      <c r="E50" s="423"/>
      <c r="F50" s="764"/>
      <c r="G50" s="765"/>
      <c r="H50" s="423"/>
      <c r="I50" s="765"/>
      <c r="J50" s="728"/>
      <c r="K50" s="423"/>
      <c r="L50" s="423"/>
      <c r="M50" s="423"/>
      <c r="N50" s="423"/>
      <c r="O50" s="423"/>
      <c r="P50" s="423"/>
      <c r="Q50" s="423"/>
      <c r="R50" s="423"/>
      <c r="S50" s="423"/>
      <c r="T50" s="423"/>
      <c r="U50" s="423"/>
      <c r="V50" s="423"/>
      <c r="W50" s="423"/>
    </row>
    <row r="51">
      <c r="A51" s="766"/>
      <c r="B51" s="717"/>
      <c r="C51" s="763"/>
      <c r="D51" s="763"/>
      <c r="E51" s="423"/>
      <c r="F51" s="764"/>
      <c r="G51" s="765"/>
      <c r="H51" s="423"/>
      <c r="I51" s="765"/>
      <c r="J51" s="728"/>
      <c r="K51" s="423"/>
      <c r="L51" s="423"/>
      <c r="M51" s="423"/>
      <c r="N51" s="423"/>
      <c r="O51" s="423"/>
      <c r="P51" s="423"/>
      <c r="Q51" s="423"/>
      <c r="R51" s="423"/>
      <c r="S51" s="423"/>
      <c r="T51" s="423"/>
      <c r="U51" s="423"/>
      <c r="V51" s="423"/>
      <c r="W51" s="423"/>
    </row>
    <row r="52">
      <c r="A52" s="766"/>
      <c r="B52" s="717"/>
      <c r="C52" s="763"/>
      <c r="D52" s="763"/>
      <c r="E52" s="423"/>
      <c r="F52" s="764"/>
      <c r="G52" s="765"/>
      <c r="H52" s="423"/>
      <c r="I52" s="765"/>
      <c r="J52" s="728"/>
      <c r="K52" s="423"/>
      <c r="L52" s="423"/>
      <c r="M52" s="423"/>
      <c r="N52" s="423"/>
      <c r="O52" s="423"/>
      <c r="P52" s="423"/>
      <c r="Q52" s="423"/>
      <c r="R52" s="423"/>
      <c r="S52" s="423"/>
      <c r="T52" s="423"/>
      <c r="U52" s="423"/>
      <c r="V52" s="423"/>
      <c r="W52" s="423"/>
    </row>
    <row r="53">
      <c r="A53" s="766"/>
      <c r="B53" s="717"/>
      <c r="C53" s="763"/>
      <c r="D53" s="763"/>
      <c r="E53" s="423"/>
      <c r="F53" s="764"/>
      <c r="G53" s="765"/>
      <c r="H53" s="423"/>
      <c r="I53" s="765"/>
      <c r="J53" s="728"/>
      <c r="K53" s="423"/>
      <c r="L53" s="423"/>
      <c r="M53" s="423"/>
      <c r="N53" s="423"/>
      <c r="O53" s="423"/>
      <c r="P53" s="423"/>
      <c r="Q53" s="423"/>
      <c r="R53" s="423"/>
      <c r="S53" s="423"/>
      <c r="T53" s="423"/>
      <c r="U53" s="423"/>
      <c r="V53" s="423"/>
      <c r="W53" s="423"/>
    </row>
    <row r="54">
      <c r="A54" s="766"/>
      <c r="B54" s="717"/>
      <c r="C54" s="763"/>
      <c r="D54" s="763"/>
      <c r="E54" s="423"/>
      <c r="F54" s="764"/>
      <c r="G54" s="765"/>
      <c r="H54" s="423"/>
      <c r="I54" s="765"/>
      <c r="J54" s="728"/>
      <c r="K54" s="423"/>
      <c r="L54" s="423"/>
      <c r="M54" s="423"/>
      <c r="N54" s="423"/>
      <c r="O54" s="423"/>
      <c r="P54" s="423"/>
      <c r="Q54" s="423"/>
      <c r="R54" s="423"/>
      <c r="S54" s="423"/>
      <c r="T54" s="423"/>
      <c r="U54" s="423"/>
      <c r="V54" s="423"/>
      <c r="W54" s="423"/>
    </row>
    <row r="55">
      <c r="A55" s="766"/>
      <c r="B55" s="717"/>
      <c r="C55" s="763"/>
      <c r="D55" s="763"/>
      <c r="E55" s="423"/>
      <c r="F55" s="764"/>
      <c r="G55" s="765"/>
      <c r="H55" s="423"/>
      <c r="I55" s="765"/>
      <c r="J55" s="728"/>
      <c r="K55" s="423"/>
      <c r="L55" s="423"/>
      <c r="M55" s="423"/>
      <c r="N55" s="423"/>
      <c r="O55" s="423"/>
      <c r="P55" s="423"/>
      <c r="Q55" s="423"/>
      <c r="R55" s="423"/>
      <c r="S55" s="423"/>
      <c r="T55" s="423"/>
      <c r="U55" s="423"/>
      <c r="V55" s="423"/>
      <c r="W55" s="423"/>
    </row>
    <row r="56">
      <c r="A56" s="766"/>
      <c r="B56" s="717"/>
      <c r="C56" s="763"/>
      <c r="D56" s="763"/>
      <c r="E56" s="423"/>
      <c r="F56" s="764"/>
      <c r="G56" s="765"/>
      <c r="H56" s="423"/>
      <c r="I56" s="765"/>
      <c r="J56" s="728"/>
      <c r="K56" s="423"/>
      <c r="L56" s="423"/>
      <c r="M56" s="423"/>
      <c r="N56" s="423"/>
      <c r="O56" s="423"/>
      <c r="P56" s="423"/>
      <c r="Q56" s="423"/>
      <c r="R56" s="423"/>
      <c r="S56" s="423"/>
      <c r="T56" s="423"/>
      <c r="U56" s="423"/>
      <c r="V56" s="423"/>
      <c r="W56" s="423"/>
    </row>
    <row r="57">
      <c r="A57" s="766"/>
      <c r="B57" s="717"/>
      <c r="C57" s="763"/>
      <c r="D57" s="763"/>
      <c r="E57" s="423"/>
      <c r="F57" s="764"/>
      <c r="G57" s="765"/>
      <c r="H57" s="423"/>
      <c r="I57" s="765"/>
      <c r="J57" s="728"/>
      <c r="K57" s="423"/>
      <c r="L57" s="423"/>
      <c r="M57" s="423"/>
      <c r="N57" s="423"/>
      <c r="O57" s="423"/>
      <c r="P57" s="423"/>
      <c r="Q57" s="423"/>
      <c r="R57" s="423"/>
      <c r="S57" s="423"/>
      <c r="T57" s="423"/>
      <c r="U57" s="423"/>
      <c r="V57" s="423"/>
      <c r="W57" s="423"/>
    </row>
    <row r="58">
      <c r="A58" s="766"/>
      <c r="B58" s="717"/>
      <c r="C58" s="763"/>
      <c r="D58" s="763"/>
      <c r="E58" s="423"/>
      <c r="F58" s="764"/>
      <c r="G58" s="765"/>
      <c r="H58" s="423"/>
      <c r="I58" s="765"/>
      <c r="J58" s="728"/>
      <c r="K58" s="423"/>
      <c r="L58" s="423"/>
      <c r="M58" s="423"/>
      <c r="N58" s="423"/>
      <c r="O58" s="423"/>
      <c r="P58" s="423"/>
      <c r="Q58" s="423"/>
      <c r="R58" s="423"/>
      <c r="S58" s="423"/>
      <c r="T58" s="423"/>
      <c r="U58" s="423"/>
      <c r="V58" s="423"/>
      <c r="W58" s="423"/>
    </row>
    <row r="59">
      <c r="A59" s="766"/>
      <c r="B59" s="717"/>
      <c r="C59" s="763"/>
      <c r="D59" s="763"/>
      <c r="E59" s="423"/>
      <c r="F59" s="764"/>
      <c r="G59" s="765"/>
      <c r="H59" s="423"/>
      <c r="I59" s="765"/>
      <c r="J59" s="728"/>
      <c r="K59" s="423"/>
      <c r="L59" s="423"/>
      <c r="M59" s="423"/>
      <c r="N59" s="423"/>
      <c r="O59" s="423"/>
      <c r="P59" s="423"/>
      <c r="Q59" s="423"/>
      <c r="R59" s="423"/>
      <c r="S59" s="423"/>
      <c r="T59" s="423"/>
      <c r="U59" s="423"/>
      <c r="V59" s="423"/>
      <c r="W59" s="423"/>
    </row>
    <row r="60">
      <c r="A60" s="766"/>
      <c r="B60" s="717"/>
      <c r="C60" s="763"/>
      <c r="D60" s="763"/>
      <c r="E60" s="423"/>
      <c r="F60" s="764"/>
      <c r="G60" s="765"/>
      <c r="H60" s="423"/>
      <c r="I60" s="765"/>
      <c r="J60" s="728"/>
      <c r="K60" s="423"/>
      <c r="L60" s="423"/>
      <c r="M60" s="423"/>
      <c r="N60" s="423"/>
      <c r="O60" s="423"/>
      <c r="P60" s="423"/>
      <c r="Q60" s="423"/>
      <c r="R60" s="423"/>
      <c r="S60" s="423"/>
      <c r="T60" s="423"/>
      <c r="U60" s="423"/>
      <c r="V60" s="423"/>
      <c r="W60" s="423"/>
    </row>
    <row r="61">
      <c r="A61" s="766"/>
      <c r="B61" s="717"/>
      <c r="C61" s="763"/>
      <c r="D61" s="763"/>
      <c r="E61" s="423"/>
      <c r="F61" s="764"/>
      <c r="G61" s="765"/>
      <c r="H61" s="423"/>
      <c r="I61" s="765"/>
      <c r="J61" s="728"/>
      <c r="K61" s="423"/>
      <c r="L61" s="423"/>
      <c r="M61" s="423"/>
      <c r="N61" s="423"/>
      <c r="O61" s="423"/>
      <c r="P61" s="423"/>
      <c r="Q61" s="423"/>
      <c r="R61" s="423"/>
      <c r="S61" s="423"/>
      <c r="T61" s="423"/>
      <c r="U61" s="423"/>
      <c r="V61" s="423"/>
      <c r="W61" s="423"/>
    </row>
    <row r="62">
      <c r="A62" s="766"/>
      <c r="B62" s="717"/>
      <c r="C62" s="763"/>
      <c r="D62" s="763"/>
      <c r="E62" s="423"/>
      <c r="F62" s="764"/>
      <c r="G62" s="765"/>
      <c r="H62" s="423"/>
      <c r="I62" s="765"/>
      <c r="J62" s="728"/>
      <c r="K62" s="423"/>
      <c r="L62" s="423"/>
      <c r="M62" s="423"/>
      <c r="N62" s="423"/>
      <c r="O62" s="423"/>
      <c r="P62" s="423"/>
      <c r="Q62" s="423"/>
      <c r="R62" s="423"/>
      <c r="S62" s="423"/>
      <c r="T62" s="423"/>
      <c r="U62" s="423"/>
      <c r="V62" s="423"/>
      <c r="W62" s="423"/>
    </row>
    <row r="63">
      <c r="A63" s="766"/>
      <c r="B63" s="717"/>
      <c r="C63" s="763"/>
      <c r="D63" s="763"/>
      <c r="E63" s="423"/>
      <c r="F63" s="764"/>
      <c r="G63" s="765"/>
      <c r="H63" s="423"/>
      <c r="I63" s="765"/>
      <c r="J63" s="728"/>
      <c r="K63" s="423"/>
      <c r="L63" s="423"/>
      <c r="M63" s="423"/>
      <c r="N63" s="423"/>
      <c r="O63" s="423"/>
      <c r="P63" s="423"/>
      <c r="Q63" s="423"/>
      <c r="R63" s="423"/>
      <c r="S63" s="423"/>
      <c r="T63" s="423"/>
      <c r="U63" s="423"/>
      <c r="V63" s="423"/>
      <c r="W63" s="423"/>
    </row>
    <row r="64">
      <c r="A64" s="766"/>
      <c r="B64" s="717"/>
      <c r="C64" s="763"/>
      <c r="D64" s="763"/>
      <c r="E64" s="423"/>
      <c r="F64" s="764"/>
      <c r="G64" s="765"/>
      <c r="H64" s="423"/>
      <c r="I64" s="765"/>
      <c r="J64" s="728"/>
      <c r="K64" s="423"/>
      <c r="L64" s="423"/>
      <c r="M64" s="423"/>
      <c r="N64" s="423"/>
      <c r="O64" s="423"/>
      <c r="P64" s="423"/>
      <c r="Q64" s="423"/>
      <c r="R64" s="423"/>
      <c r="S64" s="423"/>
      <c r="T64" s="423"/>
      <c r="U64" s="423"/>
      <c r="V64" s="423"/>
      <c r="W64" s="423"/>
    </row>
    <row r="65">
      <c r="A65" s="766"/>
      <c r="B65" s="717"/>
      <c r="C65" s="763"/>
      <c r="D65" s="763"/>
      <c r="E65" s="423"/>
      <c r="F65" s="764"/>
      <c r="G65" s="765"/>
      <c r="H65" s="423"/>
      <c r="I65" s="765"/>
      <c r="J65" s="728"/>
      <c r="K65" s="423"/>
      <c r="L65" s="423"/>
      <c r="M65" s="423"/>
      <c r="N65" s="423"/>
      <c r="O65" s="423"/>
      <c r="P65" s="423"/>
      <c r="Q65" s="423"/>
      <c r="R65" s="423"/>
      <c r="S65" s="423"/>
      <c r="T65" s="423"/>
      <c r="U65" s="423"/>
      <c r="V65" s="423"/>
      <c r="W65" s="423"/>
    </row>
    <row r="66">
      <c r="A66" s="766"/>
      <c r="B66" s="717"/>
      <c r="C66" s="763"/>
      <c r="D66" s="763"/>
      <c r="E66" s="423"/>
      <c r="F66" s="764"/>
      <c r="G66" s="765"/>
      <c r="H66" s="423"/>
      <c r="I66" s="765"/>
      <c r="J66" s="728"/>
      <c r="K66" s="423"/>
      <c r="L66" s="423"/>
      <c r="M66" s="423"/>
      <c r="N66" s="423"/>
      <c r="O66" s="423"/>
      <c r="P66" s="423"/>
      <c r="Q66" s="423"/>
      <c r="R66" s="423"/>
      <c r="S66" s="423"/>
      <c r="T66" s="423"/>
      <c r="U66" s="423"/>
      <c r="V66" s="423"/>
      <c r="W66" s="423"/>
    </row>
    <row r="67">
      <c r="A67" s="766"/>
      <c r="B67" s="717"/>
      <c r="C67" s="763"/>
      <c r="D67" s="763"/>
      <c r="E67" s="423"/>
      <c r="F67" s="764"/>
      <c r="G67" s="765"/>
      <c r="H67" s="423"/>
      <c r="I67" s="765"/>
      <c r="J67" s="728"/>
      <c r="K67" s="423"/>
      <c r="L67" s="423"/>
      <c r="M67" s="423"/>
      <c r="N67" s="423"/>
      <c r="O67" s="423"/>
      <c r="P67" s="423"/>
      <c r="Q67" s="423"/>
      <c r="R67" s="423"/>
      <c r="S67" s="423"/>
      <c r="T67" s="423"/>
      <c r="U67" s="423"/>
      <c r="V67" s="423"/>
      <c r="W67" s="423"/>
    </row>
    <row r="68">
      <c r="A68" s="766"/>
      <c r="B68" s="717"/>
      <c r="C68" s="763"/>
      <c r="D68" s="763"/>
      <c r="E68" s="423"/>
      <c r="F68" s="764"/>
      <c r="G68" s="765"/>
      <c r="H68" s="423"/>
      <c r="I68" s="765"/>
      <c r="J68" s="728"/>
      <c r="K68" s="423"/>
      <c r="L68" s="423"/>
      <c r="M68" s="423"/>
      <c r="N68" s="423"/>
      <c r="O68" s="423"/>
      <c r="P68" s="423"/>
      <c r="Q68" s="423"/>
      <c r="R68" s="423"/>
      <c r="S68" s="423"/>
      <c r="T68" s="423"/>
      <c r="U68" s="423"/>
      <c r="V68" s="423"/>
      <c r="W68" s="423"/>
    </row>
    <row r="69">
      <c r="A69" s="766"/>
      <c r="B69" s="717"/>
      <c r="C69" s="763"/>
      <c r="D69" s="763"/>
      <c r="E69" s="423"/>
      <c r="F69" s="764"/>
      <c r="G69" s="765"/>
      <c r="H69" s="423"/>
      <c r="I69" s="765"/>
      <c r="J69" s="728"/>
      <c r="K69" s="423"/>
      <c r="L69" s="423"/>
      <c r="M69" s="423"/>
      <c r="N69" s="423"/>
      <c r="O69" s="423"/>
      <c r="P69" s="423"/>
      <c r="Q69" s="423"/>
      <c r="R69" s="423"/>
      <c r="S69" s="423"/>
      <c r="T69" s="423"/>
      <c r="U69" s="423"/>
      <c r="V69" s="423"/>
      <c r="W69" s="423"/>
    </row>
    <row r="70">
      <c r="A70" s="766"/>
      <c r="B70" s="717"/>
      <c r="C70" s="763"/>
      <c r="D70" s="763"/>
      <c r="E70" s="423"/>
      <c r="F70" s="764"/>
      <c r="G70" s="765"/>
      <c r="H70" s="423"/>
      <c r="I70" s="765"/>
      <c r="J70" s="728"/>
      <c r="K70" s="423"/>
      <c r="L70" s="423"/>
      <c r="M70" s="423"/>
      <c r="N70" s="423"/>
      <c r="O70" s="423"/>
      <c r="P70" s="423"/>
      <c r="Q70" s="423"/>
      <c r="R70" s="423"/>
      <c r="S70" s="423"/>
      <c r="T70" s="423"/>
      <c r="U70" s="423"/>
      <c r="V70" s="423"/>
      <c r="W70" s="423"/>
    </row>
    <row r="71">
      <c r="A71" s="766"/>
      <c r="B71" s="717"/>
      <c r="C71" s="763"/>
      <c r="D71" s="763"/>
      <c r="E71" s="423"/>
      <c r="F71" s="764"/>
      <c r="G71" s="765"/>
      <c r="H71" s="423"/>
      <c r="I71" s="765"/>
      <c r="J71" s="728"/>
      <c r="K71" s="423"/>
      <c r="L71" s="423"/>
      <c r="M71" s="423"/>
      <c r="N71" s="423"/>
      <c r="O71" s="423"/>
      <c r="P71" s="423"/>
      <c r="Q71" s="423"/>
      <c r="R71" s="423"/>
      <c r="S71" s="423"/>
      <c r="T71" s="423"/>
      <c r="U71" s="423"/>
      <c r="V71" s="423"/>
      <c r="W71" s="423"/>
    </row>
    <row r="72">
      <c r="A72" s="766"/>
      <c r="B72" s="717"/>
      <c r="C72" s="763"/>
      <c r="D72" s="763"/>
      <c r="E72" s="423"/>
      <c r="F72" s="764"/>
      <c r="G72" s="765"/>
      <c r="H72" s="423"/>
      <c r="I72" s="765"/>
      <c r="J72" s="728"/>
      <c r="K72" s="423"/>
      <c r="L72" s="423"/>
      <c r="M72" s="423"/>
      <c r="N72" s="423"/>
      <c r="O72" s="423"/>
      <c r="P72" s="423"/>
      <c r="Q72" s="423"/>
      <c r="R72" s="423"/>
      <c r="S72" s="423"/>
      <c r="T72" s="423"/>
      <c r="U72" s="423"/>
      <c r="V72" s="423"/>
      <c r="W72" s="423"/>
    </row>
    <row r="73">
      <c r="A73" s="766"/>
      <c r="B73" s="717"/>
      <c r="C73" s="763"/>
      <c r="D73" s="763"/>
      <c r="E73" s="423"/>
      <c r="F73" s="764"/>
      <c r="G73" s="765"/>
      <c r="H73" s="423"/>
      <c r="I73" s="765"/>
      <c r="J73" s="728"/>
      <c r="K73" s="423"/>
      <c r="L73" s="423"/>
      <c r="M73" s="423"/>
      <c r="N73" s="423"/>
      <c r="O73" s="423"/>
      <c r="P73" s="423"/>
      <c r="Q73" s="423"/>
      <c r="R73" s="423"/>
      <c r="S73" s="423"/>
      <c r="T73" s="423"/>
      <c r="U73" s="423"/>
      <c r="V73" s="423"/>
      <c r="W73" s="423"/>
    </row>
    <row r="74">
      <c r="A74" s="766"/>
      <c r="B74" s="717"/>
      <c r="C74" s="763"/>
      <c r="D74" s="763"/>
      <c r="E74" s="423"/>
      <c r="F74" s="764"/>
      <c r="G74" s="765"/>
      <c r="H74" s="423"/>
      <c r="I74" s="765"/>
      <c r="J74" s="728"/>
      <c r="K74" s="423"/>
      <c r="L74" s="423"/>
      <c r="M74" s="423"/>
      <c r="N74" s="423"/>
      <c r="O74" s="423"/>
      <c r="P74" s="423"/>
      <c r="Q74" s="423"/>
      <c r="R74" s="423"/>
      <c r="S74" s="423"/>
      <c r="T74" s="423"/>
      <c r="U74" s="423"/>
      <c r="V74" s="423"/>
      <c r="W74" s="423"/>
    </row>
    <row r="75">
      <c r="A75" s="766"/>
      <c r="B75" s="717"/>
      <c r="C75" s="763"/>
      <c r="D75" s="763"/>
      <c r="E75" s="423"/>
      <c r="F75" s="764"/>
      <c r="G75" s="765"/>
      <c r="H75" s="423"/>
      <c r="I75" s="765"/>
      <c r="J75" s="728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</row>
    <row r="76">
      <c r="A76" s="766"/>
      <c r="B76" s="717"/>
      <c r="C76" s="763"/>
      <c r="D76" s="763"/>
      <c r="E76" s="423"/>
      <c r="F76" s="764"/>
      <c r="G76" s="765"/>
      <c r="H76" s="423"/>
      <c r="I76" s="765"/>
      <c r="J76" s="728"/>
      <c r="K76" s="423"/>
      <c r="L76" s="423"/>
      <c r="M76" s="423"/>
      <c r="N76" s="423"/>
      <c r="O76" s="423"/>
      <c r="P76" s="423"/>
      <c r="Q76" s="423"/>
      <c r="R76" s="423"/>
      <c r="S76" s="423"/>
      <c r="T76" s="423"/>
      <c r="U76" s="423"/>
      <c r="V76" s="423"/>
      <c r="W76" s="423"/>
    </row>
    <row r="77">
      <c r="A77" s="766"/>
      <c r="B77" s="717"/>
      <c r="C77" s="763"/>
      <c r="D77" s="763"/>
      <c r="E77" s="423"/>
      <c r="F77" s="764"/>
      <c r="G77" s="765"/>
      <c r="H77" s="423"/>
      <c r="I77" s="765"/>
      <c r="J77" s="728"/>
      <c r="K77" s="423"/>
      <c r="L77" s="423"/>
      <c r="M77" s="423"/>
      <c r="N77" s="423"/>
      <c r="O77" s="423"/>
      <c r="P77" s="423"/>
      <c r="Q77" s="423"/>
      <c r="R77" s="423"/>
      <c r="S77" s="423"/>
      <c r="T77" s="423"/>
      <c r="U77" s="423"/>
      <c r="V77" s="423"/>
      <c r="W77" s="423"/>
    </row>
    <row r="78">
      <c r="A78" s="766"/>
      <c r="B78" s="717"/>
      <c r="C78" s="763"/>
      <c r="D78" s="763"/>
      <c r="E78" s="423"/>
      <c r="F78" s="764"/>
      <c r="G78" s="765"/>
      <c r="H78" s="423"/>
      <c r="I78" s="765"/>
      <c r="J78" s="728"/>
      <c r="K78" s="423"/>
      <c r="L78" s="423"/>
      <c r="M78" s="423"/>
      <c r="N78" s="423"/>
      <c r="O78" s="423"/>
      <c r="P78" s="423"/>
      <c r="Q78" s="423"/>
      <c r="R78" s="423"/>
      <c r="S78" s="423"/>
      <c r="T78" s="423"/>
      <c r="U78" s="423"/>
      <c r="V78" s="423"/>
      <c r="W78" s="423"/>
    </row>
    <row r="79">
      <c r="A79" s="766"/>
      <c r="B79" s="717"/>
      <c r="C79" s="763"/>
      <c r="D79" s="763"/>
      <c r="E79" s="423"/>
      <c r="F79" s="764"/>
      <c r="G79" s="765"/>
      <c r="H79" s="423"/>
      <c r="I79" s="765"/>
      <c r="J79" s="728"/>
      <c r="K79" s="423"/>
      <c r="L79" s="423"/>
      <c r="M79" s="423"/>
      <c r="N79" s="423"/>
      <c r="O79" s="423"/>
      <c r="P79" s="423"/>
      <c r="Q79" s="423"/>
      <c r="R79" s="423"/>
      <c r="S79" s="423"/>
      <c r="T79" s="423"/>
      <c r="U79" s="423"/>
      <c r="V79" s="423"/>
      <c r="W79" s="423"/>
    </row>
    <row r="80">
      <c r="A80" s="766"/>
      <c r="B80" s="717"/>
      <c r="C80" s="763"/>
      <c r="D80" s="763"/>
      <c r="E80" s="423"/>
      <c r="F80" s="764"/>
      <c r="G80" s="765"/>
      <c r="H80" s="423"/>
      <c r="I80" s="765"/>
      <c r="J80" s="728"/>
      <c r="K80" s="423"/>
      <c r="L80" s="423"/>
      <c r="M80" s="423"/>
      <c r="N80" s="423"/>
      <c r="O80" s="423"/>
      <c r="P80" s="423"/>
      <c r="Q80" s="423"/>
      <c r="R80" s="423"/>
      <c r="S80" s="423"/>
      <c r="T80" s="423"/>
      <c r="U80" s="423"/>
      <c r="V80" s="423"/>
      <c r="W80" s="423"/>
    </row>
    <row r="81">
      <c r="A81" s="766"/>
      <c r="B81" s="717"/>
      <c r="C81" s="763"/>
      <c r="D81" s="763"/>
      <c r="E81" s="423"/>
      <c r="F81" s="764"/>
      <c r="G81" s="765"/>
      <c r="H81" s="423"/>
      <c r="I81" s="765"/>
      <c r="J81" s="728"/>
      <c r="K81" s="423"/>
      <c r="L81" s="423"/>
      <c r="M81" s="423"/>
      <c r="N81" s="423"/>
      <c r="O81" s="423"/>
      <c r="P81" s="423"/>
      <c r="Q81" s="423"/>
      <c r="R81" s="423"/>
      <c r="S81" s="423"/>
      <c r="T81" s="423"/>
      <c r="U81" s="423"/>
      <c r="V81" s="423"/>
      <c r="W81" s="423"/>
    </row>
    <row r="82">
      <c r="A82" s="766"/>
      <c r="B82" s="717"/>
      <c r="C82" s="763"/>
      <c r="D82" s="763"/>
      <c r="E82" s="423"/>
      <c r="F82" s="764"/>
      <c r="G82" s="765"/>
      <c r="H82" s="423"/>
      <c r="I82" s="765"/>
      <c r="J82" s="728"/>
      <c r="K82" s="423"/>
      <c r="L82" s="423"/>
      <c r="M82" s="423"/>
      <c r="N82" s="423"/>
      <c r="O82" s="423"/>
      <c r="P82" s="423"/>
      <c r="Q82" s="423"/>
      <c r="R82" s="423"/>
      <c r="S82" s="423"/>
      <c r="T82" s="423"/>
      <c r="U82" s="423"/>
      <c r="V82" s="423"/>
      <c r="W82" s="423"/>
    </row>
    <row r="83">
      <c r="A83" s="766"/>
      <c r="B83" s="717"/>
      <c r="C83" s="763"/>
      <c r="D83" s="763"/>
      <c r="E83" s="423"/>
      <c r="F83" s="764"/>
      <c r="G83" s="765"/>
      <c r="H83" s="423"/>
      <c r="I83" s="765"/>
      <c r="J83" s="728"/>
      <c r="K83" s="423"/>
      <c r="L83" s="423"/>
      <c r="M83" s="423"/>
      <c r="N83" s="423"/>
      <c r="O83" s="423"/>
      <c r="P83" s="423"/>
      <c r="Q83" s="423"/>
      <c r="R83" s="423"/>
      <c r="S83" s="423"/>
      <c r="T83" s="423"/>
      <c r="U83" s="423"/>
      <c r="V83" s="423"/>
      <c r="W83" s="423"/>
    </row>
    <row r="84">
      <c r="A84" s="766"/>
      <c r="B84" s="717"/>
      <c r="C84" s="763"/>
      <c r="D84" s="763"/>
      <c r="E84" s="423"/>
      <c r="F84" s="764"/>
      <c r="G84" s="765"/>
      <c r="H84" s="423"/>
      <c r="I84" s="765"/>
      <c r="J84" s="728"/>
      <c r="K84" s="423"/>
      <c r="L84" s="423"/>
      <c r="M84" s="423"/>
      <c r="N84" s="423"/>
      <c r="O84" s="423"/>
      <c r="P84" s="423"/>
      <c r="Q84" s="423"/>
      <c r="R84" s="423"/>
      <c r="S84" s="423"/>
      <c r="T84" s="423"/>
      <c r="U84" s="423"/>
      <c r="V84" s="423"/>
      <c r="W84" s="423"/>
    </row>
    <row r="85">
      <c r="A85" s="766"/>
      <c r="B85" s="717"/>
      <c r="C85" s="763"/>
      <c r="D85" s="763"/>
      <c r="E85" s="423"/>
      <c r="F85" s="764"/>
      <c r="G85" s="765"/>
      <c r="H85" s="423"/>
      <c r="I85" s="765"/>
      <c r="J85" s="728"/>
      <c r="K85" s="423"/>
      <c r="L85" s="423"/>
      <c r="M85" s="423"/>
      <c r="N85" s="423"/>
      <c r="O85" s="423"/>
      <c r="P85" s="423"/>
      <c r="Q85" s="423"/>
      <c r="R85" s="423"/>
      <c r="S85" s="423"/>
      <c r="T85" s="423"/>
      <c r="U85" s="423"/>
      <c r="V85" s="423"/>
      <c r="W85" s="423"/>
    </row>
    <row r="86">
      <c r="A86" s="766"/>
      <c r="B86" s="717"/>
      <c r="C86" s="763"/>
      <c r="D86" s="763"/>
      <c r="E86" s="423"/>
      <c r="F86" s="764"/>
      <c r="G86" s="765"/>
      <c r="H86" s="423"/>
      <c r="I86" s="765"/>
      <c r="J86" s="728"/>
      <c r="K86" s="423"/>
      <c r="L86" s="423"/>
      <c r="M86" s="423"/>
      <c r="N86" s="423"/>
      <c r="O86" s="423"/>
      <c r="P86" s="423"/>
      <c r="Q86" s="423"/>
      <c r="R86" s="423"/>
      <c r="S86" s="423"/>
      <c r="T86" s="423"/>
      <c r="U86" s="423"/>
      <c r="V86" s="423"/>
      <c r="W86" s="423"/>
    </row>
    <row r="87">
      <c r="A87" s="766"/>
      <c r="B87" s="717"/>
      <c r="C87" s="763"/>
      <c r="D87" s="763"/>
      <c r="E87" s="423"/>
      <c r="F87" s="764"/>
      <c r="G87" s="765"/>
      <c r="H87" s="423"/>
      <c r="I87" s="765"/>
      <c r="J87" s="728"/>
      <c r="K87" s="423"/>
      <c r="L87" s="423"/>
      <c r="M87" s="423"/>
      <c r="N87" s="423"/>
      <c r="O87" s="423"/>
      <c r="P87" s="423"/>
      <c r="Q87" s="423"/>
      <c r="R87" s="423"/>
      <c r="S87" s="423"/>
      <c r="T87" s="423"/>
      <c r="U87" s="423"/>
      <c r="V87" s="423"/>
      <c r="W87" s="423"/>
    </row>
    <row r="88">
      <c r="A88" s="766"/>
      <c r="B88" s="717"/>
      <c r="C88" s="763"/>
      <c r="D88" s="763"/>
      <c r="E88" s="423"/>
      <c r="F88" s="764"/>
      <c r="G88" s="765"/>
      <c r="H88" s="423"/>
      <c r="I88" s="765"/>
      <c r="J88" s="728"/>
      <c r="K88" s="423"/>
      <c r="L88" s="423"/>
      <c r="M88" s="423"/>
      <c r="N88" s="423"/>
      <c r="O88" s="423"/>
      <c r="P88" s="423"/>
      <c r="Q88" s="423"/>
      <c r="R88" s="423"/>
      <c r="S88" s="423"/>
      <c r="T88" s="423"/>
      <c r="U88" s="423"/>
      <c r="V88" s="423"/>
      <c r="W88" s="423"/>
    </row>
    <row r="89">
      <c r="A89" s="766"/>
      <c r="B89" s="717"/>
      <c r="C89" s="763"/>
      <c r="D89" s="763"/>
      <c r="E89" s="423"/>
      <c r="F89" s="764"/>
      <c r="G89" s="765"/>
      <c r="H89" s="423"/>
      <c r="I89" s="765"/>
      <c r="J89" s="728"/>
      <c r="K89" s="423"/>
      <c r="L89" s="423"/>
      <c r="M89" s="423"/>
      <c r="N89" s="423"/>
      <c r="O89" s="423"/>
      <c r="P89" s="423"/>
      <c r="Q89" s="423"/>
      <c r="R89" s="423"/>
      <c r="S89" s="423"/>
      <c r="T89" s="423"/>
      <c r="U89" s="423"/>
      <c r="V89" s="423"/>
      <c r="W89" s="423"/>
    </row>
    <row r="90">
      <c r="A90" s="766"/>
      <c r="B90" s="717"/>
      <c r="C90" s="763"/>
      <c r="D90" s="763"/>
      <c r="E90" s="423"/>
      <c r="F90" s="764"/>
      <c r="G90" s="765"/>
      <c r="H90" s="423"/>
      <c r="I90" s="765"/>
      <c r="J90" s="728"/>
      <c r="K90" s="423"/>
      <c r="L90" s="423"/>
      <c r="M90" s="423"/>
      <c r="N90" s="423"/>
      <c r="O90" s="423"/>
      <c r="P90" s="423"/>
      <c r="Q90" s="423"/>
      <c r="R90" s="423"/>
      <c r="S90" s="423"/>
      <c r="T90" s="423"/>
      <c r="U90" s="423"/>
      <c r="V90" s="423"/>
      <c r="W90" s="423"/>
    </row>
    <row r="91">
      <c r="A91" s="766"/>
      <c r="B91" s="717"/>
      <c r="C91" s="763"/>
      <c r="D91" s="763"/>
      <c r="E91" s="423"/>
      <c r="F91" s="764"/>
      <c r="G91" s="765"/>
      <c r="H91" s="423"/>
      <c r="I91" s="765"/>
      <c r="J91" s="728"/>
      <c r="K91" s="423"/>
      <c r="L91" s="423"/>
      <c r="M91" s="423"/>
      <c r="N91" s="423"/>
      <c r="O91" s="423"/>
      <c r="P91" s="423"/>
      <c r="Q91" s="423"/>
      <c r="R91" s="423"/>
      <c r="S91" s="423"/>
      <c r="T91" s="423"/>
      <c r="U91" s="423"/>
      <c r="V91" s="423"/>
      <c r="W91" s="423"/>
    </row>
    <row r="92">
      <c r="A92" s="766"/>
      <c r="B92" s="717"/>
      <c r="C92" s="763"/>
      <c r="D92" s="763"/>
      <c r="E92" s="423"/>
      <c r="F92" s="764"/>
      <c r="G92" s="765"/>
      <c r="H92" s="423"/>
      <c r="I92" s="765"/>
      <c r="J92" s="728"/>
      <c r="K92" s="423"/>
      <c r="L92" s="423"/>
      <c r="M92" s="423"/>
      <c r="N92" s="423"/>
      <c r="O92" s="423"/>
      <c r="P92" s="423"/>
      <c r="Q92" s="423"/>
      <c r="R92" s="423"/>
      <c r="S92" s="423"/>
      <c r="T92" s="423"/>
      <c r="U92" s="423"/>
      <c r="V92" s="423"/>
      <c r="W92" s="423"/>
    </row>
    <row r="93">
      <c r="A93" s="766"/>
      <c r="B93" s="717"/>
      <c r="C93" s="763"/>
      <c r="D93" s="763"/>
      <c r="E93" s="423"/>
      <c r="F93" s="764"/>
      <c r="G93" s="765"/>
      <c r="H93" s="423"/>
      <c r="I93" s="765"/>
      <c r="J93" s="728"/>
      <c r="K93" s="423"/>
      <c r="L93" s="423"/>
      <c r="M93" s="423"/>
      <c r="N93" s="423"/>
      <c r="O93" s="423"/>
      <c r="P93" s="423"/>
      <c r="Q93" s="423"/>
      <c r="R93" s="423"/>
      <c r="S93" s="423"/>
      <c r="T93" s="423"/>
      <c r="U93" s="423"/>
      <c r="V93" s="423"/>
      <c r="W93" s="423"/>
    </row>
    <row r="94">
      <c r="A94" s="766"/>
      <c r="B94" s="717"/>
      <c r="C94" s="763"/>
      <c r="D94" s="763"/>
      <c r="E94" s="423"/>
      <c r="F94" s="764"/>
      <c r="G94" s="765"/>
      <c r="H94" s="423"/>
      <c r="I94" s="765"/>
      <c r="J94" s="728"/>
      <c r="K94" s="423"/>
      <c r="L94" s="423"/>
      <c r="M94" s="423"/>
      <c r="N94" s="423"/>
      <c r="O94" s="423"/>
      <c r="P94" s="423"/>
      <c r="Q94" s="423"/>
      <c r="R94" s="423"/>
      <c r="S94" s="423"/>
      <c r="T94" s="423"/>
      <c r="U94" s="423"/>
      <c r="V94" s="423"/>
      <c r="W94" s="423"/>
    </row>
    <row r="95">
      <c r="A95" s="766"/>
      <c r="B95" s="717"/>
      <c r="C95" s="763"/>
      <c r="D95" s="763"/>
      <c r="E95" s="423"/>
      <c r="F95" s="764"/>
      <c r="G95" s="765"/>
      <c r="H95" s="423"/>
      <c r="I95" s="765"/>
      <c r="J95" s="728"/>
      <c r="K95" s="423"/>
      <c r="L95" s="423"/>
      <c r="M95" s="423"/>
      <c r="N95" s="423"/>
      <c r="O95" s="423"/>
      <c r="P95" s="423"/>
      <c r="Q95" s="423"/>
      <c r="R95" s="423"/>
      <c r="S95" s="423"/>
      <c r="T95" s="423"/>
      <c r="U95" s="423"/>
      <c r="V95" s="423"/>
      <c r="W95" s="423"/>
    </row>
    <row r="96">
      <c r="A96" s="766"/>
      <c r="B96" s="717"/>
      <c r="C96" s="763"/>
      <c r="D96" s="763"/>
      <c r="E96" s="423"/>
      <c r="F96" s="764"/>
      <c r="G96" s="765"/>
      <c r="H96" s="423"/>
      <c r="I96" s="765"/>
      <c r="J96" s="728"/>
      <c r="K96" s="423"/>
      <c r="L96" s="423"/>
      <c r="M96" s="423"/>
      <c r="N96" s="423"/>
      <c r="O96" s="423"/>
      <c r="P96" s="423"/>
      <c r="Q96" s="423"/>
      <c r="R96" s="423"/>
      <c r="S96" s="423"/>
      <c r="T96" s="423"/>
      <c r="U96" s="423"/>
      <c r="V96" s="423"/>
      <c r="W96" s="423"/>
    </row>
    <row r="97">
      <c r="A97" s="766"/>
      <c r="B97" s="717"/>
      <c r="C97" s="763"/>
      <c r="D97" s="763"/>
      <c r="E97" s="423"/>
      <c r="F97" s="764"/>
      <c r="G97" s="765"/>
      <c r="H97" s="423"/>
      <c r="I97" s="765"/>
      <c r="J97" s="728"/>
      <c r="K97" s="423"/>
      <c r="L97" s="423"/>
      <c r="M97" s="423"/>
      <c r="N97" s="423"/>
      <c r="O97" s="423"/>
      <c r="P97" s="423"/>
      <c r="Q97" s="423"/>
      <c r="R97" s="423"/>
      <c r="S97" s="423"/>
      <c r="T97" s="423"/>
      <c r="U97" s="423"/>
      <c r="V97" s="423"/>
      <c r="W97" s="423"/>
    </row>
    <row r="98">
      <c r="A98" s="766"/>
      <c r="B98" s="717"/>
      <c r="C98" s="763"/>
      <c r="D98" s="763"/>
      <c r="E98" s="423"/>
      <c r="F98" s="764"/>
      <c r="G98" s="765"/>
      <c r="H98" s="423"/>
      <c r="I98" s="765"/>
      <c r="J98" s="728"/>
      <c r="K98" s="423"/>
      <c r="L98" s="423"/>
      <c r="M98" s="423"/>
      <c r="N98" s="423"/>
      <c r="O98" s="423"/>
      <c r="P98" s="423"/>
      <c r="Q98" s="423"/>
      <c r="R98" s="423"/>
      <c r="S98" s="423"/>
      <c r="T98" s="423"/>
      <c r="U98" s="423"/>
      <c r="V98" s="423"/>
      <c r="W98" s="423"/>
    </row>
    <row r="99">
      <c r="A99" s="766"/>
      <c r="B99" s="717"/>
      <c r="C99" s="763"/>
      <c r="D99" s="763"/>
      <c r="E99" s="423"/>
      <c r="F99" s="764"/>
      <c r="G99" s="765"/>
      <c r="H99" s="423"/>
      <c r="I99" s="765"/>
      <c r="J99" s="728"/>
      <c r="K99" s="423"/>
      <c r="L99" s="423"/>
      <c r="M99" s="423"/>
      <c r="N99" s="423"/>
      <c r="O99" s="423"/>
      <c r="P99" s="423"/>
      <c r="Q99" s="423"/>
      <c r="R99" s="423"/>
      <c r="S99" s="423"/>
      <c r="T99" s="423"/>
      <c r="U99" s="423"/>
      <c r="V99" s="423"/>
      <c r="W99" s="423"/>
    </row>
    <row r="100">
      <c r="A100" s="766"/>
      <c r="B100" s="717"/>
      <c r="C100" s="763"/>
      <c r="D100" s="763"/>
      <c r="E100" s="423"/>
      <c r="F100" s="764"/>
      <c r="G100" s="765"/>
      <c r="H100" s="423"/>
      <c r="I100" s="765"/>
      <c r="J100" s="728"/>
      <c r="K100" s="423"/>
      <c r="L100" s="423"/>
      <c r="M100" s="423"/>
      <c r="N100" s="423"/>
      <c r="O100" s="423"/>
      <c r="P100" s="423"/>
      <c r="Q100" s="423"/>
      <c r="R100" s="423"/>
      <c r="S100" s="423"/>
      <c r="T100" s="423"/>
      <c r="U100" s="423"/>
      <c r="V100" s="423"/>
      <c r="W100" s="423"/>
    </row>
    <row r="101">
      <c r="A101" s="766"/>
      <c r="B101" s="717"/>
      <c r="C101" s="763"/>
      <c r="D101" s="763"/>
      <c r="E101" s="423"/>
      <c r="F101" s="764"/>
      <c r="G101" s="765"/>
      <c r="H101" s="423"/>
      <c r="I101" s="765"/>
      <c r="J101" s="728"/>
      <c r="K101" s="423"/>
      <c r="L101" s="423"/>
      <c r="M101" s="423"/>
      <c r="N101" s="423"/>
      <c r="O101" s="423"/>
      <c r="P101" s="423"/>
      <c r="Q101" s="423"/>
      <c r="R101" s="423"/>
      <c r="S101" s="423"/>
      <c r="T101" s="423"/>
      <c r="U101" s="423"/>
      <c r="V101" s="423"/>
      <c r="W101" s="423"/>
    </row>
    <row r="102">
      <c r="A102" s="766"/>
      <c r="B102" s="717"/>
      <c r="C102" s="763"/>
      <c r="D102" s="763"/>
      <c r="E102" s="423"/>
      <c r="F102" s="764"/>
      <c r="G102" s="765"/>
      <c r="H102" s="423"/>
      <c r="I102" s="765"/>
      <c r="J102" s="728"/>
      <c r="K102" s="423"/>
      <c r="L102" s="423"/>
      <c r="M102" s="423"/>
      <c r="N102" s="423"/>
      <c r="O102" s="423"/>
      <c r="P102" s="423"/>
      <c r="Q102" s="423"/>
      <c r="R102" s="423"/>
      <c r="S102" s="423"/>
      <c r="T102" s="423"/>
      <c r="U102" s="423"/>
      <c r="V102" s="423"/>
      <c r="W102" s="423"/>
    </row>
    <row r="103">
      <c r="A103" s="766"/>
      <c r="B103" s="717"/>
      <c r="C103" s="763"/>
      <c r="D103" s="763"/>
      <c r="E103" s="423"/>
      <c r="F103" s="764"/>
      <c r="G103" s="765"/>
      <c r="H103" s="423"/>
      <c r="I103" s="765"/>
      <c r="J103" s="728"/>
      <c r="K103" s="423"/>
      <c r="L103" s="423"/>
      <c r="M103" s="423"/>
      <c r="N103" s="423"/>
      <c r="O103" s="423"/>
      <c r="P103" s="423"/>
      <c r="Q103" s="423"/>
      <c r="R103" s="423"/>
      <c r="S103" s="423"/>
      <c r="T103" s="423"/>
      <c r="U103" s="423"/>
      <c r="V103" s="423"/>
      <c r="W103" s="423"/>
    </row>
    <row r="104">
      <c r="A104" s="766"/>
      <c r="B104" s="717"/>
      <c r="C104" s="763"/>
      <c r="D104" s="763"/>
      <c r="E104" s="423"/>
      <c r="F104" s="764"/>
      <c r="G104" s="765"/>
      <c r="H104" s="423"/>
      <c r="I104" s="765"/>
      <c r="J104" s="728"/>
      <c r="K104" s="423"/>
      <c r="L104" s="423"/>
      <c r="M104" s="423"/>
      <c r="N104" s="423"/>
      <c r="O104" s="423"/>
      <c r="P104" s="423"/>
      <c r="Q104" s="423"/>
      <c r="R104" s="423"/>
      <c r="S104" s="423"/>
      <c r="T104" s="423"/>
      <c r="U104" s="423"/>
      <c r="V104" s="423"/>
      <c r="W104" s="423"/>
    </row>
    <row r="105">
      <c r="A105" s="766"/>
      <c r="B105" s="717"/>
      <c r="C105" s="763"/>
      <c r="D105" s="763"/>
      <c r="E105" s="423"/>
      <c r="F105" s="764"/>
      <c r="G105" s="765"/>
      <c r="H105" s="423"/>
      <c r="I105" s="765"/>
      <c r="J105" s="728"/>
      <c r="K105" s="423"/>
      <c r="L105" s="423"/>
      <c r="M105" s="423"/>
      <c r="N105" s="423"/>
      <c r="O105" s="423"/>
      <c r="P105" s="423"/>
      <c r="Q105" s="423"/>
      <c r="R105" s="423"/>
      <c r="S105" s="423"/>
      <c r="T105" s="423"/>
      <c r="U105" s="423"/>
      <c r="V105" s="423"/>
      <c r="W105" s="423"/>
    </row>
    <row r="106">
      <c r="A106" s="766"/>
      <c r="B106" s="717"/>
      <c r="C106" s="763"/>
      <c r="D106" s="763"/>
      <c r="E106" s="423"/>
      <c r="F106" s="764"/>
      <c r="G106" s="765"/>
      <c r="H106" s="423"/>
      <c r="I106" s="765"/>
      <c r="J106" s="728"/>
      <c r="K106" s="423"/>
      <c r="L106" s="423"/>
      <c r="M106" s="423"/>
      <c r="N106" s="423"/>
      <c r="O106" s="423"/>
      <c r="P106" s="423"/>
      <c r="Q106" s="423"/>
      <c r="R106" s="423"/>
      <c r="S106" s="423"/>
      <c r="T106" s="423"/>
      <c r="U106" s="423"/>
      <c r="V106" s="423"/>
      <c r="W106" s="423"/>
    </row>
    <row r="107">
      <c r="A107" s="766"/>
      <c r="B107" s="717"/>
      <c r="C107" s="763"/>
      <c r="D107" s="763"/>
      <c r="E107" s="423"/>
      <c r="F107" s="764"/>
      <c r="G107" s="765"/>
      <c r="H107" s="423"/>
      <c r="I107" s="765"/>
      <c r="J107" s="728"/>
      <c r="K107" s="423"/>
      <c r="L107" s="423"/>
      <c r="M107" s="423"/>
      <c r="N107" s="423"/>
      <c r="O107" s="423"/>
      <c r="P107" s="423"/>
      <c r="Q107" s="423"/>
      <c r="R107" s="423"/>
      <c r="S107" s="423"/>
      <c r="T107" s="423"/>
      <c r="U107" s="423"/>
      <c r="V107" s="423"/>
      <c r="W107" s="423"/>
    </row>
    <row r="108">
      <c r="A108" s="766"/>
      <c r="B108" s="717"/>
      <c r="C108" s="763"/>
      <c r="D108" s="763"/>
      <c r="E108" s="423"/>
      <c r="F108" s="764"/>
      <c r="G108" s="765"/>
      <c r="H108" s="423"/>
      <c r="I108" s="765"/>
      <c r="J108" s="728"/>
      <c r="K108" s="423"/>
      <c r="L108" s="423"/>
      <c r="M108" s="423"/>
      <c r="N108" s="423"/>
      <c r="O108" s="423"/>
      <c r="P108" s="423"/>
      <c r="Q108" s="423"/>
      <c r="R108" s="423"/>
      <c r="S108" s="423"/>
      <c r="T108" s="423"/>
      <c r="U108" s="423"/>
      <c r="V108" s="423"/>
      <c r="W108" s="423"/>
    </row>
    <row r="109">
      <c r="A109" s="766"/>
      <c r="B109" s="717"/>
      <c r="C109" s="763"/>
      <c r="D109" s="763"/>
      <c r="E109" s="423"/>
      <c r="F109" s="764"/>
      <c r="G109" s="765"/>
      <c r="H109" s="423"/>
      <c r="I109" s="765"/>
      <c r="J109" s="728"/>
      <c r="K109" s="423"/>
      <c r="L109" s="423"/>
      <c r="M109" s="423"/>
      <c r="N109" s="423"/>
      <c r="O109" s="423"/>
      <c r="P109" s="423"/>
      <c r="Q109" s="423"/>
      <c r="R109" s="423"/>
      <c r="S109" s="423"/>
      <c r="T109" s="423"/>
      <c r="U109" s="423"/>
      <c r="V109" s="423"/>
      <c r="W109" s="423"/>
    </row>
    <row r="110">
      <c r="A110" s="766"/>
      <c r="B110" s="717"/>
      <c r="C110" s="763"/>
      <c r="D110" s="763"/>
      <c r="E110" s="423"/>
      <c r="F110" s="764"/>
      <c r="G110" s="765"/>
      <c r="H110" s="423"/>
      <c r="I110" s="765"/>
      <c r="J110" s="728"/>
      <c r="K110" s="423"/>
      <c r="L110" s="423"/>
      <c r="M110" s="423"/>
      <c r="N110" s="423"/>
      <c r="O110" s="423"/>
      <c r="P110" s="423"/>
      <c r="Q110" s="423"/>
      <c r="R110" s="423"/>
      <c r="S110" s="423"/>
      <c r="T110" s="423"/>
      <c r="U110" s="423"/>
      <c r="V110" s="423"/>
      <c r="W110" s="423"/>
    </row>
    <row r="111">
      <c r="A111" s="766"/>
      <c r="B111" s="717"/>
      <c r="C111" s="763"/>
      <c r="D111" s="763"/>
      <c r="E111" s="423"/>
      <c r="F111" s="764"/>
      <c r="G111" s="765"/>
      <c r="H111" s="423"/>
      <c r="I111" s="765"/>
      <c r="J111" s="728"/>
      <c r="K111" s="423"/>
      <c r="L111" s="423"/>
      <c r="M111" s="423"/>
      <c r="N111" s="423"/>
      <c r="O111" s="423"/>
      <c r="P111" s="423"/>
      <c r="Q111" s="423"/>
      <c r="R111" s="423"/>
      <c r="S111" s="423"/>
      <c r="T111" s="423"/>
      <c r="U111" s="423"/>
      <c r="V111" s="423"/>
      <c r="W111" s="423"/>
    </row>
    <row r="112">
      <c r="A112" s="766"/>
      <c r="B112" s="717"/>
      <c r="C112" s="763"/>
      <c r="D112" s="763"/>
      <c r="E112" s="423"/>
      <c r="F112" s="764"/>
      <c r="G112" s="765"/>
      <c r="H112" s="423"/>
      <c r="I112" s="765"/>
      <c r="J112" s="728"/>
      <c r="K112" s="423"/>
      <c r="L112" s="423"/>
      <c r="M112" s="423"/>
      <c r="N112" s="423"/>
      <c r="O112" s="423"/>
      <c r="P112" s="423"/>
      <c r="Q112" s="423"/>
      <c r="R112" s="423"/>
      <c r="S112" s="423"/>
      <c r="T112" s="423"/>
      <c r="U112" s="423"/>
      <c r="V112" s="423"/>
      <c r="W112" s="423"/>
    </row>
    <row r="113">
      <c r="A113" s="766"/>
      <c r="B113" s="717"/>
      <c r="C113" s="763"/>
      <c r="D113" s="763"/>
      <c r="E113" s="423"/>
      <c r="F113" s="764"/>
      <c r="G113" s="765"/>
      <c r="H113" s="423"/>
      <c r="I113" s="765"/>
      <c r="J113" s="728"/>
      <c r="K113" s="423"/>
      <c r="L113" s="423"/>
      <c r="M113" s="423"/>
      <c r="N113" s="423"/>
      <c r="O113" s="423"/>
      <c r="P113" s="423"/>
      <c r="Q113" s="423"/>
      <c r="R113" s="423"/>
      <c r="S113" s="423"/>
      <c r="T113" s="423"/>
      <c r="U113" s="423"/>
      <c r="V113" s="423"/>
      <c r="W113" s="423"/>
    </row>
    <row r="114">
      <c r="A114" s="766"/>
      <c r="B114" s="717"/>
      <c r="C114" s="763"/>
      <c r="D114" s="763"/>
      <c r="E114" s="423"/>
      <c r="F114" s="764"/>
      <c r="G114" s="765"/>
      <c r="H114" s="423"/>
      <c r="I114" s="765"/>
      <c r="J114" s="728"/>
      <c r="K114" s="423"/>
      <c r="L114" s="423"/>
      <c r="M114" s="423"/>
      <c r="N114" s="423"/>
      <c r="O114" s="423"/>
      <c r="P114" s="423"/>
      <c r="Q114" s="423"/>
      <c r="R114" s="423"/>
      <c r="S114" s="423"/>
      <c r="T114" s="423"/>
      <c r="U114" s="423"/>
      <c r="V114" s="423"/>
      <c r="W114" s="423"/>
    </row>
    <row r="115">
      <c r="A115" s="766"/>
      <c r="B115" s="717"/>
      <c r="C115" s="763"/>
      <c r="D115" s="763"/>
      <c r="E115" s="423"/>
      <c r="F115" s="764"/>
      <c r="G115" s="765"/>
      <c r="H115" s="423"/>
      <c r="I115" s="765"/>
      <c r="J115" s="728"/>
      <c r="K115" s="423"/>
      <c r="L115" s="423"/>
      <c r="M115" s="423"/>
      <c r="N115" s="423"/>
      <c r="O115" s="423"/>
      <c r="P115" s="423"/>
      <c r="Q115" s="423"/>
      <c r="R115" s="423"/>
      <c r="S115" s="423"/>
      <c r="T115" s="423"/>
      <c r="U115" s="423"/>
      <c r="V115" s="423"/>
      <c r="W115" s="423"/>
    </row>
    <row r="116">
      <c r="A116" s="766"/>
      <c r="B116" s="717"/>
      <c r="C116" s="763"/>
      <c r="D116" s="763"/>
      <c r="E116" s="423"/>
      <c r="F116" s="764"/>
      <c r="G116" s="765"/>
      <c r="H116" s="423"/>
      <c r="I116" s="765"/>
      <c r="J116" s="728"/>
      <c r="K116" s="423"/>
      <c r="L116" s="423"/>
      <c r="M116" s="423"/>
      <c r="N116" s="423"/>
      <c r="O116" s="423"/>
      <c r="P116" s="423"/>
      <c r="Q116" s="423"/>
      <c r="R116" s="423"/>
      <c r="S116" s="423"/>
      <c r="T116" s="423"/>
      <c r="U116" s="423"/>
      <c r="V116" s="423"/>
      <c r="W116" s="423"/>
    </row>
    <row r="117">
      <c r="A117" s="766"/>
      <c r="B117" s="717"/>
      <c r="C117" s="763"/>
      <c r="D117" s="763"/>
      <c r="E117" s="423"/>
      <c r="F117" s="764"/>
      <c r="G117" s="765"/>
      <c r="H117" s="423"/>
      <c r="I117" s="765"/>
      <c r="J117" s="728"/>
      <c r="K117" s="423"/>
      <c r="L117" s="423"/>
      <c r="M117" s="423"/>
      <c r="N117" s="423"/>
      <c r="O117" s="423"/>
      <c r="P117" s="423"/>
      <c r="Q117" s="423"/>
      <c r="R117" s="423"/>
      <c r="S117" s="423"/>
      <c r="T117" s="423"/>
      <c r="U117" s="423"/>
      <c r="V117" s="423"/>
      <c r="W117" s="423"/>
    </row>
    <row r="118">
      <c r="A118" s="766"/>
      <c r="B118" s="717"/>
      <c r="C118" s="763"/>
      <c r="D118" s="763"/>
      <c r="E118" s="423"/>
      <c r="F118" s="764"/>
      <c r="G118" s="765"/>
      <c r="H118" s="423"/>
      <c r="I118" s="765"/>
      <c r="J118" s="728"/>
      <c r="K118" s="423"/>
      <c r="L118" s="423"/>
      <c r="M118" s="423"/>
      <c r="N118" s="423"/>
      <c r="O118" s="423"/>
      <c r="P118" s="423"/>
      <c r="Q118" s="423"/>
      <c r="R118" s="423"/>
      <c r="S118" s="423"/>
      <c r="T118" s="423"/>
      <c r="U118" s="423"/>
      <c r="V118" s="423"/>
      <c r="W118" s="423"/>
    </row>
    <row r="119">
      <c r="A119" s="766"/>
      <c r="B119" s="717"/>
      <c r="C119" s="763"/>
      <c r="D119" s="763"/>
      <c r="E119" s="423"/>
      <c r="F119" s="764"/>
      <c r="G119" s="765"/>
      <c r="H119" s="423"/>
      <c r="I119" s="765"/>
      <c r="J119" s="728"/>
      <c r="K119" s="423"/>
      <c r="L119" s="423"/>
      <c r="M119" s="423"/>
      <c r="N119" s="423"/>
      <c r="O119" s="423"/>
      <c r="P119" s="423"/>
      <c r="Q119" s="423"/>
      <c r="R119" s="423"/>
      <c r="S119" s="423"/>
      <c r="T119" s="423"/>
      <c r="U119" s="423"/>
      <c r="V119" s="423"/>
      <c r="W119" s="423"/>
    </row>
    <row r="120">
      <c r="A120" s="766"/>
      <c r="B120" s="717"/>
      <c r="C120" s="763"/>
      <c r="D120" s="763"/>
      <c r="E120" s="423"/>
      <c r="F120" s="764"/>
      <c r="G120" s="765"/>
      <c r="H120" s="423"/>
      <c r="I120" s="765"/>
      <c r="J120" s="728"/>
      <c r="K120" s="423"/>
      <c r="L120" s="423"/>
      <c r="M120" s="423"/>
      <c r="N120" s="423"/>
      <c r="O120" s="423"/>
      <c r="P120" s="423"/>
      <c r="Q120" s="423"/>
      <c r="R120" s="423"/>
      <c r="S120" s="423"/>
      <c r="T120" s="423"/>
      <c r="U120" s="423"/>
      <c r="V120" s="423"/>
      <c r="W120" s="423"/>
    </row>
    <row r="121">
      <c r="A121" s="766"/>
      <c r="B121" s="717"/>
      <c r="C121" s="763"/>
      <c r="D121" s="763"/>
      <c r="E121" s="423"/>
      <c r="F121" s="764"/>
      <c r="G121" s="765"/>
      <c r="H121" s="423"/>
      <c r="I121" s="765"/>
      <c r="J121" s="728"/>
      <c r="K121" s="423"/>
      <c r="L121" s="423"/>
      <c r="M121" s="423"/>
      <c r="N121" s="423"/>
      <c r="O121" s="423"/>
      <c r="P121" s="423"/>
      <c r="Q121" s="423"/>
      <c r="R121" s="423"/>
      <c r="S121" s="423"/>
      <c r="T121" s="423"/>
      <c r="U121" s="423"/>
      <c r="V121" s="423"/>
      <c r="W121" s="423"/>
    </row>
    <row r="122">
      <c r="A122" s="766"/>
      <c r="B122" s="717"/>
      <c r="C122" s="763"/>
      <c r="D122" s="763"/>
      <c r="E122" s="423"/>
      <c r="F122" s="764"/>
      <c r="G122" s="765"/>
      <c r="H122" s="423"/>
      <c r="I122" s="765"/>
      <c r="J122" s="728"/>
      <c r="K122" s="423"/>
      <c r="L122" s="423"/>
      <c r="M122" s="423"/>
      <c r="N122" s="423"/>
      <c r="O122" s="423"/>
      <c r="P122" s="423"/>
      <c r="Q122" s="423"/>
      <c r="R122" s="423"/>
      <c r="S122" s="423"/>
      <c r="T122" s="423"/>
      <c r="U122" s="423"/>
      <c r="V122" s="423"/>
      <c r="W122" s="423"/>
    </row>
    <row r="123">
      <c r="A123" s="766"/>
      <c r="B123" s="717"/>
      <c r="C123" s="763"/>
      <c r="D123" s="763"/>
      <c r="E123" s="423"/>
      <c r="F123" s="764"/>
      <c r="G123" s="765"/>
      <c r="H123" s="423"/>
      <c r="I123" s="765"/>
      <c r="J123" s="728"/>
      <c r="K123" s="423"/>
      <c r="L123" s="423"/>
      <c r="M123" s="423"/>
      <c r="N123" s="423"/>
      <c r="O123" s="423"/>
      <c r="P123" s="423"/>
      <c r="Q123" s="423"/>
      <c r="R123" s="423"/>
      <c r="S123" s="423"/>
      <c r="T123" s="423"/>
      <c r="U123" s="423"/>
      <c r="V123" s="423"/>
      <c r="W123" s="423"/>
    </row>
    <row r="124">
      <c r="A124" s="766"/>
      <c r="B124" s="717"/>
      <c r="C124" s="763"/>
      <c r="D124" s="763"/>
      <c r="E124" s="423"/>
      <c r="F124" s="764"/>
      <c r="G124" s="765"/>
      <c r="H124" s="423"/>
      <c r="I124" s="765"/>
      <c r="J124" s="728"/>
      <c r="K124" s="423"/>
      <c r="L124" s="423"/>
      <c r="M124" s="423"/>
      <c r="N124" s="423"/>
      <c r="O124" s="423"/>
      <c r="P124" s="423"/>
      <c r="Q124" s="423"/>
      <c r="R124" s="423"/>
      <c r="S124" s="423"/>
      <c r="T124" s="423"/>
      <c r="U124" s="423"/>
      <c r="V124" s="423"/>
      <c r="W124" s="423"/>
    </row>
    <row r="125">
      <c r="A125" s="766"/>
      <c r="B125" s="717"/>
      <c r="C125" s="763"/>
      <c r="D125" s="763"/>
      <c r="E125" s="423"/>
      <c r="F125" s="764"/>
      <c r="G125" s="765"/>
      <c r="H125" s="423"/>
      <c r="I125" s="765"/>
      <c r="J125" s="728"/>
      <c r="K125" s="423"/>
      <c r="L125" s="423"/>
      <c r="M125" s="423"/>
      <c r="N125" s="423"/>
      <c r="O125" s="423"/>
      <c r="P125" s="423"/>
      <c r="Q125" s="423"/>
      <c r="R125" s="423"/>
      <c r="S125" s="423"/>
      <c r="T125" s="423"/>
      <c r="U125" s="423"/>
      <c r="V125" s="423"/>
      <c r="W125" s="423"/>
    </row>
    <row r="126">
      <c r="A126" s="766"/>
      <c r="B126" s="717"/>
      <c r="C126" s="763"/>
      <c r="D126" s="763"/>
      <c r="E126" s="423"/>
      <c r="F126" s="764"/>
      <c r="G126" s="765"/>
      <c r="H126" s="423"/>
      <c r="I126" s="765"/>
      <c r="J126" s="728"/>
      <c r="K126" s="423"/>
      <c r="L126" s="423"/>
      <c r="M126" s="423"/>
      <c r="N126" s="423"/>
      <c r="O126" s="423"/>
      <c r="P126" s="423"/>
      <c r="Q126" s="423"/>
      <c r="R126" s="423"/>
      <c r="S126" s="423"/>
      <c r="T126" s="423"/>
      <c r="U126" s="423"/>
      <c r="V126" s="423"/>
      <c r="W126" s="423"/>
    </row>
    <row r="127">
      <c r="A127" s="766"/>
      <c r="B127" s="717"/>
      <c r="C127" s="763"/>
      <c r="D127" s="763"/>
      <c r="E127" s="423"/>
      <c r="F127" s="764"/>
      <c r="G127" s="765"/>
      <c r="H127" s="423"/>
      <c r="I127" s="765"/>
      <c r="J127" s="728"/>
      <c r="K127" s="423"/>
      <c r="L127" s="423"/>
      <c r="M127" s="423"/>
      <c r="N127" s="423"/>
      <c r="O127" s="423"/>
      <c r="P127" s="423"/>
      <c r="Q127" s="423"/>
      <c r="R127" s="423"/>
      <c r="S127" s="423"/>
      <c r="T127" s="423"/>
      <c r="U127" s="423"/>
      <c r="V127" s="423"/>
      <c r="W127" s="423"/>
    </row>
    <row r="128">
      <c r="A128" s="766"/>
      <c r="B128" s="717"/>
      <c r="C128" s="763"/>
      <c r="D128" s="763"/>
      <c r="E128" s="423"/>
      <c r="F128" s="764"/>
      <c r="G128" s="765"/>
      <c r="H128" s="423"/>
      <c r="I128" s="765"/>
      <c r="J128" s="728"/>
      <c r="K128" s="423"/>
      <c r="L128" s="423"/>
      <c r="M128" s="423"/>
      <c r="N128" s="423"/>
      <c r="O128" s="423"/>
      <c r="P128" s="423"/>
      <c r="Q128" s="423"/>
      <c r="R128" s="423"/>
      <c r="S128" s="423"/>
      <c r="T128" s="423"/>
      <c r="U128" s="423"/>
      <c r="V128" s="423"/>
      <c r="W128" s="423"/>
    </row>
    <row r="129">
      <c r="A129" s="766"/>
      <c r="B129" s="717"/>
      <c r="C129" s="763"/>
      <c r="D129" s="763"/>
      <c r="E129" s="423"/>
      <c r="F129" s="764"/>
      <c r="G129" s="765"/>
      <c r="H129" s="423"/>
      <c r="I129" s="765"/>
      <c r="J129" s="728"/>
      <c r="K129" s="423"/>
      <c r="L129" s="423"/>
      <c r="M129" s="423"/>
      <c r="N129" s="423"/>
      <c r="O129" s="423"/>
      <c r="P129" s="423"/>
      <c r="Q129" s="423"/>
      <c r="R129" s="423"/>
      <c r="S129" s="423"/>
      <c r="T129" s="423"/>
      <c r="U129" s="423"/>
      <c r="V129" s="423"/>
      <c r="W129" s="423"/>
    </row>
    <row r="130">
      <c r="A130" s="766"/>
      <c r="B130" s="717"/>
      <c r="C130" s="763"/>
      <c r="D130" s="763"/>
      <c r="E130" s="423"/>
      <c r="F130" s="764"/>
      <c r="G130" s="765"/>
      <c r="H130" s="423"/>
      <c r="I130" s="765"/>
      <c r="J130" s="728"/>
      <c r="K130" s="423"/>
      <c r="L130" s="423"/>
      <c r="M130" s="423"/>
      <c r="N130" s="423"/>
      <c r="O130" s="423"/>
      <c r="P130" s="423"/>
      <c r="Q130" s="423"/>
      <c r="R130" s="423"/>
      <c r="S130" s="423"/>
      <c r="T130" s="423"/>
      <c r="U130" s="423"/>
      <c r="V130" s="423"/>
      <c r="W130" s="423"/>
    </row>
    <row r="131">
      <c r="A131" s="766"/>
      <c r="B131" s="717"/>
      <c r="C131" s="763"/>
      <c r="D131" s="763"/>
      <c r="E131" s="423"/>
      <c r="F131" s="764"/>
      <c r="G131" s="765"/>
      <c r="H131" s="423"/>
      <c r="I131" s="765"/>
      <c r="J131" s="728"/>
      <c r="K131" s="423"/>
      <c r="L131" s="423"/>
      <c r="M131" s="423"/>
      <c r="N131" s="423"/>
      <c r="O131" s="423"/>
      <c r="P131" s="423"/>
      <c r="Q131" s="423"/>
      <c r="R131" s="423"/>
      <c r="S131" s="423"/>
      <c r="T131" s="423"/>
      <c r="U131" s="423"/>
      <c r="V131" s="423"/>
      <c r="W131" s="423"/>
    </row>
    <row r="132">
      <c r="A132" s="766"/>
      <c r="B132" s="717"/>
      <c r="C132" s="763"/>
      <c r="D132" s="763"/>
      <c r="E132" s="423"/>
      <c r="F132" s="764"/>
      <c r="G132" s="765"/>
      <c r="H132" s="423"/>
      <c r="I132" s="765"/>
      <c r="J132" s="728"/>
      <c r="K132" s="423"/>
      <c r="L132" s="423"/>
      <c r="M132" s="423"/>
      <c r="N132" s="423"/>
      <c r="O132" s="423"/>
      <c r="P132" s="423"/>
      <c r="Q132" s="423"/>
      <c r="R132" s="423"/>
      <c r="S132" s="423"/>
      <c r="T132" s="423"/>
      <c r="U132" s="423"/>
      <c r="V132" s="423"/>
      <c r="W132" s="423"/>
    </row>
    <row r="133">
      <c r="A133" s="766"/>
      <c r="B133" s="717"/>
      <c r="C133" s="763"/>
      <c r="D133" s="763"/>
      <c r="E133" s="423"/>
      <c r="F133" s="764"/>
      <c r="G133" s="765"/>
      <c r="H133" s="423"/>
      <c r="I133" s="765"/>
      <c r="J133" s="728"/>
      <c r="K133" s="423"/>
      <c r="L133" s="423"/>
      <c r="M133" s="423"/>
      <c r="N133" s="423"/>
      <c r="O133" s="423"/>
      <c r="P133" s="423"/>
      <c r="Q133" s="423"/>
      <c r="R133" s="423"/>
      <c r="S133" s="423"/>
      <c r="T133" s="423"/>
      <c r="U133" s="423"/>
      <c r="V133" s="423"/>
      <c r="W133" s="423"/>
    </row>
    <row r="134">
      <c r="A134" s="766"/>
      <c r="B134" s="717"/>
      <c r="C134" s="763"/>
      <c r="D134" s="763"/>
      <c r="E134" s="423"/>
      <c r="F134" s="764"/>
      <c r="G134" s="765"/>
      <c r="H134" s="423"/>
      <c r="I134" s="765"/>
      <c r="J134" s="728"/>
      <c r="K134" s="423"/>
      <c r="L134" s="423"/>
      <c r="M134" s="423"/>
      <c r="N134" s="423"/>
      <c r="O134" s="423"/>
      <c r="P134" s="423"/>
      <c r="Q134" s="423"/>
      <c r="R134" s="423"/>
      <c r="S134" s="423"/>
      <c r="T134" s="423"/>
      <c r="U134" s="423"/>
      <c r="V134" s="423"/>
      <c r="W134" s="423"/>
    </row>
    <row r="135">
      <c r="A135" s="766"/>
      <c r="B135" s="717"/>
      <c r="C135" s="763"/>
      <c r="D135" s="763"/>
      <c r="E135" s="423"/>
      <c r="F135" s="764"/>
      <c r="G135" s="765"/>
      <c r="H135" s="423"/>
      <c r="I135" s="765"/>
      <c r="J135" s="728"/>
      <c r="K135" s="423"/>
      <c r="L135" s="423"/>
      <c r="M135" s="423"/>
      <c r="N135" s="423"/>
      <c r="O135" s="423"/>
      <c r="P135" s="423"/>
      <c r="Q135" s="423"/>
      <c r="R135" s="423"/>
      <c r="S135" s="423"/>
      <c r="T135" s="423"/>
      <c r="U135" s="423"/>
      <c r="V135" s="423"/>
      <c r="W135" s="423"/>
    </row>
    <row r="136">
      <c r="A136" s="766"/>
      <c r="B136" s="717"/>
      <c r="C136" s="763"/>
      <c r="D136" s="763"/>
      <c r="E136" s="423"/>
      <c r="F136" s="764"/>
      <c r="G136" s="765"/>
      <c r="H136" s="423"/>
      <c r="I136" s="765"/>
      <c r="J136" s="728"/>
      <c r="K136" s="423"/>
      <c r="L136" s="423"/>
      <c r="M136" s="423"/>
      <c r="N136" s="423"/>
      <c r="O136" s="423"/>
      <c r="P136" s="423"/>
      <c r="Q136" s="423"/>
      <c r="R136" s="423"/>
      <c r="S136" s="423"/>
      <c r="T136" s="423"/>
      <c r="U136" s="423"/>
      <c r="V136" s="423"/>
      <c r="W136" s="423"/>
    </row>
    <row r="137">
      <c r="A137" s="766"/>
      <c r="B137" s="717"/>
      <c r="C137" s="763"/>
      <c r="D137" s="763"/>
      <c r="E137" s="423"/>
      <c r="F137" s="764"/>
      <c r="G137" s="765"/>
      <c r="H137" s="423"/>
      <c r="I137" s="765"/>
      <c r="J137" s="728"/>
      <c r="K137" s="423"/>
      <c r="L137" s="423"/>
      <c r="M137" s="423"/>
      <c r="N137" s="423"/>
      <c r="O137" s="423"/>
      <c r="P137" s="423"/>
      <c r="Q137" s="423"/>
      <c r="R137" s="423"/>
      <c r="S137" s="423"/>
      <c r="T137" s="423"/>
      <c r="U137" s="423"/>
      <c r="V137" s="423"/>
      <c r="W137" s="423"/>
    </row>
    <row r="138">
      <c r="A138" s="766"/>
      <c r="B138" s="717"/>
      <c r="C138" s="763"/>
      <c r="D138" s="763"/>
      <c r="E138" s="423"/>
      <c r="F138" s="764"/>
      <c r="G138" s="765"/>
      <c r="H138" s="423"/>
      <c r="I138" s="765"/>
      <c r="J138" s="728"/>
      <c r="K138" s="423"/>
      <c r="L138" s="423"/>
      <c r="M138" s="423"/>
      <c r="N138" s="423"/>
      <c r="O138" s="423"/>
      <c r="P138" s="423"/>
      <c r="Q138" s="423"/>
      <c r="R138" s="423"/>
      <c r="S138" s="423"/>
      <c r="T138" s="423"/>
      <c r="U138" s="423"/>
      <c r="V138" s="423"/>
      <c r="W138" s="423"/>
    </row>
    <row r="139">
      <c r="A139" s="766"/>
      <c r="B139" s="717"/>
      <c r="C139" s="763"/>
      <c r="D139" s="763"/>
      <c r="E139" s="423"/>
      <c r="F139" s="764"/>
      <c r="G139" s="765"/>
      <c r="H139" s="423"/>
      <c r="I139" s="765"/>
      <c r="J139" s="728"/>
      <c r="K139" s="423"/>
      <c r="L139" s="423"/>
      <c r="M139" s="423"/>
      <c r="N139" s="423"/>
      <c r="O139" s="423"/>
      <c r="P139" s="423"/>
      <c r="Q139" s="423"/>
      <c r="R139" s="423"/>
      <c r="S139" s="423"/>
      <c r="T139" s="423"/>
      <c r="U139" s="423"/>
      <c r="V139" s="423"/>
      <c r="W139" s="423"/>
    </row>
    <row r="140">
      <c r="A140" s="766"/>
      <c r="B140" s="717"/>
      <c r="C140" s="763"/>
      <c r="D140" s="763"/>
      <c r="E140" s="423"/>
      <c r="F140" s="764"/>
      <c r="G140" s="765"/>
      <c r="H140" s="423"/>
      <c r="I140" s="765"/>
      <c r="J140" s="728"/>
      <c r="K140" s="423"/>
      <c r="L140" s="423"/>
      <c r="M140" s="423"/>
      <c r="N140" s="423"/>
      <c r="O140" s="423"/>
      <c r="P140" s="423"/>
      <c r="Q140" s="423"/>
      <c r="R140" s="423"/>
      <c r="S140" s="423"/>
      <c r="T140" s="423"/>
      <c r="U140" s="423"/>
      <c r="V140" s="423"/>
      <c r="W140" s="423"/>
    </row>
    <row r="141">
      <c r="A141" s="766"/>
      <c r="B141" s="717"/>
      <c r="C141" s="763"/>
      <c r="D141" s="763"/>
      <c r="E141" s="423"/>
      <c r="F141" s="764"/>
      <c r="G141" s="765"/>
      <c r="H141" s="423"/>
      <c r="I141" s="765"/>
      <c r="J141" s="728"/>
      <c r="K141" s="423"/>
      <c r="L141" s="423"/>
      <c r="M141" s="423"/>
      <c r="N141" s="423"/>
      <c r="O141" s="423"/>
      <c r="P141" s="423"/>
      <c r="Q141" s="423"/>
      <c r="R141" s="423"/>
      <c r="S141" s="423"/>
      <c r="T141" s="423"/>
      <c r="U141" s="423"/>
      <c r="V141" s="423"/>
      <c r="W141" s="423"/>
    </row>
    <row r="142">
      <c r="A142" s="766"/>
      <c r="B142" s="717"/>
      <c r="C142" s="763"/>
      <c r="D142" s="763"/>
      <c r="E142" s="423"/>
      <c r="F142" s="764"/>
      <c r="G142" s="765"/>
      <c r="H142" s="423"/>
      <c r="I142" s="765"/>
      <c r="J142" s="728"/>
      <c r="K142" s="423"/>
      <c r="L142" s="423"/>
      <c r="M142" s="423"/>
      <c r="N142" s="423"/>
      <c r="O142" s="423"/>
      <c r="P142" s="423"/>
      <c r="Q142" s="423"/>
      <c r="R142" s="423"/>
      <c r="S142" s="423"/>
      <c r="T142" s="423"/>
      <c r="U142" s="423"/>
      <c r="V142" s="423"/>
      <c r="W142" s="423"/>
    </row>
    <row r="143">
      <c r="A143" s="766"/>
      <c r="B143" s="717"/>
      <c r="C143" s="763"/>
      <c r="D143" s="763"/>
      <c r="E143" s="423"/>
      <c r="F143" s="764"/>
      <c r="G143" s="765"/>
      <c r="H143" s="423"/>
      <c r="I143" s="765"/>
      <c r="J143" s="728"/>
      <c r="K143" s="423"/>
      <c r="L143" s="423"/>
      <c r="M143" s="423"/>
      <c r="N143" s="423"/>
      <c r="O143" s="423"/>
      <c r="P143" s="423"/>
      <c r="Q143" s="423"/>
      <c r="R143" s="423"/>
      <c r="S143" s="423"/>
      <c r="T143" s="423"/>
      <c r="U143" s="423"/>
      <c r="V143" s="423"/>
      <c r="W143" s="423"/>
    </row>
    <row r="144">
      <c r="A144" s="766"/>
      <c r="B144" s="717"/>
      <c r="C144" s="763"/>
      <c r="D144" s="763"/>
      <c r="E144" s="423"/>
      <c r="F144" s="764"/>
      <c r="G144" s="765"/>
      <c r="H144" s="423"/>
      <c r="I144" s="765"/>
      <c r="J144" s="728"/>
      <c r="K144" s="423"/>
      <c r="L144" s="423"/>
      <c r="M144" s="423"/>
      <c r="N144" s="423"/>
      <c r="O144" s="423"/>
      <c r="P144" s="423"/>
      <c r="Q144" s="423"/>
      <c r="R144" s="423"/>
      <c r="S144" s="423"/>
      <c r="T144" s="423"/>
      <c r="U144" s="423"/>
      <c r="V144" s="423"/>
      <c r="W144" s="423"/>
    </row>
    <row r="145">
      <c r="A145" s="766"/>
      <c r="B145" s="717"/>
      <c r="C145" s="763"/>
      <c r="D145" s="763"/>
      <c r="E145" s="423"/>
      <c r="F145" s="764"/>
      <c r="G145" s="765"/>
      <c r="H145" s="423"/>
      <c r="I145" s="765"/>
      <c r="J145" s="728"/>
      <c r="K145" s="423"/>
      <c r="L145" s="423"/>
      <c r="M145" s="423"/>
      <c r="N145" s="423"/>
      <c r="O145" s="423"/>
      <c r="P145" s="423"/>
      <c r="Q145" s="423"/>
      <c r="R145" s="423"/>
      <c r="S145" s="423"/>
      <c r="T145" s="423"/>
      <c r="U145" s="423"/>
      <c r="V145" s="423"/>
      <c r="W145" s="423"/>
    </row>
    <row r="146">
      <c r="A146" s="766"/>
      <c r="B146" s="717"/>
      <c r="C146" s="763"/>
      <c r="D146" s="763"/>
      <c r="E146" s="423"/>
      <c r="F146" s="764"/>
      <c r="G146" s="765"/>
      <c r="H146" s="423"/>
      <c r="I146" s="765"/>
      <c r="J146" s="728"/>
      <c r="K146" s="423"/>
      <c r="L146" s="423"/>
      <c r="M146" s="423"/>
      <c r="N146" s="423"/>
      <c r="O146" s="423"/>
      <c r="P146" s="423"/>
      <c r="Q146" s="423"/>
      <c r="R146" s="423"/>
      <c r="S146" s="423"/>
      <c r="T146" s="423"/>
      <c r="U146" s="423"/>
      <c r="V146" s="423"/>
      <c r="W146" s="423"/>
    </row>
    <row r="147">
      <c r="A147" s="766"/>
      <c r="B147" s="717"/>
      <c r="C147" s="763"/>
      <c r="D147" s="763"/>
      <c r="E147" s="423"/>
      <c r="F147" s="764"/>
      <c r="G147" s="765"/>
      <c r="H147" s="423"/>
      <c r="I147" s="765"/>
      <c r="J147" s="728"/>
      <c r="K147" s="423"/>
      <c r="L147" s="423"/>
      <c r="M147" s="423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</row>
    <row r="148">
      <c r="A148" s="766"/>
      <c r="B148" s="717"/>
      <c r="C148" s="763"/>
      <c r="D148" s="763"/>
      <c r="E148" s="423"/>
      <c r="F148" s="764"/>
      <c r="G148" s="765"/>
      <c r="H148" s="423"/>
      <c r="I148" s="765"/>
      <c r="J148" s="728"/>
      <c r="K148" s="423"/>
      <c r="L148" s="423"/>
      <c r="M148" s="423"/>
      <c r="N148" s="423"/>
      <c r="O148" s="423"/>
      <c r="P148" s="423"/>
      <c r="Q148" s="423"/>
      <c r="R148" s="423"/>
      <c r="S148" s="423"/>
      <c r="T148" s="423"/>
      <c r="U148" s="423"/>
      <c r="V148" s="423"/>
      <c r="W148" s="423"/>
    </row>
    <row r="149">
      <c r="A149" s="766"/>
      <c r="B149" s="717"/>
      <c r="C149" s="763"/>
      <c r="D149" s="763"/>
      <c r="E149" s="423"/>
      <c r="F149" s="764"/>
      <c r="G149" s="765"/>
      <c r="H149" s="423"/>
      <c r="I149" s="765"/>
      <c r="J149" s="728"/>
      <c r="K149" s="423"/>
      <c r="L149" s="423"/>
      <c r="M149" s="423"/>
      <c r="N149" s="423"/>
      <c r="O149" s="423"/>
      <c r="P149" s="423"/>
      <c r="Q149" s="423"/>
      <c r="R149" s="423"/>
      <c r="S149" s="423"/>
      <c r="T149" s="423"/>
      <c r="U149" s="423"/>
      <c r="V149" s="423"/>
      <c r="W149" s="423"/>
    </row>
    <row r="150">
      <c r="A150" s="766"/>
      <c r="B150" s="717"/>
      <c r="C150" s="763"/>
      <c r="D150" s="763"/>
      <c r="E150" s="423"/>
      <c r="F150" s="764"/>
      <c r="G150" s="765"/>
      <c r="H150" s="423"/>
      <c r="I150" s="765"/>
      <c r="J150" s="728"/>
      <c r="K150" s="423"/>
      <c r="L150" s="423"/>
      <c r="M150" s="423"/>
      <c r="N150" s="423"/>
      <c r="O150" s="423"/>
      <c r="P150" s="423"/>
      <c r="Q150" s="423"/>
      <c r="R150" s="423"/>
      <c r="S150" s="423"/>
      <c r="T150" s="423"/>
      <c r="U150" s="423"/>
      <c r="V150" s="423"/>
      <c r="W150" s="423"/>
    </row>
    <row r="151">
      <c r="A151" s="766"/>
      <c r="B151" s="717"/>
      <c r="C151" s="763"/>
      <c r="D151" s="763"/>
      <c r="E151" s="423"/>
      <c r="F151" s="764"/>
      <c r="G151" s="765"/>
      <c r="H151" s="423"/>
      <c r="I151" s="765"/>
      <c r="J151" s="728"/>
      <c r="K151" s="423"/>
      <c r="L151" s="423"/>
      <c r="M151" s="423"/>
      <c r="N151" s="423"/>
      <c r="O151" s="423"/>
      <c r="P151" s="423"/>
      <c r="Q151" s="423"/>
      <c r="R151" s="423"/>
      <c r="S151" s="423"/>
      <c r="T151" s="423"/>
      <c r="U151" s="423"/>
      <c r="V151" s="423"/>
      <c r="W151" s="423"/>
    </row>
    <row r="152">
      <c r="A152" s="766"/>
      <c r="B152" s="717"/>
      <c r="C152" s="763"/>
      <c r="D152" s="763"/>
      <c r="E152" s="423"/>
      <c r="F152" s="764"/>
      <c r="G152" s="765"/>
      <c r="H152" s="423"/>
      <c r="I152" s="765"/>
      <c r="J152" s="728"/>
      <c r="K152" s="423"/>
      <c r="L152" s="423"/>
      <c r="M152" s="423"/>
      <c r="N152" s="423"/>
      <c r="O152" s="423"/>
      <c r="P152" s="423"/>
      <c r="Q152" s="423"/>
      <c r="R152" s="423"/>
      <c r="S152" s="423"/>
      <c r="T152" s="423"/>
      <c r="U152" s="423"/>
      <c r="V152" s="423"/>
      <c r="W152" s="423"/>
    </row>
    <row r="153">
      <c r="A153" s="766"/>
      <c r="B153" s="717"/>
      <c r="C153" s="763"/>
      <c r="D153" s="763"/>
      <c r="E153" s="423"/>
      <c r="F153" s="764"/>
      <c r="G153" s="765"/>
      <c r="H153" s="423"/>
      <c r="I153" s="765"/>
      <c r="J153" s="728"/>
      <c r="K153" s="423"/>
      <c r="L153" s="423"/>
      <c r="M153" s="423"/>
      <c r="N153" s="423"/>
      <c r="O153" s="423"/>
      <c r="P153" s="423"/>
      <c r="Q153" s="423"/>
      <c r="R153" s="423"/>
      <c r="S153" s="423"/>
      <c r="T153" s="423"/>
      <c r="U153" s="423"/>
      <c r="V153" s="423"/>
      <c r="W153" s="423"/>
    </row>
    <row r="154">
      <c r="A154" s="766"/>
      <c r="B154" s="717"/>
      <c r="C154" s="763"/>
      <c r="D154" s="763"/>
      <c r="E154" s="423"/>
      <c r="F154" s="764"/>
      <c r="G154" s="765"/>
      <c r="H154" s="423"/>
      <c r="I154" s="765"/>
      <c r="J154" s="728"/>
      <c r="K154" s="423"/>
      <c r="L154" s="423"/>
      <c r="M154" s="423"/>
      <c r="N154" s="423"/>
      <c r="O154" s="423"/>
      <c r="P154" s="423"/>
      <c r="Q154" s="423"/>
      <c r="R154" s="423"/>
      <c r="S154" s="423"/>
      <c r="T154" s="423"/>
      <c r="U154" s="423"/>
      <c r="V154" s="423"/>
      <c r="W154" s="423"/>
    </row>
    <row r="155">
      <c r="A155" s="766"/>
      <c r="B155" s="717"/>
      <c r="C155" s="763"/>
      <c r="D155" s="763"/>
      <c r="E155" s="423"/>
      <c r="F155" s="764"/>
      <c r="G155" s="765"/>
      <c r="H155" s="423"/>
      <c r="I155" s="765"/>
      <c r="J155" s="728"/>
      <c r="K155" s="423"/>
      <c r="L155" s="423"/>
      <c r="M155" s="423"/>
      <c r="N155" s="423"/>
      <c r="O155" s="423"/>
      <c r="P155" s="423"/>
      <c r="Q155" s="423"/>
      <c r="R155" s="423"/>
      <c r="S155" s="423"/>
      <c r="T155" s="423"/>
      <c r="U155" s="423"/>
      <c r="V155" s="423"/>
      <c r="W155" s="423"/>
    </row>
    <row r="156">
      <c r="A156" s="766"/>
      <c r="B156" s="717"/>
      <c r="C156" s="763"/>
      <c r="D156" s="763"/>
      <c r="E156" s="423"/>
      <c r="F156" s="764"/>
      <c r="G156" s="765"/>
      <c r="H156" s="423"/>
      <c r="I156" s="765"/>
      <c r="J156" s="728"/>
      <c r="K156" s="423"/>
      <c r="L156" s="423"/>
      <c r="M156" s="423"/>
      <c r="N156" s="423"/>
      <c r="O156" s="423"/>
      <c r="P156" s="423"/>
      <c r="Q156" s="423"/>
      <c r="R156" s="423"/>
      <c r="S156" s="423"/>
      <c r="T156" s="423"/>
      <c r="U156" s="423"/>
      <c r="V156" s="423"/>
      <c r="W156" s="423"/>
    </row>
    <row r="157">
      <c r="A157" s="766"/>
      <c r="B157" s="717"/>
      <c r="C157" s="763"/>
      <c r="D157" s="763"/>
      <c r="E157" s="423"/>
      <c r="F157" s="764"/>
      <c r="G157" s="765"/>
      <c r="H157" s="423"/>
      <c r="I157" s="765"/>
      <c r="J157" s="728"/>
      <c r="K157" s="423"/>
      <c r="L157" s="423"/>
      <c r="M157" s="423"/>
      <c r="N157" s="423"/>
      <c r="O157" s="423"/>
      <c r="P157" s="423"/>
      <c r="Q157" s="423"/>
      <c r="R157" s="423"/>
      <c r="S157" s="423"/>
      <c r="T157" s="423"/>
      <c r="U157" s="423"/>
      <c r="V157" s="423"/>
      <c r="W157" s="423"/>
    </row>
    <row r="158">
      <c r="A158" s="766"/>
      <c r="B158" s="717"/>
      <c r="C158" s="763"/>
      <c r="D158" s="763"/>
      <c r="E158" s="423"/>
      <c r="F158" s="764"/>
      <c r="G158" s="765"/>
      <c r="H158" s="423"/>
      <c r="I158" s="765"/>
      <c r="J158" s="728"/>
      <c r="K158" s="423"/>
      <c r="L158" s="423"/>
      <c r="M158" s="423"/>
      <c r="N158" s="423"/>
      <c r="O158" s="423"/>
      <c r="P158" s="423"/>
      <c r="Q158" s="423"/>
      <c r="R158" s="423"/>
      <c r="S158" s="423"/>
      <c r="T158" s="423"/>
      <c r="U158" s="423"/>
      <c r="V158" s="423"/>
      <c r="W158" s="423"/>
    </row>
    <row r="159">
      <c r="A159" s="766"/>
      <c r="B159" s="717"/>
      <c r="C159" s="763"/>
      <c r="D159" s="763"/>
      <c r="E159" s="423"/>
      <c r="F159" s="764"/>
      <c r="G159" s="765"/>
      <c r="H159" s="423"/>
      <c r="I159" s="765"/>
      <c r="J159" s="728"/>
      <c r="K159" s="423"/>
      <c r="L159" s="423"/>
      <c r="M159" s="423"/>
      <c r="N159" s="423"/>
      <c r="O159" s="423"/>
      <c r="P159" s="423"/>
      <c r="Q159" s="423"/>
      <c r="R159" s="423"/>
      <c r="S159" s="423"/>
      <c r="T159" s="423"/>
      <c r="U159" s="423"/>
      <c r="V159" s="423"/>
      <c r="W159" s="423"/>
    </row>
    <row r="160">
      <c r="A160" s="766"/>
      <c r="B160" s="717"/>
      <c r="C160" s="763"/>
      <c r="D160" s="763"/>
      <c r="E160" s="423"/>
      <c r="F160" s="764"/>
      <c r="G160" s="765"/>
      <c r="H160" s="423"/>
      <c r="I160" s="765"/>
      <c r="J160" s="728"/>
      <c r="K160" s="423"/>
      <c r="L160" s="423"/>
      <c r="M160" s="423"/>
      <c r="N160" s="423"/>
      <c r="O160" s="423"/>
      <c r="P160" s="423"/>
      <c r="Q160" s="423"/>
      <c r="R160" s="423"/>
      <c r="S160" s="423"/>
      <c r="T160" s="423"/>
      <c r="U160" s="423"/>
      <c r="V160" s="423"/>
      <c r="W160" s="423"/>
    </row>
    <row r="161">
      <c r="A161" s="766"/>
      <c r="B161" s="717"/>
      <c r="C161" s="763"/>
      <c r="D161" s="763"/>
      <c r="E161" s="423"/>
      <c r="F161" s="764"/>
      <c r="G161" s="765"/>
      <c r="H161" s="423"/>
      <c r="I161" s="765"/>
      <c r="J161" s="728"/>
      <c r="K161" s="423"/>
      <c r="L161" s="423"/>
      <c r="M161" s="423"/>
      <c r="N161" s="423"/>
      <c r="O161" s="423"/>
      <c r="P161" s="423"/>
      <c r="Q161" s="423"/>
      <c r="R161" s="423"/>
      <c r="S161" s="423"/>
      <c r="T161" s="423"/>
      <c r="U161" s="423"/>
      <c r="V161" s="423"/>
      <c r="W161" s="423"/>
    </row>
    <row r="162">
      <c r="A162" s="766"/>
      <c r="B162" s="717"/>
      <c r="C162" s="763"/>
      <c r="D162" s="763"/>
      <c r="E162" s="423"/>
      <c r="F162" s="764"/>
      <c r="G162" s="765"/>
      <c r="H162" s="423"/>
      <c r="I162" s="765"/>
      <c r="J162" s="728"/>
      <c r="K162" s="423"/>
      <c r="L162" s="423"/>
      <c r="M162" s="423"/>
      <c r="N162" s="423"/>
      <c r="O162" s="423"/>
      <c r="P162" s="423"/>
      <c r="Q162" s="423"/>
      <c r="R162" s="423"/>
      <c r="S162" s="423"/>
      <c r="T162" s="423"/>
      <c r="U162" s="423"/>
      <c r="V162" s="423"/>
      <c r="W162" s="423"/>
    </row>
    <row r="163">
      <c r="A163" s="766"/>
      <c r="B163" s="717"/>
      <c r="C163" s="763"/>
      <c r="D163" s="763"/>
      <c r="E163" s="423"/>
      <c r="F163" s="764"/>
      <c r="G163" s="765"/>
      <c r="H163" s="423"/>
      <c r="I163" s="765"/>
      <c r="J163" s="728"/>
      <c r="K163" s="423"/>
      <c r="L163" s="423"/>
      <c r="M163" s="423"/>
      <c r="N163" s="423"/>
      <c r="O163" s="423"/>
      <c r="P163" s="423"/>
      <c r="Q163" s="423"/>
      <c r="R163" s="423"/>
      <c r="S163" s="423"/>
      <c r="T163" s="423"/>
      <c r="U163" s="423"/>
      <c r="V163" s="423"/>
      <c r="W163" s="423"/>
    </row>
    <row r="164">
      <c r="A164" s="766"/>
      <c r="B164" s="717"/>
      <c r="C164" s="763"/>
      <c r="D164" s="763"/>
      <c r="E164" s="423"/>
      <c r="F164" s="764"/>
      <c r="G164" s="765"/>
      <c r="H164" s="423"/>
      <c r="I164" s="765"/>
      <c r="J164" s="728"/>
      <c r="K164" s="423"/>
      <c r="L164" s="423"/>
      <c r="M164" s="423"/>
      <c r="N164" s="423"/>
      <c r="O164" s="423"/>
      <c r="P164" s="423"/>
      <c r="Q164" s="423"/>
      <c r="R164" s="423"/>
      <c r="S164" s="423"/>
      <c r="T164" s="423"/>
      <c r="U164" s="423"/>
      <c r="V164" s="423"/>
      <c r="W164" s="423"/>
    </row>
    <row r="165">
      <c r="A165" s="766"/>
      <c r="B165" s="717"/>
      <c r="C165" s="763"/>
      <c r="D165" s="763"/>
      <c r="E165" s="423"/>
      <c r="F165" s="764"/>
      <c r="G165" s="765"/>
      <c r="H165" s="423"/>
      <c r="I165" s="765"/>
      <c r="J165" s="728"/>
      <c r="K165" s="423"/>
      <c r="L165" s="423"/>
      <c r="M165" s="423"/>
      <c r="N165" s="423"/>
      <c r="O165" s="423"/>
      <c r="P165" s="423"/>
      <c r="Q165" s="423"/>
      <c r="R165" s="423"/>
      <c r="S165" s="423"/>
      <c r="T165" s="423"/>
      <c r="U165" s="423"/>
      <c r="V165" s="423"/>
      <c r="W165" s="423"/>
    </row>
    <row r="166">
      <c r="A166" s="766"/>
      <c r="B166" s="717"/>
      <c r="C166" s="763"/>
      <c r="D166" s="763"/>
      <c r="E166" s="423"/>
      <c r="F166" s="764"/>
      <c r="G166" s="765"/>
      <c r="H166" s="423"/>
      <c r="I166" s="765"/>
      <c r="J166" s="728"/>
      <c r="K166" s="423"/>
      <c r="L166" s="423"/>
      <c r="M166" s="423"/>
      <c r="N166" s="423"/>
      <c r="O166" s="423"/>
      <c r="P166" s="423"/>
      <c r="Q166" s="423"/>
      <c r="R166" s="423"/>
      <c r="S166" s="423"/>
      <c r="T166" s="423"/>
      <c r="U166" s="423"/>
      <c r="V166" s="423"/>
      <c r="W166" s="423"/>
    </row>
    <row r="167">
      <c r="A167" s="766"/>
      <c r="B167" s="717"/>
      <c r="C167" s="763"/>
      <c r="D167" s="763"/>
      <c r="E167" s="423"/>
      <c r="F167" s="764"/>
      <c r="G167" s="765"/>
      <c r="H167" s="423"/>
      <c r="I167" s="765"/>
      <c r="J167" s="728"/>
      <c r="K167" s="423"/>
      <c r="L167" s="423"/>
      <c r="M167" s="423"/>
      <c r="N167" s="423"/>
      <c r="O167" s="423"/>
      <c r="P167" s="423"/>
      <c r="Q167" s="423"/>
      <c r="R167" s="423"/>
      <c r="S167" s="423"/>
      <c r="T167" s="423"/>
      <c r="U167" s="423"/>
      <c r="V167" s="423"/>
      <c r="W167" s="423"/>
    </row>
    <row r="168">
      <c r="A168" s="766"/>
      <c r="B168" s="717"/>
      <c r="C168" s="763"/>
      <c r="D168" s="763"/>
      <c r="E168" s="423"/>
      <c r="F168" s="764"/>
      <c r="G168" s="765"/>
      <c r="H168" s="423"/>
      <c r="I168" s="765"/>
      <c r="J168" s="728"/>
      <c r="K168" s="423"/>
      <c r="L168" s="423"/>
      <c r="M168" s="423"/>
      <c r="N168" s="423"/>
      <c r="O168" s="423"/>
      <c r="P168" s="423"/>
      <c r="Q168" s="423"/>
      <c r="R168" s="423"/>
      <c r="S168" s="423"/>
      <c r="T168" s="423"/>
      <c r="U168" s="423"/>
      <c r="V168" s="423"/>
      <c r="W168" s="423"/>
    </row>
    <row r="169">
      <c r="A169" s="766"/>
      <c r="B169" s="717"/>
      <c r="C169" s="763"/>
      <c r="D169" s="763"/>
      <c r="E169" s="423"/>
      <c r="F169" s="764"/>
      <c r="G169" s="765"/>
      <c r="H169" s="423"/>
      <c r="I169" s="765"/>
      <c r="J169" s="728"/>
      <c r="K169" s="423"/>
      <c r="L169" s="423"/>
      <c r="M169" s="423"/>
      <c r="N169" s="423"/>
      <c r="O169" s="423"/>
      <c r="P169" s="423"/>
      <c r="Q169" s="423"/>
      <c r="R169" s="423"/>
      <c r="S169" s="423"/>
      <c r="T169" s="423"/>
      <c r="U169" s="423"/>
      <c r="V169" s="423"/>
      <c r="W169" s="423"/>
    </row>
    <row r="170">
      <c r="A170" s="766"/>
      <c r="B170" s="717"/>
      <c r="C170" s="763"/>
      <c r="D170" s="763"/>
      <c r="E170" s="423"/>
      <c r="F170" s="764"/>
      <c r="G170" s="765"/>
      <c r="H170" s="423"/>
      <c r="I170" s="765"/>
      <c r="J170" s="728"/>
      <c r="K170" s="423"/>
      <c r="L170" s="423"/>
      <c r="M170" s="423"/>
      <c r="N170" s="423"/>
      <c r="O170" s="423"/>
      <c r="P170" s="423"/>
      <c r="Q170" s="423"/>
      <c r="R170" s="423"/>
      <c r="S170" s="423"/>
      <c r="T170" s="423"/>
      <c r="U170" s="423"/>
      <c r="V170" s="423"/>
      <c r="W170" s="423"/>
    </row>
    <row r="171">
      <c r="A171" s="766"/>
      <c r="B171" s="717"/>
      <c r="C171" s="763"/>
      <c r="D171" s="763"/>
      <c r="E171" s="423"/>
      <c r="F171" s="764"/>
      <c r="G171" s="765"/>
      <c r="H171" s="423"/>
      <c r="I171" s="765"/>
      <c r="J171" s="728"/>
      <c r="K171" s="423"/>
      <c r="L171" s="423"/>
      <c r="M171" s="423"/>
      <c r="N171" s="423"/>
      <c r="O171" s="423"/>
      <c r="P171" s="423"/>
      <c r="Q171" s="423"/>
      <c r="R171" s="423"/>
      <c r="S171" s="423"/>
      <c r="T171" s="423"/>
      <c r="U171" s="423"/>
      <c r="V171" s="423"/>
      <c r="W171" s="423"/>
    </row>
    <row r="172">
      <c r="A172" s="766"/>
      <c r="B172" s="717"/>
      <c r="C172" s="763"/>
      <c r="D172" s="763"/>
      <c r="E172" s="423"/>
      <c r="F172" s="764"/>
      <c r="G172" s="765"/>
      <c r="H172" s="423"/>
      <c r="I172" s="765"/>
      <c r="J172" s="728"/>
      <c r="K172" s="423"/>
      <c r="L172" s="423"/>
      <c r="M172" s="423"/>
      <c r="N172" s="423"/>
      <c r="O172" s="423"/>
      <c r="P172" s="423"/>
      <c r="Q172" s="423"/>
      <c r="R172" s="423"/>
      <c r="S172" s="423"/>
      <c r="T172" s="423"/>
      <c r="U172" s="423"/>
      <c r="V172" s="423"/>
      <c r="W172" s="423"/>
    </row>
    <row r="173">
      <c r="A173" s="766"/>
      <c r="B173" s="717"/>
      <c r="C173" s="763"/>
      <c r="D173" s="763"/>
      <c r="E173" s="423"/>
      <c r="F173" s="764"/>
      <c r="G173" s="765"/>
      <c r="H173" s="423"/>
      <c r="I173" s="765"/>
      <c r="J173" s="728"/>
      <c r="K173" s="423"/>
      <c r="L173" s="423"/>
      <c r="M173" s="423"/>
      <c r="N173" s="423"/>
      <c r="O173" s="423"/>
      <c r="P173" s="423"/>
      <c r="Q173" s="423"/>
      <c r="R173" s="423"/>
      <c r="S173" s="423"/>
      <c r="T173" s="423"/>
      <c r="U173" s="423"/>
      <c r="V173" s="423"/>
      <c r="W173" s="423"/>
    </row>
    <row r="174">
      <c r="A174" s="766"/>
      <c r="B174" s="717"/>
      <c r="C174" s="763"/>
      <c r="D174" s="763"/>
      <c r="E174" s="423"/>
      <c r="F174" s="764"/>
      <c r="G174" s="765"/>
      <c r="H174" s="423"/>
      <c r="I174" s="765"/>
      <c r="J174" s="728"/>
      <c r="K174" s="423"/>
      <c r="L174" s="423"/>
      <c r="M174" s="423"/>
      <c r="N174" s="423"/>
      <c r="O174" s="423"/>
      <c r="P174" s="423"/>
      <c r="Q174" s="423"/>
      <c r="R174" s="423"/>
      <c r="S174" s="423"/>
      <c r="T174" s="423"/>
      <c r="U174" s="423"/>
      <c r="V174" s="423"/>
      <c r="W174" s="423"/>
    </row>
    <row r="175">
      <c r="A175" s="766"/>
      <c r="B175" s="717"/>
      <c r="C175" s="763"/>
      <c r="D175" s="763"/>
      <c r="E175" s="423"/>
      <c r="F175" s="764"/>
      <c r="G175" s="765"/>
      <c r="H175" s="423"/>
      <c r="I175" s="765"/>
      <c r="J175" s="728"/>
      <c r="K175" s="423"/>
      <c r="L175" s="423"/>
      <c r="M175" s="423"/>
      <c r="N175" s="423"/>
      <c r="O175" s="423"/>
      <c r="P175" s="423"/>
      <c r="Q175" s="423"/>
      <c r="R175" s="423"/>
      <c r="S175" s="423"/>
      <c r="T175" s="423"/>
      <c r="U175" s="423"/>
      <c r="V175" s="423"/>
      <c r="W175" s="423"/>
    </row>
    <row r="176">
      <c r="A176" s="766"/>
      <c r="B176" s="717"/>
      <c r="C176" s="763"/>
      <c r="D176" s="763"/>
      <c r="E176" s="423"/>
      <c r="F176" s="764"/>
      <c r="G176" s="765"/>
      <c r="H176" s="423"/>
      <c r="I176" s="765"/>
      <c r="J176" s="728"/>
      <c r="K176" s="423"/>
      <c r="L176" s="423"/>
      <c r="M176" s="423"/>
      <c r="N176" s="423"/>
      <c r="O176" s="423"/>
      <c r="P176" s="423"/>
      <c r="Q176" s="423"/>
      <c r="R176" s="423"/>
      <c r="S176" s="423"/>
      <c r="T176" s="423"/>
      <c r="U176" s="423"/>
      <c r="V176" s="423"/>
      <c r="W176" s="423"/>
    </row>
    <row r="177">
      <c r="A177" s="766"/>
      <c r="B177" s="717"/>
      <c r="C177" s="763"/>
      <c r="D177" s="763"/>
      <c r="E177" s="423"/>
      <c r="F177" s="764"/>
      <c r="G177" s="765"/>
      <c r="H177" s="423"/>
      <c r="I177" s="765"/>
      <c r="J177" s="728"/>
      <c r="K177" s="423"/>
      <c r="L177" s="423"/>
      <c r="M177" s="423"/>
      <c r="N177" s="423"/>
      <c r="O177" s="423"/>
      <c r="P177" s="423"/>
      <c r="Q177" s="423"/>
      <c r="R177" s="423"/>
      <c r="S177" s="423"/>
      <c r="T177" s="423"/>
      <c r="U177" s="423"/>
      <c r="V177" s="423"/>
      <c r="W177" s="423"/>
    </row>
    <row r="178">
      <c r="A178" s="766"/>
      <c r="B178" s="717"/>
      <c r="C178" s="763"/>
      <c r="D178" s="763"/>
      <c r="E178" s="423"/>
      <c r="F178" s="764"/>
      <c r="G178" s="765"/>
      <c r="H178" s="423"/>
      <c r="I178" s="765"/>
      <c r="J178" s="728"/>
      <c r="K178" s="423"/>
      <c r="L178" s="423"/>
      <c r="M178" s="423"/>
      <c r="N178" s="423"/>
      <c r="O178" s="423"/>
      <c r="P178" s="423"/>
      <c r="Q178" s="423"/>
      <c r="R178" s="423"/>
      <c r="S178" s="423"/>
      <c r="T178" s="423"/>
      <c r="U178" s="423"/>
      <c r="V178" s="423"/>
      <c r="W178" s="423"/>
    </row>
    <row r="179">
      <c r="A179" s="766"/>
      <c r="B179" s="717"/>
      <c r="C179" s="763"/>
      <c r="D179" s="763"/>
      <c r="E179" s="423"/>
      <c r="F179" s="764"/>
      <c r="G179" s="765"/>
      <c r="H179" s="423"/>
      <c r="I179" s="765"/>
      <c r="J179" s="728"/>
      <c r="K179" s="423"/>
      <c r="L179" s="423"/>
      <c r="M179" s="423"/>
      <c r="N179" s="423"/>
      <c r="O179" s="423"/>
      <c r="P179" s="423"/>
      <c r="Q179" s="423"/>
      <c r="R179" s="423"/>
      <c r="S179" s="423"/>
      <c r="T179" s="423"/>
      <c r="U179" s="423"/>
      <c r="V179" s="423"/>
      <c r="W179" s="423"/>
    </row>
    <row r="180">
      <c r="A180" s="766"/>
      <c r="B180" s="717"/>
      <c r="C180" s="763"/>
      <c r="D180" s="763"/>
      <c r="E180" s="423"/>
      <c r="F180" s="764"/>
      <c r="G180" s="765"/>
      <c r="H180" s="423"/>
      <c r="I180" s="765"/>
      <c r="J180" s="728"/>
      <c r="K180" s="423"/>
      <c r="L180" s="423"/>
      <c r="M180" s="423"/>
      <c r="N180" s="423"/>
      <c r="O180" s="423"/>
      <c r="P180" s="423"/>
      <c r="Q180" s="423"/>
      <c r="R180" s="423"/>
      <c r="S180" s="423"/>
      <c r="T180" s="423"/>
      <c r="U180" s="423"/>
      <c r="V180" s="423"/>
      <c r="W180" s="423"/>
    </row>
    <row r="181">
      <c r="A181" s="766"/>
      <c r="B181" s="717"/>
      <c r="C181" s="763"/>
      <c r="D181" s="763"/>
      <c r="E181" s="423"/>
      <c r="F181" s="764"/>
      <c r="G181" s="765"/>
      <c r="H181" s="423"/>
      <c r="I181" s="765"/>
      <c r="J181" s="728"/>
      <c r="K181" s="423"/>
      <c r="L181" s="423"/>
      <c r="M181" s="423"/>
      <c r="N181" s="423"/>
      <c r="O181" s="423"/>
      <c r="P181" s="423"/>
      <c r="Q181" s="423"/>
      <c r="R181" s="423"/>
      <c r="S181" s="423"/>
      <c r="T181" s="423"/>
      <c r="U181" s="423"/>
      <c r="V181" s="423"/>
      <c r="W181" s="423"/>
    </row>
    <row r="182">
      <c r="A182" s="766"/>
      <c r="B182" s="717"/>
      <c r="C182" s="763"/>
      <c r="D182" s="763"/>
      <c r="E182" s="423"/>
      <c r="F182" s="764"/>
      <c r="G182" s="765"/>
      <c r="H182" s="423"/>
      <c r="I182" s="765"/>
      <c r="J182" s="728"/>
      <c r="K182" s="423"/>
      <c r="L182" s="423"/>
      <c r="M182" s="423"/>
      <c r="N182" s="423"/>
      <c r="O182" s="423"/>
      <c r="P182" s="423"/>
      <c r="Q182" s="423"/>
      <c r="R182" s="423"/>
      <c r="S182" s="423"/>
      <c r="T182" s="423"/>
      <c r="U182" s="423"/>
      <c r="V182" s="423"/>
      <c r="W182" s="423"/>
    </row>
    <row r="183">
      <c r="A183" s="766"/>
      <c r="B183" s="717"/>
      <c r="C183" s="763"/>
      <c r="D183" s="763"/>
      <c r="E183" s="423"/>
      <c r="F183" s="764"/>
      <c r="G183" s="765"/>
      <c r="H183" s="423"/>
      <c r="I183" s="765"/>
      <c r="J183" s="728"/>
      <c r="K183" s="423"/>
      <c r="L183" s="423"/>
      <c r="M183" s="423"/>
      <c r="N183" s="423"/>
      <c r="O183" s="423"/>
      <c r="P183" s="423"/>
      <c r="Q183" s="423"/>
      <c r="R183" s="423"/>
      <c r="S183" s="423"/>
      <c r="T183" s="423"/>
      <c r="U183" s="423"/>
      <c r="V183" s="423"/>
      <c r="W183" s="423"/>
    </row>
    <row r="184">
      <c r="A184" s="766"/>
      <c r="B184" s="717"/>
      <c r="C184" s="763"/>
      <c r="D184" s="763"/>
      <c r="E184" s="423"/>
      <c r="F184" s="764"/>
      <c r="G184" s="765"/>
      <c r="H184" s="423"/>
      <c r="I184" s="765"/>
      <c r="J184" s="728"/>
      <c r="K184" s="423"/>
      <c r="L184" s="423"/>
      <c r="M184" s="423"/>
      <c r="N184" s="423"/>
      <c r="O184" s="423"/>
      <c r="P184" s="423"/>
      <c r="Q184" s="423"/>
      <c r="R184" s="423"/>
      <c r="S184" s="423"/>
      <c r="T184" s="423"/>
      <c r="U184" s="423"/>
      <c r="V184" s="423"/>
      <c r="W184" s="423"/>
    </row>
    <row r="185">
      <c r="A185" s="766"/>
      <c r="B185" s="717"/>
      <c r="C185" s="763"/>
      <c r="D185" s="763"/>
      <c r="E185" s="423"/>
      <c r="F185" s="764"/>
      <c r="G185" s="765"/>
      <c r="H185" s="423"/>
      <c r="I185" s="765"/>
      <c r="J185" s="728"/>
      <c r="K185" s="423"/>
      <c r="L185" s="423"/>
      <c r="M185" s="423"/>
      <c r="N185" s="423"/>
      <c r="O185" s="423"/>
      <c r="P185" s="423"/>
      <c r="Q185" s="423"/>
      <c r="R185" s="423"/>
      <c r="S185" s="423"/>
      <c r="T185" s="423"/>
      <c r="U185" s="423"/>
      <c r="V185" s="423"/>
      <c r="W185" s="423"/>
    </row>
    <row r="186">
      <c r="A186" s="766"/>
      <c r="B186" s="717"/>
      <c r="C186" s="763"/>
      <c r="D186" s="763"/>
      <c r="E186" s="423"/>
      <c r="F186" s="764"/>
      <c r="G186" s="765"/>
      <c r="H186" s="423"/>
      <c r="I186" s="765"/>
      <c r="J186" s="728"/>
      <c r="K186" s="423"/>
      <c r="L186" s="423"/>
      <c r="M186" s="423"/>
      <c r="N186" s="423"/>
      <c r="O186" s="423"/>
      <c r="P186" s="423"/>
      <c r="Q186" s="423"/>
      <c r="R186" s="423"/>
      <c r="S186" s="423"/>
      <c r="T186" s="423"/>
      <c r="U186" s="423"/>
      <c r="V186" s="423"/>
      <c r="W186" s="423"/>
    </row>
    <row r="187">
      <c r="A187" s="766"/>
      <c r="B187" s="717"/>
      <c r="C187" s="763"/>
      <c r="D187" s="763"/>
      <c r="E187" s="423"/>
      <c r="F187" s="764"/>
      <c r="G187" s="765"/>
      <c r="H187" s="423"/>
      <c r="I187" s="765"/>
      <c r="J187" s="728"/>
      <c r="K187" s="423"/>
      <c r="L187" s="423"/>
      <c r="M187" s="423"/>
      <c r="N187" s="423"/>
      <c r="O187" s="423"/>
      <c r="P187" s="423"/>
      <c r="Q187" s="423"/>
      <c r="R187" s="423"/>
      <c r="S187" s="423"/>
      <c r="T187" s="423"/>
      <c r="U187" s="423"/>
      <c r="V187" s="423"/>
      <c r="W187" s="423"/>
    </row>
    <row r="188">
      <c r="A188" s="766"/>
      <c r="B188" s="717"/>
      <c r="C188" s="763"/>
      <c r="D188" s="763"/>
      <c r="E188" s="423"/>
      <c r="F188" s="764"/>
      <c r="G188" s="765"/>
      <c r="H188" s="423"/>
      <c r="I188" s="765"/>
      <c r="J188" s="728"/>
      <c r="K188" s="423"/>
      <c r="L188" s="423"/>
      <c r="M188" s="423"/>
      <c r="N188" s="423"/>
      <c r="O188" s="423"/>
      <c r="P188" s="423"/>
      <c r="Q188" s="423"/>
      <c r="R188" s="423"/>
      <c r="S188" s="423"/>
      <c r="T188" s="423"/>
      <c r="U188" s="423"/>
      <c r="V188" s="423"/>
      <c r="W188" s="423"/>
    </row>
    <row r="189">
      <c r="A189" s="766"/>
      <c r="B189" s="717"/>
      <c r="C189" s="763"/>
      <c r="D189" s="763"/>
      <c r="E189" s="423"/>
      <c r="F189" s="764"/>
      <c r="G189" s="765"/>
      <c r="H189" s="423"/>
      <c r="I189" s="765"/>
      <c r="J189" s="728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</row>
    <row r="190">
      <c r="A190" s="766"/>
      <c r="B190" s="717"/>
      <c r="C190" s="763"/>
      <c r="D190" s="763"/>
      <c r="E190" s="423"/>
      <c r="F190" s="764"/>
      <c r="G190" s="765"/>
      <c r="H190" s="423"/>
      <c r="I190" s="765"/>
      <c r="J190" s="728"/>
      <c r="K190" s="423"/>
      <c r="L190" s="423"/>
      <c r="M190" s="423"/>
      <c r="N190" s="423"/>
      <c r="O190" s="423"/>
      <c r="P190" s="423"/>
      <c r="Q190" s="423"/>
      <c r="R190" s="423"/>
      <c r="S190" s="423"/>
      <c r="T190" s="423"/>
      <c r="U190" s="423"/>
      <c r="V190" s="423"/>
      <c r="W190" s="423"/>
    </row>
    <row r="191">
      <c r="A191" s="766"/>
      <c r="B191" s="717"/>
      <c r="C191" s="763"/>
      <c r="D191" s="763"/>
      <c r="E191" s="423"/>
      <c r="F191" s="764"/>
      <c r="G191" s="765"/>
      <c r="H191" s="423"/>
      <c r="I191" s="765"/>
      <c r="J191" s="728"/>
      <c r="K191" s="423"/>
      <c r="L191" s="423"/>
      <c r="M191" s="423"/>
      <c r="N191" s="423"/>
      <c r="O191" s="423"/>
      <c r="P191" s="423"/>
      <c r="Q191" s="423"/>
      <c r="R191" s="423"/>
      <c r="S191" s="423"/>
      <c r="T191" s="423"/>
      <c r="U191" s="423"/>
      <c r="V191" s="423"/>
      <c r="W191" s="423"/>
    </row>
    <row r="192">
      <c r="A192" s="766"/>
      <c r="B192" s="717"/>
      <c r="C192" s="763"/>
      <c r="D192" s="763"/>
      <c r="E192" s="423"/>
      <c r="F192" s="764"/>
      <c r="G192" s="765"/>
      <c r="H192" s="423"/>
      <c r="I192" s="765"/>
      <c r="J192" s="728"/>
      <c r="K192" s="423"/>
      <c r="L192" s="423"/>
      <c r="M192" s="423"/>
      <c r="N192" s="423"/>
      <c r="O192" s="423"/>
      <c r="P192" s="423"/>
      <c r="Q192" s="423"/>
      <c r="R192" s="423"/>
      <c r="S192" s="423"/>
      <c r="T192" s="423"/>
      <c r="U192" s="423"/>
      <c r="V192" s="423"/>
      <c r="W192" s="423"/>
    </row>
    <row r="193">
      <c r="A193" s="766"/>
      <c r="B193" s="717"/>
      <c r="C193" s="763"/>
      <c r="D193" s="763"/>
      <c r="E193" s="423"/>
      <c r="F193" s="764"/>
      <c r="G193" s="765"/>
      <c r="H193" s="423"/>
      <c r="I193" s="765"/>
      <c r="J193" s="728"/>
      <c r="K193" s="423"/>
      <c r="L193" s="423"/>
      <c r="M193" s="423"/>
      <c r="N193" s="423"/>
      <c r="O193" s="423"/>
      <c r="P193" s="423"/>
      <c r="Q193" s="423"/>
      <c r="R193" s="423"/>
      <c r="S193" s="423"/>
      <c r="T193" s="423"/>
      <c r="U193" s="423"/>
      <c r="V193" s="423"/>
      <c r="W193" s="423"/>
    </row>
    <row r="194">
      <c r="A194" s="766"/>
      <c r="B194" s="717"/>
      <c r="C194" s="763"/>
      <c r="D194" s="763"/>
      <c r="E194" s="423"/>
      <c r="F194" s="764"/>
      <c r="G194" s="765"/>
      <c r="H194" s="423"/>
      <c r="I194" s="765"/>
      <c r="J194" s="728"/>
      <c r="K194" s="423"/>
      <c r="L194" s="423"/>
      <c r="M194" s="423"/>
      <c r="N194" s="423"/>
      <c r="O194" s="423"/>
      <c r="P194" s="423"/>
      <c r="Q194" s="423"/>
      <c r="R194" s="423"/>
      <c r="S194" s="423"/>
      <c r="T194" s="423"/>
      <c r="U194" s="423"/>
      <c r="V194" s="423"/>
      <c r="W194" s="423"/>
    </row>
    <row r="195">
      <c r="A195" s="766"/>
      <c r="B195" s="717"/>
      <c r="C195" s="763"/>
      <c r="D195" s="763"/>
      <c r="E195" s="423"/>
      <c r="F195" s="764"/>
      <c r="G195" s="765"/>
      <c r="H195" s="423"/>
      <c r="I195" s="765"/>
      <c r="J195" s="728"/>
      <c r="K195" s="423"/>
      <c r="L195" s="423"/>
      <c r="M195" s="423"/>
      <c r="N195" s="423"/>
      <c r="O195" s="423"/>
      <c r="P195" s="423"/>
      <c r="Q195" s="423"/>
      <c r="R195" s="423"/>
      <c r="S195" s="423"/>
      <c r="T195" s="423"/>
      <c r="U195" s="423"/>
      <c r="V195" s="423"/>
      <c r="W195" s="423"/>
    </row>
    <row r="196">
      <c r="A196" s="766"/>
      <c r="B196" s="717"/>
      <c r="C196" s="763"/>
      <c r="D196" s="763"/>
      <c r="E196" s="423"/>
      <c r="F196" s="764"/>
      <c r="G196" s="765"/>
      <c r="H196" s="423"/>
      <c r="I196" s="765"/>
      <c r="J196" s="728"/>
      <c r="K196" s="423"/>
      <c r="L196" s="423"/>
      <c r="M196" s="423"/>
      <c r="N196" s="423"/>
      <c r="O196" s="423"/>
      <c r="P196" s="423"/>
      <c r="Q196" s="423"/>
      <c r="R196" s="423"/>
      <c r="S196" s="423"/>
      <c r="T196" s="423"/>
      <c r="U196" s="423"/>
      <c r="V196" s="423"/>
      <c r="W196" s="423"/>
    </row>
    <row r="197">
      <c r="A197" s="766"/>
      <c r="B197" s="717"/>
      <c r="C197" s="763"/>
      <c r="D197" s="763"/>
      <c r="E197" s="423"/>
      <c r="F197" s="764"/>
      <c r="G197" s="765"/>
      <c r="H197" s="423"/>
      <c r="I197" s="765"/>
      <c r="J197" s="728"/>
      <c r="K197" s="423"/>
      <c r="L197" s="423"/>
      <c r="M197" s="423"/>
      <c r="N197" s="423"/>
      <c r="O197" s="423"/>
      <c r="P197" s="423"/>
      <c r="Q197" s="423"/>
      <c r="R197" s="423"/>
      <c r="S197" s="423"/>
      <c r="T197" s="423"/>
      <c r="U197" s="423"/>
      <c r="V197" s="423"/>
      <c r="W197" s="423"/>
    </row>
    <row r="198">
      <c r="A198" s="766"/>
      <c r="B198" s="717"/>
      <c r="C198" s="763"/>
      <c r="D198" s="763"/>
      <c r="E198" s="423"/>
      <c r="F198" s="764"/>
      <c r="G198" s="765"/>
      <c r="H198" s="423"/>
      <c r="I198" s="765"/>
      <c r="J198" s="728"/>
      <c r="K198" s="423"/>
      <c r="L198" s="423"/>
      <c r="M198" s="423"/>
      <c r="N198" s="423"/>
      <c r="O198" s="423"/>
      <c r="P198" s="423"/>
      <c r="Q198" s="423"/>
      <c r="R198" s="423"/>
      <c r="S198" s="423"/>
      <c r="T198" s="423"/>
      <c r="U198" s="423"/>
      <c r="V198" s="423"/>
      <c r="W198" s="423"/>
    </row>
    <row r="199">
      <c r="A199" s="766"/>
      <c r="B199" s="717"/>
      <c r="C199" s="763"/>
      <c r="D199" s="763"/>
      <c r="E199" s="423"/>
      <c r="F199" s="764"/>
      <c r="G199" s="765"/>
      <c r="H199" s="423"/>
      <c r="I199" s="765"/>
      <c r="J199" s="728"/>
      <c r="K199" s="423"/>
      <c r="L199" s="423"/>
      <c r="M199" s="423"/>
      <c r="N199" s="423"/>
      <c r="O199" s="423"/>
      <c r="P199" s="423"/>
      <c r="Q199" s="423"/>
      <c r="R199" s="423"/>
      <c r="S199" s="423"/>
      <c r="T199" s="423"/>
      <c r="U199" s="423"/>
      <c r="V199" s="423"/>
      <c r="W199" s="423"/>
    </row>
    <row r="200">
      <c r="A200" s="766"/>
      <c r="B200" s="717"/>
      <c r="C200" s="763"/>
      <c r="D200" s="763"/>
      <c r="E200" s="423"/>
      <c r="F200" s="764"/>
      <c r="G200" s="765"/>
      <c r="H200" s="423"/>
      <c r="I200" s="765"/>
      <c r="J200" s="728"/>
      <c r="K200" s="423"/>
      <c r="L200" s="423"/>
      <c r="M200" s="423"/>
      <c r="N200" s="423"/>
      <c r="O200" s="423"/>
      <c r="P200" s="423"/>
      <c r="Q200" s="423"/>
      <c r="R200" s="423"/>
      <c r="S200" s="423"/>
      <c r="T200" s="423"/>
      <c r="U200" s="423"/>
      <c r="V200" s="423"/>
      <c r="W200" s="423"/>
    </row>
    <row r="201">
      <c r="A201" s="766"/>
      <c r="B201" s="717"/>
      <c r="C201" s="763"/>
      <c r="D201" s="763"/>
      <c r="E201" s="423"/>
      <c r="F201" s="764"/>
      <c r="G201" s="765"/>
      <c r="H201" s="423"/>
      <c r="I201" s="765"/>
      <c r="J201" s="728"/>
      <c r="K201" s="423"/>
      <c r="L201" s="423"/>
      <c r="M201" s="423"/>
      <c r="N201" s="423"/>
      <c r="O201" s="423"/>
      <c r="P201" s="423"/>
      <c r="Q201" s="423"/>
      <c r="R201" s="423"/>
      <c r="S201" s="423"/>
      <c r="T201" s="423"/>
      <c r="U201" s="423"/>
      <c r="V201" s="423"/>
      <c r="W201" s="423"/>
    </row>
    <row r="202">
      <c r="A202" s="766"/>
      <c r="B202" s="717"/>
      <c r="C202" s="763"/>
      <c r="D202" s="763"/>
      <c r="E202" s="423"/>
      <c r="F202" s="764"/>
      <c r="G202" s="765"/>
      <c r="H202" s="423"/>
      <c r="I202" s="765"/>
      <c r="J202" s="728"/>
      <c r="K202" s="423"/>
      <c r="L202" s="423"/>
      <c r="M202" s="423"/>
      <c r="N202" s="423"/>
      <c r="O202" s="423"/>
      <c r="P202" s="423"/>
      <c r="Q202" s="423"/>
      <c r="R202" s="423"/>
      <c r="S202" s="423"/>
      <c r="T202" s="423"/>
      <c r="U202" s="423"/>
      <c r="V202" s="423"/>
      <c r="W202" s="423"/>
    </row>
    <row r="203">
      <c r="A203" s="766"/>
      <c r="B203" s="717"/>
      <c r="C203" s="763"/>
      <c r="D203" s="763"/>
      <c r="E203" s="423"/>
      <c r="F203" s="764"/>
      <c r="G203" s="765"/>
      <c r="H203" s="423"/>
      <c r="I203" s="765"/>
      <c r="J203" s="728"/>
      <c r="K203" s="423"/>
      <c r="L203" s="423"/>
      <c r="M203" s="423"/>
      <c r="N203" s="423"/>
      <c r="O203" s="423"/>
      <c r="P203" s="423"/>
      <c r="Q203" s="423"/>
      <c r="R203" s="423"/>
      <c r="S203" s="423"/>
      <c r="T203" s="423"/>
      <c r="U203" s="423"/>
      <c r="V203" s="423"/>
      <c r="W203" s="423"/>
    </row>
    <row r="204">
      <c r="A204" s="766"/>
      <c r="B204" s="717"/>
      <c r="C204" s="763"/>
      <c r="D204" s="763"/>
      <c r="E204" s="423"/>
      <c r="F204" s="764"/>
      <c r="G204" s="765"/>
      <c r="H204" s="423"/>
      <c r="I204" s="765"/>
      <c r="J204" s="728"/>
      <c r="K204" s="423"/>
      <c r="L204" s="423"/>
      <c r="M204" s="423"/>
      <c r="N204" s="423"/>
      <c r="O204" s="423"/>
      <c r="P204" s="423"/>
      <c r="Q204" s="423"/>
      <c r="R204" s="423"/>
      <c r="S204" s="423"/>
      <c r="T204" s="423"/>
      <c r="U204" s="423"/>
      <c r="V204" s="423"/>
      <c r="W204" s="423"/>
    </row>
    <row r="205">
      <c r="A205" s="766"/>
      <c r="B205" s="717"/>
      <c r="C205" s="763"/>
      <c r="D205" s="763"/>
      <c r="E205" s="423"/>
      <c r="F205" s="764"/>
      <c r="G205" s="765"/>
      <c r="H205" s="423"/>
      <c r="I205" s="765"/>
      <c r="J205" s="728"/>
      <c r="K205" s="423"/>
      <c r="L205" s="423"/>
      <c r="M205" s="423"/>
      <c r="N205" s="423"/>
      <c r="O205" s="423"/>
      <c r="P205" s="423"/>
      <c r="Q205" s="423"/>
      <c r="R205" s="423"/>
      <c r="S205" s="423"/>
      <c r="T205" s="423"/>
      <c r="U205" s="423"/>
      <c r="V205" s="423"/>
      <c r="W205" s="423"/>
    </row>
    <row r="206">
      <c r="A206" s="766"/>
      <c r="B206" s="717"/>
      <c r="C206" s="763"/>
      <c r="D206" s="763"/>
      <c r="E206" s="423"/>
      <c r="F206" s="764"/>
      <c r="G206" s="765"/>
      <c r="H206" s="423"/>
      <c r="I206" s="765"/>
      <c r="J206" s="728"/>
      <c r="K206" s="423"/>
      <c r="L206" s="423"/>
      <c r="M206" s="423"/>
      <c r="N206" s="423"/>
      <c r="O206" s="423"/>
      <c r="P206" s="423"/>
      <c r="Q206" s="423"/>
      <c r="R206" s="423"/>
      <c r="S206" s="423"/>
      <c r="T206" s="423"/>
      <c r="U206" s="423"/>
      <c r="V206" s="423"/>
      <c r="W206" s="423"/>
    </row>
    <row r="207">
      <c r="A207" s="766"/>
      <c r="B207" s="717"/>
      <c r="C207" s="763"/>
      <c r="D207" s="763"/>
      <c r="E207" s="423"/>
      <c r="F207" s="764"/>
      <c r="G207" s="765"/>
      <c r="H207" s="423"/>
      <c r="I207" s="765"/>
      <c r="J207" s="728"/>
      <c r="K207" s="423"/>
      <c r="L207" s="423"/>
      <c r="M207" s="423"/>
      <c r="N207" s="423"/>
      <c r="O207" s="423"/>
      <c r="P207" s="423"/>
      <c r="Q207" s="423"/>
      <c r="R207" s="423"/>
      <c r="S207" s="423"/>
      <c r="T207" s="423"/>
      <c r="U207" s="423"/>
      <c r="V207" s="423"/>
      <c r="W207" s="423"/>
    </row>
    <row r="208">
      <c r="A208" s="766"/>
      <c r="B208" s="717"/>
      <c r="C208" s="763"/>
      <c r="D208" s="763"/>
      <c r="E208" s="423"/>
      <c r="F208" s="764"/>
      <c r="G208" s="765"/>
      <c r="H208" s="423"/>
      <c r="I208" s="765"/>
      <c r="J208" s="728"/>
      <c r="K208" s="423"/>
      <c r="L208" s="423"/>
      <c r="M208" s="423"/>
      <c r="N208" s="423"/>
      <c r="O208" s="423"/>
      <c r="P208" s="423"/>
      <c r="Q208" s="423"/>
      <c r="R208" s="423"/>
      <c r="S208" s="423"/>
      <c r="T208" s="423"/>
      <c r="U208" s="423"/>
      <c r="V208" s="423"/>
      <c r="W208" s="423"/>
    </row>
    <row r="209">
      <c r="A209" s="766"/>
      <c r="B209" s="717"/>
      <c r="C209" s="763"/>
      <c r="D209" s="763"/>
      <c r="E209" s="423"/>
      <c r="F209" s="764"/>
      <c r="G209" s="765"/>
      <c r="H209" s="423"/>
      <c r="I209" s="765"/>
      <c r="J209" s="728"/>
      <c r="K209" s="423"/>
      <c r="L209" s="423"/>
      <c r="M209" s="423"/>
      <c r="N209" s="423"/>
      <c r="O209" s="423"/>
      <c r="P209" s="423"/>
      <c r="Q209" s="423"/>
      <c r="R209" s="423"/>
      <c r="S209" s="423"/>
      <c r="T209" s="423"/>
      <c r="U209" s="423"/>
      <c r="V209" s="423"/>
      <c r="W209" s="423"/>
    </row>
    <row r="210">
      <c r="A210" s="766"/>
      <c r="B210" s="717"/>
      <c r="C210" s="763"/>
      <c r="D210" s="763"/>
      <c r="E210" s="423"/>
      <c r="F210" s="764"/>
      <c r="G210" s="765"/>
      <c r="H210" s="423"/>
      <c r="I210" s="765"/>
      <c r="J210" s="728"/>
      <c r="K210" s="423"/>
      <c r="L210" s="423"/>
      <c r="M210" s="423"/>
      <c r="N210" s="423"/>
      <c r="O210" s="423"/>
      <c r="P210" s="423"/>
      <c r="Q210" s="423"/>
      <c r="R210" s="423"/>
      <c r="S210" s="423"/>
      <c r="T210" s="423"/>
      <c r="U210" s="423"/>
      <c r="V210" s="423"/>
      <c r="W210" s="423"/>
    </row>
    <row r="211">
      <c r="A211" s="766"/>
      <c r="B211" s="717"/>
      <c r="C211" s="763"/>
      <c r="D211" s="763"/>
      <c r="E211" s="423"/>
      <c r="F211" s="764"/>
      <c r="G211" s="765"/>
      <c r="H211" s="423"/>
      <c r="I211" s="765"/>
      <c r="J211" s="728"/>
      <c r="K211" s="423"/>
      <c r="L211" s="423"/>
      <c r="M211" s="423"/>
      <c r="N211" s="423"/>
      <c r="O211" s="423"/>
      <c r="P211" s="423"/>
      <c r="Q211" s="423"/>
      <c r="R211" s="423"/>
      <c r="S211" s="423"/>
      <c r="T211" s="423"/>
      <c r="U211" s="423"/>
      <c r="V211" s="423"/>
      <c r="W211" s="423"/>
    </row>
    <row r="212">
      <c r="A212" s="766"/>
      <c r="B212" s="717"/>
      <c r="C212" s="763"/>
      <c r="D212" s="763"/>
      <c r="E212" s="423"/>
      <c r="F212" s="764"/>
      <c r="G212" s="765"/>
      <c r="H212" s="423"/>
      <c r="I212" s="765"/>
      <c r="J212" s="728"/>
      <c r="K212" s="423"/>
      <c r="L212" s="423"/>
      <c r="M212" s="423"/>
      <c r="N212" s="423"/>
      <c r="O212" s="423"/>
      <c r="P212" s="423"/>
      <c r="Q212" s="423"/>
      <c r="R212" s="423"/>
      <c r="S212" s="423"/>
      <c r="T212" s="423"/>
      <c r="U212" s="423"/>
      <c r="V212" s="423"/>
      <c r="W212" s="423"/>
    </row>
    <row r="213">
      <c r="A213" s="766"/>
      <c r="B213" s="717"/>
      <c r="C213" s="763"/>
      <c r="D213" s="763"/>
      <c r="E213" s="423"/>
      <c r="F213" s="764"/>
      <c r="G213" s="765"/>
      <c r="H213" s="423"/>
      <c r="I213" s="765"/>
      <c r="J213" s="728"/>
      <c r="K213" s="423"/>
      <c r="L213" s="423"/>
      <c r="M213" s="423"/>
      <c r="N213" s="423"/>
      <c r="O213" s="423"/>
      <c r="P213" s="423"/>
      <c r="Q213" s="423"/>
      <c r="R213" s="423"/>
      <c r="S213" s="423"/>
      <c r="T213" s="423"/>
      <c r="U213" s="423"/>
      <c r="V213" s="423"/>
      <c r="W213" s="423"/>
    </row>
    <row r="214">
      <c r="A214" s="766"/>
      <c r="B214" s="717"/>
      <c r="C214" s="763"/>
      <c r="D214" s="763"/>
      <c r="E214" s="423"/>
      <c r="F214" s="764"/>
      <c r="G214" s="765"/>
      <c r="H214" s="423"/>
      <c r="I214" s="765"/>
      <c r="J214" s="728"/>
      <c r="K214" s="423"/>
      <c r="L214" s="423"/>
      <c r="M214" s="423"/>
      <c r="N214" s="423"/>
      <c r="O214" s="423"/>
      <c r="P214" s="423"/>
      <c r="Q214" s="423"/>
      <c r="R214" s="423"/>
      <c r="S214" s="423"/>
      <c r="T214" s="423"/>
      <c r="U214" s="423"/>
      <c r="V214" s="423"/>
      <c r="W214" s="423"/>
    </row>
    <row r="215">
      <c r="A215" s="766"/>
      <c r="B215" s="717"/>
      <c r="C215" s="763"/>
      <c r="D215" s="763"/>
      <c r="E215" s="423"/>
      <c r="F215" s="764"/>
      <c r="G215" s="765"/>
      <c r="H215" s="423"/>
      <c r="I215" s="765"/>
      <c r="J215" s="728"/>
      <c r="K215" s="423"/>
      <c r="L215" s="423"/>
      <c r="M215" s="423"/>
      <c r="N215" s="423"/>
      <c r="O215" s="423"/>
      <c r="P215" s="423"/>
      <c r="Q215" s="423"/>
      <c r="R215" s="423"/>
      <c r="S215" s="423"/>
      <c r="T215" s="423"/>
      <c r="U215" s="423"/>
      <c r="V215" s="423"/>
      <c r="W215" s="423"/>
    </row>
    <row r="216">
      <c r="A216" s="766"/>
      <c r="B216" s="717"/>
      <c r="C216" s="763"/>
      <c r="D216" s="763"/>
      <c r="E216" s="423"/>
      <c r="F216" s="764"/>
      <c r="G216" s="765"/>
      <c r="H216" s="423"/>
      <c r="I216" s="765"/>
      <c r="J216" s="728"/>
      <c r="K216" s="423"/>
      <c r="L216" s="423"/>
      <c r="M216" s="423"/>
      <c r="N216" s="423"/>
      <c r="O216" s="423"/>
      <c r="P216" s="423"/>
      <c r="Q216" s="423"/>
      <c r="R216" s="423"/>
      <c r="S216" s="423"/>
      <c r="T216" s="423"/>
      <c r="U216" s="423"/>
      <c r="V216" s="423"/>
      <c r="W216" s="423"/>
    </row>
    <row r="217">
      <c r="A217" s="766"/>
      <c r="B217" s="717"/>
      <c r="C217" s="763"/>
      <c r="D217" s="763"/>
      <c r="E217" s="423"/>
      <c r="F217" s="764"/>
      <c r="G217" s="765"/>
      <c r="H217" s="423"/>
      <c r="I217" s="765"/>
      <c r="J217" s="728"/>
      <c r="K217" s="423"/>
      <c r="L217" s="423"/>
      <c r="M217" s="423"/>
      <c r="N217" s="423"/>
      <c r="O217" s="423"/>
      <c r="P217" s="423"/>
      <c r="Q217" s="423"/>
      <c r="R217" s="423"/>
      <c r="S217" s="423"/>
      <c r="T217" s="423"/>
      <c r="U217" s="423"/>
      <c r="V217" s="423"/>
      <c r="W217" s="423"/>
    </row>
    <row r="218">
      <c r="A218" s="766"/>
      <c r="B218" s="717"/>
      <c r="C218" s="763"/>
      <c r="D218" s="763"/>
      <c r="E218" s="423"/>
      <c r="F218" s="764"/>
      <c r="G218" s="765"/>
      <c r="H218" s="423"/>
      <c r="I218" s="765"/>
      <c r="J218" s="728"/>
      <c r="K218" s="423"/>
      <c r="L218" s="423"/>
      <c r="M218" s="423"/>
      <c r="N218" s="423"/>
      <c r="O218" s="423"/>
      <c r="P218" s="423"/>
      <c r="Q218" s="423"/>
      <c r="R218" s="423"/>
      <c r="S218" s="423"/>
      <c r="T218" s="423"/>
      <c r="U218" s="423"/>
      <c r="V218" s="423"/>
      <c r="W218" s="423"/>
    </row>
    <row r="219">
      <c r="A219" s="766"/>
      <c r="B219" s="717"/>
      <c r="C219" s="763"/>
      <c r="D219" s="763"/>
      <c r="E219" s="423"/>
      <c r="F219" s="764"/>
      <c r="G219" s="765"/>
      <c r="H219" s="423"/>
      <c r="I219" s="765"/>
      <c r="J219" s="728"/>
      <c r="K219" s="423"/>
      <c r="L219" s="423"/>
      <c r="M219" s="423"/>
      <c r="N219" s="423"/>
      <c r="O219" s="423"/>
      <c r="P219" s="423"/>
      <c r="Q219" s="423"/>
      <c r="R219" s="423"/>
      <c r="S219" s="423"/>
      <c r="T219" s="423"/>
      <c r="U219" s="423"/>
      <c r="V219" s="423"/>
      <c r="W219" s="423"/>
    </row>
    <row r="220">
      <c r="A220" s="766"/>
      <c r="B220" s="717"/>
      <c r="C220" s="763"/>
      <c r="D220" s="763"/>
      <c r="E220" s="423"/>
      <c r="F220" s="764"/>
      <c r="G220" s="765"/>
      <c r="H220" s="423"/>
      <c r="I220" s="765"/>
      <c r="J220" s="728"/>
      <c r="K220" s="423"/>
      <c r="L220" s="423"/>
      <c r="M220" s="423"/>
      <c r="N220" s="423"/>
      <c r="O220" s="423"/>
      <c r="P220" s="423"/>
      <c r="Q220" s="423"/>
      <c r="R220" s="423"/>
      <c r="S220" s="423"/>
      <c r="T220" s="423"/>
      <c r="U220" s="423"/>
      <c r="V220" s="423"/>
      <c r="W220" s="423"/>
    </row>
    <row r="221">
      <c r="A221" s="766"/>
      <c r="B221" s="717"/>
      <c r="C221" s="763"/>
      <c r="D221" s="763"/>
      <c r="E221" s="423"/>
      <c r="F221" s="764"/>
      <c r="G221" s="765"/>
      <c r="H221" s="423"/>
      <c r="I221" s="765"/>
      <c r="J221" s="728"/>
      <c r="K221" s="423"/>
      <c r="L221" s="423"/>
      <c r="M221" s="423"/>
      <c r="N221" s="423"/>
      <c r="O221" s="423"/>
      <c r="P221" s="423"/>
      <c r="Q221" s="423"/>
      <c r="R221" s="423"/>
      <c r="S221" s="423"/>
      <c r="T221" s="423"/>
      <c r="U221" s="423"/>
      <c r="V221" s="423"/>
      <c r="W221" s="423"/>
    </row>
    <row r="222">
      <c r="A222" s="766"/>
      <c r="B222" s="717"/>
      <c r="C222" s="763"/>
      <c r="D222" s="763"/>
      <c r="E222" s="423"/>
      <c r="F222" s="764"/>
      <c r="G222" s="765"/>
      <c r="H222" s="423"/>
      <c r="I222" s="765"/>
      <c r="J222" s="728"/>
      <c r="K222" s="423"/>
      <c r="L222" s="423"/>
      <c r="M222" s="423"/>
      <c r="N222" s="423"/>
      <c r="O222" s="423"/>
      <c r="P222" s="423"/>
      <c r="Q222" s="423"/>
      <c r="R222" s="423"/>
      <c r="S222" s="423"/>
      <c r="T222" s="423"/>
      <c r="U222" s="423"/>
      <c r="V222" s="423"/>
      <c r="W222" s="423"/>
    </row>
    <row r="223">
      <c r="A223" s="766"/>
      <c r="B223" s="717"/>
      <c r="C223" s="763"/>
      <c r="D223" s="763"/>
      <c r="E223" s="423"/>
      <c r="F223" s="764"/>
      <c r="G223" s="765"/>
      <c r="H223" s="423"/>
      <c r="I223" s="765"/>
      <c r="J223" s="728"/>
      <c r="K223" s="423"/>
      <c r="L223" s="423"/>
      <c r="M223" s="423"/>
      <c r="N223" s="423"/>
      <c r="O223" s="423"/>
      <c r="P223" s="423"/>
      <c r="Q223" s="423"/>
      <c r="R223" s="423"/>
      <c r="S223" s="423"/>
      <c r="T223" s="423"/>
      <c r="U223" s="423"/>
      <c r="V223" s="423"/>
      <c r="W223" s="423"/>
    </row>
    <row r="224">
      <c r="A224" s="766"/>
      <c r="B224" s="717"/>
      <c r="C224" s="763"/>
      <c r="D224" s="763"/>
      <c r="E224" s="423"/>
      <c r="F224" s="764"/>
      <c r="G224" s="765"/>
      <c r="H224" s="423"/>
      <c r="I224" s="765"/>
      <c r="J224" s="728"/>
      <c r="K224" s="423"/>
      <c r="L224" s="423"/>
      <c r="M224" s="423"/>
      <c r="N224" s="423"/>
      <c r="O224" s="423"/>
      <c r="P224" s="423"/>
      <c r="Q224" s="423"/>
      <c r="R224" s="423"/>
      <c r="S224" s="423"/>
      <c r="T224" s="423"/>
      <c r="U224" s="423"/>
      <c r="V224" s="423"/>
      <c r="W224" s="423"/>
    </row>
    <row r="225">
      <c r="A225" s="766"/>
      <c r="B225" s="717"/>
      <c r="C225" s="763"/>
      <c r="D225" s="763"/>
      <c r="E225" s="423"/>
      <c r="F225" s="764"/>
      <c r="G225" s="765"/>
      <c r="H225" s="423"/>
      <c r="I225" s="765"/>
      <c r="J225" s="728"/>
      <c r="K225" s="423"/>
      <c r="L225" s="423"/>
      <c r="M225" s="423"/>
      <c r="N225" s="423"/>
      <c r="O225" s="423"/>
      <c r="P225" s="423"/>
      <c r="Q225" s="423"/>
      <c r="R225" s="423"/>
      <c r="S225" s="423"/>
      <c r="T225" s="423"/>
      <c r="U225" s="423"/>
      <c r="V225" s="423"/>
      <c r="W225" s="423"/>
    </row>
    <row r="226">
      <c r="A226" s="766"/>
      <c r="B226" s="717"/>
      <c r="C226" s="763"/>
      <c r="D226" s="763"/>
      <c r="E226" s="423"/>
      <c r="F226" s="764"/>
      <c r="G226" s="765"/>
      <c r="H226" s="423"/>
      <c r="I226" s="765"/>
      <c r="J226" s="728"/>
      <c r="K226" s="423"/>
      <c r="L226" s="423"/>
      <c r="M226" s="423"/>
      <c r="N226" s="423"/>
      <c r="O226" s="423"/>
      <c r="P226" s="423"/>
      <c r="Q226" s="423"/>
      <c r="R226" s="423"/>
      <c r="S226" s="423"/>
      <c r="T226" s="423"/>
      <c r="U226" s="423"/>
      <c r="V226" s="423"/>
      <c r="W226" s="423"/>
    </row>
    <row r="227">
      <c r="A227" s="766"/>
      <c r="B227" s="717"/>
      <c r="C227" s="763"/>
      <c r="D227" s="763"/>
      <c r="E227" s="423"/>
      <c r="F227" s="764"/>
      <c r="G227" s="765"/>
      <c r="H227" s="423"/>
      <c r="I227" s="765"/>
      <c r="J227" s="728"/>
      <c r="K227" s="423"/>
      <c r="L227" s="423"/>
      <c r="M227" s="423"/>
      <c r="N227" s="423"/>
      <c r="O227" s="423"/>
      <c r="P227" s="423"/>
      <c r="Q227" s="423"/>
      <c r="R227" s="423"/>
      <c r="S227" s="423"/>
      <c r="T227" s="423"/>
      <c r="U227" s="423"/>
      <c r="V227" s="423"/>
      <c r="W227" s="423"/>
    </row>
    <row r="228">
      <c r="A228" s="766"/>
      <c r="B228" s="717"/>
      <c r="C228" s="763"/>
      <c r="D228" s="763"/>
      <c r="E228" s="423"/>
      <c r="F228" s="764"/>
      <c r="G228" s="765"/>
      <c r="H228" s="423"/>
      <c r="I228" s="765"/>
      <c r="J228" s="728"/>
      <c r="K228" s="423"/>
      <c r="L228" s="423"/>
      <c r="M228" s="423"/>
      <c r="N228" s="423"/>
      <c r="O228" s="423"/>
      <c r="P228" s="423"/>
      <c r="Q228" s="423"/>
      <c r="R228" s="423"/>
      <c r="S228" s="423"/>
      <c r="T228" s="423"/>
      <c r="U228" s="423"/>
      <c r="V228" s="423"/>
      <c r="W228" s="423"/>
    </row>
    <row r="229">
      <c r="A229" s="766"/>
      <c r="B229" s="717"/>
      <c r="C229" s="763"/>
      <c r="D229" s="763"/>
      <c r="E229" s="423"/>
      <c r="F229" s="764"/>
      <c r="G229" s="765"/>
      <c r="H229" s="423"/>
      <c r="I229" s="765"/>
      <c r="J229" s="728"/>
      <c r="K229" s="423"/>
      <c r="L229" s="423"/>
      <c r="M229" s="423"/>
      <c r="N229" s="423"/>
      <c r="O229" s="423"/>
      <c r="P229" s="423"/>
      <c r="Q229" s="423"/>
      <c r="R229" s="423"/>
      <c r="S229" s="423"/>
      <c r="T229" s="423"/>
      <c r="U229" s="423"/>
      <c r="V229" s="423"/>
      <c r="W229" s="423"/>
    </row>
    <row r="230">
      <c r="A230" s="766"/>
      <c r="B230" s="717"/>
      <c r="C230" s="763"/>
      <c r="D230" s="763"/>
      <c r="E230" s="423"/>
      <c r="F230" s="764"/>
      <c r="G230" s="765"/>
      <c r="H230" s="423"/>
      <c r="I230" s="765"/>
      <c r="J230" s="728"/>
      <c r="K230" s="423"/>
      <c r="L230" s="423"/>
      <c r="M230" s="423"/>
      <c r="N230" s="423"/>
      <c r="O230" s="423"/>
      <c r="P230" s="423"/>
      <c r="Q230" s="423"/>
      <c r="R230" s="423"/>
      <c r="S230" s="423"/>
      <c r="T230" s="423"/>
      <c r="U230" s="423"/>
      <c r="V230" s="423"/>
      <c r="W230" s="423"/>
    </row>
    <row r="231">
      <c r="A231" s="766"/>
      <c r="B231" s="717"/>
      <c r="C231" s="763"/>
      <c r="D231" s="763"/>
      <c r="E231" s="423"/>
      <c r="F231" s="764"/>
      <c r="G231" s="765"/>
      <c r="H231" s="423"/>
      <c r="I231" s="765"/>
      <c r="J231" s="728"/>
      <c r="K231" s="423"/>
      <c r="L231" s="423"/>
      <c r="M231" s="423"/>
      <c r="N231" s="423"/>
      <c r="O231" s="423"/>
      <c r="P231" s="423"/>
      <c r="Q231" s="423"/>
      <c r="R231" s="423"/>
      <c r="S231" s="423"/>
      <c r="T231" s="423"/>
      <c r="U231" s="423"/>
      <c r="V231" s="423"/>
      <c r="W231" s="423"/>
    </row>
    <row r="232">
      <c r="A232" s="766"/>
      <c r="B232" s="717"/>
      <c r="C232" s="763"/>
      <c r="D232" s="763"/>
      <c r="E232" s="423"/>
      <c r="F232" s="764"/>
      <c r="G232" s="765"/>
      <c r="H232" s="423"/>
      <c r="I232" s="765"/>
      <c r="J232" s="728"/>
      <c r="K232" s="423"/>
      <c r="L232" s="423"/>
      <c r="M232" s="423"/>
      <c r="N232" s="423"/>
      <c r="O232" s="423"/>
      <c r="P232" s="423"/>
      <c r="Q232" s="423"/>
      <c r="R232" s="423"/>
      <c r="S232" s="423"/>
      <c r="T232" s="423"/>
      <c r="U232" s="423"/>
      <c r="V232" s="423"/>
      <c r="W232" s="423"/>
    </row>
    <row r="233">
      <c r="A233" s="766"/>
      <c r="B233" s="717"/>
      <c r="C233" s="763"/>
      <c r="D233" s="763"/>
      <c r="E233" s="423"/>
      <c r="F233" s="764"/>
      <c r="G233" s="765"/>
      <c r="H233" s="423"/>
      <c r="I233" s="765"/>
      <c r="J233" s="728"/>
      <c r="K233" s="423"/>
      <c r="L233" s="423"/>
      <c r="M233" s="423"/>
      <c r="N233" s="423"/>
      <c r="O233" s="423"/>
      <c r="P233" s="423"/>
      <c r="Q233" s="423"/>
      <c r="R233" s="423"/>
      <c r="S233" s="423"/>
      <c r="T233" s="423"/>
      <c r="U233" s="423"/>
      <c r="V233" s="423"/>
      <c r="W233" s="423"/>
    </row>
    <row r="234">
      <c r="A234" s="766"/>
      <c r="B234" s="717"/>
      <c r="C234" s="763"/>
      <c r="D234" s="763"/>
      <c r="E234" s="423"/>
      <c r="F234" s="764"/>
      <c r="G234" s="765"/>
      <c r="H234" s="423"/>
      <c r="I234" s="765"/>
      <c r="J234" s="728"/>
      <c r="K234" s="423"/>
      <c r="L234" s="423"/>
      <c r="M234" s="423"/>
      <c r="N234" s="423"/>
      <c r="O234" s="423"/>
      <c r="P234" s="423"/>
      <c r="Q234" s="423"/>
      <c r="R234" s="423"/>
      <c r="S234" s="423"/>
      <c r="T234" s="423"/>
      <c r="U234" s="423"/>
      <c r="V234" s="423"/>
      <c r="W234" s="423"/>
    </row>
    <row r="235">
      <c r="A235" s="766"/>
      <c r="B235" s="717"/>
      <c r="C235" s="763"/>
      <c r="D235" s="763"/>
      <c r="E235" s="423"/>
      <c r="F235" s="764"/>
      <c r="G235" s="765"/>
      <c r="H235" s="423"/>
      <c r="I235" s="765"/>
      <c r="J235" s="728"/>
      <c r="K235" s="423"/>
      <c r="L235" s="423"/>
      <c r="M235" s="423"/>
      <c r="N235" s="423"/>
      <c r="O235" s="423"/>
      <c r="P235" s="423"/>
      <c r="Q235" s="423"/>
      <c r="R235" s="423"/>
      <c r="S235" s="423"/>
      <c r="T235" s="423"/>
      <c r="U235" s="423"/>
      <c r="V235" s="423"/>
      <c r="W235" s="423"/>
    </row>
    <row r="236">
      <c r="A236" s="766"/>
      <c r="B236" s="717"/>
      <c r="C236" s="763"/>
      <c r="D236" s="763"/>
      <c r="E236" s="423"/>
      <c r="F236" s="764"/>
      <c r="G236" s="765"/>
      <c r="H236" s="423"/>
      <c r="I236" s="765"/>
      <c r="J236" s="728"/>
      <c r="K236" s="423"/>
      <c r="L236" s="423"/>
      <c r="M236" s="423"/>
      <c r="N236" s="423"/>
      <c r="O236" s="423"/>
      <c r="P236" s="423"/>
      <c r="Q236" s="423"/>
      <c r="R236" s="423"/>
      <c r="S236" s="423"/>
      <c r="T236" s="423"/>
      <c r="U236" s="423"/>
      <c r="V236" s="423"/>
      <c r="W236" s="423"/>
    </row>
    <row r="237">
      <c r="A237" s="766"/>
      <c r="B237" s="717"/>
      <c r="C237" s="763"/>
      <c r="D237" s="763"/>
      <c r="E237" s="423"/>
      <c r="F237" s="764"/>
      <c r="G237" s="765"/>
      <c r="H237" s="423"/>
      <c r="I237" s="765"/>
      <c r="J237" s="728"/>
      <c r="K237" s="423"/>
      <c r="L237" s="423"/>
      <c r="M237" s="423"/>
      <c r="N237" s="423"/>
      <c r="O237" s="423"/>
      <c r="P237" s="423"/>
      <c r="Q237" s="423"/>
      <c r="R237" s="423"/>
      <c r="S237" s="423"/>
      <c r="T237" s="423"/>
      <c r="U237" s="423"/>
      <c r="V237" s="423"/>
      <c r="W237" s="423"/>
    </row>
    <row r="238">
      <c r="A238" s="766"/>
      <c r="B238" s="717"/>
      <c r="C238" s="763"/>
      <c r="D238" s="763"/>
      <c r="E238" s="423"/>
      <c r="F238" s="764"/>
      <c r="G238" s="765"/>
      <c r="H238" s="423"/>
      <c r="I238" s="765"/>
      <c r="J238" s="728"/>
      <c r="K238" s="423"/>
      <c r="L238" s="423"/>
      <c r="M238" s="423"/>
      <c r="N238" s="423"/>
      <c r="O238" s="423"/>
      <c r="P238" s="423"/>
      <c r="Q238" s="423"/>
      <c r="R238" s="423"/>
      <c r="S238" s="423"/>
      <c r="T238" s="423"/>
      <c r="U238" s="423"/>
      <c r="V238" s="423"/>
      <c r="W238" s="423"/>
    </row>
    <row r="239">
      <c r="A239" s="766"/>
      <c r="B239" s="717"/>
      <c r="C239" s="763"/>
      <c r="D239" s="763"/>
      <c r="E239" s="423"/>
      <c r="F239" s="764"/>
      <c r="G239" s="765"/>
      <c r="H239" s="423"/>
      <c r="I239" s="765"/>
      <c r="J239" s="728"/>
      <c r="K239" s="423"/>
      <c r="L239" s="423"/>
      <c r="M239" s="423"/>
      <c r="N239" s="423"/>
      <c r="O239" s="423"/>
      <c r="P239" s="423"/>
      <c r="Q239" s="423"/>
      <c r="R239" s="423"/>
      <c r="S239" s="423"/>
      <c r="T239" s="423"/>
      <c r="U239" s="423"/>
      <c r="V239" s="423"/>
      <c r="W239" s="423"/>
    </row>
    <row r="240">
      <c r="A240" s="766"/>
      <c r="B240" s="717"/>
      <c r="C240" s="763"/>
      <c r="D240" s="763"/>
      <c r="E240" s="423"/>
      <c r="F240" s="764"/>
      <c r="G240" s="765"/>
      <c r="H240" s="423"/>
      <c r="I240" s="765"/>
      <c r="J240" s="728"/>
      <c r="K240" s="423"/>
      <c r="L240" s="423"/>
      <c r="M240" s="423"/>
      <c r="N240" s="423"/>
      <c r="O240" s="423"/>
      <c r="P240" s="423"/>
      <c r="Q240" s="423"/>
      <c r="R240" s="423"/>
      <c r="S240" s="423"/>
      <c r="T240" s="423"/>
      <c r="U240" s="423"/>
      <c r="V240" s="423"/>
      <c r="W240" s="423"/>
    </row>
    <row r="241">
      <c r="A241" s="766"/>
      <c r="B241" s="717"/>
      <c r="C241" s="763"/>
      <c r="D241" s="763"/>
      <c r="E241" s="423"/>
      <c r="F241" s="764"/>
      <c r="G241" s="765"/>
      <c r="H241" s="423"/>
      <c r="I241" s="765"/>
      <c r="J241" s="728"/>
      <c r="K241" s="423"/>
      <c r="L241" s="423"/>
      <c r="M241" s="423"/>
      <c r="N241" s="423"/>
      <c r="O241" s="423"/>
      <c r="P241" s="423"/>
      <c r="Q241" s="423"/>
      <c r="R241" s="423"/>
      <c r="S241" s="423"/>
      <c r="T241" s="423"/>
      <c r="U241" s="423"/>
      <c r="V241" s="423"/>
      <c r="W241" s="423"/>
    </row>
    <row r="242">
      <c r="A242" s="766"/>
      <c r="B242" s="717"/>
      <c r="C242" s="763"/>
      <c r="D242" s="763"/>
      <c r="E242" s="423"/>
      <c r="F242" s="764"/>
      <c r="G242" s="765"/>
      <c r="H242" s="423"/>
      <c r="I242" s="765"/>
      <c r="J242" s="728"/>
      <c r="K242" s="423"/>
      <c r="L242" s="423"/>
      <c r="M242" s="423"/>
      <c r="N242" s="423"/>
      <c r="O242" s="423"/>
      <c r="P242" s="423"/>
      <c r="Q242" s="423"/>
      <c r="R242" s="423"/>
      <c r="S242" s="423"/>
      <c r="T242" s="423"/>
      <c r="U242" s="423"/>
      <c r="V242" s="423"/>
      <c r="W242" s="423"/>
    </row>
    <row r="243">
      <c r="A243" s="766"/>
      <c r="B243" s="717"/>
      <c r="C243" s="763"/>
      <c r="D243" s="763"/>
      <c r="E243" s="423"/>
      <c r="F243" s="764"/>
      <c r="G243" s="765"/>
      <c r="H243" s="423"/>
      <c r="I243" s="765"/>
      <c r="J243" s="728"/>
      <c r="K243" s="423"/>
      <c r="L243" s="423"/>
      <c r="M243" s="423"/>
      <c r="N243" s="423"/>
      <c r="O243" s="423"/>
      <c r="P243" s="423"/>
      <c r="Q243" s="423"/>
      <c r="R243" s="423"/>
      <c r="S243" s="423"/>
      <c r="T243" s="423"/>
      <c r="U243" s="423"/>
      <c r="V243" s="423"/>
      <c r="W243" s="423"/>
    </row>
    <row r="244">
      <c r="A244" s="766"/>
      <c r="B244" s="717"/>
      <c r="C244" s="763"/>
      <c r="D244" s="763"/>
      <c r="E244" s="423"/>
      <c r="F244" s="764"/>
      <c r="G244" s="765"/>
      <c r="H244" s="423"/>
      <c r="I244" s="765"/>
      <c r="J244" s="728"/>
      <c r="K244" s="423"/>
      <c r="L244" s="423"/>
      <c r="M244" s="423"/>
      <c r="N244" s="423"/>
      <c r="O244" s="423"/>
      <c r="P244" s="423"/>
      <c r="Q244" s="423"/>
      <c r="R244" s="423"/>
      <c r="S244" s="423"/>
      <c r="T244" s="423"/>
      <c r="U244" s="423"/>
      <c r="V244" s="423"/>
      <c r="W244" s="423"/>
    </row>
    <row r="245">
      <c r="A245" s="766"/>
      <c r="B245" s="717"/>
      <c r="C245" s="763"/>
      <c r="D245" s="763"/>
      <c r="E245" s="423"/>
      <c r="F245" s="764"/>
      <c r="G245" s="765"/>
      <c r="H245" s="423"/>
      <c r="I245" s="765"/>
      <c r="J245" s="728"/>
      <c r="K245" s="423"/>
      <c r="L245" s="423"/>
      <c r="M245" s="423"/>
      <c r="N245" s="423"/>
      <c r="O245" s="423"/>
      <c r="P245" s="423"/>
      <c r="Q245" s="423"/>
      <c r="R245" s="423"/>
      <c r="S245" s="423"/>
      <c r="T245" s="423"/>
      <c r="U245" s="423"/>
      <c r="V245" s="423"/>
      <c r="W245" s="423"/>
    </row>
    <row r="246">
      <c r="A246" s="766"/>
      <c r="B246" s="717"/>
      <c r="C246" s="763"/>
      <c r="D246" s="763"/>
      <c r="E246" s="423"/>
      <c r="F246" s="764"/>
      <c r="G246" s="765"/>
      <c r="H246" s="423"/>
      <c r="I246" s="765"/>
      <c r="J246" s="728"/>
      <c r="K246" s="423"/>
      <c r="L246" s="423"/>
      <c r="M246" s="423"/>
      <c r="N246" s="423"/>
      <c r="O246" s="423"/>
      <c r="P246" s="423"/>
      <c r="Q246" s="423"/>
      <c r="R246" s="423"/>
      <c r="S246" s="423"/>
      <c r="T246" s="423"/>
      <c r="U246" s="423"/>
      <c r="V246" s="423"/>
      <c r="W246" s="423"/>
    </row>
    <row r="247">
      <c r="A247" s="766"/>
      <c r="B247" s="717"/>
      <c r="C247" s="763"/>
      <c r="D247" s="763"/>
      <c r="E247" s="423"/>
      <c r="F247" s="764"/>
      <c r="G247" s="765"/>
      <c r="H247" s="423"/>
      <c r="I247" s="765"/>
      <c r="J247" s="728"/>
      <c r="K247" s="423"/>
      <c r="L247" s="423"/>
      <c r="M247" s="423"/>
      <c r="N247" s="423"/>
      <c r="O247" s="423"/>
      <c r="P247" s="423"/>
      <c r="Q247" s="423"/>
      <c r="R247" s="423"/>
      <c r="S247" s="423"/>
      <c r="T247" s="423"/>
      <c r="U247" s="423"/>
      <c r="V247" s="423"/>
      <c r="W247" s="423"/>
    </row>
    <row r="248">
      <c r="A248" s="766"/>
      <c r="B248" s="717"/>
      <c r="C248" s="763"/>
      <c r="D248" s="763"/>
      <c r="E248" s="423"/>
      <c r="F248" s="764"/>
      <c r="G248" s="765"/>
      <c r="H248" s="423"/>
      <c r="I248" s="765"/>
      <c r="J248" s="728"/>
      <c r="K248" s="423"/>
      <c r="L248" s="423"/>
      <c r="M248" s="423"/>
      <c r="N248" s="423"/>
      <c r="O248" s="423"/>
      <c r="P248" s="423"/>
      <c r="Q248" s="423"/>
      <c r="R248" s="423"/>
      <c r="S248" s="423"/>
      <c r="T248" s="423"/>
      <c r="U248" s="423"/>
      <c r="V248" s="423"/>
      <c r="W248" s="423"/>
    </row>
    <row r="249">
      <c r="A249" s="766"/>
      <c r="B249" s="717"/>
      <c r="C249" s="763"/>
      <c r="D249" s="763"/>
      <c r="E249" s="423"/>
      <c r="F249" s="764"/>
      <c r="G249" s="765"/>
      <c r="H249" s="423"/>
      <c r="I249" s="765"/>
      <c r="J249" s="728"/>
      <c r="K249" s="423"/>
      <c r="L249" s="423"/>
      <c r="M249" s="423"/>
      <c r="N249" s="423"/>
      <c r="O249" s="423"/>
      <c r="P249" s="423"/>
      <c r="Q249" s="423"/>
      <c r="R249" s="423"/>
      <c r="S249" s="423"/>
      <c r="T249" s="423"/>
      <c r="U249" s="423"/>
      <c r="V249" s="423"/>
      <c r="W249" s="423"/>
    </row>
    <row r="250">
      <c r="A250" s="766"/>
      <c r="B250" s="717"/>
      <c r="C250" s="763"/>
      <c r="D250" s="763"/>
      <c r="E250" s="423"/>
      <c r="F250" s="764"/>
      <c r="G250" s="765"/>
      <c r="H250" s="423"/>
      <c r="I250" s="765"/>
      <c r="J250" s="728"/>
      <c r="K250" s="423"/>
      <c r="L250" s="423"/>
      <c r="M250" s="423"/>
      <c r="N250" s="423"/>
      <c r="O250" s="423"/>
      <c r="P250" s="423"/>
      <c r="Q250" s="423"/>
      <c r="R250" s="423"/>
      <c r="S250" s="423"/>
      <c r="T250" s="423"/>
      <c r="U250" s="423"/>
      <c r="V250" s="423"/>
      <c r="W250" s="423"/>
    </row>
    <row r="251">
      <c r="A251" s="766"/>
      <c r="B251" s="717"/>
      <c r="C251" s="763"/>
      <c r="D251" s="763"/>
      <c r="E251" s="423"/>
      <c r="F251" s="764"/>
      <c r="G251" s="765"/>
      <c r="H251" s="423"/>
      <c r="I251" s="765"/>
      <c r="J251" s="728"/>
      <c r="K251" s="423"/>
      <c r="L251" s="423"/>
      <c r="M251" s="423"/>
      <c r="N251" s="423"/>
      <c r="O251" s="423"/>
      <c r="P251" s="423"/>
      <c r="Q251" s="423"/>
      <c r="R251" s="423"/>
      <c r="S251" s="423"/>
      <c r="T251" s="423"/>
      <c r="U251" s="423"/>
      <c r="V251" s="423"/>
      <c r="W251" s="423"/>
    </row>
    <row r="252">
      <c r="A252" s="766"/>
      <c r="B252" s="717"/>
      <c r="C252" s="763"/>
      <c r="D252" s="763"/>
      <c r="E252" s="423"/>
      <c r="F252" s="764"/>
      <c r="G252" s="765"/>
      <c r="H252" s="423"/>
      <c r="I252" s="765"/>
      <c r="J252" s="728"/>
      <c r="K252" s="423"/>
      <c r="L252" s="423"/>
      <c r="M252" s="423"/>
      <c r="N252" s="423"/>
      <c r="O252" s="423"/>
      <c r="P252" s="423"/>
      <c r="Q252" s="423"/>
      <c r="R252" s="423"/>
      <c r="S252" s="423"/>
      <c r="T252" s="423"/>
      <c r="U252" s="423"/>
      <c r="V252" s="423"/>
      <c r="W252" s="423"/>
    </row>
    <row r="253">
      <c r="A253" s="766"/>
      <c r="B253" s="717"/>
      <c r="C253" s="763"/>
      <c r="D253" s="763"/>
      <c r="E253" s="423"/>
      <c r="F253" s="764"/>
      <c r="G253" s="765"/>
      <c r="H253" s="423"/>
      <c r="I253" s="765"/>
      <c r="J253" s="728"/>
      <c r="K253" s="423"/>
      <c r="L253" s="423"/>
      <c r="M253" s="423"/>
      <c r="N253" s="423"/>
      <c r="O253" s="423"/>
      <c r="P253" s="423"/>
      <c r="Q253" s="423"/>
      <c r="R253" s="423"/>
      <c r="S253" s="423"/>
      <c r="T253" s="423"/>
      <c r="U253" s="423"/>
      <c r="V253" s="423"/>
      <c r="W253" s="423"/>
    </row>
    <row r="254">
      <c r="A254" s="766"/>
      <c r="B254" s="717"/>
      <c r="C254" s="763"/>
      <c r="D254" s="763"/>
      <c r="E254" s="423"/>
      <c r="F254" s="764"/>
      <c r="G254" s="765"/>
      <c r="H254" s="423"/>
      <c r="I254" s="765"/>
      <c r="J254" s="728"/>
      <c r="K254" s="423"/>
      <c r="L254" s="423"/>
      <c r="M254" s="423"/>
      <c r="N254" s="423"/>
      <c r="O254" s="423"/>
      <c r="P254" s="423"/>
      <c r="Q254" s="423"/>
      <c r="R254" s="423"/>
      <c r="S254" s="423"/>
      <c r="T254" s="423"/>
      <c r="U254" s="423"/>
      <c r="V254" s="423"/>
      <c r="W254" s="423"/>
    </row>
    <row r="255">
      <c r="A255" s="766"/>
      <c r="B255" s="717"/>
      <c r="C255" s="763"/>
      <c r="D255" s="763"/>
      <c r="E255" s="423"/>
      <c r="F255" s="764"/>
      <c r="G255" s="765"/>
      <c r="H255" s="423"/>
      <c r="I255" s="765"/>
      <c r="J255" s="728"/>
      <c r="K255" s="423"/>
      <c r="L255" s="423"/>
      <c r="M255" s="423"/>
      <c r="N255" s="423"/>
      <c r="O255" s="423"/>
      <c r="P255" s="423"/>
      <c r="Q255" s="423"/>
      <c r="R255" s="423"/>
      <c r="S255" s="423"/>
      <c r="T255" s="423"/>
      <c r="U255" s="423"/>
      <c r="V255" s="423"/>
      <c r="W255" s="423"/>
    </row>
    <row r="256">
      <c r="A256" s="766"/>
      <c r="B256" s="717"/>
      <c r="C256" s="763"/>
      <c r="D256" s="763"/>
      <c r="E256" s="423"/>
      <c r="F256" s="764"/>
      <c r="G256" s="765"/>
      <c r="H256" s="423"/>
      <c r="I256" s="765"/>
      <c r="J256" s="728"/>
      <c r="K256" s="423"/>
      <c r="L256" s="423"/>
      <c r="M256" s="423"/>
      <c r="N256" s="423"/>
      <c r="O256" s="423"/>
      <c r="P256" s="423"/>
      <c r="Q256" s="423"/>
      <c r="R256" s="423"/>
      <c r="S256" s="423"/>
      <c r="T256" s="423"/>
      <c r="U256" s="423"/>
      <c r="V256" s="423"/>
      <c r="W256" s="423"/>
    </row>
    <row r="257">
      <c r="A257" s="766"/>
      <c r="B257" s="717"/>
      <c r="C257" s="763"/>
      <c r="D257" s="763"/>
      <c r="E257" s="423"/>
      <c r="F257" s="764"/>
      <c r="G257" s="765"/>
      <c r="H257" s="423"/>
      <c r="I257" s="765"/>
      <c r="J257" s="728"/>
      <c r="K257" s="423"/>
      <c r="L257" s="423"/>
      <c r="M257" s="423"/>
      <c r="N257" s="423"/>
      <c r="O257" s="423"/>
      <c r="P257" s="423"/>
      <c r="Q257" s="423"/>
      <c r="R257" s="423"/>
      <c r="S257" s="423"/>
      <c r="T257" s="423"/>
      <c r="U257" s="423"/>
      <c r="V257" s="423"/>
      <c r="W257" s="423"/>
    </row>
    <row r="258">
      <c r="A258" s="766"/>
      <c r="B258" s="717"/>
      <c r="C258" s="763"/>
      <c r="D258" s="763"/>
      <c r="E258" s="423"/>
      <c r="F258" s="764"/>
      <c r="G258" s="765"/>
      <c r="H258" s="423"/>
      <c r="I258" s="765"/>
      <c r="J258" s="728"/>
      <c r="K258" s="423"/>
      <c r="L258" s="423"/>
      <c r="M258" s="423"/>
      <c r="N258" s="423"/>
      <c r="O258" s="423"/>
      <c r="P258" s="423"/>
      <c r="Q258" s="423"/>
      <c r="R258" s="423"/>
      <c r="S258" s="423"/>
      <c r="T258" s="423"/>
      <c r="U258" s="423"/>
      <c r="V258" s="423"/>
      <c r="W258" s="423"/>
    </row>
    <row r="259">
      <c r="A259" s="766"/>
      <c r="B259" s="717"/>
      <c r="C259" s="763"/>
      <c r="D259" s="763"/>
      <c r="E259" s="423"/>
      <c r="F259" s="764"/>
      <c r="G259" s="765"/>
      <c r="H259" s="423"/>
      <c r="I259" s="765"/>
      <c r="J259" s="728"/>
      <c r="K259" s="423"/>
      <c r="L259" s="423"/>
      <c r="M259" s="423"/>
      <c r="N259" s="423"/>
      <c r="O259" s="423"/>
      <c r="P259" s="423"/>
      <c r="Q259" s="423"/>
      <c r="R259" s="423"/>
      <c r="S259" s="423"/>
      <c r="T259" s="423"/>
      <c r="U259" s="423"/>
      <c r="V259" s="423"/>
      <c r="W259" s="423"/>
    </row>
    <row r="260">
      <c r="A260" s="766"/>
      <c r="B260" s="717"/>
      <c r="C260" s="763"/>
      <c r="D260" s="763"/>
      <c r="E260" s="423"/>
      <c r="F260" s="764"/>
      <c r="G260" s="765"/>
      <c r="H260" s="423"/>
      <c r="I260" s="765"/>
      <c r="J260" s="728"/>
      <c r="K260" s="423"/>
      <c r="L260" s="423"/>
      <c r="M260" s="423"/>
      <c r="N260" s="423"/>
      <c r="O260" s="423"/>
      <c r="P260" s="423"/>
      <c r="Q260" s="423"/>
      <c r="R260" s="423"/>
      <c r="S260" s="423"/>
      <c r="T260" s="423"/>
      <c r="U260" s="423"/>
      <c r="V260" s="423"/>
      <c r="W260" s="423"/>
    </row>
    <row r="261">
      <c r="A261" s="766"/>
      <c r="B261" s="717"/>
      <c r="C261" s="763"/>
      <c r="D261" s="763"/>
      <c r="E261" s="423"/>
      <c r="F261" s="764"/>
      <c r="G261" s="765"/>
      <c r="H261" s="423"/>
      <c r="I261" s="765"/>
      <c r="J261" s="728"/>
      <c r="K261" s="423"/>
      <c r="L261" s="423"/>
      <c r="M261" s="423"/>
      <c r="N261" s="423"/>
      <c r="O261" s="423"/>
      <c r="P261" s="423"/>
      <c r="Q261" s="423"/>
      <c r="R261" s="423"/>
      <c r="S261" s="423"/>
      <c r="T261" s="423"/>
      <c r="U261" s="423"/>
      <c r="V261" s="423"/>
      <c r="W261" s="423"/>
    </row>
    <row r="262">
      <c r="A262" s="766"/>
      <c r="B262" s="717"/>
      <c r="C262" s="763"/>
      <c r="D262" s="763"/>
      <c r="E262" s="423"/>
      <c r="F262" s="764"/>
      <c r="G262" s="765"/>
      <c r="H262" s="423"/>
      <c r="I262" s="765"/>
      <c r="J262" s="728"/>
      <c r="K262" s="423"/>
      <c r="L262" s="423"/>
      <c r="M262" s="423"/>
      <c r="N262" s="423"/>
      <c r="O262" s="423"/>
      <c r="P262" s="423"/>
      <c r="Q262" s="423"/>
      <c r="R262" s="423"/>
      <c r="S262" s="423"/>
      <c r="T262" s="423"/>
      <c r="U262" s="423"/>
      <c r="V262" s="423"/>
      <c r="W262" s="423"/>
    </row>
    <row r="263">
      <c r="A263" s="766"/>
      <c r="B263" s="717"/>
      <c r="C263" s="763"/>
      <c r="D263" s="763"/>
      <c r="E263" s="423"/>
      <c r="F263" s="764"/>
      <c r="G263" s="765"/>
      <c r="H263" s="423"/>
      <c r="I263" s="765"/>
      <c r="J263" s="728"/>
      <c r="K263" s="423"/>
      <c r="L263" s="423"/>
      <c r="M263" s="423"/>
      <c r="N263" s="423"/>
      <c r="O263" s="423"/>
      <c r="P263" s="423"/>
      <c r="Q263" s="423"/>
      <c r="R263" s="423"/>
      <c r="S263" s="423"/>
      <c r="T263" s="423"/>
      <c r="U263" s="423"/>
      <c r="V263" s="423"/>
      <c r="W263" s="423"/>
    </row>
    <row r="264">
      <c r="A264" s="766"/>
      <c r="B264" s="717"/>
      <c r="C264" s="763"/>
      <c r="D264" s="763"/>
      <c r="E264" s="423"/>
      <c r="F264" s="764"/>
      <c r="G264" s="765"/>
      <c r="H264" s="423"/>
      <c r="I264" s="765"/>
      <c r="J264" s="728"/>
      <c r="K264" s="423"/>
      <c r="L264" s="423"/>
      <c r="M264" s="423"/>
      <c r="N264" s="423"/>
      <c r="O264" s="423"/>
      <c r="P264" s="423"/>
      <c r="Q264" s="423"/>
      <c r="R264" s="423"/>
      <c r="S264" s="423"/>
      <c r="T264" s="423"/>
      <c r="U264" s="423"/>
      <c r="V264" s="423"/>
      <c r="W264" s="423"/>
    </row>
    <row r="265">
      <c r="A265" s="766"/>
      <c r="B265" s="717"/>
      <c r="C265" s="763"/>
      <c r="D265" s="763"/>
      <c r="E265" s="423"/>
      <c r="F265" s="764"/>
      <c r="G265" s="765"/>
      <c r="H265" s="423"/>
      <c r="I265" s="765"/>
      <c r="J265" s="728"/>
      <c r="K265" s="423"/>
      <c r="L265" s="423"/>
      <c r="M265" s="423"/>
      <c r="N265" s="423"/>
      <c r="O265" s="423"/>
      <c r="P265" s="423"/>
      <c r="Q265" s="423"/>
      <c r="R265" s="423"/>
      <c r="S265" s="423"/>
      <c r="T265" s="423"/>
      <c r="U265" s="423"/>
      <c r="V265" s="423"/>
      <c r="W265" s="423"/>
    </row>
    <row r="266">
      <c r="A266" s="766"/>
      <c r="B266" s="717"/>
      <c r="C266" s="763"/>
      <c r="D266" s="763"/>
      <c r="E266" s="423"/>
      <c r="F266" s="764"/>
      <c r="G266" s="765"/>
      <c r="H266" s="423"/>
      <c r="I266" s="765"/>
      <c r="J266" s="728"/>
      <c r="K266" s="423"/>
      <c r="L266" s="423"/>
      <c r="M266" s="423"/>
      <c r="N266" s="423"/>
      <c r="O266" s="423"/>
      <c r="P266" s="423"/>
      <c r="Q266" s="423"/>
      <c r="R266" s="423"/>
      <c r="S266" s="423"/>
      <c r="T266" s="423"/>
      <c r="U266" s="423"/>
      <c r="V266" s="423"/>
      <c r="W266" s="423"/>
    </row>
    <row r="267">
      <c r="A267" s="766"/>
      <c r="B267" s="717"/>
      <c r="C267" s="763"/>
      <c r="D267" s="763"/>
      <c r="E267" s="423"/>
      <c r="F267" s="764"/>
      <c r="G267" s="765"/>
      <c r="H267" s="423"/>
      <c r="I267" s="765"/>
      <c r="J267" s="728"/>
      <c r="K267" s="423"/>
      <c r="L267" s="423"/>
      <c r="M267" s="423"/>
      <c r="N267" s="423"/>
      <c r="O267" s="423"/>
      <c r="P267" s="423"/>
      <c r="Q267" s="423"/>
      <c r="R267" s="423"/>
      <c r="S267" s="423"/>
      <c r="T267" s="423"/>
      <c r="U267" s="423"/>
      <c r="V267" s="423"/>
      <c r="W267" s="423"/>
    </row>
    <row r="268">
      <c r="A268" s="766"/>
      <c r="B268" s="717"/>
      <c r="C268" s="763"/>
      <c r="D268" s="763"/>
      <c r="E268" s="423"/>
      <c r="F268" s="764"/>
      <c r="G268" s="765"/>
      <c r="H268" s="423"/>
      <c r="I268" s="765"/>
      <c r="J268" s="728"/>
      <c r="K268" s="423"/>
      <c r="L268" s="423"/>
      <c r="M268" s="423"/>
      <c r="N268" s="423"/>
      <c r="O268" s="423"/>
      <c r="P268" s="423"/>
      <c r="Q268" s="423"/>
      <c r="R268" s="423"/>
      <c r="S268" s="423"/>
      <c r="T268" s="423"/>
      <c r="U268" s="423"/>
      <c r="V268" s="423"/>
      <c r="W268" s="423"/>
    </row>
    <row r="269">
      <c r="A269" s="766"/>
      <c r="B269" s="717"/>
      <c r="C269" s="763"/>
      <c r="D269" s="763"/>
      <c r="E269" s="423"/>
      <c r="F269" s="764"/>
      <c r="G269" s="765"/>
      <c r="H269" s="423"/>
      <c r="I269" s="765"/>
      <c r="J269" s="728"/>
      <c r="K269" s="423"/>
      <c r="L269" s="423"/>
      <c r="M269" s="423"/>
      <c r="N269" s="423"/>
      <c r="O269" s="423"/>
      <c r="P269" s="423"/>
      <c r="Q269" s="423"/>
      <c r="R269" s="423"/>
      <c r="S269" s="423"/>
      <c r="T269" s="423"/>
      <c r="U269" s="423"/>
      <c r="V269" s="423"/>
      <c r="W269" s="423"/>
    </row>
    <row r="270">
      <c r="A270" s="766"/>
      <c r="B270" s="717"/>
      <c r="C270" s="763"/>
      <c r="D270" s="763"/>
      <c r="E270" s="423"/>
      <c r="F270" s="764"/>
      <c r="G270" s="765"/>
      <c r="H270" s="423"/>
      <c r="I270" s="765"/>
      <c r="J270" s="728"/>
      <c r="K270" s="423"/>
      <c r="L270" s="423"/>
      <c r="M270" s="423"/>
      <c r="N270" s="423"/>
      <c r="O270" s="423"/>
      <c r="P270" s="423"/>
      <c r="Q270" s="423"/>
      <c r="R270" s="423"/>
      <c r="S270" s="423"/>
      <c r="T270" s="423"/>
      <c r="U270" s="423"/>
      <c r="V270" s="423"/>
      <c r="W270" s="423"/>
    </row>
    <row r="271">
      <c r="A271" s="766"/>
      <c r="B271" s="717"/>
      <c r="C271" s="763"/>
      <c r="D271" s="763"/>
      <c r="E271" s="423"/>
      <c r="F271" s="764"/>
      <c r="G271" s="765"/>
      <c r="H271" s="423"/>
      <c r="I271" s="765"/>
      <c r="J271" s="728"/>
      <c r="K271" s="423"/>
      <c r="L271" s="423"/>
      <c r="M271" s="423"/>
      <c r="N271" s="423"/>
      <c r="O271" s="423"/>
      <c r="P271" s="423"/>
      <c r="Q271" s="423"/>
      <c r="R271" s="423"/>
      <c r="S271" s="423"/>
      <c r="T271" s="423"/>
      <c r="U271" s="423"/>
      <c r="V271" s="423"/>
      <c r="W271" s="423"/>
    </row>
    <row r="272">
      <c r="A272" s="766"/>
      <c r="B272" s="717"/>
      <c r="C272" s="763"/>
      <c r="D272" s="763"/>
      <c r="E272" s="423"/>
      <c r="F272" s="764"/>
      <c r="G272" s="765"/>
      <c r="H272" s="423"/>
      <c r="I272" s="765"/>
      <c r="J272" s="728"/>
      <c r="K272" s="423"/>
      <c r="L272" s="423"/>
      <c r="M272" s="423"/>
      <c r="N272" s="423"/>
      <c r="O272" s="423"/>
      <c r="P272" s="423"/>
      <c r="Q272" s="423"/>
      <c r="R272" s="423"/>
      <c r="S272" s="423"/>
      <c r="T272" s="423"/>
      <c r="U272" s="423"/>
      <c r="V272" s="423"/>
      <c r="W272" s="423"/>
    </row>
    <row r="273">
      <c r="A273" s="766"/>
      <c r="B273" s="717"/>
      <c r="C273" s="763"/>
      <c r="D273" s="763"/>
      <c r="E273" s="423"/>
      <c r="F273" s="764"/>
      <c r="G273" s="765"/>
      <c r="H273" s="423"/>
      <c r="I273" s="765"/>
      <c r="J273" s="728"/>
      <c r="K273" s="423"/>
      <c r="L273" s="423"/>
      <c r="M273" s="423"/>
      <c r="N273" s="423"/>
      <c r="O273" s="423"/>
      <c r="P273" s="423"/>
      <c r="Q273" s="423"/>
      <c r="R273" s="423"/>
      <c r="S273" s="423"/>
      <c r="T273" s="423"/>
      <c r="U273" s="423"/>
      <c r="V273" s="423"/>
      <c r="W273" s="423"/>
    </row>
    <row r="274">
      <c r="A274" s="766"/>
      <c r="B274" s="717"/>
      <c r="C274" s="763"/>
      <c r="D274" s="763"/>
      <c r="E274" s="423"/>
      <c r="F274" s="764"/>
      <c r="G274" s="765"/>
      <c r="H274" s="423"/>
      <c r="I274" s="765"/>
      <c r="J274" s="728"/>
      <c r="K274" s="423"/>
      <c r="L274" s="423"/>
      <c r="M274" s="423"/>
      <c r="N274" s="423"/>
      <c r="O274" s="423"/>
      <c r="P274" s="423"/>
      <c r="Q274" s="423"/>
      <c r="R274" s="423"/>
      <c r="S274" s="423"/>
      <c r="T274" s="423"/>
      <c r="U274" s="423"/>
      <c r="V274" s="423"/>
      <c r="W274" s="423"/>
    </row>
    <row r="275">
      <c r="A275" s="766"/>
      <c r="B275" s="717"/>
      <c r="C275" s="763"/>
      <c r="D275" s="763"/>
      <c r="E275" s="423"/>
      <c r="F275" s="764"/>
      <c r="G275" s="765"/>
      <c r="H275" s="423"/>
      <c r="I275" s="765"/>
      <c r="J275" s="728"/>
      <c r="K275" s="423"/>
      <c r="L275" s="423"/>
      <c r="M275" s="423"/>
      <c r="N275" s="423"/>
      <c r="O275" s="423"/>
      <c r="P275" s="423"/>
      <c r="Q275" s="423"/>
      <c r="R275" s="423"/>
      <c r="S275" s="423"/>
      <c r="T275" s="423"/>
      <c r="U275" s="423"/>
      <c r="V275" s="423"/>
      <c r="W275" s="423"/>
    </row>
    <row r="276">
      <c r="A276" s="766"/>
      <c r="B276" s="717"/>
      <c r="C276" s="763"/>
      <c r="D276" s="763"/>
      <c r="E276" s="423"/>
      <c r="F276" s="764"/>
      <c r="G276" s="765"/>
      <c r="H276" s="423"/>
      <c r="I276" s="765"/>
      <c r="J276" s="728"/>
      <c r="K276" s="423"/>
      <c r="L276" s="423"/>
      <c r="M276" s="423"/>
      <c r="N276" s="423"/>
      <c r="O276" s="423"/>
      <c r="P276" s="423"/>
      <c r="Q276" s="423"/>
      <c r="R276" s="423"/>
      <c r="S276" s="423"/>
      <c r="T276" s="423"/>
      <c r="U276" s="423"/>
      <c r="V276" s="423"/>
      <c r="W276" s="423"/>
    </row>
    <row r="277">
      <c r="A277" s="766"/>
      <c r="B277" s="717"/>
      <c r="C277" s="763"/>
      <c r="D277" s="763"/>
      <c r="E277" s="423"/>
      <c r="F277" s="764"/>
      <c r="G277" s="765"/>
      <c r="H277" s="423"/>
      <c r="I277" s="765"/>
      <c r="J277" s="728"/>
      <c r="K277" s="423"/>
      <c r="L277" s="423"/>
      <c r="M277" s="423"/>
      <c r="N277" s="423"/>
      <c r="O277" s="423"/>
      <c r="P277" s="423"/>
      <c r="Q277" s="423"/>
      <c r="R277" s="423"/>
      <c r="S277" s="423"/>
      <c r="T277" s="423"/>
      <c r="U277" s="423"/>
      <c r="V277" s="423"/>
      <c r="W277" s="423"/>
    </row>
    <row r="278">
      <c r="A278" s="766"/>
      <c r="B278" s="717"/>
      <c r="C278" s="763"/>
      <c r="D278" s="763"/>
      <c r="E278" s="423"/>
      <c r="F278" s="764"/>
      <c r="G278" s="765"/>
      <c r="H278" s="423"/>
      <c r="I278" s="765"/>
      <c r="J278" s="728"/>
      <c r="K278" s="423"/>
      <c r="L278" s="423"/>
      <c r="M278" s="423"/>
      <c r="N278" s="423"/>
      <c r="O278" s="423"/>
      <c r="P278" s="423"/>
      <c r="Q278" s="423"/>
      <c r="R278" s="423"/>
      <c r="S278" s="423"/>
      <c r="T278" s="423"/>
      <c r="U278" s="423"/>
      <c r="V278" s="423"/>
      <c r="W278" s="423"/>
    </row>
    <row r="279">
      <c r="A279" s="766"/>
      <c r="B279" s="717"/>
      <c r="C279" s="763"/>
      <c r="D279" s="763"/>
      <c r="E279" s="423"/>
      <c r="F279" s="764"/>
      <c r="G279" s="765"/>
      <c r="H279" s="423"/>
      <c r="I279" s="765"/>
      <c r="J279" s="728"/>
      <c r="K279" s="423"/>
      <c r="L279" s="423"/>
      <c r="M279" s="423"/>
      <c r="N279" s="423"/>
      <c r="O279" s="423"/>
      <c r="P279" s="423"/>
      <c r="Q279" s="423"/>
      <c r="R279" s="423"/>
      <c r="S279" s="423"/>
      <c r="T279" s="423"/>
      <c r="U279" s="423"/>
      <c r="V279" s="423"/>
      <c r="W279" s="423"/>
    </row>
    <row r="280">
      <c r="A280" s="766"/>
      <c r="B280" s="717"/>
      <c r="C280" s="763"/>
      <c r="D280" s="763"/>
      <c r="E280" s="423"/>
      <c r="F280" s="764"/>
      <c r="G280" s="765"/>
      <c r="H280" s="423"/>
      <c r="I280" s="765"/>
      <c r="J280" s="728"/>
      <c r="K280" s="423"/>
      <c r="L280" s="423"/>
      <c r="M280" s="423"/>
      <c r="N280" s="423"/>
      <c r="O280" s="423"/>
      <c r="P280" s="423"/>
      <c r="Q280" s="423"/>
      <c r="R280" s="423"/>
      <c r="S280" s="423"/>
      <c r="T280" s="423"/>
      <c r="U280" s="423"/>
      <c r="V280" s="423"/>
      <c r="W280" s="423"/>
    </row>
    <row r="281">
      <c r="A281" s="766"/>
      <c r="B281" s="717"/>
      <c r="C281" s="763"/>
      <c r="D281" s="763"/>
      <c r="E281" s="423"/>
      <c r="F281" s="764"/>
      <c r="G281" s="765"/>
      <c r="H281" s="423"/>
      <c r="I281" s="765"/>
      <c r="J281" s="728"/>
      <c r="K281" s="423"/>
      <c r="L281" s="423"/>
      <c r="M281" s="423"/>
      <c r="N281" s="423"/>
      <c r="O281" s="423"/>
      <c r="P281" s="423"/>
      <c r="Q281" s="423"/>
      <c r="R281" s="423"/>
      <c r="S281" s="423"/>
      <c r="T281" s="423"/>
      <c r="U281" s="423"/>
      <c r="V281" s="423"/>
      <c r="W281" s="423"/>
    </row>
    <row r="282">
      <c r="A282" s="766"/>
      <c r="B282" s="717"/>
      <c r="C282" s="763"/>
      <c r="D282" s="763"/>
      <c r="E282" s="423"/>
      <c r="F282" s="764"/>
      <c r="G282" s="765"/>
      <c r="H282" s="423"/>
      <c r="I282" s="765"/>
      <c r="J282" s="728"/>
      <c r="K282" s="423"/>
      <c r="L282" s="423"/>
      <c r="M282" s="423"/>
      <c r="N282" s="423"/>
      <c r="O282" s="423"/>
      <c r="P282" s="423"/>
      <c r="Q282" s="423"/>
      <c r="R282" s="423"/>
      <c r="S282" s="423"/>
      <c r="T282" s="423"/>
      <c r="U282" s="423"/>
      <c r="V282" s="423"/>
      <c r="W282" s="423"/>
    </row>
    <row r="283">
      <c r="A283" s="766"/>
      <c r="B283" s="717"/>
      <c r="C283" s="763"/>
      <c r="D283" s="763"/>
      <c r="E283" s="423"/>
      <c r="F283" s="764"/>
      <c r="G283" s="765"/>
      <c r="H283" s="423"/>
      <c r="I283" s="765"/>
      <c r="J283" s="728"/>
      <c r="K283" s="423"/>
      <c r="L283" s="423"/>
      <c r="M283" s="423"/>
      <c r="N283" s="423"/>
      <c r="O283" s="423"/>
      <c r="P283" s="423"/>
      <c r="Q283" s="423"/>
      <c r="R283" s="423"/>
      <c r="S283" s="423"/>
      <c r="T283" s="423"/>
      <c r="U283" s="423"/>
      <c r="V283" s="423"/>
      <c r="W283" s="423"/>
    </row>
    <row r="284">
      <c r="A284" s="766"/>
      <c r="B284" s="717"/>
      <c r="C284" s="763"/>
      <c r="D284" s="763"/>
      <c r="E284" s="423"/>
      <c r="F284" s="764"/>
      <c r="G284" s="765"/>
      <c r="H284" s="423"/>
      <c r="I284" s="765"/>
      <c r="J284" s="728"/>
      <c r="K284" s="423"/>
      <c r="L284" s="423"/>
      <c r="M284" s="423"/>
      <c r="N284" s="423"/>
      <c r="O284" s="423"/>
      <c r="P284" s="423"/>
      <c r="Q284" s="423"/>
      <c r="R284" s="423"/>
      <c r="S284" s="423"/>
      <c r="T284" s="423"/>
      <c r="U284" s="423"/>
      <c r="V284" s="423"/>
      <c r="W284" s="423"/>
    </row>
    <row r="285">
      <c r="A285" s="766"/>
      <c r="B285" s="717"/>
      <c r="C285" s="763"/>
      <c r="D285" s="763"/>
      <c r="E285" s="423"/>
      <c r="F285" s="764"/>
      <c r="G285" s="765"/>
      <c r="H285" s="423"/>
      <c r="I285" s="765"/>
      <c r="J285" s="728"/>
      <c r="K285" s="423"/>
      <c r="L285" s="423"/>
      <c r="M285" s="423"/>
      <c r="N285" s="423"/>
      <c r="O285" s="423"/>
      <c r="P285" s="423"/>
      <c r="Q285" s="423"/>
      <c r="R285" s="423"/>
      <c r="S285" s="423"/>
      <c r="T285" s="423"/>
      <c r="U285" s="423"/>
      <c r="V285" s="423"/>
      <c r="W285" s="423"/>
    </row>
    <row r="286">
      <c r="A286" s="766"/>
      <c r="B286" s="717"/>
      <c r="C286" s="763"/>
      <c r="D286" s="763"/>
      <c r="E286" s="423"/>
      <c r="F286" s="764"/>
      <c r="G286" s="765"/>
      <c r="H286" s="423"/>
      <c r="I286" s="765"/>
      <c r="J286" s="728"/>
      <c r="K286" s="423"/>
      <c r="L286" s="423"/>
      <c r="M286" s="423"/>
      <c r="N286" s="423"/>
      <c r="O286" s="423"/>
      <c r="P286" s="423"/>
      <c r="Q286" s="423"/>
      <c r="R286" s="423"/>
      <c r="S286" s="423"/>
      <c r="T286" s="423"/>
      <c r="U286" s="423"/>
      <c r="V286" s="423"/>
      <c r="W286" s="423"/>
    </row>
    <row r="287">
      <c r="A287" s="766"/>
      <c r="B287" s="717"/>
      <c r="C287" s="763"/>
      <c r="D287" s="763"/>
      <c r="E287" s="423"/>
      <c r="F287" s="764"/>
      <c r="G287" s="765"/>
      <c r="H287" s="423"/>
      <c r="I287" s="765"/>
      <c r="J287" s="728"/>
      <c r="K287" s="423"/>
      <c r="L287" s="423"/>
      <c r="M287" s="423"/>
      <c r="N287" s="423"/>
      <c r="O287" s="423"/>
      <c r="P287" s="423"/>
      <c r="Q287" s="423"/>
      <c r="R287" s="423"/>
      <c r="S287" s="423"/>
      <c r="T287" s="423"/>
      <c r="U287" s="423"/>
      <c r="V287" s="423"/>
      <c r="W287" s="423"/>
    </row>
    <row r="288">
      <c r="A288" s="766"/>
      <c r="B288" s="717"/>
      <c r="C288" s="763"/>
      <c r="D288" s="763"/>
      <c r="E288" s="423"/>
      <c r="F288" s="764"/>
      <c r="G288" s="765"/>
      <c r="H288" s="423"/>
      <c r="I288" s="765"/>
      <c r="J288" s="728"/>
      <c r="K288" s="423"/>
      <c r="L288" s="423"/>
      <c r="M288" s="423"/>
      <c r="N288" s="423"/>
      <c r="O288" s="423"/>
      <c r="P288" s="423"/>
      <c r="Q288" s="423"/>
      <c r="R288" s="423"/>
      <c r="S288" s="423"/>
      <c r="T288" s="423"/>
      <c r="U288" s="423"/>
      <c r="V288" s="423"/>
      <c r="W288" s="423"/>
    </row>
    <row r="289">
      <c r="A289" s="766"/>
      <c r="B289" s="717"/>
      <c r="C289" s="763"/>
      <c r="D289" s="763"/>
      <c r="E289" s="423"/>
      <c r="F289" s="764"/>
      <c r="G289" s="765"/>
      <c r="H289" s="423"/>
      <c r="I289" s="765"/>
      <c r="J289" s="728"/>
      <c r="K289" s="423"/>
      <c r="L289" s="423"/>
      <c r="M289" s="423"/>
      <c r="N289" s="423"/>
      <c r="O289" s="423"/>
      <c r="P289" s="423"/>
      <c r="Q289" s="423"/>
      <c r="R289" s="423"/>
      <c r="S289" s="423"/>
      <c r="T289" s="423"/>
      <c r="U289" s="423"/>
      <c r="V289" s="423"/>
      <c r="W289" s="423"/>
    </row>
    <row r="290">
      <c r="A290" s="766"/>
      <c r="B290" s="717"/>
      <c r="C290" s="763"/>
      <c r="D290" s="763"/>
      <c r="E290" s="423"/>
      <c r="F290" s="764"/>
      <c r="G290" s="765"/>
      <c r="H290" s="423"/>
      <c r="I290" s="765"/>
      <c r="J290" s="728"/>
      <c r="K290" s="423"/>
      <c r="L290" s="423"/>
      <c r="M290" s="423"/>
      <c r="N290" s="423"/>
      <c r="O290" s="423"/>
      <c r="P290" s="423"/>
      <c r="Q290" s="423"/>
      <c r="R290" s="423"/>
      <c r="S290" s="423"/>
      <c r="T290" s="423"/>
      <c r="U290" s="423"/>
      <c r="V290" s="423"/>
      <c r="W290" s="423"/>
    </row>
    <row r="291">
      <c r="A291" s="766"/>
      <c r="B291" s="717"/>
      <c r="C291" s="763"/>
      <c r="D291" s="763"/>
      <c r="E291" s="423"/>
      <c r="F291" s="764"/>
      <c r="G291" s="765"/>
      <c r="H291" s="423"/>
      <c r="I291" s="765"/>
      <c r="J291" s="728"/>
      <c r="K291" s="423"/>
      <c r="L291" s="423"/>
      <c r="M291" s="423"/>
      <c r="N291" s="423"/>
      <c r="O291" s="423"/>
      <c r="P291" s="423"/>
      <c r="Q291" s="423"/>
      <c r="R291" s="423"/>
      <c r="S291" s="423"/>
      <c r="T291" s="423"/>
      <c r="U291" s="423"/>
      <c r="V291" s="423"/>
      <c r="W291" s="423"/>
    </row>
    <row r="292">
      <c r="A292" s="766"/>
      <c r="B292" s="717"/>
      <c r="C292" s="763"/>
      <c r="D292" s="763"/>
      <c r="E292" s="423"/>
      <c r="F292" s="764"/>
      <c r="G292" s="765"/>
      <c r="H292" s="423"/>
      <c r="I292" s="765"/>
      <c r="J292" s="728"/>
      <c r="K292" s="423"/>
      <c r="L292" s="423"/>
      <c r="M292" s="423"/>
      <c r="N292" s="423"/>
      <c r="O292" s="423"/>
      <c r="P292" s="423"/>
      <c r="Q292" s="423"/>
      <c r="R292" s="423"/>
      <c r="S292" s="423"/>
      <c r="T292" s="423"/>
      <c r="U292" s="423"/>
      <c r="V292" s="423"/>
      <c r="W292" s="423"/>
    </row>
    <row r="293">
      <c r="A293" s="766"/>
      <c r="B293" s="717"/>
      <c r="C293" s="763"/>
      <c r="D293" s="763"/>
      <c r="E293" s="423"/>
      <c r="F293" s="764"/>
      <c r="G293" s="765"/>
      <c r="H293" s="423"/>
      <c r="I293" s="765"/>
      <c r="J293" s="728"/>
      <c r="K293" s="423"/>
      <c r="L293" s="423"/>
      <c r="M293" s="423"/>
      <c r="N293" s="423"/>
      <c r="O293" s="423"/>
      <c r="P293" s="423"/>
      <c r="Q293" s="423"/>
      <c r="R293" s="423"/>
      <c r="S293" s="423"/>
      <c r="T293" s="423"/>
      <c r="U293" s="423"/>
      <c r="V293" s="423"/>
      <c r="W293" s="423"/>
    </row>
    <row r="294">
      <c r="A294" s="766"/>
      <c r="B294" s="717"/>
      <c r="C294" s="763"/>
      <c r="D294" s="763"/>
      <c r="E294" s="423"/>
      <c r="F294" s="764"/>
      <c r="G294" s="765"/>
      <c r="H294" s="423"/>
      <c r="I294" s="765"/>
      <c r="J294" s="728"/>
      <c r="K294" s="423"/>
      <c r="L294" s="423"/>
      <c r="M294" s="423"/>
      <c r="N294" s="423"/>
      <c r="O294" s="423"/>
      <c r="P294" s="423"/>
      <c r="Q294" s="423"/>
      <c r="R294" s="423"/>
      <c r="S294" s="423"/>
      <c r="T294" s="423"/>
      <c r="U294" s="423"/>
      <c r="V294" s="423"/>
      <c r="W294" s="423"/>
    </row>
    <row r="295">
      <c r="A295" s="766"/>
      <c r="B295" s="717"/>
      <c r="C295" s="763"/>
      <c r="D295" s="763"/>
      <c r="E295" s="423"/>
      <c r="F295" s="764"/>
      <c r="G295" s="765"/>
      <c r="H295" s="423"/>
      <c r="I295" s="765"/>
      <c r="J295" s="728"/>
      <c r="K295" s="423"/>
      <c r="L295" s="423"/>
      <c r="M295" s="423"/>
      <c r="N295" s="423"/>
      <c r="O295" s="423"/>
      <c r="P295" s="423"/>
      <c r="Q295" s="423"/>
      <c r="R295" s="423"/>
      <c r="S295" s="423"/>
      <c r="T295" s="423"/>
      <c r="U295" s="423"/>
      <c r="V295" s="423"/>
      <c r="W295" s="423"/>
    </row>
    <row r="296">
      <c r="A296" s="766"/>
      <c r="B296" s="717"/>
      <c r="C296" s="763"/>
      <c r="D296" s="763"/>
      <c r="E296" s="423"/>
      <c r="F296" s="764"/>
      <c r="G296" s="765"/>
      <c r="H296" s="423"/>
      <c r="I296" s="765"/>
      <c r="J296" s="728"/>
      <c r="K296" s="423"/>
      <c r="L296" s="423"/>
      <c r="M296" s="423"/>
      <c r="N296" s="423"/>
      <c r="O296" s="423"/>
      <c r="P296" s="423"/>
      <c r="Q296" s="423"/>
      <c r="R296" s="423"/>
      <c r="S296" s="423"/>
      <c r="T296" s="423"/>
      <c r="U296" s="423"/>
      <c r="V296" s="423"/>
      <c r="W296" s="423"/>
    </row>
    <row r="297">
      <c r="A297" s="766"/>
      <c r="B297" s="717"/>
      <c r="C297" s="763"/>
      <c r="D297" s="763"/>
      <c r="E297" s="423"/>
      <c r="F297" s="764"/>
      <c r="G297" s="765"/>
      <c r="H297" s="423"/>
      <c r="I297" s="765"/>
      <c r="J297" s="728"/>
      <c r="K297" s="423"/>
      <c r="L297" s="423"/>
      <c r="M297" s="423"/>
      <c r="N297" s="423"/>
      <c r="O297" s="423"/>
      <c r="P297" s="423"/>
      <c r="Q297" s="423"/>
      <c r="R297" s="423"/>
      <c r="S297" s="423"/>
      <c r="T297" s="423"/>
      <c r="U297" s="423"/>
      <c r="V297" s="423"/>
      <c r="W297" s="423"/>
    </row>
    <row r="298">
      <c r="A298" s="766"/>
      <c r="B298" s="717"/>
      <c r="C298" s="763"/>
      <c r="D298" s="763"/>
      <c r="E298" s="423"/>
      <c r="F298" s="764"/>
      <c r="G298" s="765"/>
      <c r="H298" s="423"/>
      <c r="I298" s="765"/>
      <c r="J298" s="728"/>
      <c r="K298" s="423"/>
      <c r="L298" s="423"/>
      <c r="M298" s="423"/>
      <c r="N298" s="423"/>
      <c r="O298" s="423"/>
      <c r="P298" s="423"/>
      <c r="Q298" s="423"/>
      <c r="R298" s="423"/>
      <c r="S298" s="423"/>
      <c r="T298" s="423"/>
      <c r="U298" s="423"/>
      <c r="V298" s="423"/>
      <c r="W298" s="423"/>
    </row>
    <row r="299">
      <c r="A299" s="766"/>
      <c r="B299" s="717"/>
      <c r="C299" s="763"/>
      <c r="D299" s="763"/>
      <c r="E299" s="423"/>
      <c r="F299" s="764"/>
      <c r="G299" s="765"/>
      <c r="H299" s="423"/>
      <c r="I299" s="765"/>
      <c r="J299" s="728"/>
      <c r="K299" s="423"/>
      <c r="L299" s="423"/>
      <c r="M299" s="423"/>
      <c r="N299" s="423"/>
      <c r="O299" s="423"/>
      <c r="P299" s="423"/>
      <c r="Q299" s="423"/>
      <c r="R299" s="423"/>
      <c r="S299" s="423"/>
      <c r="T299" s="423"/>
      <c r="U299" s="423"/>
      <c r="V299" s="423"/>
      <c r="W299" s="423"/>
    </row>
    <row r="300">
      <c r="A300" s="766"/>
      <c r="B300" s="717"/>
      <c r="C300" s="763"/>
      <c r="D300" s="763"/>
      <c r="E300" s="423"/>
      <c r="F300" s="764"/>
      <c r="G300" s="765"/>
      <c r="H300" s="423"/>
      <c r="I300" s="765"/>
      <c r="J300" s="728"/>
      <c r="K300" s="423"/>
      <c r="L300" s="423"/>
      <c r="M300" s="423"/>
      <c r="N300" s="423"/>
      <c r="O300" s="423"/>
      <c r="P300" s="423"/>
      <c r="Q300" s="423"/>
      <c r="R300" s="423"/>
      <c r="S300" s="423"/>
      <c r="T300" s="423"/>
      <c r="U300" s="423"/>
      <c r="V300" s="423"/>
      <c r="W300" s="423"/>
    </row>
    <row r="301">
      <c r="A301" s="766"/>
      <c r="B301" s="717"/>
      <c r="C301" s="763"/>
      <c r="D301" s="763"/>
      <c r="E301" s="423"/>
      <c r="F301" s="764"/>
      <c r="G301" s="765"/>
      <c r="H301" s="423"/>
      <c r="I301" s="765"/>
      <c r="J301" s="728"/>
      <c r="K301" s="423"/>
      <c r="L301" s="423"/>
      <c r="M301" s="423"/>
      <c r="N301" s="423"/>
      <c r="O301" s="423"/>
      <c r="P301" s="423"/>
      <c r="Q301" s="423"/>
      <c r="R301" s="423"/>
      <c r="S301" s="423"/>
      <c r="T301" s="423"/>
      <c r="U301" s="423"/>
      <c r="V301" s="423"/>
      <c r="W301" s="423"/>
    </row>
    <row r="302">
      <c r="A302" s="766"/>
      <c r="B302" s="717"/>
      <c r="C302" s="763"/>
      <c r="D302" s="763"/>
      <c r="E302" s="423"/>
      <c r="F302" s="764"/>
      <c r="G302" s="765"/>
      <c r="H302" s="423"/>
      <c r="I302" s="765"/>
      <c r="J302" s="728"/>
      <c r="K302" s="423"/>
      <c r="L302" s="423"/>
      <c r="M302" s="423"/>
      <c r="N302" s="423"/>
      <c r="O302" s="423"/>
      <c r="P302" s="423"/>
      <c r="Q302" s="423"/>
      <c r="R302" s="423"/>
      <c r="S302" s="423"/>
      <c r="T302" s="423"/>
      <c r="U302" s="423"/>
      <c r="V302" s="423"/>
      <c r="W302" s="423"/>
    </row>
    <row r="303">
      <c r="A303" s="766"/>
      <c r="B303" s="717"/>
      <c r="C303" s="763"/>
      <c r="D303" s="763"/>
      <c r="E303" s="423"/>
      <c r="F303" s="764"/>
      <c r="G303" s="765"/>
      <c r="H303" s="423"/>
      <c r="I303" s="765"/>
      <c r="J303" s="728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</row>
    <row r="304">
      <c r="A304" s="766"/>
      <c r="B304" s="717"/>
      <c r="C304" s="763"/>
      <c r="D304" s="763"/>
      <c r="E304" s="423"/>
      <c r="F304" s="764"/>
      <c r="G304" s="765"/>
      <c r="H304" s="423"/>
      <c r="I304" s="765"/>
      <c r="J304" s="728"/>
      <c r="K304" s="423"/>
      <c r="L304" s="423"/>
      <c r="M304" s="423"/>
      <c r="N304" s="423"/>
      <c r="O304" s="423"/>
      <c r="P304" s="423"/>
      <c r="Q304" s="423"/>
      <c r="R304" s="423"/>
      <c r="S304" s="423"/>
      <c r="T304" s="423"/>
      <c r="U304" s="423"/>
      <c r="V304" s="423"/>
      <c r="W304" s="423"/>
    </row>
    <row r="305">
      <c r="A305" s="766"/>
      <c r="B305" s="717"/>
      <c r="C305" s="763"/>
      <c r="D305" s="763"/>
      <c r="E305" s="423"/>
      <c r="F305" s="764"/>
      <c r="G305" s="765"/>
      <c r="H305" s="423"/>
      <c r="I305" s="765"/>
      <c r="J305" s="728"/>
      <c r="K305" s="423"/>
      <c r="L305" s="423"/>
      <c r="M305" s="423"/>
      <c r="N305" s="423"/>
      <c r="O305" s="423"/>
      <c r="P305" s="423"/>
      <c r="Q305" s="423"/>
      <c r="R305" s="423"/>
      <c r="S305" s="423"/>
      <c r="T305" s="423"/>
      <c r="U305" s="423"/>
      <c r="V305" s="423"/>
      <c r="W305" s="423"/>
    </row>
    <row r="306">
      <c r="A306" s="766"/>
      <c r="B306" s="717"/>
      <c r="C306" s="763"/>
      <c r="D306" s="763"/>
      <c r="E306" s="423"/>
      <c r="F306" s="764"/>
      <c r="G306" s="765"/>
      <c r="H306" s="423"/>
      <c r="I306" s="765"/>
      <c r="J306" s="728"/>
      <c r="K306" s="423"/>
      <c r="L306" s="423"/>
      <c r="M306" s="423"/>
      <c r="N306" s="423"/>
      <c r="O306" s="423"/>
      <c r="P306" s="423"/>
      <c r="Q306" s="423"/>
      <c r="R306" s="423"/>
      <c r="S306" s="423"/>
      <c r="T306" s="423"/>
      <c r="U306" s="423"/>
      <c r="V306" s="423"/>
      <c r="W306" s="423"/>
    </row>
    <row r="307">
      <c r="A307" s="766"/>
      <c r="B307" s="717"/>
      <c r="C307" s="763"/>
      <c r="D307" s="763"/>
      <c r="E307" s="423"/>
      <c r="F307" s="764"/>
      <c r="G307" s="765"/>
      <c r="H307" s="423"/>
      <c r="I307" s="765"/>
      <c r="J307" s="728"/>
      <c r="K307" s="423"/>
      <c r="L307" s="423"/>
      <c r="M307" s="423"/>
      <c r="N307" s="423"/>
      <c r="O307" s="423"/>
      <c r="P307" s="423"/>
      <c r="Q307" s="423"/>
      <c r="R307" s="423"/>
      <c r="S307" s="423"/>
      <c r="T307" s="423"/>
      <c r="U307" s="423"/>
      <c r="V307" s="423"/>
      <c r="W307" s="423"/>
    </row>
    <row r="308">
      <c r="A308" s="766"/>
      <c r="B308" s="717"/>
      <c r="C308" s="763"/>
      <c r="D308" s="763"/>
      <c r="E308" s="423"/>
      <c r="F308" s="764"/>
      <c r="G308" s="765"/>
      <c r="H308" s="423"/>
      <c r="I308" s="765"/>
      <c r="J308" s="728"/>
      <c r="K308" s="423"/>
      <c r="L308" s="423"/>
      <c r="M308" s="423"/>
      <c r="N308" s="423"/>
      <c r="O308" s="423"/>
      <c r="P308" s="423"/>
      <c r="Q308" s="423"/>
      <c r="R308" s="423"/>
      <c r="S308" s="423"/>
      <c r="T308" s="423"/>
      <c r="U308" s="423"/>
      <c r="V308" s="423"/>
      <c r="W308" s="423"/>
    </row>
    <row r="309">
      <c r="A309" s="766"/>
      <c r="B309" s="717"/>
      <c r="C309" s="763"/>
      <c r="D309" s="763"/>
      <c r="E309" s="423"/>
      <c r="F309" s="764"/>
      <c r="G309" s="765"/>
      <c r="H309" s="423"/>
      <c r="I309" s="765"/>
      <c r="J309" s="728"/>
      <c r="K309" s="423"/>
      <c r="L309" s="423"/>
      <c r="M309" s="423"/>
      <c r="N309" s="423"/>
      <c r="O309" s="423"/>
      <c r="P309" s="423"/>
      <c r="Q309" s="423"/>
      <c r="R309" s="423"/>
      <c r="S309" s="423"/>
      <c r="T309" s="423"/>
      <c r="U309" s="423"/>
      <c r="V309" s="423"/>
      <c r="W309" s="423"/>
    </row>
    <row r="310">
      <c r="A310" s="766"/>
      <c r="B310" s="717"/>
      <c r="C310" s="763"/>
      <c r="D310" s="763"/>
      <c r="E310" s="423"/>
      <c r="F310" s="764"/>
      <c r="G310" s="765"/>
      <c r="H310" s="423"/>
      <c r="I310" s="765"/>
      <c r="J310" s="728"/>
      <c r="K310" s="423"/>
      <c r="L310" s="423"/>
      <c r="M310" s="423"/>
      <c r="N310" s="423"/>
      <c r="O310" s="423"/>
      <c r="P310" s="423"/>
      <c r="Q310" s="423"/>
      <c r="R310" s="423"/>
      <c r="S310" s="423"/>
      <c r="T310" s="423"/>
      <c r="U310" s="423"/>
      <c r="V310" s="423"/>
      <c r="W310" s="423"/>
    </row>
    <row r="311">
      <c r="A311" s="766"/>
      <c r="B311" s="717"/>
      <c r="C311" s="763"/>
      <c r="D311" s="763"/>
      <c r="E311" s="423"/>
      <c r="F311" s="764"/>
      <c r="G311" s="765"/>
      <c r="H311" s="423"/>
      <c r="I311" s="765"/>
      <c r="J311" s="728"/>
      <c r="K311" s="423"/>
      <c r="L311" s="423"/>
      <c r="M311" s="423"/>
      <c r="N311" s="423"/>
      <c r="O311" s="423"/>
      <c r="P311" s="423"/>
      <c r="Q311" s="423"/>
      <c r="R311" s="423"/>
      <c r="S311" s="423"/>
      <c r="T311" s="423"/>
      <c r="U311" s="423"/>
      <c r="V311" s="423"/>
      <c r="W311" s="423"/>
    </row>
    <row r="312">
      <c r="A312" s="766"/>
      <c r="B312" s="717"/>
      <c r="C312" s="763"/>
      <c r="D312" s="763"/>
      <c r="E312" s="423"/>
      <c r="F312" s="764"/>
      <c r="G312" s="765"/>
      <c r="H312" s="423"/>
      <c r="I312" s="765"/>
      <c r="J312" s="728"/>
      <c r="K312" s="423"/>
      <c r="L312" s="423"/>
      <c r="M312" s="423"/>
      <c r="N312" s="423"/>
      <c r="O312" s="423"/>
      <c r="P312" s="423"/>
      <c r="Q312" s="423"/>
      <c r="R312" s="423"/>
      <c r="S312" s="423"/>
      <c r="T312" s="423"/>
      <c r="U312" s="423"/>
      <c r="V312" s="423"/>
      <c r="W312" s="423"/>
    </row>
    <row r="313">
      <c r="A313" s="766"/>
      <c r="B313" s="717"/>
      <c r="C313" s="763"/>
      <c r="D313" s="763"/>
      <c r="E313" s="423"/>
      <c r="F313" s="764"/>
      <c r="G313" s="765"/>
      <c r="H313" s="423"/>
      <c r="I313" s="765"/>
      <c r="J313" s="728"/>
      <c r="K313" s="423"/>
      <c r="L313" s="423"/>
      <c r="M313" s="423"/>
      <c r="N313" s="423"/>
      <c r="O313" s="423"/>
      <c r="P313" s="423"/>
      <c r="Q313" s="423"/>
      <c r="R313" s="423"/>
      <c r="S313" s="423"/>
      <c r="T313" s="423"/>
      <c r="U313" s="423"/>
      <c r="V313" s="423"/>
      <c r="W313" s="423"/>
    </row>
    <row r="314">
      <c r="A314" s="766"/>
      <c r="B314" s="717"/>
      <c r="C314" s="763"/>
      <c r="D314" s="763"/>
      <c r="E314" s="423"/>
      <c r="F314" s="764"/>
      <c r="G314" s="765"/>
      <c r="H314" s="423"/>
      <c r="I314" s="765"/>
      <c r="J314" s="728"/>
      <c r="K314" s="423"/>
      <c r="L314" s="423"/>
      <c r="M314" s="423"/>
      <c r="N314" s="423"/>
      <c r="O314" s="423"/>
      <c r="P314" s="423"/>
      <c r="Q314" s="423"/>
      <c r="R314" s="423"/>
      <c r="S314" s="423"/>
      <c r="T314" s="423"/>
      <c r="U314" s="423"/>
      <c r="V314" s="423"/>
      <c r="W314" s="423"/>
    </row>
    <row r="315">
      <c r="A315" s="766"/>
      <c r="B315" s="717"/>
      <c r="C315" s="763"/>
      <c r="D315" s="763"/>
      <c r="E315" s="423"/>
      <c r="F315" s="764"/>
      <c r="G315" s="765"/>
      <c r="H315" s="423"/>
      <c r="I315" s="765"/>
      <c r="J315" s="728"/>
      <c r="K315" s="423"/>
      <c r="L315" s="423"/>
      <c r="M315" s="423"/>
      <c r="N315" s="423"/>
      <c r="O315" s="423"/>
      <c r="P315" s="423"/>
      <c r="Q315" s="423"/>
      <c r="R315" s="423"/>
      <c r="S315" s="423"/>
      <c r="T315" s="423"/>
      <c r="U315" s="423"/>
      <c r="V315" s="423"/>
      <c r="W315" s="423"/>
    </row>
    <row r="316">
      <c r="A316" s="766"/>
      <c r="B316" s="717"/>
      <c r="C316" s="763"/>
      <c r="D316" s="763"/>
      <c r="E316" s="423"/>
      <c r="F316" s="764"/>
      <c r="G316" s="765"/>
      <c r="H316" s="423"/>
      <c r="I316" s="765"/>
      <c r="J316" s="728"/>
      <c r="K316" s="423"/>
      <c r="L316" s="423"/>
      <c r="M316" s="423"/>
      <c r="N316" s="423"/>
      <c r="O316" s="423"/>
      <c r="P316" s="423"/>
      <c r="Q316" s="423"/>
      <c r="R316" s="423"/>
      <c r="S316" s="423"/>
      <c r="T316" s="423"/>
      <c r="U316" s="423"/>
      <c r="V316" s="423"/>
      <c r="W316" s="423"/>
    </row>
    <row r="317">
      <c r="A317" s="766"/>
      <c r="B317" s="717"/>
      <c r="C317" s="763"/>
      <c r="D317" s="763"/>
      <c r="E317" s="423"/>
      <c r="F317" s="764"/>
      <c r="G317" s="765"/>
      <c r="H317" s="423"/>
      <c r="I317" s="765"/>
      <c r="J317" s="728"/>
      <c r="K317" s="423"/>
      <c r="L317" s="423"/>
      <c r="M317" s="423"/>
      <c r="N317" s="423"/>
      <c r="O317" s="423"/>
      <c r="P317" s="423"/>
      <c r="Q317" s="423"/>
      <c r="R317" s="423"/>
      <c r="S317" s="423"/>
      <c r="T317" s="423"/>
      <c r="U317" s="423"/>
      <c r="V317" s="423"/>
      <c r="W317" s="423"/>
    </row>
    <row r="318">
      <c r="A318" s="766"/>
      <c r="B318" s="717"/>
      <c r="C318" s="763"/>
      <c r="D318" s="763"/>
      <c r="E318" s="423"/>
      <c r="F318" s="764"/>
      <c r="G318" s="765"/>
      <c r="H318" s="423"/>
      <c r="I318" s="765"/>
      <c r="J318" s="728"/>
      <c r="K318" s="423"/>
      <c r="L318" s="423"/>
      <c r="M318" s="423"/>
      <c r="N318" s="423"/>
      <c r="O318" s="423"/>
      <c r="P318" s="423"/>
      <c r="Q318" s="423"/>
      <c r="R318" s="423"/>
      <c r="S318" s="423"/>
      <c r="T318" s="423"/>
      <c r="U318" s="423"/>
      <c r="V318" s="423"/>
      <c r="W318" s="423"/>
    </row>
    <row r="319">
      <c r="A319" s="766"/>
      <c r="B319" s="717"/>
      <c r="C319" s="763"/>
      <c r="D319" s="763"/>
      <c r="E319" s="423"/>
      <c r="F319" s="764"/>
      <c r="G319" s="765"/>
      <c r="H319" s="423"/>
      <c r="I319" s="765"/>
      <c r="J319" s="728"/>
      <c r="K319" s="423"/>
      <c r="L319" s="423"/>
      <c r="M319" s="423"/>
      <c r="N319" s="423"/>
      <c r="O319" s="423"/>
      <c r="P319" s="423"/>
      <c r="Q319" s="423"/>
      <c r="R319" s="423"/>
      <c r="S319" s="423"/>
      <c r="T319" s="423"/>
      <c r="U319" s="423"/>
      <c r="V319" s="423"/>
      <c r="W319" s="423"/>
    </row>
    <row r="320">
      <c r="A320" s="766"/>
      <c r="B320" s="717"/>
      <c r="C320" s="763"/>
      <c r="D320" s="763"/>
      <c r="E320" s="423"/>
      <c r="F320" s="764"/>
      <c r="G320" s="765"/>
      <c r="H320" s="423"/>
      <c r="I320" s="765"/>
      <c r="J320" s="728"/>
      <c r="K320" s="423"/>
      <c r="L320" s="423"/>
      <c r="M320" s="423"/>
      <c r="N320" s="423"/>
      <c r="O320" s="423"/>
      <c r="P320" s="423"/>
      <c r="Q320" s="423"/>
      <c r="R320" s="423"/>
      <c r="S320" s="423"/>
      <c r="T320" s="423"/>
      <c r="U320" s="423"/>
      <c r="V320" s="423"/>
      <c r="W320" s="423"/>
    </row>
    <row r="321">
      <c r="A321" s="766"/>
      <c r="B321" s="717"/>
      <c r="C321" s="763"/>
      <c r="D321" s="763"/>
      <c r="E321" s="423"/>
      <c r="F321" s="764"/>
      <c r="G321" s="765"/>
      <c r="H321" s="423"/>
      <c r="I321" s="765"/>
      <c r="J321" s="728"/>
      <c r="K321" s="423"/>
      <c r="L321" s="423"/>
      <c r="M321" s="423"/>
      <c r="N321" s="423"/>
      <c r="O321" s="423"/>
      <c r="P321" s="423"/>
      <c r="Q321" s="423"/>
      <c r="R321" s="423"/>
      <c r="S321" s="423"/>
      <c r="T321" s="423"/>
      <c r="U321" s="423"/>
      <c r="V321" s="423"/>
      <c r="W321" s="423"/>
    </row>
    <row r="322">
      <c r="A322" s="766"/>
      <c r="B322" s="717"/>
      <c r="C322" s="763"/>
      <c r="D322" s="763"/>
      <c r="E322" s="423"/>
      <c r="F322" s="764"/>
      <c r="G322" s="765"/>
      <c r="H322" s="423"/>
      <c r="I322" s="765"/>
      <c r="J322" s="728"/>
      <c r="K322" s="423"/>
      <c r="L322" s="423"/>
      <c r="M322" s="423"/>
      <c r="N322" s="423"/>
      <c r="O322" s="423"/>
      <c r="P322" s="423"/>
      <c r="Q322" s="423"/>
      <c r="R322" s="423"/>
      <c r="S322" s="423"/>
      <c r="T322" s="423"/>
      <c r="U322" s="423"/>
      <c r="V322" s="423"/>
      <c r="W322" s="423"/>
    </row>
    <row r="323">
      <c r="A323" s="766"/>
      <c r="B323" s="717"/>
      <c r="C323" s="763"/>
      <c r="D323" s="763"/>
      <c r="E323" s="423"/>
      <c r="F323" s="764"/>
      <c r="G323" s="765"/>
      <c r="H323" s="423"/>
      <c r="I323" s="765"/>
      <c r="J323" s="728"/>
      <c r="K323" s="423"/>
      <c r="L323" s="423"/>
      <c r="M323" s="423"/>
      <c r="N323" s="423"/>
      <c r="O323" s="423"/>
      <c r="P323" s="423"/>
      <c r="Q323" s="423"/>
      <c r="R323" s="423"/>
      <c r="S323" s="423"/>
      <c r="T323" s="423"/>
      <c r="U323" s="423"/>
      <c r="V323" s="423"/>
      <c r="W323" s="423"/>
    </row>
    <row r="324">
      <c r="A324" s="766"/>
      <c r="B324" s="717"/>
      <c r="C324" s="763"/>
      <c r="D324" s="763"/>
      <c r="E324" s="423"/>
      <c r="F324" s="764"/>
      <c r="G324" s="765"/>
      <c r="H324" s="423"/>
      <c r="I324" s="765"/>
      <c r="J324" s="728"/>
      <c r="K324" s="423"/>
      <c r="L324" s="423"/>
      <c r="M324" s="423"/>
      <c r="N324" s="423"/>
      <c r="O324" s="423"/>
      <c r="P324" s="423"/>
      <c r="Q324" s="423"/>
      <c r="R324" s="423"/>
      <c r="S324" s="423"/>
      <c r="T324" s="423"/>
      <c r="U324" s="423"/>
      <c r="V324" s="423"/>
      <c r="W324" s="423"/>
    </row>
    <row r="325">
      <c r="A325" s="766"/>
      <c r="B325" s="717"/>
      <c r="C325" s="763"/>
      <c r="D325" s="763"/>
      <c r="E325" s="423"/>
      <c r="F325" s="764"/>
      <c r="G325" s="765"/>
      <c r="H325" s="423"/>
      <c r="I325" s="765"/>
      <c r="J325" s="728"/>
      <c r="K325" s="423"/>
      <c r="L325" s="423"/>
      <c r="M325" s="423"/>
      <c r="N325" s="423"/>
      <c r="O325" s="423"/>
      <c r="P325" s="423"/>
      <c r="Q325" s="423"/>
      <c r="R325" s="423"/>
      <c r="S325" s="423"/>
      <c r="T325" s="423"/>
      <c r="U325" s="423"/>
      <c r="V325" s="423"/>
      <c r="W325" s="423"/>
    </row>
    <row r="326">
      <c r="A326" s="766"/>
      <c r="B326" s="717"/>
      <c r="C326" s="763"/>
      <c r="D326" s="763"/>
      <c r="E326" s="423"/>
      <c r="F326" s="764"/>
      <c r="G326" s="765"/>
      <c r="H326" s="423"/>
      <c r="I326" s="765"/>
      <c r="J326" s="728"/>
      <c r="K326" s="423"/>
      <c r="L326" s="423"/>
      <c r="M326" s="423"/>
      <c r="N326" s="423"/>
      <c r="O326" s="423"/>
      <c r="P326" s="423"/>
      <c r="Q326" s="423"/>
      <c r="R326" s="423"/>
      <c r="S326" s="423"/>
      <c r="T326" s="423"/>
      <c r="U326" s="423"/>
      <c r="V326" s="423"/>
      <c r="W326" s="423"/>
    </row>
    <row r="327">
      <c r="A327" s="766"/>
      <c r="B327" s="717"/>
      <c r="C327" s="763"/>
      <c r="D327" s="763"/>
      <c r="E327" s="423"/>
      <c r="F327" s="764"/>
      <c r="G327" s="765"/>
      <c r="H327" s="423"/>
      <c r="I327" s="765"/>
      <c r="J327" s="728"/>
      <c r="K327" s="423"/>
      <c r="L327" s="423"/>
      <c r="M327" s="423"/>
      <c r="N327" s="423"/>
      <c r="O327" s="423"/>
      <c r="P327" s="423"/>
      <c r="Q327" s="423"/>
      <c r="R327" s="423"/>
      <c r="S327" s="423"/>
      <c r="T327" s="423"/>
      <c r="U327" s="423"/>
      <c r="V327" s="423"/>
      <c r="W327" s="423"/>
    </row>
    <row r="328">
      <c r="A328" s="766"/>
      <c r="B328" s="717"/>
      <c r="C328" s="763"/>
      <c r="D328" s="763"/>
      <c r="E328" s="423"/>
      <c r="F328" s="764"/>
      <c r="G328" s="765"/>
      <c r="H328" s="423"/>
      <c r="I328" s="765"/>
      <c r="J328" s="728"/>
      <c r="K328" s="423"/>
      <c r="L328" s="423"/>
      <c r="M328" s="423"/>
      <c r="N328" s="423"/>
      <c r="O328" s="423"/>
      <c r="P328" s="423"/>
      <c r="Q328" s="423"/>
      <c r="R328" s="423"/>
      <c r="S328" s="423"/>
      <c r="T328" s="423"/>
      <c r="U328" s="423"/>
      <c r="V328" s="423"/>
      <c r="W328" s="423"/>
    </row>
    <row r="329">
      <c r="A329" s="766"/>
      <c r="B329" s="717"/>
      <c r="C329" s="763"/>
      <c r="D329" s="763"/>
      <c r="E329" s="423"/>
      <c r="F329" s="764"/>
      <c r="G329" s="765"/>
      <c r="H329" s="423"/>
      <c r="I329" s="765"/>
      <c r="J329" s="728"/>
      <c r="K329" s="423"/>
      <c r="L329" s="423"/>
      <c r="M329" s="423"/>
      <c r="N329" s="423"/>
      <c r="O329" s="423"/>
      <c r="P329" s="423"/>
      <c r="Q329" s="423"/>
      <c r="R329" s="423"/>
      <c r="S329" s="423"/>
      <c r="T329" s="423"/>
      <c r="U329" s="423"/>
      <c r="V329" s="423"/>
      <c r="W329" s="423"/>
    </row>
    <row r="330">
      <c r="A330" s="766"/>
      <c r="B330" s="717"/>
      <c r="C330" s="763"/>
      <c r="D330" s="763"/>
      <c r="E330" s="423"/>
      <c r="F330" s="764"/>
      <c r="G330" s="765"/>
      <c r="H330" s="423"/>
      <c r="I330" s="765"/>
      <c r="J330" s="728"/>
      <c r="K330" s="423"/>
      <c r="L330" s="423"/>
      <c r="M330" s="423"/>
      <c r="N330" s="423"/>
      <c r="O330" s="423"/>
      <c r="P330" s="423"/>
      <c r="Q330" s="423"/>
      <c r="R330" s="423"/>
      <c r="S330" s="423"/>
      <c r="T330" s="423"/>
      <c r="U330" s="423"/>
      <c r="V330" s="423"/>
      <c r="W330" s="423"/>
    </row>
    <row r="331">
      <c r="A331" s="766"/>
      <c r="B331" s="717"/>
      <c r="C331" s="763"/>
      <c r="D331" s="763"/>
      <c r="E331" s="423"/>
      <c r="F331" s="764"/>
      <c r="G331" s="765"/>
      <c r="H331" s="423"/>
      <c r="I331" s="765"/>
      <c r="J331" s="728"/>
      <c r="K331" s="423"/>
      <c r="L331" s="423"/>
      <c r="M331" s="423"/>
      <c r="N331" s="423"/>
      <c r="O331" s="423"/>
      <c r="P331" s="423"/>
      <c r="Q331" s="423"/>
      <c r="R331" s="423"/>
      <c r="S331" s="423"/>
      <c r="T331" s="423"/>
      <c r="U331" s="423"/>
      <c r="V331" s="423"/>
      <c r="W331" s="423"/>
    </row>
    <row r="332">
      <c r="A332" s="766"/>
      <c r="B332" s="717"/>
      <c r="C332" s="763"/>
      <c r="D332" s="763"/>
      <c r="E332" s="423"/>
      <c r="F332" s="764"/>
      <c r="G332" s="765"/>
      <c r="H332" s="423"/>
      <c r="I332" s="765"/>
      <c r="J332" s="728"/>
      <c r="K332" s="423"/>
      <c r="L332" s="423"/>
      <c r="M332" s="423"/>
      <c r="N332" s="423"/>
      <c r="O332" s="423"/>
      <c r="P332" s="423"/>
      <c r="Q332" s="423"/>
      <c r="R332" s="423"/>
      <c r="S332" s="423"/>
      <c r="T332" s="423"/>
      <c r="U332" s="423"/>
      <c r="V332" s="423"/>
      <c r="W332" s="423"/>
    </row>
    <row r="333">
      <c r="A333" s="766"/>
      <c r="B333" s="717"/>
      <c r="C333" s="763"/>
      <c r="D333" s="763"/>
      <c r="E333" s="423"/>
      <c r="F333" s="764"/>
      <c r="G333" s="765"/>
      <c r="H333" s="423"/>
      <c r="I333" s="765"/>
      <c r="J333" s="728"/>
      <c r="K333" s="423"/>
      <c r="L333" s="423"/>
      <c r="M333" s="423"/>
      <c r="N333" s="423"/>
      <c r="O333" s="423"/>
      <c r="P333" s="423"/>
      <c r="Q333" s="423"/>
      <c r="R333" s="423"/>
      <c r="S333" s="423"/>
      <c r="T333" s="423"/>
      <c r="U333" s="423"/>
      <c r="V333" s="423"/>
      <c r="W333" s="423"/>
    </row>
    <row r="334">
      <c r="A334" s="766"/>
      <c r="B334" s="717"/>
      <c r="C334" s="763"/>
      <c r="D334" s="763"/>
      <c r="E334" s="423"/>
      <c r="F334" s="764"/>
      <c r="G334" s="765"/>
      <c r="H334" s="423"/>
      <c r="I334" s="765"/>
      <c r="J334" s="728"/>
      <c r="K334" s="423"/>
      <c r="L334" s="423"/>
      <c r="M334" s="423"/>
      <c r="N334" s="423"/>
      <c r="O334" s="423"/>
      <c r="P334" s="423"/>
      <c r="Q334" s="423"/>
      <c r="R334" s="423"/>
      <c r="S334" s="423"/>
      <c r="T334" s="423"/>
      <c r="U334" s="423"/>
      <c r="V334" s="423"/>
      <c r="W334" s="423"/>
    </row>
    <row r="335">
      <c r="A335" s="766"/>
      <c r="B335" s="717"/>
      <c r="C335" s="763"/>
      <c r="D335" s="763"/>
      <c r="E335" s="423"/>
      <c r="F335" s="764"/>
      <c r="G335" s="765"/>
      <c r="H335" s="423"/>
      <c r="I335" s="765"/>
      <c r="J335" s="728"/>
      <c r="K335" s="423"/>
      <c r="L335" s="423"/>
      <c r="M335" s="423"/>
      <c r="N335" s="423"/>
      <c r="O335" s="423"/>
      <c r="P335" s="423"/>
      <c r="Q335" s="423"/>
      <c r="R335" s="423"/>
      <c r="S335" s="423"/>
      <c r="T335" s="423"/>
      <c r="U335" s="423"/>
      <c r="V335" s="423"/>
      <c r="W335" s="423"/>
    </row>
    <row r="336">
      <c r="A336" s="766"/>
      <c r="B336" s="717"/>
      <c r="C336" s="763"/>
      <c r="D336" s="763"/>
      <c r="E336" s="423"/>
      <c r="F336" s="764"/>
      <c r="G336" s="765"/>
      <c r="H336" s="423"/>
      <c r="I336" s="765"/>
      <c r="J336" s="728"/>
      <c r="K336" s="423"/>
      <c r="L336" s="423"/>
      <c r="M336" s="423"/>
      <c r="N336" s="423"/>
      <c r="O336" s="423"/>
      <c r="P336" s="423"/>
      <c r="Q336" s="423"/>
      <c r="R336" s="423"/>
      <c r="S336" s="423"/>
      <c r="T336" s="423"/>
      <c r="U336" s="423"/>
      <c r="V336" s="423"/>
      <c r="W336" s="423"/>
    </row>
    <row r="337">
      <c r="A337" s="766"/>
      <c r="B337" s="717"/>
      <c r="C337" s="763"/>
      <c r="D337" s="763"/>
      <c r="E337" s="423"/>
      <c r="F337" s="764"/>
      <c r="G337" s="765"/>
      <c r="H337" s="423"/>
      <c r="I337" s="765"/>
      <c r="J337" s="728"/>
      <c r="K337" s="423"/>
      <c r="L337" s="423"/>
      <c r="M337" s="423"/>
      <c r="N337" s="423"/>
      <c r="O337" s="423"/>
      <c r="P337" s="423"/>
      <c r="Q337" s="423"/>
      <c r="R337" s="423"/>
      <c r="S337" s="423"/>
      <c r="T337" s="423"/>
      <c r="U337" s="423"/>
      <c r="V337" s="423"/>
      <c r="W337" s="423"/>
    </row>
    <row r="338">
      <c r="A338" s="766"/>
      <c r="B338" s="717"/>
      <c r="C338" s="763"/>
      <c r="D338" s="763"/>
      <c r="E338" s="423"/>
      <c r="F338" s="764"/>
      <c r="G338" s="765"/>
      <c r="H338" s="423"/>
      <c r="I338" s="765"/>
      <c r="J338" s="728"/>
      <c r="K338" s="423"/>
      <c r="L338" s="423"/>
      <c r="M338" s="423"/>
      <c r="N338" s="423"/>
      <c r="O338" s="423"/>
      <c r="P338" s="423"/>
      <c r="Q338" s="423"/>
      <c r="R338" s="423"/>
      <c r="S338" s="423"/>
      <c r="T338" s="423"/>
      <c r="U338" s="423"/>
      <c r="V338" s="423"/>
      <c r="W338" s="423"/>
    </row>
    <row r="339">
      <c r="A339" s="766"/>
      <c r="B339" s="717"/>
      <c r="C339" s="763"/>
      <c r="D339" s="763"/>
      <c r="E339" s="423"/>
      <c r="F339" s="764"/>
      <c r="G339" s="765"/>
      <c r="H339" s="423"/>
      <c r="I339" s="765"/>
      <c r="J339" s="728"/>
      <c r="K339" s="423"/>
      <c r="L339" s="423"/>
      <c r="M339" s="423"/>
      <c r="N339" s="423"/>
      <c r="O339" s="423"/>
      <c r="P339" s="423"/>
      <c r="Q339" s="423"/>
      <c r="R339" s="423"/>
      <c r="S339" s="423"/>
      <c r="T339" s="423"/>
      <c r="U339" s="423"/>
      <c r="V339" s="423"/>
      <c r="W339" s="423"/>
    </row>
    <row r="340">
      <c r="A340" s="766"/>
      <c r="B340" s="717"/>
      <c r="C340" s="763"/>
      <c r="D340" s="763"/>
      <c r="E340" s="423"/>
      <c r="F340" s="764"/>
      <c r="G340" s="765"/>
      <c r="H340" s="423"/>
      <c r="I340" s="765"/>
      <c r="J340" s="728"/>
      <c r="K340" s="423"/>
      <c r="L340" s="423"/>
      <c r="M340" s="423"/>
      <c r="N340" s="423"/>
      <c r="O340" s="423"/>
      <c r="P340" s="423"/>
      <c r="Q340" s="423"/>
      <c r="R340" s="423"/>
      <c r="S340" s="423"/>
      <c r="T340" s="423"/>
      <c r="U340" s="423"/>
      <c r="V340" s="423"/>
      <c r="W340" s="423"/>
    </row>
    <row r="341">
      <c r="A341" s="766"/>
      <c r="B341" s="717"/>
      <c r="C341" s="763"/>
      <c r="D341" s="763"/>
      <c r="E341" s="423"/>
      <c r="F341" s="764"/>
      <c r="G341" s="765"/>
      <c r="H341" s="423"/>
      <c r="I341" s="765"/>
      <c r="J341" s="728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</row>
    <row r="342">
      <c r="A342" s="766"/>
      <c r="B342" s="717"/>
      <c r="C342" s="763"/>
      <c r="D342" s="763"/>
      <c r="E342" s="423"/>
      <c r="F342" s="764"/>
      <c r="G342" s="765"/>
      <c r="H342" s="423"/>
      <c r="I342" s="765"/>
      <c r="J342" s="728"/>
      <c r="K342" s="423"/>
      <c r="L342" s="423"/>
      <c r="M342" s="423"/>
      <c r="N342" s="423"/>
      <c r="O342" s="423"/>
      <c r="P342" s="423"/>
      <c r="Q342" s="423"/>
      <c r="R342" s="423"/>
      <c r="S342" s="423"/>
      <c r="T342" s="423"/>
      <c r="U342" s="423"/>
      <c r="V342" s="423"/>
      <c r="W342" s="423"/>
    </row>
    <row r="343">
      <c r="A343" s="766"/>
      <c r="B343" s="717"/>
      <c r="C343" s="763"/>
      <c r="D343" s="763"/>
      <c r="E343" s="423"/>
      <c r="F343" s="764"/>
      <c r="G343" s="765"/>
      <c r="H343" s="423"/>
      <c r="I343" s="765"/>
      <c r="J343" s="728"/>
      <c r="K343" s="423"/>
      <c r="L343" s="423"/>
      <c r="M343" s="423"/>
      <c r="N343" s="423"/>
      <c r="O343" s="423"/>
      <c r="P343" s="423"/>
      <c r="Q343" s="423"/>
      <c r="R343" s="423"/>
      <c r="S343" s="423"/>
      <c r="T343" s="423"/>
      <c r="U343" s="423"/>
      <c r="V343" s="423"/>
      <c r="W343" s="423"/>
    </row>
    <row r="344">
      <c r="A344" s="766"/>
      <c r="B344" s="717"/>
      <c r="C344" s="763"/>
      <c r="D344" s="763"/>
      <c r="E344" s="423"/>
      <c r="F344" s="764"/>
      <c r="G344" s="765"/>
      <c r="H344" s="423"/>
      <c r="I344" s="765"/>
      <c r="J344" s="728"/>
      <c r="K344" s="423"/>
      <c r="L344" s="423"/>
      <c r="M344" s="423"/>
      <c r="N344" s="423"/>
      <c r="O344" s="423"/>
      <c r="P344" s="423"/>
      <c r="Q344" s="423"/>
      <c r="R344" s="423"/>
      <c r="S344" s="423"/>
      <c r="T344" s="423"/>
      <c r="U344" s="423"/>
      <c r="V344" s="423"/>
      <c r="W344" s="423"/>
    </row>
    <row r="345">
      <c r="A345" s="766"/>
      <c r="B345" s="717"/>
      <c r="C345" s="763"/>
      <c r="D345" s="763"/>
      <c r="E345" s="423"/>
      <c r="F345" s="764"/>
      <c r="G345" s="765"/>
      <c r="H345" s="423"/>
      <c r="I345" s="765"/>
      <c r="J345" s="728"/>
      <c r="K345" s="423"/>
      <c r="L345" s="423"/>
      <c r="M345" s="423"/>
      <c r="N345" s="423"/>
      <c r="O345" s="423"/>
      <c r="P345" s="423"/>
      <c r="Q345" s="423"/>
      <c r="R345" s="423"/>
      <c r="S345" s="423"/>
      <c r="T345" s="423"/>
      <c r="U345" s="423"/>
      <c r="V345" s="423"/>
      <c r="W345" s="423"/>
    </row>
    <row r="346">
      <c r="A346" s="766"/>
      <c r="B346" s="717"/>
      <c r="C346" s="763"/>
      <c r="D346" s="763"/>
      <c r="E346" s="423"/>
      <c r="F346" s="764"/>
      <c r="G346" s="765"/>
      <c r="H346" s="423"/>
      <c r="I346" s="765"/>
      <c r="J346" s="728"/>
      <c r="K346" s="423"/>
      <c r="L346" s="423"/>
      <c r="M346" s="423"/>
      <c r="N346" s="423"/>
      <c r="O346" s="423"/>
      <c r="P346" s="423"/>
      <c r="Q346" s="423"/>
      <c r="R346" s="423"/>
      <c r="S346" s="423"/>
      <c r="T346" s="423"/>
      <c r="U346" s="423"/>
      <c r="V346" s="423"/>
      <c r="W346" s="423"/>
    </row>
    <row r="347">
      <c r="A347" s="766"/>
      <c r="B347" s="717"/>
      <c r="C347" s="763"/>
      <c r="D347" s="763"/>
      <c r="E347" s="423"/>
      <c r="F347" s="764"/>
      <c r="G347" s="765"/>
      <c r="H347" s="423"/>
      <c r="I347" s="765"/>
      <c r="J347" s="728"/>
      <c r="K347" s="423"/>
      <c r="L347" s="423"/>
      <c r="M347" s="423"/>
      <c r="N347" s="423"/>
      <c r="O347" s="423"/>
      <c r="P347" s="423"/>
      <c r="Q347" s="423"/>
      <c r="R347" s="423"/>
      <c r="S347" s="423"/>
      <c r="T347" s="423"/>
      <c r="U347" s="423"/>
      <c r="V347" s="423"/>
      <c r="W347" s="423"/>
    </row>
    <row r="348">
      <c r="A348" s="766"/>
      <c r="B348" s="717"/>
      <c r="C348" s="763"/>
      <c r="D348" s="763"/>
      <c r="E348" s="423"/>
      <c r="F348" s="764"/>
      <c r="G348" s="765"/>
      <c r="H348" s="423"/>
      <c r="I348" s="765"/>
      <c r="J348" s="728"/>
      <c r="K348" s="423"/>
      <c r="L348" s="423"/>
      <c r="M348" s="423"/>
      <c r="N348" s="423"/>
      <c r="O348" s="423"/>
      <c r="P348" s="423"/>
      <c r="Q348" s="423"/>
      <c r="R348" s="423"/>
      <c r="S348" s="423"/>
      <c r="T348" s="423"/>
      <c r="U348" s="423"/>
      <c r="V348" s="423"/>
      <c r="W348" s="423"/>
    </row>
    <row r="349">
      <c r="A349" s="766"/>
      <c r="B349" s="717"/>
      <c r="C349" s="763"/>
      <c r="D349" s="763"/>
      <c r="E349" s="423"/>
      <c r="F349" s="764"/>
      <c r="G349" s="765"/>
      <c r="H349" s="423"/>
      <c r="I349" s="765"/>
      <c r="J349" s="728"/>
      <c r="K349" s="423"/>
      <c r="L349" s="423"/>
      <c r="M349" s="423"/>
      <c r="N349" s="423"/>
      <c r="O349" s="423"/>
      <c r="P349" s="423"/>
      <c r="Q349" s="423"/>
      <c r="R349" s="423"/>
      <c r="S349" s="423"/>
      <c r="T349" s="423"/>
      <c r="U349" s="423"/>
      <c r="V349" s="423"/>
      <c r="W349" s="423"/>
    </row>
    <row r="350">
      <c r="A350" s="766"/>
      <c r="B350" s="717"/>
      <c r="C350" s="763"/>
      <c r="D350" s="763"/>
      <c r="E350" s="423"/>
      <c r="F350" s="764"/>
      <c r="G350" s="765"/>
      <c r="H350" s="423"/>
      <c r="I350" s="765"/>
      <c r="J350" s="728"/>
      <c r="K350" s="423"/>
      <c r="L350" s="423"/>
      <c r="M350" s="423"/>
      <c r="N350" s="423"/>
      <c r="O350" s="423"/>
      <c r="P350" s="423"/>
      <c r="Q350" s="423"/>
      <c r="R350" s="423"/>
      <c r="S350" s="423"/>
      <c r="T350" s="423"/>
      <c r="U350" s="423"/>
      <c r="V350" s="423"/>
      <c r="W350" s="423"/>
    </row>
    <row r="351">
      <c r="A351" s="766"/>
      <c r="B351" s="717"/>
      <c r="C351" s="763"/>
      <c r="D351" s="763"/>
      <c r="E351" s="423"/>
      <c r="F351" s="764"/>
      <c r="G351" s="765"/>
      <c r="H351" s="423"/>
      <c r="I351" s="765"/>
      <c r="J351" s="728"/>
      <c r="K351" s="423"/>
      <c r="L351" s="423"/>
      <c r="M351" s="423"/>
      <c r="N351" s="423"/>
      <c r="O351" s="423"/>
      <c r="P351" s="423"/>
      <c r="Q351" s="423"/>
      <c r="R351" s="423"/>
      <c r="S351" s="423"/>
      <c r="T351" s="423"/>
      <c r="U351" s="423"/>
      <c r="V351" s="423"/>
      <c r="W351" s="423"/>
    </row>
    <row r="352">
      <c r="A352" s="766"/>
      <c r="B352" s="717"/>
      <c r="C352" s="763"/>
      <c r="D352" s="763"/>
      <c r="E352" s="423"/>
      <c r="F352" s="764"/>
      <c r="G352" s="765"/>
      <c r="H352" s="423"/>
      <c r="I352" s="765"/>
      <c r="J352" s="728"/>
      <c r="K352" s="423"/>
      <c r="L352" s="423"/>
      <c r="M352" s="423"/>
      <c r="N352" s="423"/>
      <c r="O352" s="423"/>
      <c r="P352" s="423"/>
      <c r="Q352" s="423"/>
      <c r="R352" s="423"/>
      <c r="S352" s="423"/>
      <c r="T352" s="423"/>
      <c r="U352" s="423"/>
      <c r="V352" s="423"/>
      <c r="W352" s="423"/>
    </row>
    <row r="353">
      <c r="A353" s="766"/>
      <c r="B353" s="717"/>
      <c r="C353" s="763"/>
      <c r="D353" s="763"/>
      <c r="E353" s="423"/>
      <c r="F353" s="764"/>
      <c r="G353" s="765"/>
      <c r="H353" s="423"/>
      <c r="I353" s="765"/>
      <c r="J353" s="728"/>
      <c r="K353" s="423"/>
      <c r="L353" s="423"/>
      <c r="M353" s="423"/>
      <c r="N353" s="423"/>
      <c r="O353" s="423"/>
      <c r="P353" s="423"/>
      <c r="Q353" s="423"/>
      <c r="R353" s="423"/>
      <c r="S353" s="423"/>
      <c r="T353" s="423"/>
      <c r="U353" s="423"/>
      <c r="V353" s="423"/>
      <c r="W353" s="423"/>
    </row>
    <row r="354">
      <c r="A354" s="766"/>
      <c r="B354" s="717"/>
      <c r="C354" s="763"/>
      <c r="D354" s="763"/>
      <c r="E354" s="423"/>
      <c r="F354" s="764"/>
      <c r="G354" s="765"/>
      <c r="H354" s="423"/>
      <c r="I354" s="765"/>
      <c r="J354" s="728"/>
      <c r="K354" s="423"/>
      <c r="L354" s="423"/>
      <c r="M354" s="423"/>
      <c r="N354" s="423"/>
      <c r="O354" s="423"/>
      <c r="P354" s="423"/>
      <c r="Q354" s="423"/>
      <c r="R354" s="423"/>
      <c r="S354" s="423"/>
      <c r="T354" s="423"/>
      <c r="U354" s="423"/>
      <c r="V354" s="423"/>
      <c r="W354" s="423"/>
    </row>
    <row r="355">
      <c r="A355" s="766"/>
      <c r="B355" s="717"/>
      <c r="C355" s="763"/>
      <c r="D355" s="763"/>
      <c r="E355" s="423"/>
      <c r="F355" s="764"/>
      <c r="G355" s="765"/>
      <c r="H355" s="423"/>
      <c r="I355" s="765"/>
      <c r="J355" s="728"/>
      <c r="K355" s="423"/>
      <c r="L355" s="423"/>
      <c r="M355" s="423"/>
      <c r="N355" s="423"/>
      <c r="O355" s="423"/>
      <c r="P355" s="423"/>
      <c r="Q355" s="423"/>
      <c r="R355" s="423"/>
      <c r="S355" s="423"/>
      <c r="T355" s="423"/>
      <c r="U355" s="423"/>
      <c r="V355" s="423"/>
      <c r="W355" s="423"/>
    </row>
    <row r="356">
      <c r="A356" s="766"/>
      <c r="B356" s="717"/>
      <c r="C356" s="763"/>
      <c r="D356" s="763"/>
      <c r="E356" s="423"/>
      <c r="F356" s="764"/>
      <c r="G356" s="765"/>
      <c r="H356" s="423"/>
      <c r="I356" s="765"/>
      <c r="J356" s="728"/>
      <c r="K356" s="423"/>
      <c r="L356" s="423"/>
      <c r="M356" s="423"/>
      <c r="N356" s="423"/>
      <c r="O356" s="423"/>
      <c r="P356" s="423"/>
      <c r="Q356" s="423"/>
      <c r="R356" s="423"/>
      <c r="S356" s="423"/>
      <c r="T356" s="423"/>
      <c r="U356" s="423"/>
      <c r="V356" s="423"/>
      <c r="W356" s="423"/>
    </row>
    <row r="357">
      <c r="A357" s="766"/>
      <c r="B357" s="717"/>
      <c r="C357" s="763"/>
      <c r="D357" s="763"/>
      <c r="E357" s="423"/>
      <c r="F357" s="764"/>
      <c r="G357" s="765"/>
      <c r="H357" s="423"/>
      <c r="I357" s="765"/>
      <c r="J357" s="728"/>
      <c r="K357" s="423"/>
      <c r="L357" s="423"/>
      <c r="M357" s="423"/>
      <c r="N357" s="423"/>
      <c r="O357" s="423"/>
      <c r="P357" s="423"/>
      <c r="Q357" s="423"/>
      <c r="R357" s="423"/>
      <c r="S357" s="423"/>
      <c r="T357" s="423"/>
      <c r="U357" s="423"/>
      <c r="V357" s="423"/>
      <c r="W357" s="423"/>
    </row>
    <row r="358">
      <c r="A358" s="766"/>
      <c r="B358" s="717"/>
      <c r="C358" s="763"/>
      <c r="D358" s="763"/>
      <c r="E358" s="423"/>
      <c r="F358" s="764"/>
      <c r="G358" s="765"/>
      <c r="H358" s="423"/>
      <c r="I358" s="765"/>
      <c r="J358" s="728"/>
      <c r="K358" s="423"/>
      <c r="L358" s="423"/>
      <c r="M358" s="423"/>
      <c r="N358" s="423"/>
      <c r="O358" s="423"/>
      <c r="P358" s="423"/>
      <c r="Q358" s="423"/>
      <c r="R358" s="423"/>
      <c r="S358" s="423"/>
      <c r="T358" s="423"/>
      <c r="U358" s="423"/>
      <c r="V358" s="423"/>
      <c r="W358" s="423"/>
    </row>
    <row r="359">
      <c r="A359" s="766"/>
      <c r="B359" s="717"/>
      <c r="C359" s="763"/>
      <c r="D359" s="763"/>
      <c r="E359" s="423"/>
      <c r="F359" s="764"/>
      <c r="G359" s="765"/>
      <c r="H359" s="423"/>
      <c r="I359" s="765"/>
      <c r="J359" s="728"/>
      <c r="K359" s="423"/>
      <c r="L359" s="423"/>
      <c r="M359" s="423"/>
      <c r="N359" s="423"/>
      <c r="O359" s="423"/>
      <c r="P359" s="423"/>
      <c r="Q359" s="423"/>
      <c r="R359" s="423"/>
      <c r="S359" s="423"/>
      <c r="T359" s="423"/>
      <c r="U359" s="423"/>
      <c r="V359" s="423"/>
      <c r="W359" s="423"/>
    </row>
    <row r="360">
      <c r="A360" s="766"/>
      <c r="B360" s="717"/>
      <c r="C360" s="763"/>
      <c r="D360" s="763"/>
      <c r="E360" s="423"/>
      <c r="F360" s="764"/>
      <c r="G360" s="765"/>
      <c r="H360" s="423"/>
      <c r="I360" s="765"/>
      <c r="J360" s="728"/>
      <c r="K360" s="423"/>
      <c r="L360" s="423"/>
      <c r="M360" s="423"/>
      <c r="N360" s="423"/>
      <c r="O360" s="423"/>
      <c r="P360" s="423"/>
      <c r="Q360" s="423"/>
      <c r="R360" s="423"/>
      <c r="S360" s="423"/>
      <c r="T360" s="423"/>
      <c r="U360" s="423"/>
      <c r="V360" s="423"/>
      <c r="W360" s="423"/>
    </row>
    <row r="361">
      <c r="A361" s="766"/>
      <c r="B361" s="717"/>
      <c r="C361" s="763"/>
      <c r="D361" s="763"/>
      <c r="E361" s="423"/>
      <c r="F361" s="764"/>
      <c r="G361" s="765"/>
      <c r="H361" s="423"/>
      <c r="I361" s="765"/>
      <c r="J361" s="728"/>
      <c r="K361" s="423"/>
      <c r="L361" s="423"/>
      <c r="M361" s="423"/>
      <c r="N361" s="423"/>
      <c r="O361" s="423"/>
      <c r="P361" s="423"/>
      <c r="Q361" s="423"/>
      <c r="R361" s="423"/>
      <c r="S361" s="423"/>
      <c r="T361" s="423"/>
      <c r="U361" s="423"/>
      <c r="V361" s="423"/>
      <c r="W361" s="423"/>
    </row>
    <row r="362">
      <c r="A362" s="766"/>
      <c r="B362" s="717"/>
      <c r="C362" s="763"/>
      <c r="D362" s="763"/>
      <c r="E362" s="423"/>
      <c r="F362" s="764"/>
      <c r="G362" s="765"/>
      <c r="H362" s="423"/>
      <c r="I362" s="765"/>
      <c r="J362" s="728"/>
      <c r="K362" s="423"/>
      <c r="L362" s="423"/>
      <c r="M362" s="423"/>
      <c r="N362" s="423"/>
      <c r="O362" s="423"/>
      <c r="P362" s="423"/>
      <c r="Q362" s="423"/>
      <c r="R362" s="423"/>
      <c r="S362" s="423"/>
      <c r="T362" s="423"/>
      <c r="U362" s="423"/>
      <c r="V362" s="423"/>
      <c r="W362" s="423"/>
    </row>
    <row r="363">
      <c r="A363" s="766"/>
      <c r="B363" s="717"/>
      <c r="C363" s="763"/>
      <c r="D363" s="763"/>
      <c r="E363" s="423"/>
      <c r="F363" s="764"/>
      <c r="G363" s="765"/>
      <c r="H363" s="423"/>
      <c r="I363" s="765"/>
      <c r="J363" s="728"/>
      <c r="K363" s="423"/>
      <c r="L363" s="423"/>
      <c r="M363" s="423"/>
      <c r="N363" s="423"/>
      <c r="O363" s="423"/>
      <c r="P363" s="423"/>
      <c r="Q363" s="423"/>
      <c r="R363" s="423"/>
      <c r="S363" s="423"/>
      <c r="T363" s="423"/>
      <c r="U363" s="423"/>
      <c r="V363" s="423"/>
      <c r="W363" s="423"/>
    </row>
    <row r="364">
      <c r="A364" s="766"/>
      <c r="B364" s="717"/>
      <c r="C364" s="763"/>
      <c r="D364" s="763"/>
      <c r="E364" s="423"/>
      <c r="F364" s="764"/>
      <c r="G364" s="765"/>
      <c r="H364" s="423"/>
      <c r="I364" s="765"/>
      <c r="J364" s="728"/>
      <c r="K364" s="423"/>
      <c r="L364" s="423"/>
      <c r="M364" s="423"/>
      <c r="N364" s="423"/>
      <c r="O364" s="423"/>
      <c r="P364" s="423"/>
      <c r="Q364" s="423"/>
      <c r="R364" s="423"/>
      <c r="S364" s="423"/>
      <c r="T364" s="423"/>
      <c r="U364" s="423"/>
      <c r="V364" s="423"/>
      <c r="W364" s="423"/>
    </row>
    <row r="365">
      <c r="A365" s="766"/>
      <c r="B365" s="717"/>
      <c r="C365" s="763"/>
      <c r="D365" s="763"/>
      <c r="E365" s="423"/>
      <c r="F365" s="764"/>
      <c r="G365" s="765"/>
      <c r="H365" s="423"/>
      <c r="I365" s="765"/>
      <c r="J365" s="728"/>
      <c r="K365" s="423"/>
      <c r="L365" s="423"/>
      <c r="M365" s="423"/>
      <c r="N365" s="423"/>
      <c r="O365" s="423"/>
      <c r="P365" s="423"/>
      <c r="Q365" s="423"/>
      <c r="R365" s="423"/>
      <c r="S365" s="423"/>
      <c r="T365" s="423"/>
      <c r="U365" s="423"/>
      <c r="V365" s="423"/>
      <c r="W365" s="423"/>
    </row>
    <row r="366">
      <c r="A366" s="766"/>
      <c r="B366" s="717"/>
      <c r="C366" s="763"/>
      <c r="D366" s="763"/>
      <c r="E366" s="423"/>
      <c r="F366" s="764"/>
      <c r="G366" s="765"/>
      <c r="H366" s="423"/>
      <c r="I366" s="765"/>
      <c r="J366" s="728"/>
      <c r="K366" s="423"/>
      <c r="L366" s="423"/>
      <c r="M366" s="423"/>
      <c r="N366" s="423"/>
      <c r="O366" s="423"/>
      <c r="P366" s="423"/>
      <c r="Q366" s="423"/>
      <c r="R366" s="423"/>
      <c r="S366" s="423"/>
      <c r="T366" s="423"/>
      <c r="U366" s="423"/>
      <c r="V366" s="423"/>
      <c r="W366" s="423"/>
    </row>
    <row r="367">
      <c r="A367" s="766"/>
      <c r="B367" s="717"/>
      <c r="C367" s="763"/>
      <c r="D367" s="763"/>
      <c r="E367" s="423"/>
      <c r="F367" s="764"/>
      <c r="G367" s="765"/>
      <c r="H367" s="423"/>
      <c r="I367" s="765"/>
      <c r="J367" s="728"/>
      <c r="K367" s="423"/>
      <c r="L367" s="423"/>
      <c r="M367" s="423"/>
      <c r="N367" s="423"/>
      <c r="O367" s="423"/>
      <c r="P367" s="423"/>
      <c r="Q367" s="423"/>
      <c r="R367" s="423"/>
      <c r="S367" s="423"/>
      <c r="T367" s="423"/>
      <c r="U367" s="423"/>
      <c r="V367" s="423"/>
      <c r="W367" s="423"/>
    </row>
    <row r="368">
      <c r="A368" s="766"/>
      <c r="B368" s="717"/>
      <c r="C368" s="763"/>
      <c r="D368" s="763"/>
      <c r="E368" s="423"/>
      <c r="F368" s="764"/>
      <c r="G368" s="765"/>
      <c r="H368" s="423"/>
      <c r="I368" s="765"/>
      <c r="J368" s="728"/>
      <c r="K368" s="423"/>
      <c r="L368" s="423"/>
      <c r="M368" s="423"/>
      <c r="N368" s="423"/>
      <c r="O368" s="423"/>
      <c r="P368" s="423"/>
      <c r="Q368" s="423"/>
      <c r="R368" s="423"/>
      <c r="S368" s="423"/>
      <c r="T368" s="423"/>
      <c r="U368" s="423"/>
      <c r="V368" s="423"/>
      <c r="W368" s="423"/>
    </row>
    <row r="369">
      <c r="A369" s="766"/>
      <c r="B369" s="717"/>
      <c r="C369" s="763"/>
      <c r="D369" s="763"/>
      <c r="E369" s="423"/>
      <c r="F369" s="764"/>
      <c r="G369" s="765"/>
      <c r="H369" s="423"/>
      <c r="I369" s="765"/>
      <c r="J369" s="728"/>
      <c r="K369" s="423"/>
      <c r="L369" s="423"/>
      <c r="M369" s="423"/>
      <c r="N369" s="423"/>
      <c r="O369" s="423"/>
      <c r="P369" s="423"/>
      <c r="Q369" s="423"/>
      <c r="R369" s="423"/>
      <c r="S369" s="423"/>
      <c r="T369" s="423"/>
      <c r="U369" s="423"/>
      <c r="V369" s="423"/>
      <c r="W369" s="423"/>
    </row>
    <row r="370">
      <c r="A370" s="766"/>
      <c r="B370" s="717"/>
      <c r="C370" s="763"/>
      <c r="D370" s="763"/>
      <c r="E370" s="423"/>
      <c r="F370" s="764"/>
      <c r="G370" s="765"/>
      <c r="H370" s="423"/>
      <c r="I370" s="765"/>
      <c r="J370" s="728"/>
      <c r="K370" s="423"/>
      <c r="L370" s="423"/>
      <c r="M370" s="423"/>
      <c r="N370" s="423"/>
      <c r="O370" s="423"/>
      <c r="P370" s="423"/>
      <c r="Q370" s="423"/>
      <c r="R370" s="423"/>
      <c r="S370" s="423"/>
      <c r="T370" s="423"/>
      <c r="U370" s="423"/>
      <c r="V370" s="423"/>
      <c r="W370" s="423"/>
    </row>
    <row r="371">
      <c r="A371" s="766"/>
      <c r="B371" s="717"/>
      <c r="C371" s="763"/>
      <c r="D371" s="763"/>
      <c r="E371" s="423"/>
      <c r="F371" s="764"/>
      <c r="G371" s="765"/>
      <c r="H371" s="423"/>
      <c r="I371" s="765"/>
      <c r="J371" s="728"/>
      <c r="K371" s="423"/>
      <c r="L371" s="423"/>
      <c r="M371" s="423"/>
      <c r="N371" s="423"/>
      <c r="O371" s="423"/>
      <c r="P371" s="423"/>
      <c r="Q371" s="423"/>
      <c r="R371" s="423"/>
      <c r="S371" s="423"/>
      <c r="T371" s="423"/>
      <c r="U371" s="423"/>
      <c r="V371" s="423"/>
      <c r="W371" s="423"/>
    </row>
    <row r="372">
      <c r="A372" s="766"/>
      <c r="B372" s="717"/>
      <c r="C372" s="763"/>
      <c r="D372" s="763"/>
      <c r="E372" s="423"/>
      <c r="F372" s="764"/>
      <c r="G372" s="765"/>
      <c r="H372" s="423"/>
      <c r="I372" s="765"/>
      <c r="J372" s="728"/>
      <c r="K372" s="423"/>
      <c r="L372" s="423"/>
      <c r="M372" s="423"/>
      <c r="N372" s="423"/>
      <c r="O372" s="423"/>
      <c r="P372" s="423"/>
      <c r="Q372" s="423"/>
      <c r="R372" s="423"/>
      <c r="S372" s="423"/>
      <c r="T372" s="423"/>
      <c r="U372" s="423"/>
      <c r="V372" s="423"/>
      <c r="W372" s="423"/>
    </row>
    <row r="373">
      <c r="A373" s="766"/>
      <c r="B373" s="717"/>
      <c r="C373" s="763"/>
      <c r="D373" s="763"/>
      <c r="E373" s="423"/>
      <c r="F373" s="764"/>
      <c r="G373" s="765"/>
      <c r="H373" s="423"/>
      <c r="I373" s="765"/>
      <c r="J373" s="728"/>
      <c r="K373" s="423"/>
      <c r="L373" s="423"/>
      <c r="M373" s="423"/>
      <c r="N373" s="423"/>
      <c r="O373" s="423"/>
      <c r="P373" s="423"/>
      <c r="Q373" s="423"/>
      <c r="R373" s="423"/>
      <c r="S373" s="423"/>
      <c r="T373" s="423"/>
      <c r="U373" s="423"/>
      <c r="V373" s="423"/>
      <c r="W373" s="423"/>
    </row>
    <row r="374">
      <c r="A374" s="766"/>
      <c r="B374" s="717"/>
      <c r="C374" s="763"/>
      <c r="D374" s="763"/>
      <c r="E374" s="423"/>
      <c r="F374" s="764"/>
      <c r="G374" s="765"/>
      <c r="H374" s="423"/>
      <c r="I374" s="765"/>
      <c r="J374" s="728"/>
      <c r="K374" s="423"/>
      <c r="L374" s="423"/>
      <c r="M374" s="423"/>
      <c r="N374" s="423"/>
      <c r="O374" s="423"/>
      <c r="P374" s="423"/>
      <c r="Q374" s="423"/>
      <c r="R374" s="423"/>
      <c r="S374" s="423"/>
      <c r="T374" s="423"/>
      <c r="U374" s="423"/>
      <c r="V374" s="423"/>
      <c r="W374" s="423"/>
    </row>
    <row r="375">
      <c r="A375" s="766"/>
      <c r="B375" s="717"/>
      <c r="C375" s="763"/>
      <c r="D375" s="763"/>
      <c r="E375" s="423"/>
      <c r="F375" s="764"/>
      <c r="G375" s="765"/>
      <c r="H375" s="423"/>
      <c r="I375" s="765"/>
      <c r="J375" s="728"/>
      <c r="K375" s="423"/>
      <c r="L375" s="423"/>
      <c r="M375" s="423"/>
      <c r="N375" s="423"/>
      <c r="O375" s="423"/>
      <c r="P375" s="423"/>
      <c r="Q375" s="423"/>
      <c r="R375" s="423"/>
      <c r="S375" s="423"/>
      <c r="T375" s="423"/>
      <c r="U375" s="423"/>
      <c r="V375" s="423"/>
      <c r="W375" s="423"/>
    </row>
    <row r="376">
      <c r="A376" s="766"/>
      <c r="B376" s="717"/>
      <c r="C376" s="763"/>
      <c r="D376" s="763"/>
      <c r="E376" s="423"/>
      <c r="F376" s="764"/>
      <c r="G376" s="765"/>
      <c r="H376" s="423"/>
      <c r="I376" s="765"/>
      <c r="J376" s="728"/>
      <c r="K376" s="423"/>
      <c r="L376" s="423"/>
      <c r="M376" s="423"/>
      <c r="N376" s="423"/>
      <c r="O376" s="423"/>
      <c r="P376" s="423"/>
      <c r="Q376" s="423"/>
      <c r="R376" s="423"/>
      <c r="S376" s="423"/>
      <c r="T376" s="423"/>
      <c r="U376" s="423"/>
      <c r="V376" s="423"/>
      <c r="W376" s="423"/>
    </row>
    <row r="377">
      <c r="A377" s="766"/>
      <c r="B377" s="717"/>
      <c r="C377" s="763"/>
      <c r="D377" s="763"/>
      <c r="E377" s="423"/>
      <c r="F377" s="764"/>
      <c r="G377" s="765"/>
      <c r="H377" s="423"/>
      <c r="I377" s="765"/>
      <c r="J377" s="728"/>
      <c r="K377" s="423"/>
      <c r="L377" s="423"/>
      <c r="M377" s="423"/>
      <c r="N377" s="423"/>
      <c r="O377" s="423"/>
      <c r="P377" s="423"/>
      <c r="Q377" s="423"/>
      <c r="R377" s="423"/>
      <c r="S377" s="423"/>
      <c r="T377" s="423"/>
      <c r="U377" s="423"/>
      <c r="V377" s="423"/>
      <c r="W377" s="423"/>
    </row>
    <row r="378">
      <c r="A378" s="766"/>
      <c r="B378" s="717"/>
      <c r="C378" s="763"/>
      <c r="D378" s="763"/>
      <c r="E378" s="423"/>
      <c r="F378" s="764"/>
      <c r="G378" s="765"/>
      <c r="H378" s="423"/>
      <c r="I378" s="765"/>
      <c r="J378" s="728"/>
      <c r="K378" s="423"/>
      <c r="L378" s="423"/>
      <c r="M378" s="423"/>
      <c r="N378" s="423"/>
      <c r="O378" s="423"/>
      <c r="P378" s="423"/>
      <c r="Q378" s="423"/>
      <c r="R378" s="423"/>
      <c r="S378" s="423"/>
      <c r="T378" s="423"/>
      <c r="U378" s="423"/>
      <c r="V378" s="423"/>
      <c r="W378" s="423"/>
    </row>
    <row r="379">
      <c r="A379" s="766"/>
      <c r="B379" s="717"/>
      <c r="C379" s="763"/>
      <c r="D379" s="763"/>
      <c r="E379" s="423"/>
      <c r="F379" s="764"/>
      <c r="G379" s="765"/>
      <c r="H379" s="423"/>
      <c r="I379" s="765"/>
      <c r="J379" s="728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</row>
    <row r="380">
      <c r="A380" s="766"/>
      <c r="B380" s="717"/>
      <c r="C380" s="763"/>
      <c r="D380" s="763"/>
      <c r="E380" s="423"/>
      <c r="F380" s="764"/>
      <c r="G380" s="765"/>
      <c r="H380" s="423"/>
      <c r="I380" s="765"/>
      <c r="J380" s="728"/>
      <c r="K380" s="423"/>
      <c r="L380" s="423"/>
      <c r="M380" s="423"/>
      <c r="N380" s="423"/>
      <c r="O380" s="423"/>
      <c r="P380" s="423"/>
      <c r="Q380" s="423"/>
      <c r="R380" s="423"/>
      <c r="S380" s="423"/>
      <c r="T380" s="423"/>
      <c r="U380" s="423"/>
      <c r="V380" s="423"/>
      <c r="W380" s="423"/>
    </row>
    <row r="381">
      <c r="A381" s="766"/>
      <c r="B381" s="717"/>
      <c r="C381" s="763"/>
      <c r="D381" s="763"/>
      <c r="E381" s="423"/>
      <c r="F381" s="764"/>
      <c r="G381" s="765"/>
      <c r="H381" s="423"/>
      <c r="I381" s="765"/>
      <c r="J381" s="728"/>
      <c r="K381" s="423"/>
      <c r="L381" s="423"/>
      <c r="M381" s="423"/>
      <c r="N381" s="423"/>
      <c r="O381" s="423"/>
      <c r="P381" s="423"/>
      <c r="Q381" s="423"/>
      <c r="R381" s="423"/>
      <c r="S381" s="423"/>
      <c r="T381" s="423"/>
      <c r="U381" s="423"/>
      <c r="V381" s="423"/>
      <c r="W381" s="423"/>
    </row>
    <row r="382">
      <c r="A382" s="766"/>
      <c r="B382" s="717"/>
      <c r="C382" s="763"/>
      <c r="D382" s="763"/>
      <c r="E382" s="423"/>
      <c r="F382" s="764"/>
      <c r="G382" s="765"/>
      <c r="H382" s="423"/>
      <c r="I382" s="765"/>
      <c r="J382" s="728"/>
      <c r="K382" s="423"/>
      <c r="L382" s="423"/>
      <c r="M382" s="423"/>
      <c r="N382" s="423"/>
      <c r="O382" s="423"/>
      <c r="P382" s="423"/>
      <c r="Q382" s="423"/>
      <c r="R382" s="423"/>
      <c r="S382" s="423"/>
      <c r="T382" s="423"/>
      <c r="U382" s="423"/>
      <c r="V382" s="423"/>
      <c r="W382" s="423"/>
    </row>
    <row r="383">
      <c r="A383" s="766"/>
      <c r="B383" s="717"/>
      <c r="C383" s="763"/>
      <c r="D383" s="763"/>
      <c r="E383" s="423"/>
      <c r="F383" s="764"/>
      <c r="G383" s="765"/>
      <c r="H383" s="423"/>
      <c r="I383" s="765"/>
      <c r="J383" s="728"/>
      <c r="K383" s="423"/>
      <c r="L383" s="423"/>
      <c r="M383" s="423"/>
      <c r="N383" s="423"/>
      <c r="O383" s="423"/>
      <c r="P383" s="423"/>
      <c r="Q383" s="423"/>
      <c r="R383" s="423"/>
      <c r="S383" s="423"/>
      <c r="T383" s="423"/>
      <c r="U383" s="423"/>
      <c r="V383" s="423"/>
      <c r="W383" s="423"/>
    </row>
    <row r="384">
      <c r="A384" s="766"/>
      <c r="B384" s="717"/>
      <c r="C384" s="763"/>
      <c r="D384" s="763"/>
      <c r="E384" s="423"/>
      <c r="F384" s="764"/>
      <c r="G384" s="765"/>
      <c r="H384" s="423"/>
      <c r="I384" s="765"/>
      <c r="J384" s="728"/>
      <c r="K384" s="423"/>
      <c r="L384" s="423"/>
      <c r="M384" s="423"/>
      <c r="N384" s="423"/>
      <c r="O384" s="423"/>
      <c r="P384" s="423"/>
      <c r="Q384" s="423"/>
      <c r="R384" s="423"/>
      <c r="S384" s="423"/>
      <c r="T384" s="423"/>
      <c r="U384" s="423"/>
      <c r="V384" s="423"/>
      <c r="W384" s="423"/>
    </row>
    <row r="385">
      <c r="A385" s="766"/>
      <c r="B385" s="717"/>
      <c r="C385" s="763"/>
      <c r="D385" s="763"/>
      <c r="E385" s="423"/>
      <c r="F385" s="764"/>
      <c r="G385" s="765"/>
      <c r="H385" s="423"/>
      <c r="I385" s="765"/>
      <c r="J385" s="728"/>
      <c r="K385" s="423"/>
      <c r="L385" s="423"/>
      <c r="M385" s="423"/>
      <c r="N385" s="423"/>
      <c r="O385" s="423"/>
      <c r="P385" s="423"/>
      <c r="Q385" s="423"/>
      <c r="R385" s="423"/>
      <c r="S385" s="423"/>
      <c r="T385" s="423"/>
      <c r="U385" s="423"/>
      <c r="V385" s="423"/>
      <c r="W385" s="423"/>
    </row>
    <row r="386">
      <c r="A386" s="766"/>
      <c r="B386" s="717"/>
      <c r="C386" s="763"/>
      <c r="D386" s="763"/>
      <c r="E386" s="423"/>
      <c r="F386" s="764"/>
      <c r="G386" s="765"/>
      <c r="H386" s="423"/>
      <c r="I386" s="765"/>
      <c r="J386" s="728"/>
      <c r="K386" s="423"/>
      <c r="L386" s="423"/>
      <c r="M386" s="423"/>
      <c r="N386" s="423"/>
      <c r="O386" s="423"/>
      <c r="P386" s="423"/>
      <c r="Q386" s="423"/>
      <c r="R386" s="423"/>
      <c r="S386" s="423"/>
      <c r="T386" s="423"/>
      <c r="U386" s="423"/>
      <c r="V386" s="423"/>
      <c r="W386" s="423"/>
    </row>
    <row r="387">
      <c r="A387" s="766"/>
      <c r="B387" s="717"/>
      <c r="C387" s="763"/>
      <c r="D387" s="763"/>
      <c r="E387" s="423"/>
      <c r="F387" s="764"/>
      <c r="G387" s="765"/>
      <c r="H387" s="423"/>
      <c r="I387" s="765"/>
      <c r="J387" s="728"/>
      <c r="K387" s="423"/>
      <c r="L387" s="423"/>
      <c r="M387" s="423"/>
      <c r="N387" s="423"/>
      <c r="O387" s="423"/>
      <c r="P387" s="423"/>
      <c r="Q387" s="423"/>
      <c r="R387" s="423"/>
      <c r="S387" s="423"/>
      <c r="T387" s="423"/>
      <c r="U387" s="423"/>
      <c r="V387" s="423"/>
      <c r="W387" s="423"/>
    </row>
    <row r="388">
      <c r="A388" s="766"/>
      <c r="B388" s="717"/>
      <c r="C388" s="763"/>
      <c r="D388" s="763"/>
      <c r="E388" s="423"/>
      <c r="F388" s="764"/>
      <c r="G388" s="765"/>
      <c r="H388" s="423"/>
      <c r="I388" s="765"/>
      <c r="J388" s="728"/>
      <c r="K388" s="423"/>
      <c r="L388" s="423"/>
      <c r="M388" s="423"/>
      <c r="N388" s="423"/>
      <c r="O388" s="423"/>
      <c r="P388" s="423"/>
      <c r="Q388" s="423"/>
      <c r="R388" s="423"/>
      <c r="S388" s="423"/>
      <c r="T388" s="423"/>
      <c r="U388" s="423"/>
      <c r="V388" s="423"/>
      <c r="W388" s="423"/>
    </row>
    <row r="389">
      <c r="A389" s="766"/>
      <c r="B389" s="717"/>
      <c r="C389" s="763"/>
      <c r="D389" s="763"/>
      <c r="E389" s="423"/>
      <c r="F389" s="764"/>
      <c r="G389" s="765"/>
      <c r="H389" s="423"/>
      <c r="I389" s="765"/>
      <c r="J389" s="728"/>
      <c r="K389" s="423"/>
      <c r="L389" s="423"/>
      <c r="M389" s="423"/>
      <c r="N389" s="423"/>
      <c r="O389" s="423"/>
      <c r="P389" s="423"/>
      <c r="Q389" s="423"/>
      <c r="R389" s="423"/>
      <c r="S389" s="423"/>
      <c r="T389" s="423"/>
      <c r="U389" s="423"/>
      <c r="V389" s="423"/>
      <c r="W389" s="423"/>
    </row>
    <row r="390">
      <c r="A390" s="766"/>
      <c r="B390" s="717"/>
      <c r="C390" s="763"/>
      <c r="D390" s="763"/>
      <c r="E390" s="423"/>
      <c r="F390" s="764"/>
      <c r="G390" s="765"/>
      <c r="H390" s="423"/>
      <c r="I390" s="765"/>
      <c r="J390" s="728"/>
      <c r="K390" s="423"/>
      <c r="L390" s="423"/>
      <c r="M390" s="423"/>
      <c r="N390" s="423"/>
      <c r="O390" s="423"/>
      <c r="P390" s="423"/>
      <c r="Q390" s="423"/>
      <c r="R390" s="423"/>
      <c r="S390" s="423"/>
      <c r="T390" s="423"/>
      <c r="U390" s="423"/>
      <c r="V390" s="423"/>
      <c r="W390" s="423"/>
    </row>
    <row r="391">
      <c r="A391" s="766"/>
      <c r="B391" s="717"/>
      <c r="C391" s="763"/>
      <c r="D391" s="763"/>
      <c r="E391" s="423"/>
      <c r="F391" s="764"/>
      <c r="G391" s="765"/>
      <c r="H391" s="423"/>
      <c r="I391" s="765"/>
      <c r="J391" s="728"/>
      <c r="K391" s="423"/>
      <c r="L391" s="423"/>
      <c r="M391" s="423"/>
      <c r="N391" s="423"/>
      <c r="O391" s="423"/>
      <c r="P391" s="423"/>
      <c r="Q391" s="423"/>
      <c r="R391" s="423"/>
      <c r="S391" s="423"/>
      <c r="T391" s="423"/>
      <c r="U391" s="423"/>
      <c r="V391" s="423"/>
      <c r="W391" s="423"/>
    </row>
    <row r="392">
      <c r="A392" s="766"/>
      <c r="B392" s="717"/>
      <c r="C392" s="763"/>
      <c r="D392" s="763"/>
      <c r="E392" s="423"/>
      <c r="F392" s="764"/>
      <c r="G392" s="765"/>
      <c r="H392" s="423"/>
      <c r="I392" s="765"/>
      <c r="J392" s="728"/>
      <c r="K392" s="423"/>
      <c r="L392" s="423"/>
      <c r="M392" s="423"/>
      <c r="N392" s="423"/>
      <c r="O392" s="423"/>
      <c r="P392" s="423"/>
      <c r="Q392" s="423"/>
      <c r="R392" s="423"/>
      <c r="S392" s="423"/>
      <c r="T392" s="423"/>
      <c r="U392" s="423"/>
      <c r="V392" s="423"/>
      <c r="W392" s="423"/>
    </row>
    <row r="393">
      <c r="A393" s="766"/>
      <c r="B393" s="717"/>
      <c r="C393" s="763"/>
      <c r="D393" s="763"/>
      <c r="E393" s="423"/>
      <c r="F393" s="764"/>
      <c r="G393" s="765"/>
      <c r="H393" s="423"/>
      <c r="I393" s="765"/>
      <c r="J393" s="728"/>
      <c r="K393" s="423"/>
      <c r="L393" s="423"/>
      <c r="M393" s="423"/>
      <c r="N393" s="423"/>
      <c r="O393" s="423"/>
      <c r="P393" s="423"/>
      <c r="Q393" s="423"/>
      <c r="R393" s="423"/>
      <c r="S393" s="423"/>
      <c r="T393" s="423"/>
      <c r="U393" s="423"/>
      <c r="V393" s="423"/>
      <c r="W393" s="423"/>
    </row>
    <row r="394">
      <c r="A394" s="766"/>
      <c r="B394" s="717"/>
      <c r="C394" s="763"/>
      <c r="D394" s="763"/>
      <c r="E394" s="423"/>
      <c r="F394" s="764"/>
      <c r="G394" s="765"/>
      <c r="H394" s="423"/>
      <c r="I394" s="765"/>
      <c r="J394" s="728"/>
      <c r="K394" s="423"/>
      <c r="L394" s="423"/>
      <c r="M394" s="423"/>
      <c r="N394" s="423"/>
      <c r="O394" s="423"/>
      <c r="P394" s="423"/>
      <c r="Q394" s="423"/>
      <c r="R394" s="423"/>
      <c r="S394" s="423"/>
      <c r="T394" s="423"/>
      <c r="U394" s="423"/>
      <c r="V394" s="423"/>
      <c r="W394" s="423"/>
    </row>
    <row r="395">
      <c r="A395" s="766"/>
      <c r="B395" s="717"/>
      <c r="C395" s="763"/>
      <c r="D395" s="763"/>
      <c r="E395" s="423"/>
      <c r="F395" s="764"/>
      <c r="G395" s="765"/>
      <c r="H395" s="423"/>
      <c r="I395" s="765"/>
      <c r="J395" s="728"/>
      <c r="K395" s="423"/>
      <c r="L395" s="423"/>
      <c r="M395" s="423"/>
      <c r="N395" s="423"/>
      <c r="O395" s="423"/>
      <c r="P395" s="423"/>
      <c r="Q395" s="423"/>
      <c r="R395" s="423"/>
      <c r="S395" s="423"/>
      <c r="T395" s="423"/>
      <c r="U395" s="423"/>
      <c r="V395" s="423"/>
      <c r="W395" s="423"/>
    </row>
    <row r="396">
      <c r="A396" s="766"/>
      <c r="B396" s="717"/>
      <c r="C396" s="763"/>
      <c r="D396" s="763"/>
      <c r="E396" s="423"/>
      <c r="F396" s="764"/>
      <c r="G396" s="765"/>
      <c r="H396" s="423"/>
      <c r="I396" s="765"/>
      <c r="J396" s="728"/>
      <c r="K396" s="423"/>
      <c r="L396" s="423"/>
      <c r="M396" s="423"/>
      <c r="N396" s="423"/>
      <c r="O396" s="423"/>
      <c r="P396" s="423"/>
      <c r="Q396" s="423"/>
      <c r="R396" s="423"/>
      <c r="S396" s="423"/>
      <c r="T396" s="423"/>
      <c r="U396" s="423"/>
      <c r="V396" s="423"/>
      <c r="W396" s="423"/>
    </row>
    <row r="397">
      <c r="A397" s="766"/>
      <c r="B397" s="717"/>
      <c r="C397" s="763"/>
      <c r="D397" s="763"/>
      <c r="E397" s="423"/>
      <c r="F397" s="764"/>
      <c r="G397" s="765"/>
      <c r="H397" s="423"/>
      <c r="I397" s="765"/>
      <c r="J397" s="728"/>
      <c r="K397" s="423"/>
      <c r="L397" s="423"/>
      <c r="M397" s="423"/>
      <c r="N397" s="423"/>
      <c r="O397" s="423"/>
      <c r="P397" s="423"/>
      <c r="Q397" s="423"/>
      <c r="R397" s="423"/>
      <c r="S397" s="423"/>
      <c r="T397" s="423"/>
      <c r="U397" s="423"/>
      <c r="V397" s="423"/>
      <c r="W397" s="423"/>
    </row>
    <row r="398">
      <c r="A398" s="766"/>
      <c r="B398" s="717"/>
      <c r="C398" s="763"/>
      <c r="D398" s="763"/>
      <c r="E398" s="423"/>
      <c r="F398" s="764"/>
      <c r="G398" s="765"/>
      <c r="H398" s="423"/>
      <c r="I398" s="765"/>
      <c r="J398" s="728"/>
      <c r="K398" s="423"/>
      <c r="L398" s="423"/>
      <c r="M398" s="423"/>
      <c r="N398" s="423"/>
      <c r="O398" s="423"/>
      <c r="P398" s="423"/>
      <c r="Q398" s="423"/>
      <c r="R398" s="423"/>
      <c r="S398" s="423"/>
      <c r="T398" s="423"/>
      <c r="U398" s="423"/>
      <c r="V398" s="423"/>
      <c r="W398" s="423"/>
    </row>
    <row r="399">
      <c r="A399" s="766"/>
      <c r="B399" s="717"/>
      <c r="C399" s="763"/>
      <c r="D399" s="763"/>
      <c r="E399" s="423"/>
      <c r="F399" s="764"/>
      <c r="G399" s="765"/>
      <c r="H399" s="423"/>
      <c r="I399" s="765"/>
      <c r="J399" s="728"/>
      <c r="K399" s="423"/>
      <c r="L399" s="423"/>
      <c r="M399" s="423"/>
      <c r="N399" s="423"/>
      <c r="O399" s="423"/>
      <c r="P399" s="423"/>
      <c r="Q399" s="423"/>
      <c r="R399" s="423"/>
      <c r="S399" s="423"/>
      <c r="T399" s="423"/>
      <c r="U399" s="423"/>
      <c r="V399" s="423"/>
      <c r="W399" s="423"/>
    </row>
    <row r="400">
      <c r="A400" s="766"/>
      <c r="B400" s="717"/>
      <c r="C400" s="763"/>
      <c r="D400" s="763"/>
      <c r="E400" s="423"/>
      <c r="F400" s="764"/>
      <c r="G400" s="765"/>
      <c r="H400" s="423"/>
      <c r="I400" s="765"/>
      <c r="J400" s="728"/>
      <c r="K400" s="423"/>
      <c r="L400" s="423"/>
      <c r="M400" s="423"/>
      <c r="N400" s="423"/>
      <c r="O400" s="423"/>
      <c r="P400" s="423"/>
      <c r="Q400" s="423"/>
      <c r="R400" s="423"/>
      <c r="S400" s="423"/>
      <c r="T400" s="423"/>
      <c r="U400" s="423"/>
      <c r="V400" s="423"/>
      <c r="W400" s="423"/>
    </row>
    <row r="401">
      <c r="A401" s="766"/>
      <c r="B401" s="717"/>
      <c r="C401" s="763"/>
      <c r="D401" s="763"/>
      <c r="E401" s="423"/>
      <c r="F401" s="764"/>
      <c r="G401" s="765"/>
      <c r="H401" s="423"/>
      <c r="I401" s="765"/>
      <c r="J401" s="728"/>
      <c r="K401" s="423"/>
      <c r="L401" s="423"/>
      <c r="M401" s="423"/>
      <c r="N401" s="423"/>
      <c r="O401" s="423"/>
      <c r="P401" s="423"/>
      <c r="Q401" s="423"/>
      <c r="R401" s="423"/>
      <c r="S401" s="423"/>
      <c r="T401" s="423"/>
      <c r="U401" s="423"/>
      <c r="V401" s="423"/>
      <c r="W401" s="423"/>
    </row>
    <row r="402">
      <c r="A402" s="766"/>
      <c r="B402" s="717"/>
      <c r="C402" s="763"/>
      <c r="D402" s="763"/>
      <c r="E402" s="423"/>
      <c r="F402" s="764"/>
      <c r="G402" s="765"/>
      <c r="H402" s="423"/>
      <c r="I402" s="765"/>
      <c r="J402" s="728"/>
      <c r="K402" s="423"/>
      <c r="L402" s="423"/>
      <c r="M402" s="423"/>
      <c r="N402" s="423"/>
      <c r="O402" s="423"/>
      <c r="P402" s="423"/>
      <c r="Q402" s="423"/>
      <c r="R402" s="423"/>
      <c r="S402" s="423"/>
      <c r="T402" s="423"/>
      <c r="U402" s="423"/>
      <c r="V402" s="423"/>
      <c r="W402" s="423"/>
    </row>
    <row r="403">
      <c r="A403" s="766"/>
      <c r="B403" s="717"/>
      <c r="C403" s="763"/>
      <c r="D403" s="763"/>
      <c r="E403" s="423"/>
      <c r="F403" s="764"/>
      <c r="G403" s="765"/>
      <c r="H403" s="423"/>
      <c r="I403" s="765"/>
      <c r="J403" s="728"/>
      <c r="K403" s="423"/>
      <c r="L403" s="423"/>
      <c r="M403" s="423"/>
      <c r="N403" s="423"/>
      <c r="O403" s="423"/>
      <c r="P403" s="423"/>
      <c r="Q403" s="423"/>
      <c r="R403" s="423"/>
      <c r="S403" s="423"/>
      <c r="T403" s="423"/>
      <c r="U403" s="423"/>
      <c r="V403" s="423"/>
      <c r="W403" s="423"/>
    </row>
    <row r="404">
      <c r="A404" s="766"/>
      <c r="B404" s="717"/>
      <c r="C404" s="763"/>
      <c r="D404" s="763"/>
      <c r="E404" s="423"/>
      <c r="F404" s="764"/>
      <c r="G404" s="765"/>
      <c r="H404" s="423"/>
      <c r="I404" s="765"/>
      <c r="J404" s="728"/>
      <c r="K404" s="423"/>
      <c r="L404" s="423"/>
      <c r="M404" s="423"/>
      <c r="N404" s="423"/>
      <c r="O404" s="423"/>
      <c r="P404" s="423"/>
      <c r="Q404" s="423"/>
      <c r="R404" s="423"/>
      <c r="S404" s="423"/>
      <c r="T404" s="423"/>
      <c r="U404" s="423"/>
      <c r="V404" s="423"/>
      <c r="W404" s="423"/>
    </row>
    <row r="405">
      <c r="A405" s="766"/>
      <c r="B405" s="717"/>
      <c r="C405" s="763"/>
      <c r="D405" s="763"/>
      <c r="E405" s="423"/>
      <c r="F405" s="764"/>
      <c r="G405" s="765"/>
      <c r="H405" s="423"/>
      <c r="I405" s="765"/>
      <c r="J405" s="728"/>
      <c r="K405" s="423"/>
      <c r="L405" s="423"/>
      <c r="M405" s="423"/>
      <c r="N405" s="423"/>
      <c r="O405" s="423"/>
      <c r="P405" s="423"/>
      <c r="Q405" s="423"/>
      <c r="R405" s="423"/>
      <c r="S405" s="423"/>
      <c r="T405" s="423"/>
      <c r="U405" s="423"/>
      <c r="V405" s="423"/>
      <c r="W405" s="423"/>
    </row>
    <row r="406">
      <c r="A406" s="766"/>
      <c r="B406" s="717"/>
      <c r="C406" s="763"/>
      <c r="D406" s="763"/>
      <c r="E406" s="423"/>
      <c r="F406" s="764"/>
      <c r="G406" s="765"/>
      <c r="H406" s="423"/>
      <c r="I406" s="765"/>
      <c r="J406" s="728"/>
      <c r="K406" s="423"/>
      <c r="L406" s="423"/>
      <c r="M406" s="423"/>
      <c r="N406" s="423"/>
      <c r="O406" s="423"/>
      <c r="P406" s="423"/>
      <c r="Q406" s="423"/>
      <c r="R406" s="423"/>
      <c r="S406" s="423"/>
      <c r="T406" s="423"/>
      <c r="U406" s="423"/>
      <c r="V406" s="423"/>
      <c r="W406" s="423"/>
    </row>
    <row r="407">
      <c r="A407" s="766"/>
      <c r="B407" s="717"/>
      <c r="C407" s="763"/>
      <c r="D407" s="763"/>
      <c r="E407" s="423"/>
      <c r="F407" s="764"/>
      <c r="G407" s="765"/>
      <c r="H407" s="423"/>
      <c r="I407" s="765"/>
      <c r="J407" s="728"/>
      <c r="K407" s="423"/>
      <c r="L407" s="423"/>
      <c r="M407" s="423"/>
      <c r="N407" s="423"/>
      <c r="O407" s="423"/>
      <c r="P407" s="423"/>
      <c r="Q407" s="423"/>
      <c r="R407" s="423"/>
      <c r="S407" s="423"/>
      <c r="T407" s="423"/>
      <c r="U407" s="423"/>
      <c r="V407" s="423"/>
      <c r="W407" s="423"/>
    </row>
    <row r="408">
      <c r="A408" s="766"/>
      <c r="B408" s="717"/>
      <c r="C408" s="763"/>
      <c r="D408" s="763"/>
      <c r="E408" s="423"/>
      <c r="F408" s="764"/>
      <c r="G408" s="765"/>
      <c r="H408" s="423"/>
      <c r="I408" s="765"/>
      <c r="J408" s="728"/>
      <c r="K408" s="423"/>
      <c r="L408" s="423"/>
      <c r="M408" s="423"/>
      <c r="N408" s="423"/>
      <c r="O408" s="423"/>
      <c r="P408" s="423"/>
      <c r="Q408" s="423"/>
      <c r="R408" s="423"/>
      <c r="S408" s="423"/>
      <c r="T408" s="423"/>
      <c r="U408" s="423"/>
      <c r="V408" s="423"/>
      <c r="W408" s="423"/>
    </row>
    <row r="409">
      <c r="A409" s="766"/>
      <c r="B409" s="717"/>
      <c r="C409" s="763"/>
      <c r="D409" s="763"/>
      <c r="E409" s="423"/>
      <c r="F409" s="764"/>
      <c r="G409" s="765"/>
      <c r="H409" s="423"/>
      <c r="I409" s="765"/>
      <c r="J409" s="728"/>
      <c r="K409" s="423"/>
      <c r="L409" s="423"/>
      <c r="M409" s="423"/>
      <c r="N409" s="423"/>
      <c r="O409" s="423"/>
      <c r="P409" s="423"/>
      <c r="Q409" s="423"/>
      <c r="R409" s="423"/>
      <c r="S409" s="423"/>
      <c r="T409" s="423"/>
      <c r="U409" s="423"/>
      <c r="V409" s="423"/>
      <c r="W409" s="423"/>
    </row>
    <row r="410">
      <c r="A410" s="766"/>
      <c r="B410" s="717"/>
      <c r="C410" s="763"/>
      <c r="D410" s="763"/>
      <c r="E410" s="423"/>
      <c r="F410" s="764"/>
      <c r="G410" s="765"/>
      <c r="H410" s="423"/>
      <c r="I410" s="765"/>
      <c r="J410" s="728"/>
      <c r="K410" s="423"/>
      <c r="L410" s="423"/>
      <c r="M410" s="423"/>
      <c r="N410" s="423"/>
      <c r="O410" s="423"/>
      <c r="P410" s="423"/>
      <c r="Q410" s="423"/>
      <c r="R410" s="423"/>
      <c r="S410" s="423"/>
      <c r="T410" s="423"/>
      <c r="U410" s="423"/>
      <c r="V410" s="423"/>
      <c r="W410" s="423"/>
    </row>
    <row r="411">
      <c r="A411" s="766"/>
      <c r="B411" s="717"/>
      <c r="C411" s="763"/>
      <c r="D411" s="763"/>
      <c r="E411" s="423"/>
      <c r="F411" s="764"/>
      <c r="G411" s="765"/>
      <c r="H411" s="423"/>
      <c r="I411" s="765"/>
      <c r="J411" s="728"/>
      <c r="K411" s="423"/>
      <c r="L411" s="423"/>
      <c r="M411" s="423"/>
      <c r="N411" s="423"/>
      <c r="O411" s="423"/>
      <c r="P411" s="423"/>
      <c r="Q411" s="423"/>
      <c r="R411" s="423"/>
      <c r="S411" s="423"/>
      <c r="T411" s="423"/>
      <c r="U411" s="423"/>
      <c r="V411" s="423"/>
      <c r="W411" s="423"/>
    </row>
    <row r="412">
      <c r="A412" s="766"/>
      <c r="B412" s="717"/>
      <c r="C412" s="763"/>
      <c r="D412" s="763"/>
      <c r="E412" s="423"/>
      <c r="F412" s="764"/>
      <c r="G412" s="765"/>
      <c r="H412" s="423"/>
      <c r="I412" s="765"/>
      <c r="J412" s="728"/>
      <c r="K412" s="423"/>
      <c r="L412" s="423"/>
      <c r="M412" s="423"/>
      <c r="N412" s="423"/>
      <c r="O412" s="423"/>
      <c r="P412" s="423"/>
      <c r="Q412" s="423"/>
      <c r="R412" s="423"/>
      <c r="S412" s="423"/>
      <c r="T412" s="423"/>
      <c r="U412" s="423"/>
      <c r="V412" s="423"/>
      <c r="W412" s="423"/>
    </row>
    <row r="413">
      <c r="A413" s="766"/>
      <c r="B413" s="717"/>
      <c r="C413" s="763"/>
      <c r="D413" s="763"/>
      <c r="E413" s="423"/>
      <c r="F413" s="764"/>
      <c r="G413" s="765"/>
      <c r="H413" s="423"/>
      <c r="I413" s="765"/>
      <c r="J413" s="728"/>
      <c r="K413" s="423"/>
      <c r="L413" s="423"/>
      <c r="M413" s="423"/>
      <c r="N413" s="423"/>
      <c r="O413" s="423"/>
      <c r="P413" s="423"/>
      <c r="Q413" s="423"/>
      <c r="R413" s="423"/>
      <c r="S413" s="423"/>
      <c r="T413" s="423"/>
      <c r="U413" s="423"/>
      <c r="V413" s="423"/>
      <c r="W413" s="423"/>
    </row>
    <row r="414">
      <c r="A414" s="766"/>
      <c r="B414" s="717"/>
      <c r="C414" s="763"/>
      <c r="D414" s="763"/>
      <c r="E414" s="423"/>
      <c r="F414" s="764"/>
      <c r="G414" s="765"/>
      <c r="H414" s="423"/>
      <c r="I414" s="765"/>
      <c r="J414" s="728"/>
      <c r="K414" s="423"/>
      <c r="L414" s="423"/>
      <c r="M414" s="423"/>
      <c r="N414" s="423"/>
      <c r="O414" s="423"/>
      <c r="P414" s="423"/>
      <c r="Q414" s="423"/>
      <c r="R414" s="423"/>
      <c r="S414" s="423"/>
      <c r="T414" s="423"/>
      <c r="U414" s="423"/>
      <c r="V414" s="423"/>
      <c r="W414" s="423"/>
    </row>
    <row r="415">
      <c r="A415" s="766"/>
      <c r="B415" s="717"/>
      <c r="C415" s="763"/>
      <c r="D415" s="763"/>
      <c r="E415" s="423"/>
      <c r="F415" s="764"/>
      <c r="G415" s="765"/>
      <c r="H415" s="423"/>
      <c r="I415" s="765"/>
      <c r="J415" s="728"/>
      <c r="K415" s="423"/>
      <c r="L415" s="423"/>
      <c r="M415" s="423"/>
      <c r="N415" s="423"/>
      <c r="O415" s="423"/>
      <c r="P415" s="423"/>
      <c r="Q415" s="423"/>
      <c r="R415" s="423"/>
      <c r="S415" s="423"/>
      <c r="T415" s="423"/>
      <c r="U415" s="423"/>
      <c r="V415" s="423"/>
      <c r="W415" s="423"/>
    </row>
    <row r="416">
      <c r="A416" s="766"/>
      <c r="B416" s="717"/>
      <c r="C416" s="763"/>
      <c r="D416" s="763"/>
      <c r="E416" s="423"/>
      <c r="F416" s="764"/>
      <c r="G416" s="765"/>
      <c r="H416" s="423"/>
      <c r="I416" s="765"/>
      <c r="J416" s="728"/>
      <c r="K416" s="423"/>
      <c r="L416" s="423"/>
      <c r="M416" s="423"/>
      <c r="N416" s="423"/>
      <c r="O416" s="423"/>
      <c r="P416" s="423"/>
      <c r="Q416" s="423"/>
      <c r="R416" s="423"/>
      <c r="S416" s="423"/>
      <c r="T416" s="423"/>
      <c r="U416" s="423"/>
      <c r="V416" s="423"/>
      <c r="W416" s="423"/>
    </row>
    <row r="417">
      <c r="A417" s="766"/>
      <c r="B417" s="717"/>
      <c r="C417" s="763"/>
      <c r="D417" s="763"/>
      <c r="E417" s="423"/>
      <c r="F417" s="764"/>
      <c r="G417" s="765"/>
      <c r="H417" s="423"/>
      <c r="I417" s="765"/>
      <c r="J417" s="728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</row>
    <row r="418">
      <c r="A418" s="766"/>
      <c r="B418" s="717"/>
      <c r="C418" s="763"/>
      <c r="D418" s="763"/>
      <c r="E418" s="423"/>
      <c r="F418" s="764"/>
      <c r="G418" s="765"/>
      <c r="H418" s="423"/>
      <c r="I418" s="765"/>
      <c r="J418" s="728"/>
      <c r="K418" s="423"/>
      <c r="L418" s="423"/>
      <c r="M418" s="423"/>
      <c r="N418" s="423"/>
      <c r="O418" s="423"/>
      <c r="P418" s="423"/>
      <c r="Q418" s="423"/>
      <c r="R418" s="423"/>
      <c r="S418" s="423"/>
      <c r="T418" s="423"/>
      <c r="U418" s="423"/>
      <c r="V418" s="423"/>
      <c r="W418" s="423"/>
    </row>
    <row r="419">
      <c r="A419" s="766"/>
      <c r="B419" s="717"/>
      <c r="C419" s="763"/>
      <c r="D419" s="763"/>
      <c r="E419" s="423"/>
      <c r="F419" s="764"/>
      <c r="G419" s="765"/>
      <c r="H419" s="423"/>
      <c r="I419" s="765"/>
      <c r="J419" s="728"/>
      <c r="K419" s="423"/>
      <c r="L419" s="423"/>
      <c r="M419" s="423"/>
      <c r="N419" s="423"/>
      <c r="O419" s="423"/>
      <c r="P419" s="423"/>
      <c r="Q419" s="423"/>
      <c r="R419" s="423"/>
      <c r="S419" s="423"/>
      <c r="T419" s="423"/>
      <c r="U419" s="423"/>
      <c r="V419" s="423"/>
      <c r="W419" s="423"/>
    </row>
    <row r="420">
      <c r="A420" s="766"/>
      <c r="B420" s="717"/>
      <c r="C420" s="763"/>
      <c r="D420" s="763"/>
      <c r="E420" s="423"/>
      <c r="F420" s="764"/>
      <c r="G420" s="765"/>
      <c r="H420" s="423"/>
      <c r="I420" s="765"/>
      <c r="J420" s="728"/>
      <c r="K420" s="423"/>
      <c r="L420" s="423"/>
      <c r="M420" s="423"/>
      <c r="N420" s="423"/>
      <c r="O420" s="423"/>
      <c r="P420" s="423"/>
      <c r="Q420" s="423"/>
      <c r="R420" s="423"/>
      <c r="S420" s="423"/>
      <c r="T420" s="423"/>
      <c r="U420" s="423"/>
      <c r="V420" s="423"/>
      <c r="W420" s="423"/>
    </row>
    <row r="421">
      <c r="A421" s="766"/>
      <c r="B421" s="717"/>
      <c r="C421" s="763"/>
      <c r="D421" s="763"/>
      <c r="E421" s="423"/>
      <c r="F421" s="764"/>
      <c r="G421" s="765"/>
      <c r="H421" s="423"/>
      <c r="I421" s="765"/>
      <c r="J421" s="728"/>
      <c r="K421" s="423"/>
      <c r="L421" s="423"/>
      <c r="M421" s="423"/>
      <c r="N421" s="423"/>
      <c r="O421" s="423"/>
      <c r="P421" s="423"/>
      <c r="Q421" s="423"/>
      <c r="R421" s="423"/>
      <c r="S421" s="423"/>
      <c r="T421" s="423"/>
      <c r="U421" s="423"/>
      <c r="V421" s="423"/>
      <c r="W421" s="423"/>
    </row>
    <row r="422">
      <c r="A422" s="766"/>
      <c r="B422" s="717"/>
      <c r="C422" s="763"/>
      <c r="D422" s="763"/>
      <c r="E422" s="423"/>
      <c r="F422" s="764"/>
      <c r="G422" s="765"/>
      <c r="H422" s="423"/>
      <c r="I422" s="765"/>
      <c r="J422" s="728"/>
      <c r="K422" s="423"/>
      <c r="L422" s="423"/>
      <c r="M422" s="423"/>
      <c r="N422" s="423"/>
      <c r="O422" s="423"/>
      <c r="P422" s="423"/>
      <c r="Q422" s="423"/>
      <c r="R422" s="423"/>
      <c r="S422" s="423"/>
      <c r="T422" s="423"/>
      <c r="U422" s="423"/>
      <c r="V422" s="423"/>
      <c r="W422" s="423"/>
    </row>
    <row r="423">
      <c r="A423" s="766"/>
      <c r="B423" s="717"/>
      <c r="C423" s="763"/>
      <c r="D423" s="763"/>
      <c r="E423" s="423"/>
      <c r="F423" s="764"/>
      <c r="G423" s="765"/>
      <c r="H423" s="423"/>
      <c r="I423" s="765"/>
      <c r="J423" s="728"/>
      <c r="K423" s="423"/>
      <c r="L423" s="423"/>
      <c r="M423" s="423"/>
      <c r="N423" s="423"/>
      <c r="O423" s="423"/>
      <c r="P423" s="423"/>
      <c r="Q423" s="423"/>
      <c r="R423" s="423"/>
      <c r="S423" s="423"/>
      <c r="T423" s="423"/>
      <c r="U423" s="423"/>
      <c r="V423" s="423"/>
      <c r="W423" s="423"/>
    </row>
    <row r="424">
      <c r="A424" s="766"/>
      <c r="B424" s="717"/>
      <c r="C424" s="763"/>
      <c r="D424" s="763"/>
      <c r="E424" s="423"/>
      <c r="F424" s="764"/>
      <c r="G424" s="765"/>
      <c r="H424" s="423"/>
      <c r="I424" s="765"/>
      <c r="J424" s="728"/>
      <c r="K424" s="423"/>
      <c r="L424" s="423"/>
      <c r="M424" s="423"/>
      <c r="N424" s="423"/>
      <c r="O424" s="423"/>
      <c r="P424" s="423"/>
      <c r="Q424" s="423"/>
      <c r="R424" s="423"/>
      <c r="S424" s="423"/>
      <c r="T424" s="423"/>
      <c r="U424" s="423"/>
      <c r="V424" s="423"/>
      <c r="W424" s="423"/>
    </row>
    <row r="425">
      <c r="A425" s="766"/>
      <c r="B425" s="717"/>
      <c r="C425" s="763"/>
      <c r="D425" s="763"/>
      <c r="E425" s="423"/>
      <c r="F425" s="764"/>
      <c r="G425" s="765"/>
      <c r="H425" s="423"/>
      <c r="I425" s="765"/>
      <c r="J425" s="728"/>
      <c r="K425" s="423"/>
      <c r="L425" s="423"/>
      <c r="M425" s="423"/>
      <c r="N425" s="423"/>
      <c r="O425" s="423"/>
      <c r="P425" s="423"/>
      <c r="Q425" s="423"/>
      <c r="R425" s="423"/>
      <c r="S425" s="423"/>
      <c r="T425" s="423"/>
      <c r="U425" s="423"/>
      <c r="V425" s="423"/>
      <c r="W425" s="423"/>
    </row>
    <row r="426">
      <c r="A426" s="766"/>
      <c r="B426" s="717"/>
      <c r="C426" s="763"/>
      <c r="D426" s="763"/>
      <c r="E426" s="423"/>
      <c r="F426" s="764"/>
      <c r="G426" s="765"/>
      <c r="H426" s="423"/>
      <c r="I426" s="765"/>
      <c r="J426" s="728"/>
      <c r="K426" s="423"/>
      <c r="L426" s="423"/>
      <c r="M426" s="423"/>
      <c r="N426" s="423"/>
      <c r="O426" s="423"/>
      <c r="P426" s="423"/>
      <c r="Q426" s="423"/>
      <c r="R426" s="423"/>
      <c r="S426" s="423"/>
      <c r="T426" s="423"/>
      <c r="U426" s="423"/>
      <c r="V426" s="423"/>
      <c r="W426" s="423"/>
    </row>
    <row r="427">
      <c r="A427" s="766"/>
      <c r="B427" s="717"/>
      <c r="C427" s="763"/>
      <c r="D427" s="763"/>
      <c r="E427" s="423"/>
      <c r="F427" s="764"/>
      <c r="G427" s="765"/>
      <c r="H427" s="423"/>
      <c r="I427" s="765"/>
      <c r="J427" s="728"/>
      <c r="K427" s="423"/>
      <c r="L427" s="423"/>
      <c r="M427" s="423"/>
      <c r="N427" s="423"/>
      <c r="O427" s="423"/>
      <c r="P427" s="423"/>
      <c r="Q427" s="423"/>
      <c r="R427" s="423"/>
      <c r="S427" s="423"/>
      <c r="T427" s="423"/>
      <c r="U427" s="423"/>
      <c r="V427" s="423"/>
      <c r="W427" s="423"/>
    </row>
    <row r="428">
      <c r="A428" s="766"/>
      <c r="B428" s="717"/>
      <c r="C428" s="763"/>
      <c r="D428" s="763"/>
      <c r="E428" s="423"/>
      <c r="F428" s="764"/>
      <c r="G428" s="765"/>
      <c r="H428" s="423"/>
      <c r="I428" s="765"/>
      <c r="J428" s="728"/>
      <c r="K428" s="423"/>
      <c r="L428" s="423"/>
      <c r="M428" s="423"/>
      <c r="N428" s="423"/>
      <c r="O428" s="423"/>
      <c r="P428" s="423"/>
      <c r="Q428" s="423"/>
      <c r="R428" s="423"/>
      <c r="S428" s="423"/>
      <c r="T428" s="423"/>
      <c r="U428" s="423"/>
      <c r="V428" s="423"/>
      <c r="W428" s="423"/>
    </row>
    <row r="429">
      <c r="A429" s="766"/>
      <c r="B429" s="717"/>
      <c r="C429" s="763"/>
      <c r="D429" s="763"/>
      <c r="E429" s="423"/>
      <c r="F429" s="764"/>
      <c r="G429" s="765"/>
      <c r="H429" s="423"/>
      <c r="I429" s="765"/>
      <c r="J429" s="728"/>
      <c r="K429" s="423"/>
      <c r="L429" s="423"/>
      <c r="M429" s="423"/>
      <c r="N429" s="423"/>
      <c r="O429" s="423"/>
      <c r="P429" s="423"/>
      <c r="Q429" s="423"/>
      <c r="R429" s="423"/>
      <c r="S429" s="423"/>
      <c r="T429" s="423"/>
      <c r="U429" s="423"/>
      <c r="V429" s="423"/>
      <c r="W429" s="423"/>
    </row>
    <row r="430">
      <c r="A430" s="766"/>
      <c r="B430" s="717"/>
      <c r="C430" s="763"/>
      <c r="D430" s="763"/>
      <c r="E430" s="423"/>
      <c r="F430" s="764"/>
      <c r="G430" s="765"/>
      <c r="H430" s="423"/>
      <c r="I430" s="765"/>
      <c r="J430" s="728"/>
      <c r="K430" s="423"/>
      <c r="L430" s="423"/>
      <c r="M430" s="423"/>
      <c r="N430" s="423"/>
      <c r="O430" s="423"/>
      <c r="P430" s="423"/>
      <c r="Q430" s="423"/>
      <c r="R430" s="423"/>
      <c r="S430" s="423"/>
      <c r="T430" s="423"/>
      <c r="U430" s="423"/>
      <c r="V430" s="423"/>
      <c r="W430" s="423"/>
    </row>
    <row r="431">
      <c r="A431" s="766"/>
      <c r="B431" s="717"/>
      <c r="C431" s="763"/>
      <c r="D431" s="763"/>
      <c r="E431" s="423"/>
      <c r="F431" s="764"/>
      <c r="G431" s="765"/>
      <c r="H431" s="423"/>
      <c r="I431" s="765"/>
      <c r="J431" s="728"/>
      <c r="K431" s="423"/>
      <c r="L431" s="423"/>
      <c r="M431" s="423"/>
      <c r="N431" s="423"/>
      <c r="O431" s="423"/>
      <c r="P431" s="423"/>
      <c r="Q431" s="423"/>
      <c r="R431" s="423"/>
      <c r="S431" s="423"/>
      <c r="T431" s="423"/>
      <c r="U431" s="423"/>
      <c r="V431" s="423"/>
      <c r="W431" s="423"/>
    </row>
    <row r="432">
      <c r="A432" s="766"/>
      <c r="B432" s="717"/>
      <c r="C432" s="763"/>
      <c r="D432" s="763"/>
      <c r="E432" s="423"/>
      <c r="F432" s="764"/>
      <c r="G432" s="765"/>
      <c r="H432" s="423"/>
      <c r="I432" s="765"/>
      <c r="J432" s="728"/>
      <c r="K432" s="423"/>
      <c r="L432" s="423"/>
      <c r="M432" s="423"/>
      <c r="N432" s="423"/>
      <c r="O432" s="423"/>
      <c r="P432" s="423"/>
      <c r="Q432" s="423"/>
      <c r="R432" s="423"/>
      <c r="S432" s="423"/>
      <c r="T432" s="423"/>
      <c r="U432" s="423"/>
      <c r="V432" s="423"/>
      <c r="W432" s="423"/>
    </row>
    <row r="433">
      <c r="A433" s="766"/>
      <c r="B433" s="717"/>
      <c r="C433" s="763"/>
      <c r="D433" s="763"/>
      <c r="E433" s="423"/>
      <c r="F433" s="764"/>
      <c r="G433" s="765"/>
      <c r="H433" s="423"/>
      <c r="I433" s="765"/>
      <c r="J433" s="728"/>
      <c r="K433" s="423"/>
      <c r="L433" s="423"/>
      <c r="M433" s="423"/>
      <c r="N433" s="423"/>
      <c r="O433" s="423"/>
      <c r="P433" s="423"/>
      <c r="Q433" s="423"/>
      <c r="R433" s="423"/>
      <c r="S433" s="423"/>
      <c r="T433" s="423"/>
      <c r="U433" s="423"/>
      <c r="V433" s="423"/>
      <c r="W433" s="423"/>
    </row>
    <row r="434">
      <c r="A434" s="766"/>
      <c r="B434" s="717"/>
      <c r="C434" s="763"/>
      <c r="D434" s="763"/>
      <c r="E434" s="423"/>
      <c r="F434" s="764"/>
      <c r="G434" s="765"/>
      <c r="H434" s="423"/>
      <c r="I434" s="765"/>
      <c r="J434" s="728"/>
      <c r="K434" s="423"/>
      <c r="L434" s="423"/>
      <c r="M434" s="423"/>
      <c r="N434" s="423"/>
      <c r="O434" s="423"/>
      <c r="P434" s="423"/>
      <c r="Q434" s="423"/>
      <c r="R434" s="423"/>
      <c r="S434" s="423"/>
      <c r="T434" s="423"/>
      <c r="U434" s="423"/>
      <c r="V434" s="423"/>
      <c r="W434" s="423"/>
    </row>
    <row r="435">
      <c r="A435" s="766"/>
      <c r="B435" s="717"/>
      <c r="C435" s="763"/>
      <c r="D435" s="763"/>
      <c r="E435" s="423"/>
      <c r="F435" s="764"/>
      <c r="G435" s="765"/>
      <c r="H435" s="423"/>
      <c r="I435" s="765"/>
      <c r="J435" s="728"/>
      <c r="K435" s="423"/>
      <c r="L435" s="423"/>
      <c r="M435" s="423"/>
      <c r="N435" s="423"/>
      <c r="O435" s="423"/>
      <c r="P435" s="423"/>
      <c r="Q435" s="423"/>
      <c r="R435" s="423"/>
      <c r="S435" s="423"/>
      <c r="T435" s="423"/>
      <c r="U435" s="423"/>
      <c r="V435" s="423"/>
      <c r="W435" s="423"/>
    </row>
    <row r="436">
      <c r="A436" s="766"/>
      <c r="B436" s="717"/>
      <c r="C436" s="763"/>
      <c r="D436" s="763"/>
      <c r="E436" s="423"/>
      <c r="F436" s="764"/>
      <c r="G436" s="765"/>
      <c r="H436" s="423"/>
      <c r="I436" s="765"/>
      <c r="J436" s="728"/>
      <c r="K436" s="423"/>
      <c r="L436" s="423"/>
      <c r="M436" s="423"/>
      <c r="N436" s="423"/>
      <c r="O436" s="423"/>
      <c r="P436" s="423"/>
      <c r="Q436" s="423"/>
      <c r="R436" s="423"/>
      <c r="S436" s="423"/>
      <c r="T436" s="423"/>
      <c r="U436" s="423"/>
      <c r="V436" s="423"/>
      <c r="W436" s="423"/>
    </row>
    <row r="437">
      <c r="A437" s="766"/>
      <c r="B437" s="717"/>
      <c r="C437" s="763"/>
      <c r="D437" s="763"/>
      <c r="E437" s="423"/>
      <c r="F437" s="764"/>
      <c r="G437" s="765"/>
      <c r="H437" s="423"/>
      <c r="I437" s="765"/>
      <c r="J437" s="728"/>
      <c r="K437" s="423"/>
      <c r="L437" s="423"/>
      <c r="M437" s="423"/>
      <c r="N437" s="423"/>
      <c r="O437" s="423"/>
      <c r="P437" s="423"/>
      <c r="Q437" s="423"/>
      <c r="R437" s="423"/>
      <c r="S437" s="423"/>
      <c r="T437" s="423"/>
      <c r="U437" s="423"/>
      <c r="V437" s="423"/>
      <c r="W437" s="423"/>
    </row>
    <row r="438">
      <c r="A438" s="766"/>
      <c r="B438" s="717"/>
      <c r="C438" s="763"/>
      <c r="D438" s="763"/>
      <c r="E438" s="423"/>
      <c r="F438" s="764"/>
      <c r="G438" s="765"/>
      <c r="H438" s="423"/>
      <c r="I438" s="765"/>
      <c r="J438" s="728"/>
      <c r="K438" s="423"/>
      <c r="L438" s="423"/>
      <c r="M438" s="423"/>
      <c r="N438" s="423"/>
      <c r="O438" s="423"/>
      <c r="P438" s="423"/>
      <c r="Q438" s="423"/>
      <c r="R438" s="423"/>
      <c r="S438" s="423"/>
      <c r="T438" s="423"/>
      <c r="U438" s="423"/>
      <c r="V438" s="423"/>
      <c r="W438" s="423"/>
    </row>
    <row r="439">
      <c r="A439" s="766"/>
      <c r="B439" s="717"/>
      <c r="C439" s="763"/>
      <c r="D439" s="763"/>
      <c r="E439" s="423"/>
      <c r="F439" s="764"/>
      <c r="G439" s="765"/>
      <c r="H439" s="423"/>
      <c r="I439" s="765"/>
      <c r="J439" s="728"/>
      <c r="K439" s="423"/>
      <c r="L439" s="423"/>
      <c r="M439" s="423"/>
      <c r="N439" s="423"/>
      <c r="O439" s="423"/>
      <c r="P439" s="423"/>
      <c r="Q439" s="423"/>
      <c r="R439" s="423"/>
      <c r="S439" s="423"/>
      <c r="T439" s="423"/>
      <c r="U439" s="423"/>
      <c r="V439" s="423"/>
      <c r="W439" s="423"/>
    </row>
    <row r="440">
      <c r="A440" s="766"/>
      <c r="B440" s="717"/>
      <c r="C440" s="763"/>
      <c r="D440" s="763"/>
      <c r="E440" s="423"/>
      <c r="F440" s="764"/>
      <c r="G440" s="765"/>
      <c r="H440" s="423"/>
      <c r="I440" s="765"/>
      <c r="J440" s="728"/>
      <c r="K440" s="423"/>
      <c r="L440" s="423"/>
      <c r="M440" s="423"/>
      <c r="N440" s="423"/>
      <c r="O440" s="423"/>
      <c r="P440" s="423"/>
      <c r="Q440" s="423"/>
      <c r="R440" s="423"/>
      <c r="S440" s="423"/>
      <c r="T440" s="423"/>
      <c r="U440" s="423"/>
      <c r="V440" s="423"/>
      <c r="W440" s="423"/>
    </row>
    <row r="441">
      <c r="A441" s="766"/>
      <c r="B441" s="717"/>
      <c r="C441" s="763"/>
      <c r="D441" s="763"/>
      <c r="E441" s="423"/>
      <c r="F441" s="764"/>
      <c r="G441" s="765"/>
      <c r="H441" s="423"/>
      <c r="I441" s="765"/>
      <c r="J441" s="728"/>
      <c r="K441" s="423"/>
      <c r="L441" s="423"/>
      <c r="M441" s="423"/>
      <c r="N441" s="423"/>
      <c r="O441" s="423"/>
      <c r="P441" s="423"/>
      <c r="Q441" s="423"/>
      <c r="R441" s="423"/>
      <c r="S441" s="423"/>
      <c r="T441" s="423"/>
      <c r="U441" s="423"/>
      <c r="V441" s="423"/>
      <c r="W441" s="423"/>
    </row>
    <row r="442">
      <c r="A442" s="766"/>
      <c r="B442" s="717"/>
      <c r="C442" s="763"/>
      <c r="D442" s="763"/>
      <c r="E442" s="423"/>
      <c r="F442" s="764"/>
      <c r="G442" s="765"/>
      <c r="H442" s="423"/>
      <c r="I442" s="765"/>
      <c r="J442" s="728"/>
      <c r="K442" s="423"/>
      <c r="L442" s="423"/>
      <c r="M442" s="423"/>
      <c r="N442" s="423"/>
      <c r="O442" s="423"/>
      <c r="P442" s="423"/>
      <c r="Q442" s="423"/>
      <c r="R442" s="423"/>
      <c r="S442" s="423"/>
      <c r="T442" s="423"/>
      <c r="U442" s="423"/>
      <c r="V442" s="423"/>
      <c r="W442" s="423"/>
    </row>
    <row r="443">
      <c r="A443" s="766"/>
      <c r="B443" s="717"/>
      <c r="C443" s="763"/>
      <c r="D443" s="763"/>
      <c r="E443" s="423"/>
      <c r="F443" s="764"/>
      <c r="G443" s="765"/>
      <c r="H443" s="423"/>
      <c r="I443" s="765"/>
      <c r="J443" s="728"/>
      <c r="K443" s="423"/>
      <c r="L443" s="423"/>
      <c r="M443" s="423"/>
      <c r="N443" s="423"/>
      <c r="O443" s="423"/>
      <c r="P443" s="423"/>
      <c r="Q443" s="423"/>
      <c r="R443" s="423"/>
      <c r="S443" s="423"/>
      <c r="T443" s="423"/>
      <c r="U443" s="423"/>
      <c r="V443" s="423"/>
      <c r="W443" s="423"/>
    </row>
    <row r="444">
      <c r="A444" s="766"/>
      <c r="B444" s="717"/>
      <c r="C444" s="763"/>
      <c r="D444" s="763"/>
      <c r="E444" s="423"/>
      <c r="F444" s="764"/>
      <c r="G444" s="765"/>
      <c r="H444" s="423"/>
      <c r="I444" s="765"/>
      <c r="J444" s="728"/>
      <c r="K444" s="423"/>
      <c r="L444" s="423"/>
      <c r="M444" s="423"/>
      <c r="N444" s="423"/>
      <c r="O444" s="423"/>
      <c r="P444" s="423"/>
      <c r="Q444" s="423"/>
      <c r="R444" s="423"/>
      <c r="S444" s="423"/>
      <c r="T444" s="423"/>
      <c r="U444" s="423"/>
      <c r="V444" s="423"/>
      <c r="W444" s="423"/>
    </row>
    <row r="445">
      <c r="A445" s="766"/>
      <c r="B445" s="717"/>
      <c r="C445" s="763"/>
      <c r="D445" s="763"/>
      <c r="E445" s="423"/>
      <c r="F445" s="764"/>
      <c r="G445" s="765"/>
      <c r="H445" s="423"/>
      <c r="I445" s="765"/>
      <c r="J445" s="728"/>
      <c r="K445" s="423"/>
      <c r="L445" s="423"/>
      <c r="M445" s="423"/>
      <c r="N445" s="423"/>
      <c r="O445" s="423"/>
      <c r="P445" s="423"/>
      <c r="Q445" s="423"/>
      <c r="R445" s="423"/>
      <c r="S445" s="423"/>
      <c r="T445" s="423"/>
      <c r="U445" s="423"/>
      <c r="V445" s="423"/>
      <c r="W445" s="423"/>
    </row>
    <row r="446">
      <c r="A446" s="766"/>
      <c r="B446" s="717"/>
      <c r="C446" s="763"/>
      <c r="D446" s="763"/>
      <c r="E446" s="423"/>
      <c r="F446" s="764"/>
      <c r="G446" s="765"/>
      <c r="H446" s="423"/>
      <c r="I446" s="765"/>
      <c r="J446" s="728"/>
      <c r="K446" s="423"/>
      <c r="L446" s="423"/>
      <c r="M446" s="423"/>
      <c r="N446" s="423"/>
      <c r="O446" s="423"/>
      <c r="P446" s="423"/>
      <c r="Q446" s="423"/>
      <c r="R446" s="423"/>
      <c r="S446" s="423"/>
      <c r="T446" s="423"/>
      <c r="U446" s="423"/>
      <c r="V446" s="423"/>
      <c r="W446" s="423"/>
    </row>
    <row r="447">
      <c r="A447" s="766"/>
      <c r="B447" s="717"/>
      <c r="C447" s="763"/>
      <c r="D447" s="763"/>
      <c r="E447" s="423"/>
      <c r="F447" s="764"/>
      <c r="G447" s="765"/>
      <c r="H447" s="423"/>
      <c r="I447" s="765"/>
      <c r="J447" s="728"/>
      <c r="K447" s="423"/>
      <c r="L447" s="423"/>
      <c r="M447" s="423"/>
      <c r="N447" s="423"/>
      <c r="O447" s="423"/>
      <c r="P447" s="423"/>
      <c r="Q447" s="423"/>
      <c r="R447" s="423"/>
      <c r="S447" s="423"/>
      <c r="T447" s="423"/>
      <c r="U447" s="423"/>
      <c r="V447" s="423"/>
      <c r="W447" s="423"/>
    </row>
    <row r="448">
      <c r="A448" s="766"/>
      <c r="B448" s="717"/>
      <c r="C448" s="763"/>
      <c r="D448" s="763"/>
      <c r="E448" s="423"/>
      <c r="F448" s="764"/>
      <c r="G448" s="765"/>
      <c r="H448" s="423"/>
      <c r="I448" s="765"/>
      <c r="J448" s="728"/>
      <c r="K448" s="423"/>
      <c r="L448" s="423"/>
      <c r="M448" s="423"/>
      <c r="N448" s="423"/>
      <c r="O448" s="423"/>
      <c r="P448" s="423"/>
      <c r="Q448" s="423"/>
      <c r="R448" s="423"/>
      <c r="S448" s="423"/>
      <c r="T448" s="423"/>
      <c r="U448" s="423"/>
      <c r="V448" s="423"/>
      <c r="W448" s="423"/>
    </row>
    <row r="449">
      <c r="A449" s="766"/>
      <c r="B449" s="717"/>
      <c r="C449" s="763"/>
      <c r="D449" s="763"/>
      <c r="E449" s="423"/>
      <c r="F449" s="764"/>
      <c r="G449" s="765"/>
      <c r="H449" s="423"/>
      <c r="I449" s="765"/>
      <c r="J449" s="728"/>
      <c r="K449" s="423"/>
      <c r="L449" s="423"/>
      <c r="M449" s="423"/>
      <c r="N449" s="423"/>
      <c r="O449" s="423"/>
      <c r="P449" s="423"/>
      <c r="Q449" s="423"/>
      <c r="R449" s="423"/>
      <c r="S449" s="423"/>
      <c r="T449" s="423"/>
      <c r="U449" s="423"/>
      <c r="V449" s="423"/>
      <c r="W449" s="423"/>
    </row>
    <row r="450">
      <c r="A450" s="766"/>
      <c r="B450" s="717"/>
      <c r="C450" s="763"/>
      <c r="D450" s="763"/>
      <c r="E450" s="423"/>
      <c r="F450" s="764"/>
      <c r="G450" s="765"/>
      <c r="H450" s="423"/>
      <c r="I450" s="765"/>
      <c r="J450" s="728"/>
      <c r="K450" s="423"/>
      <c r="L450" s="423"/>
      <c r="M450" s="423"/>
      <c r="N450" s="423"/>
      <c r="O450" s="423"/>
      <c r="P450" s="423"/>
      <c r="Q450" s="423"/>
      <c r="R450" s="423"/>
      <c r="S450" s="423"/>
      <c r="T450" s="423"/>
      <c r="U450" s="423"/>
      <c r="V450" s="423"/>
      <c r="W450" s="423"/>
    </row>
    <row r="451">
      <c r="A451" s="766"/>
      <c r="B451" s="717"/>
      <c r="C451" s="763"/>
      <c r="D451" s="763"/>
      <c r="E451" s="423"/>
      <c r="F451" s="764"/>
      <c r="G451" s="765"/>
      <c r="H451" s="423"/>
      <c r="I451" s="765"/>
      <c r="J451" s="728"/>
      <c r="K451" s="423"/>
      <c r="L451" s="423"/>
      <c r="M451" s="423"/>
      <c r="N451" s="423"/>
      <c r="O451" s="423"/>
      <c r="P451" s="423"/>
      <c r="Q451" s="423"/>
      <c r="R451" s="423"/>
      <c r="S451" s="423"/>
      <c r="T451" s="423"/>
      <c r="U451" s="423"/>
      <c r="V451" s="423"/>
      <c r="W451" s="423"/>
    </row>
    <row r="452">
      <c r="A452" s="766"/>
      <c r="B452" s="717"/>
      <c r="C452" s="763"/>
      <c r="D452" s="763"/>
      <c r="E452" s="423"/>
      <c r="F452" s="764"/>
      <c r="G452" s="765"/>
      <c r="H452" s="423"/>
      <c r="I452" s="765"/>
      <c r="J452" s="728"/>
      <c r="K452" s="423"/>
      <c r="L452" s="423"/>
      <c r="M452" s="423"/>
      <c r="N452" s="423"/>
      <c r="O452" s="423"/>
      <c r="P452" s="423"/>
      <c r="Q452" s="423"/>
      <c r="R452" s="423"/>
      <c r="S452" s="423"/>
      <c r="T452" s="423"/>
      <c r="U452" s="423"/>
      <c r="V452" s="423"/>
      <c r="W452" s="423"/>
    </row>
    <row r="453">
      <c r="A453" s="766"/>
      <c r="B453" s="717"/>
      <c r="C453" s="763"/>
      <c r="D453" s="763"/>
      <c r="E453" s="423"/>
      <c r="F453" s="764"/>
      <c r="G453" s="765"/>
      <c r="H453" s="423"/>
      <c r="I453" s="765"/>
      <c r="J453" s="728"/>
      <c r="K453" s="423"/>
      <c r="L453" s="423"/>
      <c r="M453" s="423"/>
      <c r="N453" s="423"/>
      <c r="O453" s="423"/>
      <c r="P453" s="423"/>
      <c r="Q453" s="423"/>
      <c r="R453" s="423"/>
      <c r="S453" s="423"/>
      <c r="T453" s="423"/>
      <c r="U453" s="423"/>
      <c r="V453" s="423"/>
      <c r="W453" s="423"/>
    </row>
    <row r="454">
      <c r="A454" s="766"/>
      <c r="B454" s="717"/>
      <c r="C454" s="763"/>
      <c r="D454" s="763"/>
      <c r="E454" s="423"/>
      <c r="F454" s="764"/>
      <c r="G454" s="765"/>
      <c r="H454" s="423"/>
      <c r="I454" s="765"/>
      <c r="J454" s="728"/>
      <c r="K454" s="423"/>
      <c r="L454" s="423"/>
      <c r="M454" s="423"/>
      <c r="N454" s="423"/>
      <c r="O454" s="423"/>
      <c r="P454" s="423"/>
      <c r="Q454" s="423"/>
      <c r="R454" s="423"/>
      <c r="S454" s="423"/>
      <c r="T454" s="423"/>
      <c r="U454" s="423"/>
      <c r="V454" s="423"/>
      <c r="W454" s="423"/>
    </row>
    <row r="455">
      <c r="A455" s="766"/>
      <c r="B455" s="717"/>
      <c r="C455" s="763"/>
      <c r="D455" s="763"/>
      <c r="E455" s="423"/>
      <c r="F455" s="764"/>
      <c r="G455" s="765"/>
      <c r="H455" s="423"/>
      <c r="I455" s="765"/>
      <c r="J455" s="728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</row>
    <row r="456">
      <c r="A456" s="766"/>
      <c r="B456" s="717"/>
      <c r="C456" s="763"/>
      <c r="D456" s="763"/>
      <c r="E456" s="423"/>
      <c r="F456" s="764"/>
      <c r="G456" s="765"/>
      <c r="H456" s="423"/>
      <c r="I456" s="765"/>
      <c r="J456" s="728"/>
      <c r="K456" s="423"/>
      <c r="L456" s="423"/>
      <c r="M456" s="423"/>
      <c r="N456" s="423"/>
      <c r="O456" s="423"/>
      <c r="P456" s="423"/>
      <c r="Q456" s="423"/>
      <c r="R456" s="423"/>
      <c r="S456" s="423"/>
      <c r="T456" s="423"/>
      <c r="U456" s="423"/>
      <c r="V456" s="423"/>
      <c r="W456" s="423"/>
    </row>
    <row r="457">
      <c r="A457" s="766"/>
      <c r="B457" s="717"/>
      <c r="C457" s="763"/>
      <c r="D457" s="763"/>
      <c r="E457" s="423"/>
      <c r="F457" s="764"/>
      <c r="G457" s="765"/>
      <c r="H457" s="423"/>
      <c r="I457" s="765"/>
      <c r="J457" s="728"/>
      <c r="K457" s="423"/>
      <c r="L457" s="423"/>
      <c r="M457" s="423"/>
      <c r="N457" s="423"/>
      <c r="O457" s="423"/>
      <c r="P457" s="423"/>
      <c r="Q457" s="423"/>
      <c r="R457" s="423"/>
      <c r="S457" s="423"/>
      <c r="T457" s="423"/>
      <c r="U457" s="423"/>
      <c r="V457" s="423"/>
      <c r="W457" s="423"/>
    </row>
    <row r="458">
      <c r="A458" s="766"/>
      <c r="B458" s="717"/>
      <c r="C458" s="763"/>
      <c r="D458" s="763"/>
      <c r="E458" s="423"/>
      <c r="F458" s="764"/>
      <c r="G458" s="765"/>
      <c r="H458" s="423"/>
      <c r="I458" s="765"/>
      <c r="J458" s="728"/>
      <c r="K458" s="423"/>
      <c r="L458" s="423"/>
      <c r="M458" s="423"/>
      <c r="N458" s="423"/>
      <c r="O458" s="423"/>
      <c r="P458" s="423"/>
      <c r="Q458" s="423"/>
      <c r="R458" s="423"/>
      <c r="S458" s="423"/>
      <c r="T458" s="423"/>
      <c r="U458" s="423"/>
      <c r="V458" s="423"/>
      <c r="W458" s="423"/>
    </row>
    <row r="459">
      <c r="A459" s="766"/>
      <c r="B459" s="717"/>
      <c r="C459" s="763"/>
      <c r="D459" s="763"/>
      <c r="E459" s="423"/>
      <c r="F459" s="764"/>
      <c r="G459" s="765"/>
      <c r="H459" s="423"/>
      <c r="I459" s="765"/>
      <c r="J459" s="728"/>
      <c r="K459" s="423"/>
      <c r="L459" s="423"/>
      <c r="M459" s="423"/>
      <c r="N459" s="423"/>
      <c r="O459" s="423"/>
      <c r="P459" s="423"/>
      <c r="Q459" s="423"/>
      <c r="R459" s="423"/>
      <c r="S459" s="423"/>
      <c r="T459" s="423"/>
      <c r="U459" s="423"/>
      <c r="V459" s="423"/>
      <c r="W459" s="423"/>
    </row>
    <row r="460">
      <c r="A460" s="766"/>
      <c r="B460" s="717"/>
      <c r="C460" s="763"/>
      <c r="D460" s="763"/>
      <c r="E460" s="423"/>
      <c r="F460" s="764"/>
      <c r="G460" s="765"/>
      <c r="H460" s="423"/>
      <c r="I460" s="765"/>
      <c r="J460" s="728"/>
      <c r="K460" s="423"/>
      <c r="L460" s="423"/>
      <c r="M460" s="423"/>
      <c r="N460" s="423"/>
      <c r="O460" s="423"/>
      <c r="P460" s="423"/>
      <c r="Q460" s="423"/>
      <c r="R460" s="423"/>
      <c r="S460" s="423"/>
      <c r="T460" s="423"/>
      <c r="U460" s="423"/>
      <c r="V460" s="423"/>
      <c r="W460" s="423"/>
    </row>
    <row r="461">
      <c r="A461" s="766"/>
      <c r="B461" s="717"/>
      <c r="C461" s="763"/>
      <c r="D461" s="763"/>
      <c r="E461" s="423"/>
      <c r="F461" s="764"/>
      <c r="G461" s="765"/>
      <c r="H461" s="423"/>
      <c r="I461" s="765"/>
      <c r="J461" s="728"/>
      <c r="K461" s="423"/>
      <c r="L461" s="423"/>
      <c r="M461" s="423"/>
      <c r="N461" s="423"/>
      <c r="O461" s="423"/>
      <c r="P461" s="423"/>
      <c r="Q461" s="423"/>
      <c r="R461" s="423"/>
      <c r="S461" s="423"/>
      <c r="T461" s="423"/>
      <c r="U461" s="423"/>
      <c r="V461" s="423"/>
      <c r="W461" s="423"/>
    </row>
    <row r="462">
      <c r="A462" s="766"/>
      <c r="B462" s="717"/>
      <c r="C462" s="763"/>
      <c r="D462" s="763"/>
      <c r="E462" s="423"/>
      <c r="F462" s="764"/>
      <c r="G462" s="765"/>
      <c r="H462" s="423"/>
      <c r="I462" s="765"/>
      <c r="J462" s="728"/>
      <c r="K462" s="423"/>
      <c r="L462" s="423"/>
      <c r="M462" s="423"/>
      <c r="N462" s="423"/>
      <c r="O462" s="423"/>
      <c r="P462" s="423"/>
      <c r="Q462" s="423"/>
      <c r="R462" s="423"/>
      <c r="S462" s="423"/>
      <c r="T462" s="423"/>
      <c r="U462" s="423"/>
      <c r="V462" s="423"/>
      <c r="W462" s="423"/>
    </row>
    <row r="463">
      <c r="A463" s="766"/>
      <c r="B463" s="717"/>
      <c r="C463" s="763"/>
      <c r="D463" s="763"/>
      <c r="E463" s="423"/>
      <c r="F463" s="764"/>
      <c r="G463" s="765"/>
      <c r="H463" s="423"/>
      <c r="I463" s="765"/>
      <c r="J463" s="728"/>
      <c r="K463" s="423"/>
      <c r="L463" s="423"/>
      <c r="M463" s="423"/>
      <c r="N463" s="423"/>
      <c r="O463" s="423"/>
      <c r="P463" s="423"/>
      <c r="Q463" s="423"/>
      <c r="R463" s="423"/>
      <c r="S463" s="423"/>
      <c r="T463" s="423"/>
      <c r="U463" s="423"/>
      <c r="V463" s="423"/>
      <c r="W463" s="423"/>
    </row>
    <row r="464">
      <c r="A464" s="766"/>
      <c r="B464" s="717"/>
      <c r="C464" s="763"/>
      <c r="D464" s="763"/>
      <c r="E464" s="423"/>
      <c r="F464" s="764"/>
      <c r="G464" s="765"/>
      <c r="H464" s="423"/>
      <c r="I464" s="765"/>
      <c r="J464" s="728"/>
      <c r="K464" s="423"/>
      <c r="L464" s="423"/>
      <c r="M464" s="423"/>
      <c r="N464" s="423"/>
      <c r="O464" s="423"/>
      <c r="P464" s="423"/>
      <c r="Q464" s="423"/>
      <c r="R464" s="423"/>
      <c r="S464" s="423"/>
      <c r="T464" s="423"/>
      <c r="U464" s="423"/>
      <c r="V464" s="423"/>
      <c r="W464" s="423"/>
    </row>
    <row r="465">
      <c r="A465" s="766"/>
      <c r="B465" s="717"/>
      <c r="C465" s="763"/>
      <c r="D465" s="763"/>
      <c r="E465" s="423"/>
      <c r="F465" s="764"/>
      <c r="G465" s="765"/>
      <c r="H465" s="423"/>
      <c r="I465" s="765"/>
      <c r="J465" s="728"/>
      <c r="K465" s="423"/>
      <c r="L465" s="423"/>
      <c r="M465" s="423"/>
      <c r="N465" s="423"/>
      <c r="O465" s="423"/>
      <c r="P465" s="423"/>
      <c r="Q465" s="423"/>
      <c r="R465" s="423"/>
      <c r="S465" s="423"/>
      <c r="T465" s="423"/>
      <c r="U465" s="423"/>
      <c r="V465" s="423"/>
      <c r="W465" s="423"/>
    </row>
    <row r="466">
      <c r="A466" s="766"/>
      <c r="B466" s="717"/>
      <c r="C466" s="763"/>
      <c r="D466" s="763"/>
      <c r="E466" s="423"/>
      <c r="F466" s="764"/>
      <c r="G466" s="765"/>
      <c r="H466" s="423"/>
      <c r="I466" s="765"/>
      <c r="J466" s="728"/>
      <c r="K466" s="423"/>
      <c r="L466" s="423"/>
      <c r="M466" s="423"/>
      <c r="N466" s="423"/>
      <c r="O466" s="423"/>
      <c r="P466" s="423"/>
      <c r="Q466" s="423"/>
      <c r="R466" s="423"/>
      <c r="S466" s="423"/>
      <c r="T466" s="423"/>
      <c r="U466" s="423"/>
      <c r="V466" s="423"/>
      <c r="W466" s="423"/>
    </row>
    <row r="467">
      <c r="A467" s="766"/>
      <c r="B467" s="717"/>
      <c r="C467" s="763"/>
      <c r="D467" s="763"/>
      <c r="E467" s="423"/>
      <c r="F467" s="764"/>
      <c r="G467" s="765"/>
      <c r="H467" s="423"/>
      <c r="I467" s="765"/>
      <c r="J467" s="728"/>
      <c r="K467" s="423"/>
      <c r="L467" s="423"/>
      <c r="M467" s="423"/>
      <c r="N467" s="423"/>
      <c r="O467" s="423"/>
      <c r="P467" s="423"/>
      <c r="Q467" s="423"/>
      <c r="R467" s="423"/>
      <c r="S467" s="423"/>
      <c r="T467" s="423"/>
      <c r="U467" s="423"/>
      <c r="V467" s="423"/>
      <c r="W467" s="423"/>
    </row>
    <row r="468">
      <c r="A468" s="766"/>
      <c r="B468" s="717"/>
      <c r="C468" s="763"/>
      <c r="D468" s="763"/>
      <c r="E468" s="423"/>
      <c r="F468" s="764"/>
      <c r="G468" s="765"/>
      <c r="H468" s="423"/>
      <c r="I468" s="765"/>
      <c r="J468" s="728"/>
      <c r="K468" s="423"/>
      <c r="L468" s="423"/>
      <c r="M468" s="423"/>
      <c r="N468" s="423"/>
      <c r="O468" s="423"/>
      <c r="P468" s="423"/>
      <c r="Q468" s="423"/>
      <c r="R468" s="423"/>
      <c r="S468" s="423"/>
      <c r="T468" s="423"/>
      <c r="U468" s="423"/>
      <c r="V468" s="423"/>
      <c r="W468" s="423"/>
    </row>
    <row r="469">
      <c r="A469" s="766"/>
      <c r="B469" s="717"/>
      <c r="C469" s="763"/>
      <c r="D469" s="763"/>
      <c r="E469" s="423"/>
      <c r="F469" s="764"/>
      <c r="G469" s="765"/>
      <c r="H469" s="423"/>
      <c r="I469" s="765"/>
      <c r="J469" s="728"/>
      <c r="K469" s="423"/>
      <c r="L469" s="423"/>
      <c r="M469" s="423"/>
      <c r="N469" s="423"/>
      <c r="O469" s="423"/>
      <c r="P469" s="423"/>
      <c r="Q469" s="423"/>
      <c r="R469" s="423"/>
      <c r="S469" s="423"/>
      <c r="T469" s="423"/>
      <c r="U469" s="423"/>
      <c r="V469" s="423"/>
      <c r="W469" s="423"/>
    </row>
    <row r="470">
      <c r="A470" s="766"/>
      <c r="B470" s="717"/>
      <c r="C470" s="763"/>
      <c r="D470" s="763"/>
      <c r="E470" s="423"/>
      <c r="F470" s="764"/>
      <c r="G470" s="765"/>
      <c r="H470" s="423"/>
      <c r="I470" s="765"/>
      <c r="J470" s="728"/>
      <c r="K470" s="423"/>
      <c r="L470" s="423"/>
      <c r="M470" s="423"/>
      <c r="N470" s="423"/>
      <c r="O470" s="423"/>
      <c r="P470" s="423"/>
      <c r="Q470" s="423"/>
      <c r="R470" s="423"/>
      <c r="S470" s="423"/>
      <c r="T470" s="423"/>
      <c r="U470" s="423"/>
      <c r="V470" s="423"/>
      <c r="W470" s="423"/>
    </row>
    <row r="471">
      <c r="A471" s="766"/>
      <c r="B471" s="717"/>
      <c r="C471" s="763"/>
      <c r="D471" s="763"/>
      <c r="E471" s="423"/>
      <c r="F471" s="764"/>
      <c r="G471" s="765"/>
      <c r="H471" s="423"/>
      <c r="I471" s="765"/>
      <c r="J471" s="728"/>
      <c r="K471" s="423"/>
      <c r="L471" s="423"/>
      <c r="M471" s="423"/>
      <c r="N471" s="423"/>
      <c r="O471" s="423"/>
      <c r="P471" s="423"/>
      <c r="Q471" s="423"/>
      <c r="R471" s="423"/>
      <c r="S471" s="423"/>
      <c r="T471" s="423"/>
      <c r="U471" s="423"/>
      <c r="V471" s="423"/>
      <c r="W471" s="423"/>
    </row>
    <row r="472">
      <c r="A472" s="766"/>
      <c r="B472" s="717"/>
      <c r="C472" s="763"/>
      <c r="D472" s="763"/>
      <c r="E472" s="423"/>
      <c r="F472" s="764"/>
      <c r="G472" s="765"/>
      <c r="H472" s="423"/>
      <c r="I472" s="765"/>
      <c r="J472" s="728"/>
      <c r="K472" s="423"/>
      <c r="L472" s="423"/>
      <c r="M472" s="423"/>
      <c r="N472" s="423"/>
      <c r="O472" s="423"/>
      <c r="P472" s="423"/>
      <c r="Q472" s="423"/>
      <c r="R472" s="423"/>
      <c r="S472" s="423"/>
      <c r="T472" s="423"/>
      <c r="U472" s="423"/>
      <c r="V472" s="423"/>
      <c r="W472" s="423"/>
    </row>
    <row r="473">
      <c r="A473" s="766"/>
      <c r="B473" s="717"/>
      <c r="C473" s="763"/>
      <c r="D473" s="763"/>
      <c r="E473" s="423"/>
      <c r="F473" s="764"/>
      <c r="G473" s="765"/>
      <c r="H473" s="423"/>
      <c r="I473" s="765"/>
      <c r="J473" s="728"/>
      <c r="K473" s="423"/>
      <c r="L473" s="423"/>
      <c r="M473" s="423"/>
      <c r="N473" s="423"/>
      <c r="O473" s="423"/>
      <c r="P473" s="423"/>
      <c r="Q473" s="423"/>
      <c r="R473" s="423"/>
      <c r="S473" s="423"/>
      <c r="T473" s="423"/>
      <c r="U473" s="423"/>
      <c r="V473" s="423"/>
      <c r="W473" s="423"/>
    </row>
    <row r="474">
      <c r="A474" s="766"/>
      <c r="B474" s="717"/>
      <c r="C474" s="763"/>
      <c r="D474" s="763"/>
      <c r="E474" s="423"/>
      <c r="F474" s="764"/>
      <c r="G474" s="765"/>
      <c r="H474" s="423"/>
      <c r="I474" s="765"/>
      <c r="J474" s="728"/>
      <c r="K474" s="423"/>
      <c r="L474" s="423"/>
      <c r="M474" s="423"/>
      <c r="N474" s="423"/>
      <c r="O474" s="423"/>
      <c r="P474" s="423"/>
      <c r="Q474" s="423"/>
      <c r="R474" s="423"/>
      <c r="S474" s="423"/>
      <c r="T474" s="423"/>
      <c r="U474" s="423"/>
      <c r="V474" s="423"/>
      <c r="W474" s="423"/>
    </row>
    <row r="475">
      <c r="A475" s="766"/>
      <c r="B475" s="717"/>
      <c r="C475" s="763"/>
      <c r="D475" s="763"/>
      <c r="E475" s="423"/>
      <c r="F475" s="764"/>
      <c r="G475" s="765"/>
      <c r="H475" s="423"/>
      <c r="I475" s="765"/>
      <c r="J475" s="728"/>
      <c r="K475" s="423"/>
      <c r="L475" s="423"/>
      <c r="M475" s="423"/>
      <c r="N475" s="423"/>
      <c r="O475" s="423"/>
      <c r="P475" s="423"/>
      <c r="Q475" s="423"/>
      <c r="R475" s="423"/>
      <c r="S475" s="423"/>
      <c r="T475" s="423"/>
      <c r="U475" s="423"/>
      <c r="V475" s="423"/>
      <c r="W475" s="423"/>
    </row>
    <row r="476">
      <c r="A476" s="766"/>
      <c r="B476" s="717"/>
      <c r="C476" s="763"/>
      <c r="D476" s="763"/>
      <c r="E476" s="423"/>
      <c r="F476" s="764"/>
      <c r="G476" s="765"/>
      <c r="H476" s="423"/>
      <c r="I476" s="765"/>
      <c r="J476" s="728"/>
      <c r="K476" s="423"/>
      <c r="L476" s="423"/>
      <c r="M476" s="423"/>
      <c r="N476" s="423"/>
      <c r="O476" s="423"/>
      <c r="P476" s="423"/>
      <c r="Q476" s="423"/>
      <c r="R476" s="423"/>
      <c r="S476" s="423"/>
      <c r="T476" s="423"/>
      <c r="U476" s="423"/>
      <c r="V476" s="423"/>
      <c r="W476" s="423"/>
    </row>
    <row r="477">
      <c r="A477" s="766"/>
      <c r="B477" s="717"/>
      <c r="C477" s="763"/>
      <c r="D477" s="763"/>
      <c r="E477" s="423"/>
      <c r="F477" s="764"/>
      <c r="G477" s="765"/>
      <c r="H477" s="423"/>
      <c r="I477" s="765"/>
      <c r="J477" s="728"/>
      <c r="K477" s="423"/>
      <c r="L477" s="423"/>
      <c r="M477" s="423"/>
      <c r="N477" s="423"/>
      <c r="O477" s="423"/>
      <c r="P477" s="423"/>
      <c r="Q477" s="423"/>
      <c r="R477" s="423"/>
      <c r="S477" s="423"/>
      <c r="T477" s="423"/>
      <c r="U477" s="423"/>
      <c r="V477" s="423"/>
      <c r="W477" s="423"/>
    </row>
    <row r="478">
      <c r="A478" s="766"/>
      <c r="B478" s="717"/>
      <c r="C478" s="763"/>
      <c r="D478" s="763"/>
      <c r="E478" s="423"/>
      <c r="F478" s="764"/>
      <c r="G478" s="765"/>
      <c r="H478" s="423"/>
      <c r="I478" s="765"/>
      <c r="J478" s="728"/>
      <c r="K478" s="423"/>
      <c r="L478" s="423"/>
      <c r="M478" s="423"/>
      <c r="N478" s="423"/>
      <c r="O478" s="423"/>
      <c r="P478" s="423"/>
      <c r="Q478" s="423"/>
      <c r="R478" s="423"/>
      <c r="S478" s="423"/>
      <c r="T478" s="423"/>
      <c r="U478" s="423"/>
      <c r="V478" s="423"/>
      <c r="W478" s="423"/>
    </row>
    <row r="479">
      <c r="A479" s="766"/>
      <c r="B479" s="717"/>
      <c r="C479" s="763"/>
      <c r="D479" s="763"/>
      <c r="E479" s="423"/>
      <c r="F479" s="764"/>
      <c r="G479" s="765"/>
      <c r="H479" s="423"/>
      <c r="I479" s="765"/>
      <c r="J479" s="728"/>
      <c r="K479" s="423"/>
      <c r="L479" s="423"/>
      <c r="M479" s="423"/>
      <c r="N479" s="423"/>
      <c r="O479" s="423"/>
      <c r="P479" s="423"/>
      <c r="Q479" s="423"/>
      <c r="R479" s="423"/>
      <c r="S479" s="423"/>
      <c r="T479" s="423"/>
      <c r="U479" s="423"/>
      <c r="V479" s="423"/>
      <c r="W479" s="423"/>
    </row>
    <row r="480">
      <c r="A480" s="766"/>
      <c r="B480" s="717"/>
      <c r="C480" s="763"/>
      <c r="D480" s="763"/>
      <c r="E480" s="423"/>
      <c r="F480" s="764"/>
      <c r="G480" s="765"/>
      <c r="H480" s="423"/>
      <c r="I480" s="765"/>
      <c r="J480" s="728"/>
      <c r="K480" s="423"/>
      <c r="L480" s="423"/>
      <c r="M480" s="423"/>
      <c r="N480" s="423"/>
      <c r="O480" s="423"/>
      <c r="P480" s="423"/>
      <c r="Q480" s="423"/>
      <c r="R480" s="423"/>
      <c r="S480" s="423"/>
      <c r="T480" s="423"/>
      <c r="U480" s="423"/>
      <c r="V480" s="423"/>
      <c r="W480" s="423"/>
    </row>
    <row r="481">
      <c r="A481" s="766"/>
      <c r="B481" s="717"/>
      <c r="C481" s="763"/>
      <c r="D481" s="763"/>
      <c r="E481" s="423"/>
      <c r="F481" s="764"/>
      <c r="G481" s="765"/>
      <c r="H481" s="423"/>
      <c r="I481" s="765"/>
      <c r="J481" s="728"/>
      <c r="K481" s="423"/>
      <c r="L481" s="423"/>
      <c r="M481" s="423"/>
      <c r="N481" s="423"/>
      <c r="O481" s="423"/>
      <c r="P481" s="423"/>
      <c r="Q481" s="423"/>
      <c r="R481" s="423"/>
      <c r="S481" s="423"/>
      <c r="T481" s="423"/>
      <c r="U481" s="423"/>
      <c r="V481" s="423"/>
      <c r="W481" s="423"/>
    </row>
    <row r="482">
      <c r="A482" s="766"/>
      <c r="B482" s="717"/>
      <c r="C482" s="763"/>
      <c r="D482" s="763"/>
      <c r="E482" s="423"/>
      <c r="F482" s="764"/>
      <c r="G482" s="765"/>
      <c r="H482" s="423"/>
      <c r="I482" s="765"/>
      <c r="J482" s="728"/>
      <c r="K482" s="423"/>
      <c r="L482" s="423"/>
      <c r="M482" s="423"/>
      <c r="N482" s="423"/>
      <c r="O482" s="423"/>
      <c r="P482" s="423"/>
      <c r="Q482" s="423"/>
      <c r="R482" s="423"/>
      <c r="S482" s="423"/>
      <c r="T482" s="423"/>
      <c r="U482" s="423"/>
      <c r="V482" s="423"/>
      <c r="W482" s="423"/>
    </row>
    <row r="483">
      <c r="A483" s="766"/>
      <c r="B483" s="717"/>
      <c r="C483" s="763"/>
      <c r="D483" s="763"/>
      <c r="E483" s="423"/>
      <c r="F483" s="764"/>
      <c r="G483" s="765"/>
      <c r="H483" s="423"/>
      <c r="I483" s="765"/>
      <c r="J483" s="728"/>
      <c r="K483" s="423"/>
      <c r="L483" s="423"/>
      <c r="M483" s="423"/>
      <c r="N483" s="423"/>
      <c r="O483" s="423"/>
      <c r="P483" s="423"/>
      <c r="Q483" s="423"/>
      <c r="R483" s="423"/>
      <c r="S483" s="423"/>
      <c r="T483" s="423"/>
      <c r="U483" s="423"/>
      <c r="V483" s="423"/>
      <c r="W483" s="423"/>
    </row>
    <row r="484">
      <c r="A484" s="766"/>
      <c r="B484" s="717"/>
      <c r="C484" s="763"/>
      <c r="D484" s="763"/>
      <c r="E484" s="423"/>
      <c r="F484" s="764"/>
      <c r="G484" s="765"/>
      <c r="H484" s="423"/>
      <c r="I484" s="765"/>
      <c r="J484" s="728"/>
      <c r="K484" s="423"/>
      <c r="L484" s="423"/>
      <c r="M484" s="423"/>
      <c r="N484" s="423"/>
      <c r="O484" s="423"/>
      <c r="P484" s="423"/>
      <c r="Q484" s="423"/>
      <c r="R484" s="423"/>
      <c r="S484" s="423"/>
      <c r="T484" s="423"/>
      <c r="U484" s="423"/>
      <c r="V484" s="423"/>
      <c r="W484" s="423"/>
    </row>
    <row r="485">
      <c r="A485" s="766"/>
      <c r="B485" s="717"/>
      <c r="C485" s="763"/>
      <c r="D485" s="763"/>
      <c r="E485" s="423"/>
      <c r="F485" s="764"/>
      <c r="G485" s="765"/>
      <c r="H485" s="423"/>
      <c r="I485" s="765"/>
      <c r="J485" s="728"/>
      <c r="K485" s="423"/>
      <c r="L485" s="423"/>
      <c r="M485" s="423"/>
      <c r="N485" s="423"/>
      <c r="O485" s="423"/>
      <c r="P485" s="423"/>
      <c r="Q485" s="423"/>
      <c r="R485" s="423"/>
      <c r="S485" s="423"/>
      <c r="T485" s="423"/>
      <c r="U485" s="423"/>
      <c r="V485" s="423"/>
      <c r="W485" s="423"/>
    </row>
    <row r="486">
      <c r="A486" s="766"/>
      <c r="B486" s="717"/>
      <c r="C486" s="763"/>
      <c r="D486" s="763"/>
      <c r="E486" s="423"/>
      <c r="F486" s="764"/>
      <c r="G486" s="765"/>
      <c r="H486" s="423"/>
      <c r="I486" s="765"/>
      <c r="J486" s="728"/>
      <c r="K486" s="423"/>
      <c r="L486" s="423"/>
      <c r="M486" s="423"/>
      <c r="N486" s="423"/>
      <c r="O486" s="423"/>
      <c r="P486" s="423"/>
      <c r="Q486" s="423"/>
      <c r="R486" s="423"/>
      <c r="S486" s="423"/>
      <c r="T486" s="423"/>
      <c r="U486" s="423"/>
      <c r="V486" s="423"/>
      <c r="W486" s="423"/>
    </row>
    <row r="487">
      <c r="A487" s="766"/>
      <c r="B487" s="717"/>
      <c r="C487" s="763"/>
      <c r="D487" s="763"/>
      <c r="E487" s="423"/>
      <c r="F487" s="764"/>
      <c r="G487" s="765"/>
      <c r="H487" s="423"/>
      <c r="I487" s="765"/>
      <c r="J487" s="728"/>
      <c r="K487" s="423"/>
      <c r="L487" s="423"/>
      <c r="M487" s="423"/>
      <c r="N487" s="423"/>
      <c r="O487" s="423"/>
      <c r="P487" s="423"/>
      <c r="Q487" s="423"/>
      <c r="R487" s="423"/>
      <c r="S487" s="423"/>
      <c r="T487" s="423"/>
      <c r="U487" s="423"/>
      <c r="V487" s="423"/>
      <c r="W487" s="423"/>
    </row>
    <row r="488">
      <c r="A488" s="766"/>
      <c r="B488" s="717"/>
      <c r="C488" s="763"/>
      <c r="D488" s="763"/>
      <c r="E488" s="423"/>
      <c r="F488" s="764"/>
      <c r="G488" s="765"/>
      <c r="H488" s="423"/>
      <c r="I488" s="765"/>
      <c r="J488" s="728"/>
      <c r="K488" s="423"/>
      <c r="L488" s="423"/>
      <c r="M488" s="423"/>
      <c r="N488" s="423"/>
      <c r="O488" s="423"/>
      <c r="P488" s="423"/>
      <c r="Q488" s="423"/>
      <c r="R488" s="423"/>
      <c r="S488" s="423"/>
      <c r="T488" s="423"/>
      <c r="U488" s="423"/>
      <c r="V488" s="423"/>
      <c r="W488" s="423"/>
    </row>
    <row r="489">
      <c r="A489" s="766"/>
      <c r="B489" s="717"/>
      <c r="C489" s="763"/>
      <c r="D489" s="763"/>
      <c r="E489" s="423"/>
      <c r="F489" s="764"/>
      <c r="G489" s="765"/>
      <c r="H489" s="423"/>
      <c r="I489" s="765"/>
      <c r="J489" s="728"/>
      <c r="K489" s="423"/>
      <c r="L489" s="423"/>
      <c r="M489" s="423"/>
      <c r="N489" s="423"/>
      <c r="O489" s="423"/>
      <c r="P489" s="423"/>
      <c r="Q489" s="423"/>
      <c r="R489" s="423"/>
      <c r="S489" s="423"/>
      <c r="T489" s="423"/>
      <c r="U489" s="423"/>
      <c r="V489" s="423"/>
      <c r="W489" s="423"/>
    </row>
    <row r="490">
      <c r="A490" s="766"/>
      <c r="B490" s="717"/>
      <c r="C490" s="763"/>
      <c r="D490" s="763"/>
      <c r="E490" s="423"/>
      <c r="F490" s="764"/>
      <c r="G490" s="765"/>
      <c r="H490" s="423"/>
      <c r="I490" s="765"/>
      <c r="J490" s="728"/>
      <c r="K490" s="423"/>
      <c r="L490" s="423"/>
      <c r="M490" s="423"/>
      <c r="N490" s="423"/>
      <c r="O490" s="423"/>
      <c r="P490" s="423"/>
      <c r="Q490" s="423"/>
      <c r="R490" s="423"/>
      <c r="S490" s="423"/>
      <c r="T490" s="423"/>
      <c r="U490" s="423"/>
      <c r="V490" s="423"/>
      <c r="W490" s="423"/>
    </row>
    <row r="491">
      <c r="A491" s="766"/>
      <c r="B491" s="717"/>
      <c r="C491" s="763"/>
      <c r="D491" s="763"/>
      <c r="E491" s="423"/>
      <c r="F491" s="764"/>
      <c r="G491" s="765"/>
      <c r="H491" s="423"/>
      <c r="I491" s="765"/>
      <c r="J491" s="728"/>
      <c r="K491" s="423"/>
      <c r="L491" s="423"/>
      <c r="M491" s="423"/>
      <c r="N491" s="423"/>
      <c r="O491" s="423"/>
      <c r="P491" s="423"/>
      <c r="Q491" s="423"/>
      <c r="R491" s="423"/>
      <c r="S491" s="423"/>
      <c r="T491" s="423"/>
      <c r="U491" s="423"/>
      <c r="V491" s="423"/>
      <c r="W491" s="423"/>
    </row>
    <row r="492">
      <c r="A492" s="766"/>
      <c r="B492" s="717"/>
      <c r="C492" s="763"/>
      <c r="D492" s="763"/>
      <c r="E492" s="423"/>
      <c r="F492" s="764"/>
      <c r="G492" s="765"/>
      <c r="H492" s="423"/>
      <c r="I492" s="765"/>
      <c r="J492" s="728"/>
      <c r="K492" s="423"/>
      <c r="L492" s="423"/>
      <c r="M492" s="423"/>
      <c r="N492" s="423"/>
      <c r="O492" s="423"/>
      <c r="P492" s="423"/>
      <c r="Q492" s="423"/>
      <c r="R492" s="423"/>
      <c r="S492" s="423"/>
      <c r="T492" s="423"/>
      <c r="U492" s="423"/>
      <c r="V492" s="423"/>
      <c r="W492" s="423"/>
    </row>
    <row r="493">
      <c r="A493" s="766"/>
      <c r="B493" s="717"/>
      <c r="C493" s="763"/>
      <c r="D493" s="763"/>
      <c r="E493" s="423"/>
      <c r="F493" s="764"/>
      <c r="G493" s="765"/>
      <c r="H493" s="423"/>
      <c r="I493" s="765"/>
      <c r="J493" s="728"/>
      <c r="K493" s="423"/>
      <c r="L493" s="423"/>
      <c r="M493" s="423"/>
      <c r="N493" s="423"/>
      <c r="O493" s="423"/>
      <c r="P493" s="423"/>
      <c r="Q493" s="423"/>
      <c r="R493" s="423"/>
      <c r="S493" s="423"/>
      <c r="T493" s="423"/>
      <c r="U493" s="423"/>
      <c r="V493" s="423"/>
      <c r="W493" s="423"/>
    </row>
    <row r="494">
      <c r="A494" s="766"/>
      <c r="B494" s="717"/>
      <c r="C494" s="763"/>
      <c r="D494" s="763"/>
      <c r="E494" s="423"/>
      <c r="F494" s="764"/>
      <c r="G494" s="765"/>
      <c r="H494" s="423"/>
      <c r="I494" s="765"/>
      <c r="J494" s="728"/>
      <c r="K494" s="423"/>
      <c r="L494" s="423"/>
      <c r="M494" s="423"/>
      <c r="N494" s="423"/>
      <c r="O494" s="423"/>
      <c r="P494" s="423"/>
      <c r="Q494" s="423"/>
      <c r="R494" s="423"/>
      <c r="S494" s="423"/>
      <c r="T494" s="423"/>
      <c r="U494" s="423"/>
      <c r="V494" s="423"/>
      <c r="W494" s="423"/>
    </row>
    <row r="495">
      <c r="A495" s="766"/>
      <c r="B495" s="717"/>
      <c r="C495" s="763"/>
      <c r="D495" s="763"/>
      <c r="E495" s="423"/>
      <c r="F495" s="764"/>
      <c r="G495" s="765"/>
      <c r="H495" s="423"/>
      <c r="I495" s="765"/>
      <c r="J495" s="728"/>
      <c r="K495" s="423"/>
      <c r="L495" s="423"/>
      <c r="M495" s="423"/>
      <c r="N495" s="423"/>
      <c r="O495" s="423"/>
      <c r="P495" s="423"/>
      <c r="Q495" s="423"/>
      <c r="R495" s="423"/>
      <c r="S495" s="423"/>
      <c r="T495" s="423"/>
      <c r="U495" s="423"/>
      <c r="V495" s="423"/>
      <c r="W495" s="423"/>
    </row>
    <row r="496">
      <c r="A496" s="766"/>
      <c r="B496" s="717"/>
      <c r="C496" s="763"/>
      <c r="D496" s="763"/>
      <c r="E496" s="423"/>
      <c r="F496" s="764"/>
      <c r="G496" s="765"/>
      <c r="H496" s="423"/>
      <c r="I496" s="765"/>
      <c r="J496" s="728"/>
      <c r="K496" s="423"/>
      <c r="L496" s="423"/>
      <c r="M496" s="423"/>
      <c r="N496" s="423"/>
      <c r="O496" s="423"/>
      <c r="P496" s="423"/>
      <c r="Q496" s="423"/>
      <c r="R496" s="423"/>
      <c r="S496" s="423"/>
      <c r="T496" s="423"/>
      <c r="U496" s="423"/>
      <c r="V496" s="423"/>
      <c r="W496" s="423"/>
    </row>
    <row r="497">
      <c r="A497" s="766"/>
      <c r="B497" s="717"/>
      <c r="C497" s="763"/>
      <c r="D497" s="763"/>
      <c r="E497" s="423"/>
      <c r="F497" s="764"/>
      <c r="G497" s="765"/>
      <c r="H497" s="423"/>
      <c r="I497" s="765"/>
      <c r="J497" s="728"/>
      <c r="K497" s="423"/>
      <c r="L497" s="423"/>
      <c r="M497" s="423"/>
      <c r="N497" s="423"/>
      <c r="O497" s="423"/>
      <c r="P497" s="423"/>
      <c r="Q497" s="423"/>
      <c r="R497" s="423"/>
      <c r="S497" s="423"/>
      <c r="T497" s="423"/>
      <c r="U497" s="423"/>
      <c r="V497" s="423"/>
      <c r="W497" s="423"/>
    </row>
    <row r="498">
      <c r="A498" s="766"/>
      <c r="B498" s="717"/>
      <c r="C498" s="763"/>
      <c r="D498" s="763"/>
      <c r="E498" s="423"/>
      <c r="F498" s="764"/>
      <c r="G498" s="765"/>
      <c r="H498" s="423"/>
      <c r="I498" s="765"/>
      <c r="J498" s="728"/>
      <c r="K498" s="423"/>
      <c r="L498" s="423"/>
      <c r="M498" s="423"/>
      <c r="N498" s="423"/>
      <c r="O498" s="423"/>
      <c r="P498" s="423"/>
      <c r="Q498" s="423"/>
      <c r="R498" s="423"/>
      <c r="S498" s="423"/>
      <c r="T498" s="423"/>
      <c r="U498" s="423"/>
      <c r="V498" s="423"/>
      <c r="W498" s="423"/>
    </row>
    <row r="499">
      <c r="A499" s="766"/>
      <c r="B499" s="717"/>
      <c r="C499" s="763"/>
      <c r="D499" s="763"/>
      <c r="E499" s="423"/>
      <c r="F499" s="764"/>
      <c r="G499" s="765"/>
      <c r="H499" s="423"/>
      <c r="I499" s="765"/>
      <c r="J499" s="728"/>
      <c r="K499" s="423"/>
      <c r="L499" s="423"/>
      <c r="M499" s="423"/>
      <c r="N499" s="423"/>
      <c r="O499" s="423"/>
      <c r="P499" s="423"/>
      <c r="Q499" s="423"/>
      <c r="R499" s="423"/>
      <c r="S499" s="423"/>
      <c r="T499" s="423"/>
      <c r="U499" s="423"/>
      <c r="V499" s="423"/>
      <c r="W499" s="423"/>
    </row>
    <row r="500">
      <c r="A500" s="766"/>
      <c r="B500" s="717"/>
      <c r="C500" s="763"/>
      <c r="D500" s="763"/>
      <c r="E500" s="423"/>
      <c r="F500" s="764"/>
      <c r="G500" s="765"/>
      <c r="H500" s="423"/>
      <c r="I500" s="765"/>
      <c r="J500" s="728"/>
      <c r="K500" s="423"/>
      <c r="L500" s="423"/>
      <c r="M500" s="423"/>
      <c r="N500" s="423"/>
      <c r="O500" s="423"/>
      <c r="P500" s="423"/>
      <c r="Q500" s="423"/>
      <c r="R500" s="423"/>
      <c r="S500" s="423"/>
      <c r="T500" s="423"/>
      <c r="U500" s="423"/>
      <c r="V500" s="423"/>
      <c r="W500" s="423"/>
    </row>
    <row r="501">
      <c r="A501" s="766"/>
      <c r="B501" s="717"/>
      <c r="C501" s="763"/>
      <c r="D501" s="763"/>
      <c r="E501" s="423"/>
      <c r="F501" s="764"/>
      <c r="G501" s="765"/>
      <c r="H501" s="423"/>
      <c r="I501" s="765"/>
      <c r="J501" s="728"/>
      <c r="K501" s="423"/>
      <c r="L501" s="423"/>
      <c r="M501" s="423"/>
      <c r="N501" s="423"/>
      <c r="O501" s="423"/>
      <c r="P501" s="423"/>
      <c r="Q501" s="423"/>
      <c r="R501" s="423"/>
      <c r="S501" s="423"/>
      <c r="T501" s="423"/>
      <c r="U501" s="423"/>
      <c r="V501" s="423"/>
      <c r="W501" s="423"/>
    </row>
    <row r="502">
      <c r="A502" s="766"/>
      <c r="B502" s="717"/>
      <c r="C502" s="763"/>
      <c r="D502" s="763"/>
      <c r="E502" s="423"/>
      <c r="F502" s="764"/>
      <c r="G502" s="765"/>
      <c r="H502" s="423"/>
      <c r="I502" s="765"/>
      <c r="J502" s="728"/>
      <c r="K502" s="423"/>
      <c r="L502" s="423"/>
      <c r="M502" s="423"/>
      <c r="N502" s="423"/>
      <c r="O502" s="423"/>
      <c r="P502" s="423"/>
      <c r="Q502" s="423"/>
      <c r="R502" s="423"/>
      <c r="S502" s="423"/>
      <c r="T502" s="423"/>
      <c r="U502" s="423"/>
      <c r="V502" s="423"/>
      <c r="W502" s="423"/>
    </row>
    <row r="503">
      <c r="A503" s="766"/>
      <c r="B503" s="717"/>
      <c r="C503" s="763"/>
      <c r="D503" s="763"/>
      <c r="E503" s="423"/>
      <c r="F503" s="764"/>
      <c r="G503" s="765"/>
      <c r="H503" s="423"/>
      <c r="I503" s="765"/>
      <c r="J503" s="728"/>
      <c r="K503" s="423"/>
      <c r="L503" s="423"/>
      <c r="M503" s="423"/>
      <c r="N503" s="423"/>
      <c r="O503" s="423"/>
      <c r="P503" s="423"/>
      <c r="Q503" s="423"/>
      <c r="R503" s="423"/>
      <c r="S503" s="423"/>
      <c r="T503" s="423"/>
      <c r="U503" s="423"/>
      <c r="V503" s="423"/>
      <c r="W503" s="423"/>
    </row>
    <row r="504">
      <c r="A504" s="766"/>
      <c r="B504" s="717"/>
      <c r="C504" s="763"/>
      <c r="D504" s="763"/>
      <c r="E504" s="423"/>
      <c r="F504" s="764"/>
      <c r="G504" s="765"/>
      <c r="H504" s="423"/>
      <c r="I504" s="765"/>
      <c r="J504" s="728"/>
      <c r="K504" s="423"/>
      <c r="L504" s="423"/>
      <c r="M504" s="423"/>
      <c r="N504" s="423"/>
      <c r="O504" s="423"/>
      <c r="P504" s="423"/>
      <c r="Q504" s="423"/>
      <c r="R504" s="423"/>
      <c r="S504" s="423"/>
      <c r="T504" s="423"/>
      <c r="U504" s="423"/>
      <c r="V504" s="423"/>
      <c r="W504" s="423"/>
    </row>
    <row r="505">
      <c r="A505" s="766"/>
      <c r="B505" s="717"/>
      <c r="C505" s="763"/>
      <c r="D505" s="763"/>
      <c r="E505" s="423"/>
      <c r="F505" s="764"/>
      <c r="G505" s="765"/>
      <c r="H505" s="423"/>
      <c r="I505" s="765"/>
      <c r="J505" s="728"/>
      <c r="K505" s="423"/>
      <c r="L505" s="423"/>
      <c r="M505" s="423"/>
      <c r="N505" s="423"/>
      <c r="O505" s="423"/>
      <c r="P505" s="423"/>
      <c r="Q505" s="423"/>
      <c r="R505" s="423"/>
      <c r="S505" s="423"/>
      <c r="T505" s="423"/>
      <c r="U505" s="423"/>
      <c r="V505" s="423"/>
      <c r="W505" s="423"/>
    </row>
    <row r="506">
      <c r="A506" s="766"/>
      <c r="B506" s="717"/>
      <c r="C506" s="763"/>
      <c r="D506" s="763"/>
      <c r="E506" s="423"/>
      <c r="F506" s="764"/>
      <c r="G506" s="765"/>
      <c r="H506" s="423"/>
      <c r="I506" s="765"/>
      <c r="J506" s="728"/>
      <c r="K506" s="423"/>
      <c r="L506" s="423"/>
      <c r="M506" s="423"/>
      <c r="N506" s="423"/>
      <c r="O506" s="423"/>
      <c r="P506" s="423"/>
      <c r="Q506" s="423"/>
      <c r="R506" s="423"/>
      <c r="S506" s="423"/>
      <c r="T506" s="423"/>
      <c r="U506" s="423"/>
      <c r="V506" s="423"/>
      <c r="W506" s="423"/>
    </row>
    <row r="507">
      <c r="A507" s="766"/>
      <c r="B507" s="717"/>
      <c r="C507" s="763"/>
      <c r="D507" s="763"/>
      <c r="E507" s="423"/>
      <c r="F507" s="764"/>
      <c r="G507" s="765"/>
      <c r="H507" s="423"/>
      <c r="I507" s="765"/>
      <c r="J507" s="728"/>
      <c r="K507" s="423"/>
      <c r="L507" s="423"/>
      <c r="M507" s="423"/>
      <c r="N507" s="423"/>
      <c r="O507" s="423"/>
      <c r="P507" s="423"/>
      <c r="Q507" s="423"/>
      <c r="R507" s="423"/>
      <c r="S507" s="423"/>
      <c r="T507" s="423"/>
      <c r="U507" s="423"/>
      <c r="V507" s="423"/>
      <c r="W507" s="423"/>
    </row>
    <row r="508">
      <c r="A508" s="766"/>
      <c r="B508" s="717"/>
      <c r="C508" s="763"/>
      <c r="D508" s="763"/>
      <c r="E508" s="423"/>
      <c r="F508" s="764"/>
      <c r="G508" s="765"/>
      <c r="H508" s="423"/>
      <c r="I508" s="765"/>
      <c r="J508" s="728"/>
      <c r="K508" s="423"/>
      <c r="L508" s="423"/>
      <c r="M508" s="423"/>
      <c r="N508" s="423"/>
      <c r="O508" s="423"/>
      <c r="P508" s="423"/>
      <c r="Q508" s="423"/>
      <c r="R508" s="423"/>
      <c r="S508" s="423"/>
      <c r="T508" s="423"/>
      <c r="U508" s="423"/>
      <c r="V508" s="423"/>
      <c r="W508" s="423"/>
    </row>
    <row r="509">
      <c r="A509" s="766"/>
      <c r="B509" s="717"/>
      <c r="C509" s="763"/>
      <c r="D509" s="763"/>
      <c r="E509" s="423"/>
      <c r="F509" s="764"/>
      <c r="G509" s="765"/>
      <c r="H509" s="423"/>
      <c r="I509" s="765"/>
      <c r="J509" s="728"/>
      <c r="K509" s="423"/>
      <c r="L509" s="423"/>
      <c r="M509" s="423"/>
      <c r="N509" s="423"/>
      <c r="O509" s="423"/>
      <c r="P509" s="423"/>
      <c r="Q509" s="423"/>
      <c r="R509" s="423"/>
      <c r="S509" s="423"/>
      <c r="T509" s="423"/>
      <c r="U509" s="423"/>
      <c r="V509" s="423"/>
      <c r="W509" s="423"/>
    </row>
    <row r="510">
      <c r="A510" s="766"/>
      <c r="B510" s="717"/>
      <c r="C510" s="763"/>
      <c r="D510" s="763"/>
      <c r="E510" s="423"/>
      <c r="F510" s="764"/>
      <c r="G510" s="765"/>
      <c r="H510" s="423"/>
      <c r="I510" s="765"/>
      <c r="J510" s="728"/>
      <c r="K510" s="423"/>
      <c r="L510" s="423"/>
      <c r="M510" s="423"/>
      <c r="N510" s="423"/>
      <c r="O510" s="423"/>
      <c r="P510" s="423"/>
      <c r="Q510" s="423"/>
      <c r="R510" s="423"/>
      <c r="S510" s="423"/>
      <c r="T510" s="423"/>
      <c r="U510" s="423"/>
      <c r="V510" s="423"/>
      <c r="W510" s="423"/>
    </row>
    <row r="511">
      <c r="A511" s="766"/>
      <c r="B511" s="717"/>
      <c r="C511" s="763"/>
      <c r="D511" s="763"/>
      <c r="E511" s="423"/>
      <c r="F511" s="764"/>
      <c r="G511" s="765"/>
      <c r="H511" s="423"/>
      <c r="I511" s="765"/>
      <c r="J511" s="728"/>
      <c r="K511" s="423"/>
      <c r="L511" s="423"/>
      <c r="M511" s="423"/>
      <c r="N511" s="423"/>
      <c r="O511" s="423"/>
      <c r="P511" s="423"/>
      <c r="Q511" s="423"/>
      <c r="R511" s="423"/>
      <c r="S511" s="423"/>
      <c r="T511" s="423"/>
      <c r="U511" s="423"/>
      <c r="V511" s="423"/>
      <c r="W511" s="423"/>
    </row>
    <row r="512">
      <c r="A512" s="766"/>
      <c r="B512" s="717"/>
      <c r="C512" s="763"/>
      <c r="D512" s="763"/>
      <c r="E512" s="423"/>
      <c r="F512" s="764"/>
      <c r="G512" s="765"/>
      <c r="H512" s="423"/>
      <c r="I512" s="765"/>
      <c r="J512" s="728"/>
      <c r="K512" s="423"/>
      <c r="L512" s="423"/>
      <c r="M512" s="423"/>
      <c r="N512" s="423"/>
      <c r="O512" s="423"/>
      <c r="P512" s="423"/>
      <c r="Q512" s="423"/>
      <c r="R512" s="423"/>
      <c r="S512" s="423"/>
      <c r="T512" s="423"/>
      <c r="U512" s="423"/>
      <c r="V512" s="423"/>
      <c r="W512" s="423"/>
    </row>
    <row r="513">
      <c r="A513" s="766"/>
      <c r="B513" s="717"/>
      <c r="C513" s="763"/>
      <c r="D513" s="763"/>
      <c r="E513" s="423"/>
      <c r="F513" s="764"/>
      <c r="G513" s="765"/>
      <c r="H513" s="423"/>
      <c r="I513" s="765"/>
      <c r="J513" s="728"/>
      <c r="K513" s="423"/>
      <c r="L513" s="423"/>
      <c r="M513" s="423"/>
      <c r="N513" s="423"/>
      <c r="O513" s="423"/>
      <c r="P513" s="423"/>
      <c r="Q513" s="423"/>
      <c r="R513" s="423"/>
      <c r="S513" s="423"/>
      <c r="T513" s="423"/>
      <c r="U513" s="423"/>
      <c r="V513" s="423"/>
      <c r="W513" s="423"/>
    </row>
    <row r="514">
      <c r="A514" s="766"/>
      <c r="B514" s="717"/>
      <c r="C514" s="763"/>
      <c r="D514" s="763"/>
      <c r="E514" s="423"/>
      <c r="F514" s="764"/>
      <c r="G514" s="765"/>
      <c r="H514" s="423"/>
      <c r="I514" s="765"/>
      <c r="J514" s="728"/>
      <c r="K514" s="423"/>
      <c r="L514" s="423"/>
      <c r="M514" s="423"/>
      <c r="N514" s="423"/>
      <c r="O514" s="423"/>
      <c r="P514" s="423"/>
      <c r="Q514" s="423"/>
      <c r="R514" s="423"/>
      <c r="S514" s="423"/>
      <c r="T514" s="423"/>
      <c r="U514" s="423"/>
      <c r="V514" s="423"/>
      <c r="W514" s="423"/>
    </row>
    <row r="515">
      <c r="A515" s="766"/>
      <c r="B515" s="717"/>
      <c r="C515" s="763"/>
      <c r="D515" s="763"/>
      <c r="E515" s="423"/>
      <c r="F515" s="764"/>
      <c r="G515" s="765"/>
      <c r="H515" s="423"/>
      <c r="I515" s="765"/>
      <c r="J515" s="728"/>
      <c r="K515" s="423"/>
      <c r="L515" s="423"/>
      <c r="M515" s="423"/>
      <c r="N515" s="423"/>
      <c r="O515" s="423"/>
      <c r="P515" s="423"/>
      <c r="Q515" s="423"/>
      <c r="R515" s="423"/>
      <c r="S515" s="423"/>
      <c r="T515" s="423"/>
      <c r="U515" s="423"/>
      <c r="V515" s="423"/>
      <c r="W515" s="423"/>
    </row>
    <row r="516">
      <c r="A516" s="766"/>
      <c r="B516" s="717"/>
      <c r="C516" s="763"/>
      <c r="D516" s="763"/>
      <c r="E516" s="423"/>
      <c r="F516" s="764"/>
      <c r="G516" s="765"/>
      <c r="H516" s="423"/>
      <c r="I516" s="765"/>
      <c r="J516" s="728"/>
      <c r="K516" s="423"/>
      <c r="L516" s="423"/>
      <c r="M516" s="423"/>
      <c r="N516" s="423"/>
      <c r="O516" s="423"/>
      <c r="P516" s="423"/>
      <c r="Q516" s="423"/>
      <c r="R516" s="423"/>
      <c r="S516" s="423"/>
      <c r="T516" s="423"/>
      <c r="U516" s="423"/>
      <c r="V516" s="423"/>
      <c r="W516" s="423"/>
    </row>
    <row r="517">
      <c r="A517" s="766"/>
      <c r="B517" s="717"/>
      <c r="C517" s="763"/>
      <c r="D517" s="763"/>
      <c r="E517" s="423"/>
      <c r="F517" s="764"/>
      <c r="G517" s="765"/>
      <c r="H517" s="423"/>
      <c r="I517" s="765"/>
      <c r="J517" s="728"/>
      <c r="K517" s="423"/>
      <c r="L517" s="423"/>
      <c r="M517" s="423"/>
      <c r="N517" s="423"/>
      <c r="O517" s="423"/>
      <c r="P517" s="423"/>
      <c r="Q517" s="423"/>
      <c r="R517" s="423"/>
      <c r="S517" s="423"/>
      <c r="T517" s="423"/>
      <c r="U517" s="423"/>
      <c r="V517" s="423"/>
      <c r="W517" s="423"/>
    </row>
    <row r="518">
      <c r="A518" s="766"/>
      <c r="B518" s="717"/>
      <c r="C518" s="763"/>
      <c r="D518" s="763"/>
      <c r="E518" s="423"/>
      <c r="F518" s="764"/>
      <c r="G518" s="765"/>
      <c r="H518" s="423"/>
      <c r="I518" s="765"/>
      <c r="J518" s="728"/>
      <c r="K518" s="423"/>
      <c r="L518" s="423"/>
      <c r="M518" s="423"/>
      <c r="N518" s="423"/>
      <c r="O518" s="423"/>
      <c r="P518" s="423"/>
      <c r="Q518" s="423"/>
      <c r="R518" s="423"/>
      <c r="S518" s="423"/>
      <c r="T518" s="423"/>
      <c r="U518" s="423"/>
      <c r="V518" s="423"/>
      <c r="W518" s="423"/>
    </row>
    <row r="519">
      <c r="A519" s="766"/>
      <c r="B519" s="717"/>
      <c r="C519" s="763"/>
      <c r="D519" s="763"/>
      <c r="E519" s="423"/>
      <c r="F519" s="764"/>
      <c r="G519" s="765"/>
      <c r="H519" s="423"/>
      <c r="I519" s="765"/>
      <c r="J519" s="728"/>
      <c r="K519" s="423"/>
      <c r="L519" s="423"/>
      <c r="M519" s="423"/>
      <c r="N519" s="423"/>
      <c r="O519" s="423"/>
      <c r="P519" s="423"/>
      <c r="Q519" s="423"/>
      <c r="R519" s="423"/>
      <c r="S519" s="423"/>
      <c r="T519" s="423"/>
      <c r="U519" s="423"/>
      <c r="V519" s="423"/>
      <c r="W519" s="423"/>
    </row>
    <row r="520">
      <c r="A520" s="766"/>
      <c r="B520" s="717"/>
      <c r="C520" s="763"/>
      <c r="D520" s="763"/>
      <c r="E520" s="423"/>
      <c r="F520" s="764"/>
      <c r="G520" s="765"/>
      <c r="H520" s="423"/>
      <c r="I520" s="765"/>
      <c r="J520" s="728"/>
      <c r="K520" s="423"/>
      <c r="L520" s="423"/>
      <c r="M520" s="423"/>
      <c r="N520" s="423"/>
      <c r="O520" s="423"/>
      <c r="P520" s="423"/>
      <c r="Q520" s="423"/>
      <c r="R520" s="423"/>
      <c r="S520" s="423"/>
      <c r="T520" s="423"/>
      <c r="U520" s="423"/>
      <c r="V520" s="423"/>
      <c r="W520" s="423"/>
    </row>
    <row r="521">
      <c r="A521" s="766"/>
      <c r="B521" s="717"/>
      <c r="C521" s="763"/>
      <c r="D521" s="763"/>
      <c r="E521" s="423"/>
      <c r="F521" s="764"/>
      <c r="G521" s="765"/>
      <c r="H521" s="423"/>
      <c r="I521" s="765"/>
      <c r="J521" s="728"/>
      <c r="K521" s="423"/>
      <c r="L521" s="423"/>
      <c r="M521" s="423"/>
      <c r="N521" s="423"/>
      <c r="O521" s="423"/>
      <c r="P521" s="423"/>
      <c r="Q521" s="423"/>
      <c r="R521" s="423"/>
      <c r="S521" s="423"/>
      <c r="T521" s="423"/>
      <c r="U521" s="423"/>
      <c r="V521" s="423"/>
      <c r="W521" s="423"/>
    </row>
    <row r="522">
      <c r="A522" s="766"/>
      <c r="B522" s="717"/>
      <c r="C522" s="763"/>
      <c r="D522" s="763"/>
      <c r="E522" s="423"/>
      <c r="F522" s="764"/>
      <c r="G522" s="765"/>
      <c r="H522" s="423"/>
      <c r="I522" s="765"/>
      <c r="J522" s="728"/>
      <c r="K522" s="423"/>
      <c r="L522" s="423"/>
      <c r="M522" s="423"/>
      <c r="N522" s="423"/>
      <c r="O522" s="423"/>
      <c r="P522" s="423"/>
      <c r="Q522" s="423"/>
      <c r="R522" s="423"/>
      <c r="S522" s="423"/>
      <c r="T522" s="423"/>
      <c r="U522" s="423"/>
      <c r="V522" s="423"/>
      <c r="W522" s="423"/>
    </row>
    <row r="523">
      <c r="A523" s="766"/>
      <c r="B523" s="717"/>
      <c r="C523" s="763"/>
      <c r="D523" s="763"/>
      <c r="E523" s="423"/>
      <c r="F523" s="764"/>
      <c r="G523" s="765"/>
      <c r="H523" s="423"/>
      <c r="I523" s="765"/>
      <c r="J523" s="728"/>
      <c r="K523" s="423"/>
      <c r="L523" s="423"/>
      <c r="M523" s="423"/>
      <c r="N523" s="423"/>
      <c r="O523" s="423"/>
      <c r="P523" s="423"/>
      <c r="Q523" s="423"/>
      <c r="R523" s="423"/>
      <c r="S523" s="423"/>
      <c r="T523" s="423"/>
      <c r="U523" s="423"/>
      <c r="V523" s="423"/>
      <c r="W523" s="423"/>
    </row>
    <row r="524">
      <c r="A524" s="766"/>
      <c r="B524" s="717"/>
      <c r="C524" s="763"/>
      <c r="D524" s="763"/>
      <c r="E524" s="423"/>
      <c r="F524" s="764"/>
      <c r="G524" s="765"/>
      <c r="H524" s="423"/>
      <c r="I524" s="765"/>
      <c r="J524" s="728"/>
      <c r="K524" s="423"/>
      <c r="L524" s="423"/>
      <c r="M524" s="423"/>
      <c r="N524" s="423"/>
      <c r="O524" s="423"/>
      <c r="P524" s="423"/>
      <c r="Q524" s="423"/>
      <c r="R524" s="423"/>
      <c r="S524" s="423"/>
      <c r="T524" s="423"/>
      <c r="U524" s="423"/>
      <c r="V524" s="423"/>
      <c r="W524" s="423"/>
    </row>
    <row r="525">
      <c r="A525" s="766"/>
      <c r="B525" s="717"/>
      <c r="C525" s="763"/>
      <c r="D525" s="763"/>
      <c r="E525" s="423"/>
      <c r="F525" s="764"/>
      <c r="G525" s="765"/>
      <c r="H525" s="423"/>
      <c r="I525" s="765"/>
      <c r="J525" s="728"/>
      <c r="K525" s="423"/>
      <c r="L525" s="423"/>
      <c r="M525" s="423"/>
      <c r="N525" s="423"/>
      <c r="O525" s="423"/>
      <c r="P525" s="423"/>
      <c r="Q525" s="423"/>
      <c r="R525" s="423"/>
      <c r="S525" s="423"/>
      <c r="T525" s="423"/>
      <c r="U525" s="423"/>
      <c r="V525" s="423"/>
      <c r="W525" s="423"/>
    </row>
    <row r="526">
      <c r="A526" s="766"/>
      <c r="B526" s="717"/>
      <c r="C526" s="763"/>
      <c r="D526" s="763"/>
      <c r="E526" s="423"/>
      <c r="F526" s="764"/>
      <c r="G526" s="765"/>
      <c r="H526" s="423"/>
      <c r="I526" s="765"/>
      <c r="J526" s="728"/>
      <c r="K526" s="423"/>
      <c r="L526" s="423"/>
      <c r="M526" s="423"/>
      <c r="N526" s="423"/>
      <c r="O526" s="423"/>
      <c r="P526" s="423"/>
      <c r="Q526" s="423"/>
      <c r="R526" s="423"/>
      <c r="S526" s="423"/>
      <c r="T526" s="423"/>
      <c r="U526" s="423"/>
      <c r="V526" s="423"/>
      <c r="W526" s="423"/>
    </row>
    <row r="527">
      <c r="A527" s="766"/>
      <c r="B527" s="717"/>
      <c r="C527" s="763"/>
      <c r="D527" s="763"/>
      <c r="E527" s="423"/>
      <c r="F527" s="764"/>
      <c r="G527" s="765"/>
      <c r="H527" s="423"/>
      <c r="I527" s="765"/>
      <c r="J527" s="728"/>
      <c r="K527" s="423"/>
      <c r="L527" s="423"/>
      <c r="M527" s="423"/>
      <c r="N527" s="423"/>
      <c r="O527" s="423"/>
      <c r="P527" s="423"/>
      <c r="Q527" s="423"/>
      <c r="R527" s="423"/>
      <c r="S527" s="423"/>
      <c r="T527" s="423"/>
      <c r="U527" s="423"/>
      <c r="V527" s="423"/>
      <c r="W527" s="423"/>
    </row>
    <row r="528">
      <c r="A528" s="766"/>
      <c r="B528" s="717"/>
      <c r="C528" s="763"/>
      <c r="D528" s="763"/>
      <c r="E528" s="423"/>
      <c r="F528" s="764"/>
      <c r="G528" s="765"/>
      <c r="H528" s="423"/>
      <c r="I528" s="765"/>
      <c r="J528" s="728"/>
      <c r="K528" s="423"/>
      <c r="L528" s="423"/>
      <c r="M528" s="423"/>
      <c r="N528" s="423"/>
      <c r="O528" s="423"/>
      <c r="P528" s="423"/>
      <c r="Q528" s="423"/>
      <c r="R528" s="423"/>
      <c r="S528" s="423"/>
      <c r="T528" s="423"/>
      <c r="U528" s="423"/>
      <c r="V528" s="423"/>
      <c r="W528" s="423"/>
    </row>
    <row r="529">
      <c r="A529" s="766"/>
      <c r="B529" s="717"/>
      <c r="C529" s="763"/>
      <c r="D529" s="763"/>
      <c r="E529" s="423"/>
      <c r="F529" s="764"/>
      <c r="G529" s="765"/>
      <c r="H529" s="423"/>
      <c r="I529" s="765"/>
      <c r="J529" s="728"/>
      <c r="K529" s="423"/>
      <c r="L529" s="423"/>
      <c r="M529" s="423"/>
      <c r="N529" s="423"/>
      <c r="O529" s="423"/>
      <c r="P529" s="423"/>
      <c r="Q529" s="423"/>
      <c r="R529" s="423"/>
      <c r="S529" s="423"/>
      <c r="T529" s="423"/>
      <c r="U529" s="423"/>
      <c r="V529" s="423"/>
      <c r="W529" s="423"/>
    </row>
    <row r="530">
      <c r="A530" s="766"/>
      <c r="B530" s="717"/>
      <c r="C530" s="763"/>
      <c r="D530" s="763"/>
      <c r="E530" s="423"/>
      <c r="F530" s="764"/>
      <c r="G530" s="765"/>
      <c r="H530" s="423"/>
      <c r="I530" s="765"/>
      <c r="J530" s="728"/>
      <c r="K530" s="423"/>
      <c r="L530" s="423"/>
      <c r="M530" s="423"/>
      <c r="N530" s="423"/>
      <c r="O530" s="423"/>
      <c r="P530" s="423"/>
      <c r="Q530" s="423"/>
      <c r="R530" s="423"/>
      <c r="S530" s="423"/>
      <c r="T530" s="423"/>
      <c r="U530" s="423"/>
      <c r="V530" s="423"/>
      <c r="W530" s="423"/>
    </row>
    <row r="531">
      <c r="A531" s="766"/>
      <c r="B531" s="717"/>
      <c r="C531" s="763"/>
      <c r="D531" s="763"/>
      <c r="E531" s="423"/>
      <c r="F531" s="764"/>
      <c r="G531" s="765"/>
      <c r="H531" s="423"/>
      <c r="I531" s="765"/>
      <c r="J531" s="728"/>
      <c r="K531" s="423"/>
      <c r="L531" s="423"/>
      <c r="M531" s="423"/>
      <c r="N531" s="423"/>
      <c r="O531" s="423"/>
      <c r="P531" s="423"/>
      <c r="Q531" s="423"/>
      <c r="R531" s="423"/>
      <c r="S531" s="423"/>
      <c r="T531" s="423"/>
      <c r="U531" s="423"/>
      <c r="V531" s="423"/>
      <c r="W531" s="423"/>
    </row>
    <row r="532">
      <c r="A532" s="766"/>
      <c r="B532" s="717"/>
      <c r="C532" s="763"/>
      <c r="D532" s="763"/>
      <c r="E532" s="423"/>
      <c r="F532" s="764"/>
      <c r="G532" s="765"/>
      <c r="H532" s="423"/>
      <c r="I532" s="765"/>
      <c r="J532" s="728"/>
      <c r="K532" s="423"/>
      <c r="L532" s="423"/>
      <c r="M532" s="423"/>
      <c r="N532" s="423"/>
      <c r="O532" s="423"/>
      <c r="P532" s="423"/>
      <c r="Q532" s="423"/>
      <c r="R532" s="423"/>
      <c r="S532" s="423"/>
      <c r="T532" s="423"/>
      <c r="U532" s="423"/>
      <c r="V532" s="423"/>
      <c r="W532" s="423"/>
    </row>
    <row r="533">
      <c r="A533" s="766"/>
      <c r="B533" s="717"/>
      <c r="C533" s="763"/>
      <c r="D533" s="763"/>
      <c r="E533" s="423"/>
      <c r="F533" s="764"/>
      <c r="G533" s="765"/>
      <c r="H533" s="423"/>
      <c r="I533" s="765"/>
      <c r="J533" s="728"/>
      <c r="K533" s="423"/>
      <c r="L533" s="423"/>
      <c r="M533" s="423"/>
      <c r="N533" s="423"/>
      <c r="O533" s="423"/>
      <c r="P533" s="423"/>
      <c r="Q533" s="423"/>
      <c r="R533" s="423"/>
      <c r="S533" s="423"/>
      <c r="T533" s="423"/>
      <c r="U533" s="423"/>
      <c r="V533" s="423"/>
      <c r="W533" s="423"/>
    </row>
    <row r="534">
      <c r="A534" s="766"/>
      <c r="B534" s="717"/>
      <c r="C534" s="763"/>
      <c r="D534" s="763"/>
      <c r="E534" s="423"/>
      <c r="F534" s="764"/>
      <c r="G534" s="765"/>
      <c r="H534" s="423"/>
      <c r="I534" s="765"/>
      <c r="J534" s="728"/>
      <c r="K534" s="423"/>
      <c r="L534" s="423"/>
      <c r="M534" s="423"/>
      <c r="N534" s="423"/>
      <c r="O534" s="423"/>
      <c r="P534" s="423"/>
      <c r="Q534" s="423"/>
      <c r="R534" s="423"/>
      <c r="S534" s="423"/>
      <c r="T534" s="423"/>
      <c r="U534" s="423"/>
      <c r="V534" s="423"/>
      <c r="W534" s="423"/>
    </row>
    <row r="535">
      <c r="A535" s="766"/>
      <c r="B535" s="717"/>
      <c r="C535" s="763"/>
      <c r="D535" s="763"/>
      <c r="E535" s="423"/>
      <c r="F535" s="764"/>
      <c r="G535" s="765"/>
      <c r="H535" s="423"/>
      <c r="I535" s="765"/>
      <c r="J535" s="728"/>
      <c r="K535" s="423"/>
      <c r="L535" s="423"/>
      <c r="M535" s="423"/>
      <c r="N535" s="423"/>
      <c r="O535" s="423"/>
      <c r="P535" s="423"/>
      <c r="Q535" s="423"/>
      <c r="R535" s="423"/>
      <c r="S535" s="423"/>
      <c r="T535" s="423"/>
      <c r="U535" s="423"/>
      <c r="V535" s="423"/>
      <c r="W535" s="423"/>
    </row>
    <row r="536">
      <c r="A536" s="766"/>
      <c r="B536" s="717"/>
      <c r="C536" s="763"/>
      <c r="D536" s="763"/>
      <c r="E536" s="423"/>
      <c r="F536" s="764"/>
      <c r="G536" s="765"/>
      <c r="H536" s="423"/>
      <c r="I536" s="765"/>
      <c r="J536" s="728"/>
      <c r="K536" s="423"/>
      <c r="L536" s="423"/>
      <c r="M536" s="423"/>
      <c r="N536" s="423"/>
      <c r="O536" s="423"/>
      <c r="P536" s="423"/>
      <c r="Q536" s="423"/>
      <c r="R536" s="423"/>
      <c r="S536" s="423"/>
      <c r="T536" s="423"/>
      <c r="U536" s="423"/>
      <c r="V536" s="423"/>
      <c r="W536" s="423"/>
    </row>
    <row r="537">
      <c r="A537" s="766"/>
      <c r="B537" s="717"/>
      <c r="C537" s="763"/>
      <c r="D537" s="763"/>
      <c r="E537" s="423"/>
      <c r="F537" s="764"/>
      <c r="G537" s="765"/>
      <c r="H537" s="423"/>
      <c r="I537" s="765"/>
      <c r="J537" s="728"/>
      <c r="K537" s="423"/>
      <c r="L537" s="423"/>
      <c r="M537" s="423"/>
      <c r="N537" s="423"/>
      <c r="O537" s="423"/>
      <c r="P537" s="423"/>
      <c r="Q537" s="423"/>
      <c r="R537" s="423"/>
      <c r="S537" s="423"/>
      <c r="T537" s="423"/>
      <c r="U537" s="423"/>
      <c r="V537" s="423"/>
      <c r="W537" s="423"/>
    </row>
    <row r="538">
      <c r="A538" s="766"/>
      <c r="B538" s="717"/>
      <c r="C538" s="763"/>
      <c r="D538" s="763"/>
      <c r="E538" s="423"/>
      <c r="F538" s="764"/>
      <c r="G538" s="765"/>
      <c r="H538" s="423"/>
      <c r="I538" s="765"/>
      <c r="J538" s="728"/>
      <c r="K538" s="423"/>
      <c r="L538" s="423"/>
      <c r="M538" s="423"/>
      <c r="N538" s="423"/>
      <c r="O538" s="423"/>
      <c r="P538" s="423"/>
      <c r="Q538" s="423"/>
      <c r="R538" s="423"/>
      <c r="S538" s="423"/>
      <c r="T538" s="423"/>
      <c r="U538" s="423"/>
      <c r="V538" s="423"/>
      <c r="W538" s="423"/>
    </row>
    <row r="539">
      <c r="A539" s="766"/>
      <c r="B539" s="717"/>
      <c r="C539" s="763"/>
      <c r="D539" s="763"/>
      <c r="E539" s="423"/>
      <c r="F539" s="764"/>
      <c r="G539" s="765"/>
      <c r="H539" s="423"/>
      <c r="I539" s="765"/>
      <c r="J539" s="728"/>
      <c r="K539" s="423"/>
      <c r="L539" s="423"/>
      <c r="M539" s="423"/>
      <c r="N539" s="423"/>
      <c r="O539" s="423"/>
      <c r="P539" s="423"/>
      <c r="Q539" s="423"/>
      <c r="R539" s="423"/>
      <c r="S539" s="423"/>
      <c r="T539" s="423"/>
      <c r="U539" s="423"/>
      <c r="V539" s="423"/>
      <c r="W539" s="423"/>
    </row>
    <row r="540">
      <c r="A540" s="766"/>
      <c r="B540" s="717"/>
      <c r="C540" s="763"/>
      <c r="D540" s="763"/>
      <c r="E540" s="423"/>
      <c r="F540" s="764"/>
      <c r="G540" s="765"/>
      <c r="H540" s="423"/>
      <c r="I540" s="765"/>
      <c r="J540" s="728"/>
      <c r="K540" s="423"/>
      <c r="L540" s="423"/>
      <c r="M540" s="423"/>
      <c r="N540" s="423"/>
      <c r="O540" s="423"/>
      <c r="P540" s="423"/>
      <c r="Q540" s="423"/>
      <c r="R540" s="423"/>
      <c r="S540" s="423"/>
      <c r="T540" s="423"/>
      <c r="U540" s="423"/>
      <c r="V540" s="423"/>
      <c r="W540" s="423"/>
    </row>
    <row r="541">
      <c r="A541" s="766"/>
      <c r="B541" s="717"/>
      <c r="C541" s="763"/>
      <c r="D541" s="763"/>
      <c r="E541" s="423"/>
      <c r="F541" s="764"/>
      <c r="G541" s="765"/>
      <c r="H541" s="423"/>
      <c r="I541" s="765"/>
      <c r="J541" s="728"/>
      <c r="K541" s="423"/>
      <c r="L541" s="423"/>
      <c r="M541" s="423"/>
      <c r="N541" s="423"/>
      <c r="O541" s="423"/>
      <c r="P541" s="423"/>
      <c r="Q541" s="423"/>
      <c r="R541" s="423"/>
      <c r="S541" s="423"/>
      <c r="T541" s="423"/>
      <c r="U541" s="423"/>
      <c r="V541" s="423"/>
      <c r="W541" s="423"/>
    </row>
    <row r="542">
      <c r="A542" s="766"/>
      <c r="B542" s="717"/>
      <c r="C542" s="763"/>
      <c r="D542" s="763"/>
      <c r="E542" s="423"/>
      <c r="F542" s="764"/>
      <c r="G542" s="765"/>
      <c r="H542" s="423"/>
      <c r="I542" s="765"/>
      <c r="J542" s="728"/>
      <c r="K542" s="423"/>
      <c r="L542" s="423"/>
      <c r="M542" s="423"/>
      <c r="N542" s="423"/>
      <c r="O542" s="423"/>
      <c r="P542" s="423"/>
      <c r="Q542" s="423"/>
      <c r="R542" s="423"/>
      <c r="S542" s="423"/>
      <c r="T542" s="423"/>
      <c r="U542" s="423"/>
      <c r="V542" s="423"/>
      <c r="W542" s="423"/>
    </row>
    <row r="543">
      <c r="A543" s="766"/>
      <c r="B543" s="717"/>
      <c r="C543" s="763"/>
      <c r="D543" s="763"/>
      <c r="E543" s="423"/>
      <c r="F543" s="764"/>
      <c r="G543" s="765"/>
      <c r="H543" s="423"/>
      <c r="I543" s="765"/>
      <c r="J543" s="728"/>
      <c r="K543" s="423"/>
      <c r="L543" s="423"/>
      <c r="M543" s="423"/>
      <c r="N543" s="423"/>
      <c r="O543" s="423"/>
      <c r="P543" s="423"/>
      <c r="Q543" s="423"/>
      <c r="R543" s="423"/>
      <c r="S543" s="423"/>
      <c r="T543" s="423"/>
      <c r="U543" s="423"/>
      <c r="V543" s="423"/>
      <c r="W543" s="423"/>
    </row>
    <row r="544">
      <c r="A544" s="766"/>
      <c r="B544" s="717"/>
      <c r="C544" s="763"/>
      <c r="D544" s="763"/>
      <c r="E544" s="423"/>
      <c r="F544" s="764"/>
      <c r="G544" s="765"/>
      <c r="H544" s="423"/>
      <c r="I544" s="765"/>
      <c r="J544" s="728"/>
      <c r="K544" s="423"/>
      <c r="L544" s="423"/>
      <c r="M544" s="423"/>
      <c r="N544" s="423"/>
      <c r="O544" s="423"/>
      <c r="P544" s="423"/>
      <c r="Q544" s="423"/>
      <c r="R544" s="423"/>
      <c r="S544" s="423"/>
      <c r="T544" s="423"/>
      <c r="U544" s="423"/>
      <c r="V544" s="423"/>
      <c r="W544" s="423"/>
    </row>
    <row r="545">
      <c r="A545" s="766"/>
      <c r="B545" s="717"/>
      <c r="C545" s="763"/>
      <c r="D545" s="763"/>
      <c r="E545" s="423"/>
      <c r="F545" s="764"/>
      <c r="G545" s="765"/>
      <c r="H545" s="423"/>
      <c r="I545" s="765"/>
      <c r="J545" s="728"/>
      <c r="K545" s="423"/>
      <c r="L545" s="423"/>
      <c r="M545" s="423"/>
      <c r="N545" s="423"/>
      <c r="O545" s="423"/>
      <c r="P545" s="423"/>
      <c r="Q545" s="423"/>
      <c r="R545" s="423"/>
      <c r="S545" s="423"/>
      <c r="T545" s="423"/>
      <c r="U545" s="423"/>
      <c r="V545" s="423"/>
      <c r="W545" s="423"/>
    </row>
    <row r="546">
      <c r="A546" s="766"/>
      <c r="B546" s="717"/>
      <c r="C546" s="763"/>
      <c r="D546" s="763"/>
      <c r="E546" s="423"/>
      <c r="F546" s="764"/>
      <c r="G546" s="765"/>
      <c r="H546" s="423"/>
      <c r="I546" s="765"/>
      <c r="J546" s="728"/>
      <c r="K546" s="423"/>
      <c r="L546" s="423"/>
      <c r="M546" s="423"/>
      <c r="N546" s="423"/>
      <c r="O546" s="423"/>
      <c r="P546" s="423"/>
      <c r="Q546" s="423"/>
      <c r="R546" s="423"/>
      <c r="S546" s="423"/>
      <c r="T546" s="423"/>
      <c r="U546" s="423"/>
      <c r="V546" s="423"/>
      <c r="W546" s="423"/>
    </row>
    <row r="547">
      <c r="A547" s="766"/>
      <c r="B547" s="717"/>
      <c r="C547" s="763"/>
      <c r="D547" s="763"/>
      <c r="E547" s="423"/>
      <c r="F547" s="764"/>
      <c r="G547" s="765"/>
      <c r="H547" s="423"/>
      <c r="I547" s="765"/>
      <c r="J547" s="728"/>
      <c r="K547" s="423"/>
      <c r="L547" s="423"/>
      <c r="M547" s="423"/>
      <c r="N547" s="423"/>
      <c r="O547" s="423"/>
      <c r="P547" s="423"/>
      <c r="Q547" s="423"/>
      <c r="R547" s="423"/>
      <c r="S547" s="423"/>
      <c r="T547" s="423"/>
      <c r="U547" s="423"/>
      <c r="V547" s="423"/>
      <c r="W547" s="423"/>
    </row>
    <row r="548">
      <c r="A548" s="766"/>
      <c r="B548" s="717"/>
      <c r="C548" s="763"/>
      <c r="D548" s="763"/>
      <c r="E548" s="423"/>
      <c r="F548" s="764"/>
      <c r="G548" s="765"/>
      <c r="H548" s="423"/>
      <c r="I548" s="765"/>
      <c r="J548" s="728"/>
      <c r="K548" s="423"/>
      <c r="L548" s="423"/>
      <c r="M548" s="423"/>
      <c r="N548" s="423"/>
      <c r="O548" s="423"/>
      <c r="P548" s="423"/>
      <c r="Q548" s="423"/>
      <c r="R548" s="423"/>
      <c r="S548" s="423"/>
      <c r="T548" s="423"/>
      <c r="U548" s="423"/>
      <c r="V548" s="423"/>
      <c r="W548" s="423"/>
    </row>
    <row r="549">
      <c r="A549" s="766"/>
      <c r="B549" s="717"/>
      <c r="C549" s="763"/>
      <c r="D549" s="763"/>
      <c r="E549" s="423"/>
      <c r="F549" s="764"/>
      <c r="G549" s="765"/>
      <c r="H549" s="423"/>
      <c r="I549" s="765"/>
      <c r="J549" s="728"/>
      <c r="K549" s="423"/>
      <c r="L549" s="423"/>
      <c r="M549" s="423"/>
      <c r="N549" s="423"/>
      <c r="O549" s="423"/>
      <c r="P549" s="423"/>
      <c r="Q549" s="423"/>
      <c r="R549" s="423"/>
      <c r="S549" s="423"/>
      <c r="T549" s="423"/>
      <c r="U549" s="423"/>
      <c r="V549" s="423"/>
      <c r="W549" s="423"/>
    </row>
    <row r="550">
      <c r="A550" s="766"/>
      <c r="B550" s="717"/>
      <c r="C550" s="763"/>
      <c r="D550" s="763"/>
      <c r="E550" s="423"/>
      <c r="F550" s="764"/>
      <c r="G550" s="765"/>
      <c r="H550" s="423"/>
      <c r="I550" s="765"/>
      <c r="J550" s="728"/>
      <c r="K550" s="423"/>
      <c r="L550" s="423"/>
      <c r="M550" s="423"/>
      <c r="N550" s="423"/>
      <c r="O550" s="423"/>
      <c r="P550" s="423"/>
      <c r="Q550" s="423"/>
      <c r="R550" s="423"/>
      <c r="S550" s="423"/>
      <c r="T550" s="423"/>
      <c r="U550" s="423"/>
      <c r="V550" s="423"/>
      <c r="W550" s="423"/>
    </row>
    <row r="551">
      <c r="A551" s="766"/>
      <c r="B551" s="717"/>
      <c r="C551" s="763"/>
      <c r="D551" s="763"/>
      <c r="E551" s="423"/>
      <c r="F551" s="764"/>
      <c r="G551" s="765"/>
      <c r="H551" s="423"/>
      <c r="I551" s="765"/>
      <c r="J551" s="728"/>
      <c r="K551" s="423"/>
      <c r="L551" s="423"/>
      <c r="M551" s="423"/>
      <c r="N551" s="423"/>
      <c r="O551" s="423"/>
      <c r="P551" s="423"/>
      <c r="Q551" s="423"/>
      <c r="R551" s="423"/>
      <c r="S551" s="423"/>
      <c r="T551" s="423"/>
      <c r="U551" s="423"/>
      <c r="V551" s="423"/>
      <c r="W551" s="423"/>
    </row>
    <row r="552">
      <c r="A552" s="766"/>
      <c r="B552" s="717"/>
      <c r="C552" s="763"/>
      <c r="D552" s="763"/>
      <c r="E552" s="423"/>
      <c r="F552" s="764"/>
      <c r="G552" s="765"/>
      <c r="H552" s="423"/>
      <c r="I552" s="765"/>
      <c r="J552" s="728"/>
      <c r="K552" s="423"/>
      <c r="L552" s="423"/>
      <c r="M552" s="423"/>
      <c r="N552" s="423"/>
      <c r="O552" s="423"/>
      <c r="P552" s="423"/>
      <c r="Q552" s="423"/>
      <c r="R552" s="423"/>
      <c r="S552" s="423"/>
      <c r="T552" s="423"/>
      <c r="U552" s="423"/>
      <c r="V552" s="423"/>
      <c r="W552" s="423"/>
    </row>
    <row r="553">
      <c r="A553" s="766"/>
      <c r="B553" s="717"/>
      <c r="C553" s="763"/>
      <c r="D553" s="763"/>
      <c r="E553" s="423"/>
      <c r="F553" s="764"/>
      <c r="G553" s="765"/>
      <c r="H553" s="423"/>
      <c r="I553" s="765"/>
      <c r="J553" s="728"/>
      <c r="K553" s="423"/>
      <c r="L553" s="423"/>
      <c r="M553" s="423"/>
      <c r="N553" s="423"/>
      <c r="O553" s="423"/>
      <c r="P553" s="423"/>
      <c r="Q553" s="423"/>
      <c r="R553" s="423"/>
      <c r="S553" s="423"/>
      <c r="T553" s="423"/>
      <c r="U553" s="423"/>
      <c r="V553" s="423"/>
      <c r="W553" s="423"/>
    </row>
    <row r="554">
      <c r="A554" s="766"/>
      <c r="B554" s="717"/>
      <c r="C554" s="763"/>
      <c r="D554" s="763"/>
      <c r="E554" s="423"/>
      <c r="F554" s="764"/>
      <c r="G554" s="765"/>
      <c r="H554" s="423"/>
      <c r="I554" s="765"/>
      <c r="J554" s="728"/>
      <c r="K554" s="423"/>
      <c r="L554" s="423"/>
      <c r="M554" s="423"/>
      <c r="N554" s="423"/>
      <c r="O554" s="423"/>
      <c r="P554" s="423"/>
      <c r="Q554" s="423"/>
      <c r="R554" s="423"/>
      <c r="S554" s="423"/>
      <c r="T554" s="423"/>
      <c r="U554" s="423"/>
      <c r="V554" s="423"/>
      <c r="W554" s="423"/>
    </row>
    <row r="555">
      <c r="A555" s="766"/>
      <c r="B555" s="717"/>
      <c r="C555" s="763"/>
      <c r="D555" s="763"/>
      <c r="E555" s="423"/>
      <c r="F555" s="764"/>
      <c r="G555" s="765"/>
      <c r="H555" s="423"/>
      <c r="I555" s="765"/>
      <c r="J555" s="728"/>
      <c r="K555" s="423"/>
      <c r="L555" s="423"/>
      <c r="M555" s="423"/>
      <c r="N555" s="423"/>
      <c r="O555" s="423"/>
      <c r="P555" s="423"/>
      <c r="Q555" s="423"/>
      <c r="R555" s="423"/>
      <c r="S555" s="423"/>
      <c r="T555" s="423"/>
      <c r="U555" s="423"/>
      <c r="V555" s="423"/>
      <c r="W555" s="423"/>
    </row>
    <row r="556">
      <c r="A556" s="766"/>
      <c r="B556" s="717"/>
      <c r="C556" s="763"/>
      <c r="D556" s="763"/>
      <c r="E556" s="423"/>
      <c r="F556" s="764"/>
      <c r="G556" s="765"/>
      <c r="H556" s="423"/>
      <c r="I556" s="765"/>
      <c r="J556" s="728"/>
      <c r="K556" s="423"/>
      <c r="L556" s="423"/>
      <c r="M556" s="423"/>
      <c r="N556" s="423"/>
      <c r="O556" s="423"/>
      <c r="P556" s="423"/>
      <c r="Q556" s="423"/>
      <c r="R556" s="423"/>
      <c r="S556" s="423"/>
      <c r="T556" s="423"/>
      <c r="U556" s="423"/>
      <c r="V556" s="423"/>
      <c r="W556" s="423"/>
    </row>
    <row r="557">
      <c r="A557" s="766"/>
      <c r="B557" s="717"/>
      <c r="C557" s="763"/>
      <c r="D557" s="763"/>
      <c r="E557" s="423"/>
      <c r="F557" s="764"/>
      <c r="G557" s="765"/>
      <c r="H557" s="423"/>
      <c r="I557" s="765"/>
      <c r="J557" s="728"/>
      <c r="K557" s="423"/>
      <c r="L557" s="423"/>
      <c r="M557" s="423"/>
      <c r="N557" s="423"/>
      <c r="O557" s="423"/>
      <c r="P557" s="423"/>
      <c r="Q557" s="423"/>
      <c r="R557" s="423"/>
      <c r="S557" s="423"/>
      <c r="T557" s="423"/>
      <c r="U557" s="423"/>
      <c r="V557" s="423"/>
      <c r="W557" s="423"/>
    </row>
    <row r="558">
      <c r="A558" s="766"/>
      <c r="B558" s="717"/>
      <c r="C558" s="763"/>
      <c r="D558" s="763"/>
      <c r="E558" s="423"/>
      <c r="F558" s="764"/>
      <c r="G558" s="765"/>
      <c r="H558" s="423"/>
      <c r="I558" s="765"/>
      <c r="J558" s="728"/>
      <c r="K558" s="423"/>
      <c r="L558" s="423"/>
      <c r="M558" s="423"/>
      <c r="N558" s="423"/>
      <c r="O558" s="423"/>
      <c r="P558" s="423"/>
      <c r="Q558" s="423"/>
      <c r="R558" s="423"/>
      <c r="S558" s="423"/>
      <c r="T558" s="423"/>
      <c r="U558" s="423"/>
      <c r="V558" s="423"/>
      <c r="W558" s="423"/>
    </row>
    <row r="559">
      <c r="A559" s="766"/>
      <c r="B559" s="717"/>
      <c r="C559" s="763"/>
      <c r="D559" s="763"/>
      <c r="E559" s="423"/>
      <c r="F559" s="764"/>
      <c r="G559" s="765"/>
      <c r="H559" s="423"/>
      <c r="I559" s="765"/>
      <c r="J559" s="728"/>
      <c r="K559" s="423"/>
      <c r="L559" s="423"/>
      <c r="M559" s="423"/>
      <c r="N559" s="423"/>
      <c r="O559" s="423"/>
      <c r="P559" s="423"/>
      <c r="Q559" s="423"/>
      <c r="R559" s="423"/>
      <c r="S559" s="423"/>
      <c r="T559" s="423"/>
      <c r="U559" s="423"/>
      <c r="V559" s="423"/>
      <c r="W559" s="423"/>
    </row>
    <row r="560">
      <c r="A560" s="766"/>
      <c r="B560" s="717"/>
      <c r="C560" s="763"/>
      <c r="D560" s="763"/>
      <c r="E560" s="423"/>
      <c r="F560" s="764"/>
      <c r="G560" s="765"/>
      <c r="H560" s="423"/>
      <c r="I560" s="765"/>
      <c r="J560" s="728"/>
      <c r="K560" s="423"/>
      <c r="L560" s="423"/>
      <c r="M560" s="423"/>
      <c r="N560" s="423"/>
      <c r="O560" s="423"/>
      <c r="P560" s="423"/>
      <c r="Q560" s="423"/>
      <c r="R560" s="423"/>
      <c r="S560" s="423"/>
      <c r="T560" s="423"/>
      <c r="U560" s="423"/>
      <c r="V560" s="423"/>
      <c r="W560" s="423"/>
    </row>
    <row r="561">
      <c r="A561" s="766"/>
      <c r="B561" s="717"/>
      <c r="C561" s="763"/>
      <c r="D561" s="763"/>
      <c r="E561" s="423"/>
      <c r="F561" s="764"/>
      <c r="G561" s="765"/>
      <c r="H561" s="423"/>
      <c r="I561" s="765"/>
      <c r="J561" s="728"/>
      <c r="K561" s="423"/>
      <c r="L561" s="423"/>
      <c r="M561" s="423"/>
      <c r="N561" s="423"/>
      <c r="O561" s="423"/>
      <c r="P561" s="423"/>
      <c r="Q561" s="423"/>
      <c r="R561" s="423"/>
      <c r="S561" s="423"/>
      <c r="T561" s="423"/>
      <c r="U561" s="423"/>
      <c r="V561" s="423"/>
      <c r="W561" s="423"/>
    </row>
    <row r="562">
      <c r="A562" s="766"/>
      <c r="B562" s="717"/>
      <c r="C562" s="763"/>
      <c r="D562" s="763"/>
      <c r="E562" s="423"/>
      <c r="F562" s="764"/>
      <c r="G562" s="765"/>
      <c r="H562" s="423"/>
      <c r="I562" s="765"/>
      <c r="J562" s="728"/>
      <c r="K562" s="423"/>
      <c r="L562" s="423"/>
      <c r="M562" s="423"/>
      <c r="N562" s="423"/>
      <c r="O562" s="423"/>
      <c r="P562" s="423"/>
      <c r="Q562" s="423"/>
      <c r="R562" s="423"/>
      <c r="S562" s="423"/>
      <c r="T562" s="423"/>
      <c r="U562" s="423"/>
      <c r="V562" s="423"/>
      <c r="W562" s="423"/>
    </row>
    <row r="563">
      <c r="A563" s="766"/>
      <c r="B563" s="717"/>
      <c r="C563" s="763"/>
      <c r="D563" s="763"/>
      <c r="E563" s="423"/>
      <c r="F563" s="764"/>
      <c r="G563" s="765"/>
      <c r="H563" s="423"/>
      <c r="I563" s="765"/>
      <c r="J563" s="728"/>
      <c r="K563" s="423"/>
      <c r="L563" s="423"/>
      <c r="M563" s="423"/>
      <c r="N563" s="423"/>
      <c r="O563" s="423"/>
      <c r="P563" s="423"/>
      <c r="Q563" s="423"/>
      <c r="R563" s="423"/>
      <c r="S563" s="423"/>
      <c r="T563" s="423"/>
      <c r="U563" s="423"/>
      <c r="V563" s="423"/>
      <c r="W563" s="423"/>
    </row>
    <row r="564">
      <c r="A564" s="766"/>
      <c r="B564" s="717"/>
      <c r="C564" s="763"/>
      <c r="D564" s="763"/>
      <c r="E564" s="423"/>
      <c r="F564" s="764"/>
      <c r="G564" s="765"/>
      <c r="H564" s="423"/>
      <c r="I564" s="765"/>
      <c r="J564" s="728"/>
      <c r="K564" s="423"/>
      <c r="L564" s="423"/>
      <c r="M564" s="423"/>
      <c r="N564" s="423"/>
      <c r="O564" s="423"/>
      <c r="P564" s="423"/>
      <c r="Q564" s="423"/>
      <c r="R564" s="423"/>
      <c r="S564" s="423"/>
      <c r="T564" s="423"/>
      <c r="U564" s="423"/>
      <c r="V564" s="423"/>
      <c r="W564" s="423"/>
    </row>
    <row r="565">
      <c r="A565" s="766"/>
      <c r="B565" s="717"/>
      <c r="C565" s="763"/>
      <c r="D565" s="763"/>
      <c r="E565" s="423"/>
      <c r="F565" s="764"/>
      <c r="G565" s="765"/>
      <c r="H565" s="423"/>
      <c r="I565" s="765"/>
      <c r="J565" s="728"/>
      <c r="K565" s="423"/>
      <c r="L565" s="423"/>
      <c r="M565" s="423"/>
      <c r="N565" s="423"/>
      <c r="O565" s="423"/>
      <c r="P565" s="423"/>
      <c r="Q565" s="423"/>
      <c r="R565" s="423"/>
      <c r="S565" s="423"/>
      <c r="T565" s="423"/>
      <c r="U565" s="423"/>
      <c r="V565" s="423"/>
      <c r="W565" s="423"/>
    </row>
    <row r="566">
      <c r="A566" s="766"/>
      <c r="B566" s="717"/>
      <c r="C566" s="763"/>
      <c r="D566" s="763"/>
      <c r="E566" s="423"/>
      <c r="F566" s="764"/>
      <c r="G566" s="765"/>
      <c r="H566" s="423"/>
      <c r="I566" s="765"/>
      <c r="J566" s="728"/>
      <c r="K566" s="423"/>
      <c r="L566" s="423"/>
      <c r="M566" s="423"/>
      <c r="N566" s="423"/>
      <c r="O566" s="423"/>
      <c r="P566" s="423"/>
      <c r="Q566" s="423"/>
      <c r="R566" s="423"/>
      <c r="S566" s="423"/>
      <c r="T566" s="423"/>
      <c r="U566" s="423"/>
      <c r="V566" s="423"/>
      <c r="W566" s="423"/>
    </row>
    <row r="567">
      <c r="A567" s="766"/>
      <c r="B567" s="717"/>
      <c r="C567" s="763"/>
      <c r="D567" s="763"/>
      <c r="E567" s="423"/>
      <c r="F567" s="764"/>
      <c r="G567" s="765"/>
      <c r="H567" s="423"/>
      <c r="I567" s="765"/>
      <c r="J567" s="728"/>
      <c r="K567" s="423"/>
      <c r="L567" s="423"/>
      <c r="M567" s="423"/>
      <c r="N567" s="423"/>
      <c r="O567" s="423"/>
      <c r="P567" s="423"/>
      <c r="Q567" s="423"/>
      <c r="R567" s="423"/>
      <c r="S567" s="423"/>
      <c r="T567" s="423"/>
      <c r="U567" s="423"/>
      <c r="V567" s="423"/>
      <c r="W567" s="423"/>
    </row>
    <row r="568">
      <c r="A568" s="766"/>
      <c r="B568" s="717"/>
      <c r="C568" s="763"/>
      <c r="D568" s="763"/>
      <c r="E568" s="423"/>
      <c r="F568" s="764"/>
      <c r="G568" s="765"/>
      <c r="H568" s="423"/>
      <c r="I568" s="765"/>
      <c r="J568" s="728"/>
      <c r="K568" s="423"/>
      <c r="L568" s="423"/>
      <c r="M568" s="423"/>
      <c r="N568" s="423"/>
      <c r="O568" s="423"/>
      <c r="P568" s="423"/>
      <c r="Q568" s="423"/>
      <c r="R568" s="423"/>
      <c r="S568" s="423"/>
      <c r="T568" s="423"/>
      <c r="U568" s="423"/>
      <c r="V568" s="423"/>
      <c r="W568" s="423"/>
    </row>
    <row r="569">
      <c r="A569" s="766"/>
      <c r="B569" s="717"/>
      <c r="C569" s="763"/>
      <c r="D569" s="763"/>
      <c r="E569" s="423"/>
      <c r="F569" s="764"/>
      <c r="G569" s="765"/>
      <c r="H569" s="423"/>
      <c r="I569" s="765"/>
      <c r="J569" s="728"/>
      <c r="K569" s="423"/>
      <c r="L569" s="423"/>
      <c r="M569" s="423"/>
      <c r="N569" s="423"/>
      <c r="O569" s="423"/>
      <c r="P569" s="423"/>
      <c r="Q569" s="423"/>
      <c r="R569" s="423"/>
      <c r="S569" s="423"/>
      <c r="T569" s="423"/>
      <c r="U569" s="423"/>
      <c r="V569" s="423"/>
      <c r="W569" s="423"/>
    </row>
    <row r="570">
      <c r="A570" s="766"/>
      <c r="B570" s="717"/>
      <c r="C570" s="763"/>
      <c r="D570" s="763"/>
      <c r="E570" s="423"/>
      <c r="F570" s="764"/>
      <c r="G570" s="765"/>
      <c r="H570" s="423"/>
      <c r="I570" s="765"/>
      <c r="J570" s="728"/>
      <c r="K570" s="423"/>
      <c r="L570" s="423"/>
      <c r="M570" s="423"/>
      <c r="N570" s="423"/>
      <c r="O570" s="423"/>
      <c r="P570" s="423"/>
      <c r="Q570" s="423"/>
      <c r="R570" s="423"/>
      <c r="S570" s="423"/>
      <c r="T570" s="423"/>
      <c r="U570" s="423"/>
      <c r="V570" s="423"/>
      <c r="W570" s="423"/>
    </row>
    <row r="571">
      <c r="A571" s="766"/>
      <c r="B571" s="717"/>
      <c r="C571" s="763"/>
      <c r="D571" s="763"/>
      <c r="E571" s="423"/>
      <c r="F571" s="764"/>
      <c r="G571" s="765"/>
      <c r="H571" s="423"/>
      <c r="I571" s="765"/>
      <c r="J571" s="728"/>
      <c r="K571" s="423"/>
      <c r="L571" s="423"/>
      <c r="M571" s="423"/>
      <c r="N571" s="423"/>
      <c r="O571" s="423"/>
      <c r="P571" s="423"/>
      <c r="Q571" s="423"/>
      <c r="R571" s="423"/>
      <c r="S571" s="423"/>
      <c r="T571" s="423"/>
      <c r="U571" s="423"/>
      <c r="V571" s="423"/>
      <c r="W571" s="423"/>
    </row>
    <row r="572">
      <c r="A572" s="766"/>
      <c r="B572" s="717"/>
      <c r="C572" s="763"/>
      <c r="D572" s="763"/>
      <c r="E572" s="423"/>
      <c r="F572" s="764"/>
      <c r="G572" s="765"/>
      <c r="H572" s="423"/>
      <c r="I572" s="765"/>
      <c r="J572" s="728"/>
      <c r="K572" s="423"/>
      <c r="L572" s="423"/>
      <c r="M572" s="423"/>
      <c r="N572" s="423"/>
      <c r="O572" s="423"/>
      <c r="P572" s="423"/>
      <c r="Q572" s="423"/>
      <c r="R572" s="423"/>
      <c r="S572" s="423"/>
      <c r="T572" s="423"/>
      <c r="U572" s="423"/>
      <c r="V572" s="423"/>
      <c r="W572" s="423"/>
    </row>
    <row r="573">
      <c r="A573" s="766"/>
      <c r="B573" s="717"/>
      <c r="C573" s="763"/>
      <c r="D573" s="763"/>
      <c r="E573" s="423"/>
      <c r="F573" s="764"/>
      <c r="G573" s="765"/>
      <c r="H573" s="423"/>
      <c r="I573" s="765"/>
      <c r="J573" s="728"/>
      <c r="K573" s="423"/>
      <c r="L573" s="423"/>
      <c r="M573" s="423"/>
      <c r="N573" s="423"/>
      <c r="O573" s="423"/>
      <c r="P573" s="423"/>
      <c r="Q573" s="423"/>
      <c r="R573" s="423"/>
      <c r="S573" s="423"/>
      <c r="T573" s="423"/>
      <c r="U573" s="423"/>
      <c r="V573" s="423"/>
      <c r="W573" s="423"/>
    </row>
    <row r="574">
      <c r="A574" s="766"/>
      <c r="B574" s="717"/>
      <c r="C574" s="763"/>
      <c r="D574" s="763"/>
      <c r="E574" s="423"/>
      <c r="F574" s="764"/>
      <c r="G574" s="765"/>
      <c r="H574" s="423"/>
      <c r="I574" s="765"/>
      <c r="J574" s="728"/>
      <c r="K574" s="423"/>
      <c r="L574" s="423"/>
      <c r="M574" s="423"/>
      <c r="N574" s="423"/>
      <c r="O574" s="423"/>
      <c r="P574" s="423"/>
      <c r="Q574" s="423"/>
      <c r="R574" s="423"/>
      <c r="S574" s="423"/>
      <c r="T574" s="423"/>
      <c r="U574" s="423"/>
      <c r="V574" s="423"/>
      <c r="W574" s="423"/>
    </row>
    <row r="575">
      <c r="A575" s="766"/>
      <c r="B575" s="717"/>
      <c r="C575" s="763"/>
      <c r="D575" s="763"/>
      <c r="E575" s="423"/>
      <c r="F575" s="764"/>
      <c r="G575" s="765"/>
      <c r="H575" s="423"/>
      <c r="I575" s="765"/>
      <c r="J575" s="728"/>
      <c r="K575" s="423"/>
      <c r="L575" s="423"/>
      <c r="M575" s="423"/>
      <c r="N575" s="423"/>
      <c r="O575" s="423"/>
      <c r="P575" s="423"/>
      <c r="Q575" s="423"/>
      <c r="R575" s="423"/>
      <c r="S575" s="423"/>
      <c r="T575" s="423"/>
      <c r="U575" s="423"/>
      <c r="V575" s="423"/>
      <c r="W575" s="423"/>
    </row>
    <row r="576">
      <c r="A576" s="766"/>
      <c r="B576" s="717"/>
      <c r="C576" s="763"/>
      <c r="D576" s="763"/>
      <c r="E576" s="423"/>
      <c r="F576" s="764"/>
      <c r="G576" s="765"/>
      <c r="H576" s="423"/>
      <c r="I576" s="765"/>
      <c r="J576" s="728"/>
      <c r="K576" s="423"/>
      <c r="L576" s="423"/>
      <c r="M576" s="423"/>
      <c r="N576" s="423"/>
      <c r="O576" s="423"/>
      <c r="P576" s="423"/>
      <c r="Q576" s="423"/>
      <c r="R576" s="423"/>
      <c r="S576" s="423"/>
      <c r="T576" s="423"/>
      <c r="U576" s="423"/>
      <c r="V576" s="423"/>
      <c r="W576" s="423"/>
    </row>
    <row r="577">
      <c r="A577" s="766"/>
      <c r="B577" s="717"/>
      <c r="C577" s="763"/>
      <c r="D577" s="763"/>
      <c r="E577" s="423"/>
      <c r="F577" s="764"/>
      <c r="G577" s="765"/>
      <c r="H577" s="423"/>
      <c r="I577" s="765"/>
      <c r="J577" s="728"/>
      <c r="K577" s="423"/>
      <c r="L577" s="423"/>
      <c r="M577" s="423"/>
      <c r="N577" s="423"/>
      <c r="O577" s="423"/>
      <c r="P577" s="423"/>
      <c r="Q577" s="423"/>
      <c r="R577" s="423"/>
      <c r="S577" s="423"/>
      <c r="T577" s="423"/>
      <c r="U577" s="423"/>
      <c r="V577" s="423"/>
      <c r="W577" s="423"/>
    </row>
    <row r="578">
      <c r="A578" s="766"/>
      <c r="B578" s="717"/>
      <c r="C578" s="763"/>
      <c r="D578" s="763"/>
      <c r="E578" s="423"/>
      <c r="F578" s="764"/>
      <c r="G578" s="765"/>
      <c r="H578" s="423"/>
      <c r="I578" s="765"/>
      <c r="J578" s="728"/>
      <c r="K578" s="423"/>
      <c r="L578" s="423"/>
      <c r="M578" s="423"/>
      <c r="N578" s="423"/>
      <c r="O578" s="423"/>
      <c r="P578" s="423"/>
      <c r="Q578" s="423"/>
      <c r="R578" s="423"/>
      <c r="S578" s="423"/>
      <c r="T578" s="423"/>
      <c r="U578" s="423"/>
      <c r="V578" s="423"/>
      <c r="W578" s="423"/>
    </row>
    <row r="579">
      <c r="A579" s="766"/>
      <c r="B579" s="717"/>
      <c r="C579" s="763"/>
      <c r="D579" s="763"/>
      <c r="E579" s="423"/>
      <c r="F579" s="764"/>
      <c r="G579" s="765"/>
      <c r="H579" s="423"/>
      <c r="I579" s="765"/>
      <c r="J579" s="728"/>
      <c r="K579" s="423"/>
      <c r="L579" s="423"/>
      <c r="M579" s="423"/>
      <c r="N579" s="423"/>
      <c r="O579" s="423"/>
      <c r="P579" s="423"/>
      <c r="Q579" s="423"/>
      <c r="R579" s="423"/>
      <c r="S579" s="423"/>
      <c r="T579" s="423"/>
      <c r="U579" s="423"/>
      <c r="V579" s="423"/>
      <c r="W579" s="423"/>
    </row>
    <row r="580">
      <c r="A580" s="766"/>
      <c r="B580" s="717"/>
      <c r="C580" s="763"/>
      <c r="D580" s="763"/>
      <c r="E580" s="423"/>
      <c r="F580" s="764"/>
      <c r="G580" s="765"/>
      <c r="H580" s="423"/>
      <c r="I580" s="765"/>
      <c r="J580" s="728"/>
      <c r="K580" s="423"/>
      <c r="L580" s="423"/>
      <c r="M580" s="423"/>
      <c r="N580" s="423"/>
      <c r="O580" s="423"/>
      <c r="P580" s="423"/>
      <c r="Q580" s="423"/>
      <c r="R580" s="423"/>
      <c r="S580" s="423"/>
      <c r="T580" s="423"/>
      <c r="U580" s="423"/>
      <c r="V580" s="423"/>
      <c r="W580" s="423"/>
    </row>
    <row r="581">
      <c r="A581" s="766"/>
      <c r="B581" s="717"/>
      <c r="C581" s="763"/>
      <c r="D581" s="763"/>
      <c r="E581" s="423"/>
      <c r="F581" s="764"/>
      <c r="G581" s="765"/>
      <c r="H581" s="423"/>
      <c r="I581" s="765"/>
      <c r="J581" s="728"/>
      <c r="K581" s="423"/>
      <c r="L581" s="423"/>
      <c r="M581" s="423"/>
      <c r="N581" s="423"/>
      <c r="O581" s="423"/>
      <c r="P581" s="423"/>
      <c r="Q581" s="423"/>
      <c r="R581" s="423"/>
      <c r="S581" s="423"/>
      <c r="T581" s="423"/>
      <c r="U581" s="423"/>
      <c r="V581" s="423"/>
      <c r="W581" s="423"/>
    </row>
    <row r="582">
      <c r="A582" s="766"/>
      <c r="B582" s="717"/>
      <c r="C582" s="763"/>
      <c r="D582" s="763"/>
      <c r="E582" s="423"/>
      <c r="F582" s="764"/>
      <c r="G582" s="765"/>
      <c r="H582" s="423"/>
      <c r="I582" s="765"/>
      <c r="J582" s="728"/>
      <c r="K582" s="423"/>
      <c r="L582" s="423"/>
      <c r="M582" s="423"/>
      <c r="N582" s="423"/>
      <c r="O582" s="423"/>
      <c r="P582" s="423"/>
      <c r="Q582" s="423"/>
      <c r="R582" s="423"/>
      <c r="S582" s="423"/>
      <c r="T582" s="423"/>
      <c r="U582" s="423"/>
      <c r="V582" s="423"/>
      <c r="W582" s="423"/>
    </row>
    <row r="583">
      <c r="A583" s="766"/>
      <c r="B583" s="717"/>
      <c r="C583" s="763"/>
      <c r="D583" s="763"/>
      <c r="E583" s="423"/>
      <c r="F583" s="764"/>
      <c r="G583" s="765"/>
      <c r="H583" s="423"/>
      <c r="I583" s="765"/>
      <c r="J583" s="728"/>
      <c r="K583" s="423"/>
      <c r="L583" s="423"/>
      <c r="M583" s="423"/>
      <c r="N583" s="423"/>
      <c r="O583" s="423"/>
      <c r="P583" s="423"/>
      <c r="Q583" s="423"/>
      <c r="R583" s="423"/>
      <c r="S583" s="423"/>
      <c r="T583" s="423"/>
      <c r="U583" s="423"/>
      <c r="V583" s="423"/>
      <c r="W583" s="423"/>
    </row>
    <row r="584">
      <c r="A584" s="766"/>
      <c r="B584" s="717"/>
      <c r="C584" s="763"/>
      <c r="D584" s="763"/>
      <c r="E584" s="423"/>
      <c r="F584" s="764"/>
      <c r="G584" s="765"/>
      <c r="H584" s="423"/>
      <c r="I584" s="765"/>
      <c r="J584" s="728"/>
      <c r="K584" s="423"/>
      <c r="L584" s="423"/>
      <c r="M584" s="423"/>
      <c r="N584" s="423"/>
      <c r="O584" s="423"/>
      <c r="P584" s="423"/>
      <c r="Q584" s="423"/>
      <c r="R584" s="423"/>
      <c r="S584" s="423"/>
      <c r="T584" s="423"/>
      <c r="U584" s="423"/>
      <c r="V584" s="423"/>
      <c r="W584" s="423"/>
    </row>
    <row r="585">
      <c r="A585" s="766"/>
      <c r="B585" s="717"/>
      <c r="C585" s="763"/>
      <c r="D585" s="763"/>
      <c r="E585" s="423"/>
      <c r="F585" s="764"/>
      <c r="G585" s="765"/>
      <c r="H585" s="423"/>
      <c r="I585" s="765"/>
      <c r="J585" s="728"/>
      <c r="K585" s="423"/>
      <c r="L585" s="423"/>
      <c r="M585" s="423"/>
      <c r="N585" s="423"/>
      <c r="O585" s="423"/>
      <c r="P585" s="423"/>
      <c r="Q585" s="423"/>
      <c r="R585" s="423"/>
      <c r="S585" s="423"/>
      <c r="T585" s="423"/>
      <c r="U585" s="423"/>
      <c r="V585" s="423"/>
      <c r="W585" s="423"/>
    </row>
    <row r="586">
      <c r="A586" s="766"/>
      <c r="B586" s="717"/>
      <c r="C586" s="763"/>
      <c r="D586" s="763"/>
      <c r="E586" s="423"/>
      <c r="F586" s="764"/>
      <c r="G586" s="765"/>
      <c r="H586" s="423"/>
      <c r="I586" s="765"/>
      <c r="J586" s="728"/>
      <c r="K586" s="423"/>
      <c r="L586" s="423"/>
      <c r="M586" s="423"/>
      <c r="N586" s="423"/>
      <c r="O586" s="423"/>
      <c r="P586" s="423"/>
      <c r="Q586" s="423"/>
      <c r="R586" s="423"/>
      <c r="S586" s="423"/>
      <c r="T586" s="423"/>
      <c r="U586" s="423"/>
      <c r="V586" s="423"/>
      <c r="W586" s="423"/>
    </row>
    <row r="587">
      <c r="A587" s="766"/>
      <c r="B587" s="717"/>
      <c r="C587" s="763"/>
      <c r="D587" s="763"/>
      <c r="E587" s="423"/>
      <c r="F587" s="764"/>
      <c r="G587" s="765"/>
      <c r="H587" s="423"/>
      <c r="I587" s="765"/>
      <c r="J587" s="728"/>
      <c r="K587" s="423"/>
      <c r="L587" s="423"/>
      <c r="M587" s="423"/>
      <c r="N587" s="423"/>
      <c r="O587" s="423"/>
      <c r="P587" s="423"/>
      <c r="Q587" s="423"/>
      <c r="R587" s="423"/>
      <c r="S587" s="423"/>
      <c r="T587" s="423"/>
      <c r="U587" s="423"/>
      <c r="V587" s="423"/>
      <c r="W587" s="423"/>
    </row>
    <row r="588">
      <c r="A588" s="766"/>
      <c r="B588" s="717"/>
      <c r="C588" s="763"/>
      <c r="D588" s="763"/>
      <c r="E588" s="423"/>
      <c r="F588" s="764"/>
      <c r="G588" s="765"/>
      <c r="H588" s="423"/>
      <c r="I588" s="765"/>
      <c r="J588" s="728"/>
      <c r="K588" s="423"/>
      <c r="L588" s="423"/>
      <c r="M588" s="423"/>
      <c r="N588" s="423"/>
      <c r="O588" s="423"/>
      <c r="P588" s="423"/>
      <c r="Q588" s="423"/>
      <c r="R588" s="423"/>
      <c r="S588" s="423"/>
      <c r="T588" s="423"/>
      <c r="U588" s="423"/>
      <c r="V588" s="423"/>
      <c r="W588" s="423"/>
    </row>
    <row r="589">
      <c r="A589" s="766"/>
      <c r="B589" s="717"/>
      <c r="C589" s="763"/>
      <c r="D589" s="763"/>
      <c r="E589" s="423"/>
      <c r="F589" s="764"/>
      <c r="G589" s="765"/>
      <c r="H589" s="423"/>
      <c r="I589" s="765"/>
      <c r="J589" s="728"/>
      <c r="K589" s="423"/>
      <c r="L589" s="423"/>
      <c r="M589" s="423"/>
      <c r="N589" s="423"/>
      <c r="O589" s="423"/>
      <c r="P589" s="423"/>
      <c r="Q589" s="423"/>
      <c r="R589" s="423"/>
      <c r="S589" s="423"/>
      <c r="T589" s="423"/>
      <c r="U589" s="423"/>
      <c r="V589" s="423"/>
      <c r="W589" s="423"/>
    </row>
    <row r="590">
      <c r="A590" s="766"/>
      <c r="B590" s="717"/>
      <c r="C590" s="763"/>
      <c r="D590" s="763"/>
      <c r="E590" s="423"/>
      <c r="F590" s="764"/>
      <c r="G590" s="765"/>
      <c r="H590" s="423"/>
      <c r="I590" s="765"/>
      <c r="J590" s="728"/>
      <c r="K590" s="423"/>
      <c r="L590" s="423"/>
      <c r="M590" s="423"/>
      <c r="N590" s="423"/>
      <c r="O590" s="423"/>
      <c r="P590" s="423"/>
      <c r="Q590" s="423"/>
      <c r="R590" s="423"/>
      <c r="S590" s="423"/>
      <c r="T590" s="423"/>
      <c r="U590" s="423"/>
      <c r="V590" s="423"/>
      <c r="W590" s="423"/>
    </row>
    <row r="591">
      <c r="A591" s="766"/>
      <c r="B591" s="717"/>
      <c r="C591" s="763"/>
      <c r="D591" s="763"/>
      <c r="E591" s="423"/>
      <c r="F591" s="764"/>
      <c r="G591" s="765"/>
      <c r="H591" s="423"/>
      <c r="I591" s="765"/>
      <c r="J591" s="728"/>
      <c r="K591" s="423"/>
      <c r="L591" s="423"/>
      <c r="M591" s="423"/>
      <c r="N591" s="423"/>
      <c r="O591" s="423"/>
      <c r="P591" s="423"/>
      <c r="Q591" s="423"/>
      <c r="R591" s="423"/>
      <c r="S591" s="423"/>
      <c r="T591" s="423"/>
      <c r="U591" s="423"/>
      <c r="V591" s="423"/>
      <c r="W591" s="423"/>
    </row>
    <row r="592">
      <c r="A592" s="766"/>
      <c r="B592" s="717"/>
      <c r="C592" s="763"/>
      <c r="D592" s="763"/>
      <c r="E592" s="423"/>
      <c r="F592" s="764"/>
      <c r="G592" s="765"/>
      <c r="H592" s="423"/>
      <c r="I592" s="765"/>
      <c r="J592" s="728"/>
      <c r="K592" s="423"/>
      <c r="L592" s="423"/>
      <c r="M592" s="423"/>
      <c r="N592" s="423"/>
      <c r="O592" s="423"/>
      <c r="P592" s="423"/>
      <c r="Q592" s="423"/>
      <c r="R592" s="423"/>
      <c r="S592" s="423"/>
      <c r="T592" s="423"/>
      <c r="U592" s="423"/>
      <c r="V592" s="423"/>
      <c r="W592" s="423"/>
    </row>
    <row r="593">
      <c r="A593" s="766"/>
      <c r="B593" s="717"/>
      <c r="C593" s="763"/>
      <c r="D593" s="763"/>
      <c r="E593" s="423"/>
      <c r="F593" s="764"/>
      <c r="G593" s="765"/>
      <c r="H593" s="423"/>
      <c r="I593" s="765"/>
      <c r="J593" s="728"/>
      <c r="K593" s="423"/>
      <c r="L593" s="423"/>
      <c r="M593" s="423"/>
      <c r="N593" s="423"/>
      <c r="O593" s="423"/>
      <c r="P593" s="423"/>
      <c r="Q593" s="423"/>
      <c r="R593" s="423"/>
      <c r="S593" s="423"/>
      <c r="T593" s="423"/>
      <c r="U593" s="423"/>
      <c r="V593" s="423"/>
      <c r="W593" s="423"/>
    </row>
    <row r="594">
      <c r="A594" s="766"/>
      <c r="B594" s="717"/>
      <c r="C594" s="763"/>
      <c r="D594" s="763"/>
      <c r="E594" s="423"/>
      <c r="F594" s="764"/>
      <c r="G594" s="765"/>
      <c r="H594" s="423"/>
      <c r="I594" s="765"/>
      <c r="J594" s="728"/>
      <c r="K594" s="423"/>
      <c r="L594" s="423"/>
      <c r="M594" s="423"/>
      <c r="N594" s="423"/>
      <c r="O594" s="423"/>
      <c r="P594" s="423"/>
      <c r="Q594" s="423"/>
      <c r="R594" s="423"/>
      <c r="S594" s="423"/>
      <c r="T594" s="423"/>
      <c r="U594" s="423"/>
      <c r="V594" s="423"/>
      <c r="W594" s="423"/>
    </row>
    <row r="595">
      <c r="A595" s="766"/>
      <c r="B595" s="717"/>
      <c r="C595" s="763"/>
      <c r="D595" s="763"/>
      <c r="E595" s="423"/>
      <c r="F595" s="764"/>
      <c r="G595" s="765"/>
      <c r="H595" s="423"/>
      <c r="I595" s="765"/>
      <c r="J595" s="728"/>
      <c r="K595" s="423"/>
      <c r="L595" s="423"/>
      <c r="M595" s="423"/>
      <c r="N595" s="423"/>
      <c r="O595" s="423"/>
      <c r="P595" s="423"/>
      <c r="Q595" s="423"/>
      <c r="R595" s="423"/>
      <c r="S595" s="423"/>
      <c r="T595" s="423"/>
      <c r="U595" s="423"/>
      <c r="V595" s="423"/>
      <c r="W595" s="423"/>
    </row>
    <row r="596">
      <c r="A596" s="766"/>
      <c r="B596" s="717"/>
      <c r="C596" s="763"/>
      <c r="D596" s="763"/>
      <c r="E596" s="423"/>
      <c r="F596" s="764"/>
      <c r="G596" s="765"/>
      <c r="H596" s="423"/>
      <c r="I596" s="765"/>
      <c r="J596" s="728"/>
      <c r="K596" s="423"/>
      <c r="L596" s="423"/>
      <c r="M596" s="423"/>
      <c r="N596" s="423"/>
      <c r="O596" s="423"/>
      <c r="P596" s="423"/>
      <c r="Q596" s="423"/>
      <c r="R596" s="423"/>
      <c r="S596" s="423"/>
      <c r="T596" s="423"/>
      <c r="U596" s="423"/>
      <c r="V596" s="423"/>
      <c r="W596" s="423"/>
    </row>
    <row r="597">
      <c r="A597" s="766"/>
      <c r="B597" s="717"/>
      <c r="C597" s="763"/>
      <c r="D597" s="763"/>
      <c r="E597" s="423"/>
      <c r="F597" s="764"/>
      <c r="G597" s="765"/>
      <c r="H597" s="423"/>
      <c r="I597" s="765"/>
      <c r="J597" s="728"/>
      <c r="K597" s="423"/>
      <c r="L597" s="423"/>
      <c r="M597" s="423"/>
      <c r="N597" s="423"/>
      <c r="O597" s="423"/>
      <c r="P597" s="423"/>
      <c r="Q597" s="423"/>
      <c r="R597" s="423"/>
      <c r="S597" s="423"/>
      <c r="T597" s="423"/>
      <c r="U597" s="423"/>
      <c r="V597" s="423"/>
      <c r="W597" s="423"/>
    </row>
    <row r="598">
      <c r="A598" s="766"/>
      <c r="B598" s="717"/>
      <c r="C598" s="763"/>
      <c r="D598" s="763"/>
      <c r="E598" s="423"/>
      <c r="F598" s="764"/>
      <c r="G598" s="765"/>
      <c r="H598" s="423"/>
      <c r="I598" s="765"/>
      <c r="J598" s="728"/>
      <c r="K598" s="423"/>
      <c r="L598" s="423"/>
      <c r="M598" s="423"/>
      <c r="N598" s="423"/>
      <c r="O598" s="423"/>
      <c r="P598" s="423"/>
      <c r="Q598" s="423"/>
      <c r="R598" s="423"/>
      <c r="S598" s="423"/>
      <c r="T598" s="423"/>
      <c r="U598" s="423"/>
      <c r="V598" s="423"/>
      <c r="W598" s="423"/>
    </row>
    <row r="599">
      <c r="A599" s="766"/>
      <c r="B599" s="717"/>
      <c r="C599" s="763"/>
      <c r="D599" s="763"/>
      <c r="E599" s="423"/>
      <c r="F599" s="764"/>
      <c r="G599" s="765"/>
      <c r="H599" s="423"/>
      <c r="I599" s="765"/>
      <c r="J599" s="728"/>
      <c r="K599" s="423"/>
      <c r="L599" s="423"/>
      <c r="M599" s="423"/>
      <c r="N599" s="423"/>
      <c r="O599" s="423"/>
      <c r="P599" s="423"/>
      <c r="Q599" s="423"/>
      <c r="R599" s="423"/>
      <c r="S599" s="423"/>
      <c r="T599" s="423"/>
      <c r="U599" s="423"/>
      <c r="V599" s="423"/>
      <c r="W599" s="423"/>
    </row>
    <row r="600">
      <c r="A600" s="766"/>
      <c r="B600" s="717"/>
      <c r="C600" s="763"/>
      <c r="D600" s="763"/>
      <c r="E600" s="423"/>
      <c r="F600" s="764"/>
      <c r="G600" s="765"/>
      <c r="H600" s="423"/>
      <c r="I600" s="765"/>
      <c r="J600" s="728"/>
      <c r="K600" s="423"/>
      <c r="L600" s="423"/>
      <c r="M600" s="423"/>
      <c r="N600" s="423"/>
      <c r="O600" s="423"/>
      <c r="P600" s="423"/>
      <c r="Q600" s="423"/>
      <c r="R600" s="423"/>
      <c r="S600" s="423"/>
      <c r="T600" s="423"/>
      <c r="U600" s="423"/>
      <c r="V600" s="423"/>
      <c r="W600" s="423"/>
    </row>
    <row r="601">
      <c r="A601" s="766"/>
      <c r="B601" s="717"/>
      <c r="C601" s="763"/>
      <c r="D601" s="763"/>
      <c r="E601" s="423"/>
      <c r="F601" s="764"/>
      <c r="G601" s="765"/>
      <c r="H601" s="423"/>
      <c r="I601" s="765"/>
      <c r="J601" s="728"/>
      <c r="K601" s="423"/>
      <c r="L601" s="423"/>
      <c r="M601" s="423"/>
      <c r="N601" s="423"/>
      <c r="O601" s="423"/>
      <c r="P601" s="423"/>
      <c r="Q601" s="423"/>
      <c r="R601" s="423"/>
      <c r="S601" s="423"/>
      <c r="T601" s="423"/>
      <c r="U601" s="423"/>
      <c r="V601" s="423"/>
      <c r="W601" s="423"/>
    </row>
    <row r="602">
      <c r="A602" s="766"/>
      <c r="B602" s="717"/>
      <c r="C602" s="763"/>
      <c r="D602" s="763"/>
      <c r="E602" s="423"/>
      <c r="F602" s="764"/>
      <c r="G602" s="765"/>
      <c r="H602" s="423"/>
      <c r="I602" s="765"/>
      <c r="J602" s="728"/>
      <c r="K602" s="423"/>
      <c r="L602" s="423"/>
      <c r="M602" s="423"/>
      <c r="N602" s="423"/>
      <c r="O602" s="423"/>
      <c r="P602" s="423"/>
      <c r="Q602" s="423"/>
      <c r="R602" s="423"/>
      <c r="S602" s="423"/>
      <c r="T602" s="423"/>
      <c r="U602" s="423"/>
      <c r="V602" s="423"/>
      <c r="W602" s="423"/>
    </row>
    <row r="603">
      <c r="A603" s="766"/>
      <c r="B603" s="717"/>
      <c r="C603" s="763"/>
      <c r="D603" s="763"/>
      <c r="E603" s="423"/>
      <c r="F603" s="764"/>
      <c r="G603" s="765"/>
      <c r="H603" s="423"/>
      <c r="I603" s="765"/>
      <c r="J603" s="728"/>
      <c r="K603" s="423"/>
      <c r="L603" s="423"/>
      <c r="M603" s="423"/>
      <c r="N603" s="423"/>
      <c r="O603" s="423"/>
      <c r="P603" s="423"/>
      <c r="Q603" s="423"/>
      <c r="R603" s="423"/>
      <c r="S603" s="423"/>
      <c r="T603" s="423"/>
      <c r="U603" s="423"/>
      <c r="V603" s="423"/>
      <c r="W603" s="423"/>
    </row>
    <row r="604">
      <c r="A604" s="766"/>
      <c r="B604" s="717"/>
      <c r="C604" s="763"/>
      <c r="D604" s="763"/>
      <c r="E604" s="423"/>
      <c r="F604" s="764"/>
      <c r="G604" s="765"/>
      <c r="H604" s="423"/>
      <c r="I604" s="765"/>
      <c r="J604" s="728"/>
      <c r="K604" s="423"/>
      <c r="L604" s="423"/>
      <c r="M604" s="423"/>
      <c r="N604" s="423"/>
      <c r="O604" s="423"/>
      <c r="P604" s="423"/>
      <c r="Q604" s="423"/>
      <c r="R604" s="423"/>
      <c r="S604" s="423"/>
      <c r="T604" s="423"/>
      <c r="U604" s="423"/>
      <c r="V604" s="423"/>
      <c r="W604" s="423"/>
    </row>
    <row r="605">
      <c r="A605" s="766"/>
      <c r="B605" s="717"/>
      <c r="C605" s="763"/>
      <c r="D605" s="763"/>
      <c r="E605" s="423"/>
      <c r="F605" s="764"/>
      <c r="G605" s="765"/>
      <c r="H605" s="423"/>
      <c r="I605" s="765"/>
      <c r="J605" s="728"/>
      <c r="K605" s="423"/>
      <c r="L605" s="423"/>
      <c r="M605" s="423"/>
      <c r="N605" s="423"/>
      <c r="O605" s="423"/>
      <c r="P605" s="423"/>
      <c r="Q605" s="423"/>
      <c r="R605" s="423"/>
      <c r="S605" s="423"/>
      <c r="T605" s="423"/>
      <c r="U605" s="423"/>
      <c r="V605" s="423"/>
      <c r="W605" s="423"/>
    </row>
    <row r="606">
      <c r="A606" s="766"/>
      <c r="B606" s="717"/>
      <c r="C606" s="763"/>
      <c r="D606" s="763"/>
      <c r="E606" s="423"/>
      <c r="F606" s="764"/>
      <c r="G606" s="765"/>
      <c r="H606" s="423"/>
      <c r="I606" s="765"/>
      <c r="J606" s="728"/>
      <c r="K606" s="423"/>
      <c r="L606" s="423"/>
      <c r="M606" s="423"/>
      <c r="N606" s="423"/>
      <c r="O606" s="423"/>
      <c r="P606" s="423"/>
      <c r="Q606" s="423"/>
      <c r="R606" s="423"/>
      <c r="S606" s="423"/>
      <c r="T606" s="423"/>
      <c r="U606" s="423"/>
      <c r="V606" s="423"/>
      <c r="W606" s="423"/>
    </row>
    <row r="607">
      <c r="A607" s="766"/>
      <c r="B607" s="717"/>
      <c r="C607" s="763"/>
      <c r="D607" s="763"/>
      <c r="E607" s="423"/>
      <c r="F607" s="764"/>
      <c r="G607" s="765"/>
      <c r="H607" s="423"/>
      <c r="I607" s="765"/>
      <c r="J607" s="728"/>
      <c r="K607" s="423"/>
      <c r="L607" s="423"/>
      <c r="M607" s="423"/>
      <c r="N607" s="423"/>
      <c r="O607" s="423"/>
      <c r="P607" s="423"/>
      <c r="Q607" s="423"/>
      <c r="R607" s="423"/>
      <c r="S607" s="423"/>
      <c r="T607" s="423"/>
      <c r="U607" s="423"/>
      <c r="V607" s="423"/>
      <c r="W607" s="423"/>
    </row>
    <row r="608">
      <c r="A608" s="766"/>
      <c r="B608" s="717"/>
      <c r="C608" s="763"/>
      <c r="D608" s="763"/>
      <c r="E608" s="423"/>
      <c r="F608" s="764"/>
      <c r="G608" s="765"/>
      <c r="H608" s="423"/>
      <c r="I608" s="765"/>
      <c r="J608" s="728"/>
      <c r="K608" s="423"/>
      <c r="L608" s="423"/>
      <c r="M608" s="423"/>
      <c r="N608" s="423"/>
      <c r="O608" s="423"/>
      <c r="P608" s="423"/>
      <c r="Q608" s="423"/>
      <c r="R608" s="423"/>
      <c r="S608" s="423"/>
      <c r="T608" s="423"/>
      <c r="U608" s="423"/>
      <c r="V608" s="423"/>
      <c r="W608" s="423"/>
    </row>
    <row r="609">
      <c r="A609" s="766"/>
      <c r="B609" s="717"/>
      <c r="C609" s="763"/>
      <c r="D609" s="763"/>
      <c r="E609" s="423"/>
      <c r="F609" s="764"/>
      <c r="G609" s="765"/>
      <c r="H609" s="423"/>
      <c r="I609" s="765"/>
      <c r="J609" s="728"/>
      <c r="K609" s="423"/>
      <c r="L609" s="423"/>
      <c r="M609" s="423"/>
      <c r="N609" s="423"/>
      <c r="O609" s="423"/>
      <c r="P609" s="423"/>
      <c r="Q609" s="423"/>
      <c r="R609" s="423"/>
      <c r="S609" s="423"/>
      <c r="T609" s="423"/>
      <c r="U609" s="423"/>
      <c r="V609" s="423"/>
      <c r="W609" s="423"/>
    </row>
    <row r="610">
      <c r="A610" s="766"/>
      <c r="B610" s="717"/>
      <c r="C610" s="763"/>
      <c r="D610" s="763"/>
      <c r="E610" s="423"/>
      <c r="F610" s="764"/>
      <c r="G610" s="765"/>
      <c r="H610" s="423"/>
      <c r="I610" s="765"/>
      <c r="J610" s="728"/>
      <c r="K610" s="423"/>
      <c r="L610" s="423"/>
      <c r="M610" s="423"/>
      <c r="N610" s="423"/>
      <c r="O610" s="423"/>
      <c r="P610" s="423"/>
      <c r="Q610" s="423"/>
      <c r="R610" s="423"/>
      <c r="S610" s="423"/>
      <c r="T610" s="423"/>
      <c r="U610" s="423"/>
      <c r="V610" s="423"/>
      <c r="W610" s="423"/>
    </row>
    <row r="611">
      <c r="A611" s="766"/>
      <c r="B611" s="717"/>
      <c r="C611" s="763"/>
      <c r="D611" s="763"/>
      <c r="E611" s="423"/>
      <c r="F611" s="764"/>
      <c r="G611" s="765"/>
      <c r="H611" s="423"/>
      <c r="I611" s="765"/>
      <c r="J611" s="728"/>
      <c r="K611" s="423"/>
      <c r="L611" s="423"/>
      <c r="M611" s="423"/>
      <c r="N611" s="423"/>
      <c r="O611" s="423"/>
      <c r="P611" s="423"/>
      <c r="Q611" s="423"/>
      <c r="R611" s="423"/>
      <c r="S611" s="423"/>
      <c r="T611" s="423"/>
      <c r="U611" s="423"/>
      <c r="V611" s="423"/>
      <c r="W611" s="423"/>
    </row>
    <row r="612">
      <c r="A612" s="766"/>
      <c r="B612" s="717"/>
      <c r="C612" s="763"/>
      <c r="D612" s="763"/>
      <c r="E612" s="423"/>
      <c r="F612" s="764"/>
      <c r="G612" s="765"/>
      <c r="H612" s="423"/>
      <c r="I612" s="765"/>
      <c r="J612" s="728"/>
      <c r="K612" s="423"/>
      <c r="L612" s="423"/>
      <c r="M612" s="423"/>
      <c r="N612" s="423"/>
      <c r="O612" s="423"/>
      <c r="P612" s="423"/>
      <c r="Q612" s="423"/>
      <c r="R612" s="423"/>
      <c r="S612" s="423"/>
      <c r="T612" s="423"/>
      <c r="U612" s="423"/>
      <c r="V612" s="423"/>
      <c r="W612" s="423"/>
    </row>
    <row r="613">
      <c r="A613" s="766"/>
      <c r="B613" s="717"/>
      <c r="C613" s="763"/>
      <c r="D613" s="763"/>
      <c r="E613" s="423"/>
      <c r="F613" s="764"/>
      <c r="G613" s="765"/>
      <c r="H613" s="423"/>
      <c r="I613" s="765"/>
      <c r="J613" s="728"/>
      <c r="K613" s="423"/>
      <c r="L613" s="423"/>
      <c r="M613" s="423"/>
      <c r="N613" s="423"/>
      <c r="O613" s="423"/>
      <c r="P613" s="423"/>
      <c r="Q613" s="423"/>
      <c r="R613" s="423"/>
      <c r="S613" s="423"/>
      <c r="T613" s="423"/>
      <c r="U613" s="423"/>
      <c r="V613" s="423"/>
      <c r="W613" s="423"/>
    </row>
    <row r="614">
      <c r="A614" s="766"/>
      <c r="B614" s="717"/>
      <c r="C614" s="763"/>
      <c r="D614" s="763"/>
      <c r="E614" s="423"/>
      <c r="F614" s="764"/>
      <c r="G614" s="765"/>
      <c r="H614" s="423"/>
      <c r="I614" s="765"/>
      <c r="J614" s="728"/>
      <c r="K614" s="423"/>
      <c r="L614" s="423"/>
      <c r="M614" s="423"/>
      <c r="N614" s="423"/>
      <c r="O614" s="423"/>
      <c r="P614" s="423"/>
      <c r="Q614" s="423"/>
      <c r="R614" s="423"/>
      <c r="S614" s="423"/>
      <c r="T614" s="423"/>
      <c r="U614" s="423"/>
      <c r="V614" s="423"/>
      <c r="W614" s="423"/>
    </row>
    <row r="615">
      <c r="A615" s="766"/>
      <c r="B615" s="717"/>
      <c r="C615" s="763"/>
      <c r="D615" s="763"/>
      <c r="E615" s="423"/>
      <c r="F615" s="764"/>
      <c r="G615" s="765"/>
      <c r="H615" s="423"/>
      <c r="I615" s="765"/>
      <c r="J615" s="728"/>
      <c r="K615" s="423"/>
      <c r="L615" s="423"/>
      <c r="M615" s="423"/>
      <c r="N615" s="423"/>
      <c r="O615" s="423"/>
      <c r="P615" s="423"/>
      <c r="Q615" s="423"/>
      <c r="R615" s="423"/>
      <c r="S615" s="423"/>
      <c r="T615" s="423"/>
      <c r="U615" s="423"/>
      <c r="V615" s="423"/>
      <c r="W615" s="423"/>
    </row>
    <row r="616">
      <c r="A616" s="766"/>
      <c r="B616" s="717"/>
      <c r="C616" s="763"/>
      <c r="D616" s="763"/>
      <c r="E616" s="423"/>
      <c r="F616" s="764"/>
      <c r="G616" s="765"/>
      <c r="H616" s="423"/>
      <c r="I616" s="765"/>
      <c r="J616" s="728"/>
      <c r="K616" s="423"/>
      <c r="L616" s="423"/>
      <c r="M616" s="423"/>
      <c r="N616" s="423"/>
      <c r="O616" s="423"/>
      <c r="P616" s="423"/>
      <c r="Q616" s="423"/>
      <c r="R616" s="423"/>
      <c r="S616" s="423"/>
      <c r="T616" s="423"/>
      <c r="U616" s="423"/>
      <c r="V616" s="423"/>
      <c r="W616" s="423"/>
    </row>
    <row r="617">
      <c r="A617" s="766"/>
      <c r="B617" s="717"/>
      <c r="C617" s="763"/>
      <c r="D617" s="763"/>
      <c r="E617" s="423"/>
      <c r="F617" s="764"/>
      <c r="G617" s="765"/>
      <c r="H617" s="423"/>
      <c r="I617" s="765"/>
      <c r="J617" s="728"/>
      <c r="K617" s="423"/>
      <c r="L617" s="423"/>
      <c r="M617" s="423"/>
      <c r="N617" s="423"/>
      <c r="O617" s="423"/>
      <c r="P617" s="423"/>
      <c r="Q617" s="423"/>
      <c r="R617" s="423"/>
      <c r="S617" s="423"/>
      <c r="T617" s="423"/>
      <c r="U617" s="423"/>
      <c r="V617" s="423"/>
      <c r="W617" s="423"/>
    </row>
    <row r="618">
      <c r="A618" s="766"/>
      <c r="B618" s="717"/>
      <c r="C618" s="763"/>
      <c r="D618" s="763"/>
      <c r="E618" s="423"/>
      <c r="F618" s="764"/>
      <c r="G618" s="765"/>
      <c r="H618" s="423"/>
      <c r="I618" s="765"/>
      <c r="J618" s="728"/>
      <c r="K618" s="423"/>
      <c r="L618" s="423"/>
      <c r="M618" s="423"/>
      <c r="N618" s="423"/>
      <c r="O618" s="423"/>
      <c r="P618" s="423"/>
      <c r="Q618" s="423"/>
      <c r="R618" s="423"/>
      <c r="S618" s="423"/>
      <c r="T618" s="423"/>
      <c r="U618" s="423"/>
      <c r="V618" s="423"/>
      <c r="W618" s="423"/>
    </row>
    <row r="619">
      <c r="A619" s="766"/>
      <c r="B619" s="717"/>
      <c r="C619" s="763"/>
      <c r="D619" s="763"/>
      <c r="E619" s="423"/>
      <c r="F619" s="764"/>
      <c r="G619" s="765"/>
      <c r="H619" s="423"/>
      <c r="I619" s="765"/>
      <c r="J619" s="728"/>
      <c r="K619" s="423"/>
      <c r="L619" s="423"/>
      <c r="M619" s="423"/>
      <c r="N619" s="423"/>
      <c r="O619" s="423"/>
      <c r="P619" s="423"/>
      <c r="Q619" s="423"/>
      <c r="R619" s="423"/>
      <c r="S619" s="423"/>
      <c r="T619" s="423"/>
      <c r="U619" s="423"/>
      <c r="V619" s="423"/>
      <c r="W619" s="423"/>
    </row>
    <row r="620">
      <c r="A620" s="766"/>
      <c r="B620" s="717"/>
      <c r="C620" s="763"/>
      <c r="D620" s="763"/>
      <c r="E620" s="423"/>
      <c r="F620" s="764"/>
      <c r="G620" s="765"/>
      <c r="H620" s="423"/>
      <c r="I620" s="765"/>
      <c r="J620" s="728"/>
      <c r="K620" s="423"/>
      <c r="L620" s="423"/>
      <c r="M620" s="423"/>
      <c r="N620" s="423"/>
      <c r="O620" s="423"/>
      <c r="P620" s="423"/>
      <c r="Q620" s="423"/>
      <c r="R620" s="423"/>
      <c r="S620" s="423"/>
      <c r="T620" s="423"/>
      <c r="U620" s="423"/>
      <c r="V620" s="423"/>
      <c r="W620" s="423"/>
    </row>
    <row r="621">
      <c r="A621" s="766"/>
      <c r="B621" s="717"/>
      <c r="C621" s="763"/>
      <c r="D621" s="763"/>
      <c r="E621" s="423"/>
      <c r="F621" s="764"/>
      <c r="G621" s="765"/>
      <c r="H621" s="423"/>
      <c r="I621" s="765"/>
      <c r="J621" s="728"/>
      <c r="K621" s="423"/>
      <c r="L621" s="423"/>
      <c r="M621" s="423"/>
      <c r="N621" s="423"/>
      <c r="O621" s="423"/>
      <c r="P621" s="423"/>
      <c r="Q621" s="423"/>
      <c r="R621" s="423"/>
      <c r="S621" s="423"/>
      <c r="T621" s="423"/>
      <c r="U621" s="423"/>
      <c r="V621" s="423"/>
      <c r="W621" s="423"/>
    </row>
    <row r="622">
      <c r="A622" s="766"/>
      <c r="B622" s="717"/>
      <c r="C622" s="763"/>
      <c r="D622" s="763"/>
      <c r="E622" s="423"/>
      <c r="F622" s="764"/>
      <c r="G622" s="765"/>
      <c r="H622" s="423"/>
      <c r="I622" s="765"/>
      <c r="J622" s="728"/>
      <c r="K622" s="423"/>
      <c r="L622" s="423"/>
      <c r="M622" s="423"/>
      <c r="N622" s="423"/>
      <c r="O622" s="423"/>
      <c r="P622" s="423"/>
      <c r="Q622" s="423"/>
      <c r="R622" s="423"/>
      <c r="S622" s="423"/>
      <c r="T622" s="423"/>
      <c r="U622" s="423"/>
      <c r="V622" s="423"/>
      <c r="W622" s="423"/>
    </row>
    <row r="623">
      <c r="A623" s="766"/>
      <c r="B623" s="717"/>
      <c r="C623" s="763"/>
      <c r="D623" s="763"/>
      <c r="E623" s="423"/>
      <c r="F623" s="764"/>
      <c r="G623" s="765"/>
      <c r="H623" s="423"/>
      <c r="I623" s="765"/>
      <c r="J623" s="728"/>
      <c r="K623" s="423"/>
      <c r="L623" s="423"/>
      <c r="M623" s="423"/>
      <c r="N623" s="423"/>
      <c r="O623" s="423"/>
      <c r="P623" s="423"/>
      <c r="Q623" s="423"/>
      <c r="R623" s="423"/>
      <c r="S623" s="423"/>
      <c r="T623" s="423"/>
      <c r="U623" s="423"/>
      <c r="V623" s="423"/>
      <c r="W623" s="423"/>
    </row>
    <row r="624">
      <c r="A624" s="766"/>
      <c r="B624" s="717"/>
      <c r="C624" s="763"/>
      <c r="D624" s="763"/>
      <c r="E624" s="423"/>
      <c r="F624" s="764"/>
      <c r="G624" s="765"/>
      <c r="H624" s="423"/>
      <c r="I624" s="765"/>
      <c r="J624" s="728"/>
      <c r="K624" s="423"/>
      <c r="L624" s="423"/>
      <c r="M624" s="423"/>
      <c r="N624" s="423"/>
      <c r="O624" s="423"/>
      <c r="P624" s="423"/>
      <c r="Q624" s="423"/>
      <c r="R624" s="423"/>
      <c r="S624" s="423"/>
      <c r="T624" s="423"/>
      <c r="U624" s="423"/>
      <c r="V624" s="423"/>
      <c r="W624" s="423"/>
    </row>
    <row r="625">
      <c r="A625" s="766"/>
      <c r="B625" s="717"/>
      <c r="C625" s="763"/>
      <c r="D625" s="763"/>
      <c r="E625" s="423"/>
      <c r="F625" s="764"/>
      <c r="G625" s="765"/>
      <c r="H625" s="423"/>
      <c r="I625" s="765"/>
      <c r="J625" s="728"/>
      <c r="K625" s="423"/>
      <c r="L625" s="423"/>
      <c r="M625" s="423"/>
      <c r="N625" s="423"/>
      <c r="O625" s="423"/>
      <c r="P625" s="423"/>
      <c r="Q625" s="423"/>
      <c r="R625" s="423"/>
      <c r="S625" s="423"/>
      <c r="T625" s="423"/>
      <c r="U625" s="423"/>
      <c r="V625" s="423"/>
      <c r="W625" s="423"/>
    </row>
    <row r="626">
      <c r="A626" s="766"/>
      <c r="B626" s="717"/>
      <c r="C626" s="763"/>
      <c r="D626" s="763"/>
      <c r="E626" s="423"/>
      <c r="F626" s="764"/>
      <c r="G626" s="765"/>
      <c r="H626" s="423"/>
      <c r="I626" s="765"/>
      <c r="J626" s="728"/>
      <c r="K626" s="423"/>
      <c r="L626" s="423"/>
      <c r="M626" s="423"/>
      <c r="N626" s="423"/>
      <c r="O626" s="423"/>
      <c r="P626" s="423"/>
      <c r="Q626" s="423"/>
      <c r="R626" s="423"/>
      <c r="S626" s="423"/>
      <c r="T626" s="423"/>
      <c r="U626" s="423"/>
      <c r="V626" s="423"/>
      <c r="W626" s="423"/>
    </row>
    <row r="627">
      <c r="A627" s="766"/>
      <c r="B627" s="717"/>
      <c r="C627" s="763"/>
      <c r="D627" s="763"/>
      <c r="E627" s="423"/>
      <c r="F627" s="764"/>
      <c r="G627" s="765"/>
      <c r="H627" s="423"/>
      <c r="I627" s="765"/>
      <c r="J627" s="728"/>
      <c r="K627" s="423"/>
      <c r="L627" s="423"/>
      <c r="M627" s="423"/>
      <c r="N627" s="423"/>
      <c r="O627" s="423"/>
      <c r="P627" s="423"/>
      <c r="Q627" s="423"/>
      <c r="R627" s="423"/>
      <c r="S627" s="423"/>
      <c r="T627" s="423"/>
      <c r="U627" s="423"/>
      <c r="V627" s="423"/>
      <c r="W627" s="423"/>
    </row>
    <row r="628">
      <c r="A628" s="766"/>
      <c r="B628" s="717"/>
      <c r="C628" s="763"/>
      <c r="D628" s="763"/>
      <c r="E628" s="423"/>
      <c r="F628" s="764"/>
      <c r="G628" s="765"/>
      <c r="H628" s="423"/>
      <c r="I628" s="765"/>
      <c r="J628" s="728"/>
      <c r="K628" s="423"/>
      <c r="L628" s="423"/>
      <c r="M628" s="423"/>
      <c r="N628" s="423"/>
      <c r="O628" s="423"/>
      <c r="P628" s="423"/>
      <c r="Q628" s="423"/>
      <c r="R628" s="423"/>
      <c r="S628" s="423"/>
      <c r="T628" s="423"/>
      <c r="U628" s="423"/>
      <c r="V628" s="423"/>
      <c r="W628" s="423"/>
    </row>
    <row r="629">
      <c r="A629" s="766"/>
      <c r="B629" s="717"/>
      <c r="C629" s="763"/>
      <c r="D629" s="763"/>
      <c r="E629" s="423"/>
      <c r="F629" s="764"/>
      <c r="G629" s="765"/>
      <c r="H629" s="423"/>
      <c r="I629" s="765"/>
      <c r="J629" s="728"/>
      <c r="K629" s="423"/>
      <c r="L629" s="423"/>
      <c r="M629" s="423"/>
      <c r="N629" s="423"/>
      <c r="O629" s="423"/>
      <c r="P629" s="423"/>
      <c r="Q629" s="423"/>
      <c r="R629" s="423"/>
      <c r="S629" s="423"/>
      <c r="T629" s="423"/>
      <c r="U629" s="423"/>
      <c r="V629" s="423"/>
      <c r="W629" s="423"/>
    </row>
    <row r="630">
      <c r="A630" s="766"/>
      <c r="B630" s="717"/>
      <c r="C630" s="763"/>
      <c r="D630" s="763"/>
      <c r="E630" s="423"/>
      <c r="F630" s="764"/>
      <c r="G630" s="765"/>
      <c r="H630" s="423"/>
      <c r="I630" s="765"/>
      <c r="J630" s="728"/>
      <c r="K630" s="423"/>
      <c r="L630" s="423"/>
      <c r="M630" s="423"/>
      <c r="N630" s="423"/>
      <c r="O630" s="423"/>
      <c r="P630" s="423"/>
      <c r="Q630" s="423"/>
      <c r="R630" s="423"/>
      <c r="S630" s="423"/>
      <c r="T630" s="423"/>
      <c r="U630" s="423"/>
      <c r="V630" s="423"/>
      <c r="W630" s="423"/>
    </row>
    <row r="631">
      <c r="A631" s="766"/>
      <c r="B631" s="717"/>
      <c r="C631" s="763"/>
      <c r="D631" s="763"/>
      <c r="E631" s="423"/>
      <c r="F631" s="764"/>
      <c r="G631" s="765"/>
      <c r="H631" s="423"/>
      <c r="I631" s="765"/>
      <c r="J631" s="728"/>
      <c r="K631" s="423"/>
      <c r="L631" s="423"/>
      <c r="M631" s="423"/>
      <c r="N631" s="423"/>
      <c r="O631" s="423"/>
      <c r="P631" s="423"/>
      <c r="Q631" s="423"/>
      <c r="R631" s="423"/>
      <c r="S631" s="423"/>
      <c r="T631" s="423"/>
      <c r="U631" s="423"/>
      <c r="V631" s="423"/>
      <c r="W631" s="423"/>
    </row>
    <row r="632">
      <c r="A632" s="766"/>
      <c r="B632" s="717"/>
      <c r="C632" s="763"/>
      <c r="D632" s="763"/>
      <c r="E632" s="423"/>
      <c r="F632" s="764"/>
      <c r="G632" s="765"/>
      <c r="H632" s="423"/>
      <c r="I632" s="765"/>
      <c r="J632" s="728"/>
      <c r="K632" s="423"/>
      <c r="L632" s="423"/>
      <c r="M632" s="423"/>
      <c r="N632" s="423"/>
      <c r="O632" s="423"/>
      <c r="P632" s="423"/>
      <c r="Q632" s="423"/>
      <c r="R632" s="423"/>
      <c r="S632" s="423"/>
      <c r="T632" s="423"/>
      <c r="U632" s="423"/>
      <c r="V632" s="423"/>
      <c r="W632" s="423"/>
    </row>
    <row r="633">
      <c r="A633" s="766"/>
      <c r="B633" s="717"/>
      <c r="C633" s="763"/>
      <c r="D633" s="763"/>
      <c r="E633" s="423"/>
      <c r="F633" s="764"/>
      <c r="G633" s="765"/>
      <c r="H633" s="423"/>
      <c r="I633" s="765"/>
      <c r="J633" s="728"/>
      <c r="K633" s="423"/>
      <c r="L633" s="423"/>
      <c r="M633" s="423"/>
      <c r="N633" s="423"/>
      <c r="O633" s="423"/>
      <c r="P633" s="423"/>
      <c r="Q633" s="423"/>
      <c r="R633" s="423"/>
      <c r="S633" s="423"/>
      <c r="T633" s="423"/>
      <c r="U633" s="423"/>
      <c r="V633" s="423"/>
      <c r="W633" s="423"/>
    </row>
    <row r="634">
      <c r="A634" s="766"/>
      <c r="B634" s="717"/>
      <c r="C634" s="763"/>
      <c r="D634" s="763"/>
      <c r="E634" s="423"/>
      <c r="F634" s="764"/>
      <c r="G634" s="765"/>
      <c r="H634" s="423"/>
      <c r="I634" s="765"/>
      <c r="J634" s="728"/>
      <c r="K634" s="423"/>
      <c r="L634" s="423"/>
      <c r="M634" s="423"/>
      <c r="N634" s="423"/>
      <c r="O634" s="423"/>
      <c r="P634" s="423"/>
      <c r="Q634" s="423"/>
      <c r="R634" s="423"/>
      <c r="S634" s="423"/>
      <c r="T634" s="423"/>
      <c r="U634" s="423"/>
      <c r="V634" s="423"/>
      <c r="W634" s="423"/>
    </row>
    <row r="635">
      <c r="A635" s="766"/>
      <c r="B635" s="717"/>
      <c r="C635" s="763"/>
      <c r="D635" s="763"/>
      <c r="E635" s="423"/>
      <c r="F635" s="764"/>
      <c r="G635" s="765"/>
      <c r="H635" s="423"/>
      <c r="I635" s="765"/>
      <c r="J635" s="728"/>
      <c r="K635" s="423"/>
      <c r="L635" s="423"/>
      <c r="M635" s="423"/>
      <c r="N635" s="423"/>
      <c r="O635" s="423"/>
      <c r="P635" s="423"/>
      <c r="Q635" s="423"/>
      <c r="R635" s="423"/>
      <c r="S635" s="423"/>
      <c r="T635" s="423"/>
      <c r="U635" s="423"/>
      <c r="V635" s="423"/>
      <c r="W635" s="423"/>
    </row>
    <row r="636">
      <c r="A636" s="766"/>
      <c r="B636" s="717"/>
      <c r="C636" s="763"/>
      <c r="D636" s="763"/>
      <c r="E636" s="423"/>
      <c r="F636" s="764"/>
      <c r="G636" s="765"/>
      <c r="H636" s="423"/>
      <c r="I636" s="765"/>
      <c r="J636" s="728"/>
      <c r="K636" s="423"/>
      <c r="L636" s="423"/>
      <c r="M636" s="423"/>
      <c r="N636" s="423"/>
      <c r="O636" s="423"/>
      <c r="P636" s="423"/>
      <c r="Q636" s="423"/>
      <c r="R636" s="423"/>
      <c r="S636" s="423"/>
      <c r="T636" s="423"/>
      <c r="U636" s="423"/>
      <c r="V636" s="423"/>
      <c r="W636" s="423"/>
    </row>
    <row r="637">
      <c r="A637" s="766"/>
      <c r="B637" s="717"/>
      <c r="C637" s="763"/>
      <c r="D637" s="763"/>
      <c r="E637" s="423"/>
      <c r="F637" s="764"/>
      <c r="G637" s="765"/>
      <c r="H637" s="423"/>
      <c r="I637" s="765"/>
      <c r="J637" s="728"/>
      <c r="K637" s="423"/>
      <c r="L637" s="423"/>
      <c r="M637" s="423"/>
      <c r="N637" s="423"/>
      <c r="O637" s="423"/>
      <c r="P637" s="423"/>
      <c r="Q637" s="423"/>
      <c r="R637" s="423"/>
      <c r="S637" s="423"/>
      <c r="T637" s="423"/>
      <c r="U637" s="423"/>
      <c r="V637" s="423"/>
      <c r="W637" s="423"/>
    </row>
    <row r="638">
      <c r="A638" s="766"/>
      <c r="B638" s="717"/>
      <c r="C638" s="763"/>
      <c r="D638" s="763"/>
      <c r="E638" s="423"/>
      <c r="F638" s="764"/>
      <c r="G638" s="765"/>
      <c r="H638" s="423"/>
      <c r="I638" s="765"/>
      <c r="J638" s="728"/>
      <c r="K638" s="423"/>
      <c r="L638" s="423"/>
      <c r="M638" s="423"/>
      <c r="N638" s="423"/>
      <c r="O638" s="423"/>
      <c r="P638" s="423"/>
      <c r="Q638" s="423"/>
      <c r="R638" s="423"/>
      <c r="S638" s="423"/>
      <c r="T638" s="423"/>
      <c r="U638" s="423"/>
      <c r="V638" s="423"/>
      <c r="W638" s="423"/>
    </row>
    <row r="639">
      <c r="A639" s="766"/>
      <c r="B639" s="717"/>
      <c r="C639" s="763"/>
      <c r="D639" s="763"/>
      <c r="E639" s="423"/>
      <c r="F639" s="764"/>
      <c r="G639" s="765"/>
      <c r="H639" s="423"/>
      <c r="I639" s="765"/>
      <c r="J639" s="728"/>
      <c r="K639" s="423"/>
      <c r="L639" s="423"/>
      <c r="M639" s="423"/>
      <c r="N639" s="423"/>
      <c r="O639" s="423"/>
      <c r="P639" s="423"/>
      <c r="Q639" s="423"/>
      <c r="R639" s="423"/>
      <c r="S639" s="423"/>
      <c r="T639" s="423"/>
      <c r="U639" s="423"/>
      <c r="V639" s="423"/>
      <c r="W639" s="423"/>
    </row>
    <row r="640">
      <c r="A640" s="766"/>
      <c r="B640" s="717"/>
      <c r="C640" s="763"/>
      <c r="D640" s="763"/>
      <c r="E640" s="423"/>
      <c r="F640" s="764"/>
      <c r="G640" s="765"/>
      <c r="H640" s="423"/>
      <c r="I640" s="765"/>
      <c r="J640" s="728"/>
      <c r="K640" s="423"/>
      <c r="L640" s="423"/>
      <c r="M640" s="423"/>
      <c r="N640" s="423"/>
      <c r="O640" s="423"/>
      <c r="P640" s="423"/>
      <c r="Q640" s="423"/>
      <c r="R640" s="423"/>
      <c r="S640" s="423"/>
      <c r="T640" s="423"/>
      <c r="U640" s="423"/>
      <c r="V640" s="423"/>
      <c r="W640" s="423"/>
    </row>
    <row r="641">
      <c r="A641" s="766"/>
      <c r="B641" s="717"/>
      <c r="C641" s="763"/>
      <c r="D641" s="763"/>
      <c r="E641" s="423"/>
      <c r="F641" s="764"/>
      <c r="G641" s="765"/>
      <c r="H641" s="423"/>
      <c r="I641" s="765"/>
      <c r="J641" s="728"/>
      <c r="K641" s="423"/>
      <c r="L641" s="423"/>
      <c r="M641" s="423"/>
      <c r="N641" s="423"/>
      <c r="O641" s="423"/>
      <c r="P641" s="423"/>
      <c r="Q641" s="423"/>
      <c r="R641" s="423"/>
      <c r="S641" s="423"/>
      <c r="T641" s="423"/>
      <c r="U641" s="423"/>
      <c r="V641" s="423"/>
      <c r="W641" s="423"/>
    </row>
    <row r="642">
      <c r="A642" s="766"/>
      <c r="B642" s="717"/>
      <c r="C642" s="763"/>
      <c r="D642" s="763"/>
      <c r="E642" s="423"/>
      <c r="F642" s="764"/>
      <c r="G642" s="765"/>
      <c r="H642" s="423"/>
      <c r="I642" s="765"/>
      <c r="J642" s="728"/>
      <c r="K642" s="423"/>
      <c r="L642" s="423"/>
      <c r="M642" s="423"/>
      <c r="N642" s="423"/>
      <c r="O642" s="423"/>
      <c r="P642" s="423"/>
      <c r="Q642" s="423"/>
      <c r="R642" s="423"/>
      <c r="S642" s="423"/>
      <c r="T642" s="423"/>
      <c r="U642" s="423"/>
      <c r="V642" s="423"/>
      <c r="W642" s="423"/>
    </row>
    <row r="643">
      <c r="A643" s="766"/>
      <c r="B643" s="717"/>
      <c r="C643" s="763"/>
      <c r="D643" s="763"/>
      <c r="E643" s="423"/>
      <c r="F643" s="764"/>
      <c r="G643" s="765"/>
      <c r="H643" s="423"/>
      <c r="I643" s="765"/>
      <c r="J643" s="728"/>
      <c r="K643" s="423"/>
      <c r="L643" s="423"/>
      <c r="M643" s="423"/>
      <c r="N643" s="423"/>
      <c r="O643" s="423"/>
      <c r="P643" s="423"/>
      <c r="Q643" s="423"/>
      <c r="R643" s="423"/>
      <c r="S643" s="423"/>
      <c r="T643" s="423"/>
      <c r="U643" s="423"/>
      <c r="V643" s="423"/>
      <c r="W643" s="423"/>
    </row>
    <row r="644">
      <c r="A644" s="766"/>
      <c r="B644" s="717"/>
      <c r="C644" s="763"/>
      <c r="D644" s="763"/>
      <c r="E644" s="423"/>
      <c r="F644" s="764"/>
      <c r="G644" s="765"/>
      <c r="H644" s="423"/>
      <c r="I644" s="765"/>
      <c r="J644" s="728"/>
      <c r="K644" s="423"/>
      <c r="L644" s="423"/>
      <c r="M644" s="423"/>
      <c r="N644" s="423"/>
      <c r="O644" s="423"/>
      <c r="P644" s="423"/>
      <c r="Q644" s="423"/>
      <c r="R644" s="423"/>
      <c r="S644" s="423"/>
      <c r="T644" s="423"/>
      <c r="U644" s="423"/>
      <c r="V644" s="423"/>
      <c r="W644" s="423"/>
    </row>
    <row r="645">
      <c r="A645" s="766"/>
      <c r="B645" s="717"/>
      <c r="C645" s="763"/>
      <c r="D645" s="763"/>
      <c r="E645" s="423"/>
      <c r="F645" s="764"/>
      <c r="G645" s="765"/>
      <c r="H645" s="423"/>
      <c r="I645" s="765"/>
      <c r="J645" s="728"/>
      <c r="K645" s="423"/>
      <c r="L645" s="423"/>
      <c r="M645" s="423"/>
      <c r="N645" s="423"/>
      <c r="O645" s="423"/>
      <c r="P645" s="423"/>
      <c r="Q645" s="423"/>
      <c r="R645" s="423"/>
      <c r="S645" s="423"/>
      <c r="T645" s="423"/>
      <c r="U645" s="423"/>
      <c r="V645" s="423"/>
      <c r="W645" s="423"/>
    </row>
    <row r="646">
      <c r="A646" s="766"/>
      <c r="B646" s="717"/>
      <c r="C646" s="763"/>
      <c r="D646" s="763"/>
      <c r="E646" s="423"/>
      <c r="F646" s="764"/>
      <c r="G646" s="765"/>
      <c r="H646" s="423"/>
      <c r="I646" s="765"/>
      <c r="J646" s="728"/>
      <c r="K646" s="423"/>
      <c r="L646" s="423"/>
      <c r="M646" s="423"/>
      <c r="N646" s="423"/>
      <c r="O646" s="423"/>
      <c r="P646" s="423"/>
      <c r="Q646" s="423"/>
      <c r="R646" s="423"/>
      <c r="S646" s="423"/>
      <c r="T646" s="423"/>
      <c r="U646" s="423"/>
      <c r="V646" s="423"/>
      <c r="W646" s="423"/>
    </row>
    <row r="647">
      <c r="A647" s="766"/>
      <c r="B647" s="717"/>
      <c r="C647" s="763"/>
      <c r="D647" s="763"/>
      <c r="E647" s="423"/>
      <c r="F647" s="764"/>
      <c r="G647" s="765"/>
      <c r="H647" s="423"/>
      <c r="I647" s="765"/>
      <c r="J647" s="728"/>
      <c r="K647" s="423"/>
      <c r="L647" s="423"/>
      <c r="M647" s="423"/>
      <c r="N647" s="423"/>
      <c r="O647" s="423"/>
      <c r="P647" s="423"/>
      <c r="Q647" s="423"/>
      <c r="R647" s="423"/>
      <c r="S647" s="423"/>
      <c r="T647" s="423"/>
      <c r="U647" s="423"/>
      <c r="V647" s="423"/>
      <c r="W647" s="423"/>
    </row>
    <row r="648">
      <c r="A648" s="766"/>
      <c r="B648" s="717"/>
      <c r="C648" s="763"/>
      <c r="D648" s="763"/>
      <c r="E648" s="423"/>
      <c r="F648" s="764"/>
      <c r="G648" s="765"/>
      <c r="H648" s="423"/>
      <c r="I648" s="765"/>
      <c r="J648" s="728"/>
      <c r="K648" s="423"/>
      <c r="L648" s="423"/>
      <c r="M648" s="423"/>
      <c r="N648" s="423"/>
      <c r="O648" s="423"/>
      <c r="P648" s="423"/>
      <c r="Q648" s="423"/>
      <c r="R648" s="423"/>
      <c r="S648" s="423"/>
      <c r="T648" s="423"/>
      <c r="U648" s="423"/>
      <c r="V648" s="423"/>
      <c r="W648" s="423"/>
    </row>
    <row r="649">
      <c r="A649" s="766"/>
      <c r="B649" s="717"/>
      <c r="C649" s="763"/>
      <c r="D649" s="763"/>
      <c r="E649" s="423"/>
      <c r="F649" s="764"/>
      <c r="G649" s="765"/>
      <c r="H649" s="423"/>
      <c r="I649" s="765"/>
      <c r="J649" s="728"/>
      <c r="K649" s="423"/>
      <c r="L649" s="423"/>
      <c r="M649" s="423"/>
      <c r="N649" s="423"/>
      <c r="O649" s="423"/>
      <c r="P649" s="423"/>
      <c r="Q649" s="423"/>
      <c r="R649" s="423"/>
      <c r="S649" s="423"/>
      <c r="T649" s="423"/>
      <c r="U649" s="423"/>
      <c r="V649" s="423"/>
      <c r="W649" s="423"/>
    </row>
    <row r="650">
      <c r="A650" s="766"/>
      <c r="B650" s="717"/>
      <c r="C650" s="763"/>
      <c r="D650" s="763"/>
      <c r="E650" s="423"/>
      <c r="F650" s="764"/>
      <c r="G650" s="765"/>
      <c r="H650" s="423"/>
      <c r="I650" s="765"/>
      <c r="J650" s="728"/>
      <c r="K650" s="423"/>
      <c r="L650" s="423"/>
      <c r="M650" s="423"/>
      <c r="N650" s="423"/>
      <c r="O650" s="423"/>
      <c r="P650" s="423"/>
      <c r="Q650" s="423"/>
      <c r="R650" s="423"/>
      <c r="S650" s="423"/>
      <c r="T650" s="423"/>
      <c r="U650" s="423"/>
      <c r="V650" s="423"/>
      <c r="W650" s="423"/>
    </row>
    <row r="651">
      <c r="A651" s="766"/>
      <c r="B651" s="717"/>
      <c r="C651" s="763"/>
      <c r="D651" s="763"/>
      <c r="E651" s="423"/>
      <c r="F651" s="764"/>
      <c r="G651" s="765"/>
      <c r="H651" s="423"/>
      <c r="I651" s="765"/>
      <c r="J651" s="728"/>
      <c r="K651" s="423"/>
      <c r="L651" s="423"/>
      <c r="M651" s="423"/>
      <c r="N651" s="423"/>
      <c r="O651" s="423"/>
      <c r="P651" s="423"/>
      <c r="Q651" s="423"/>
      <c r="R651" s="423"/>
      <c r="S651" s="423"/>
      <c r="T651" s="423"/>
      <c r="U651" s="423"/>
      <c r="V651" s="423"/>
      <c r="W651" s="423"/>
    </row>
    <row r="652">
      <c r="A652" s="766"/>
      <c r="B652" s="717"/>
      <c r="C652" s="763"/>
      <c r="D652" s="763"/>
      <c r="E652" s="423"/>
      <c r="F652" s="764"/>
      <c r="G652" s="765"/>
      <c r="H652" s="423"/>
      <c r="I652" s="765"/>
      <c r="J652" s="728"/>
      <c r="K652" s="423"/>
      <c r="L652" s="423"/>
      <c r="M652" s="423"/>
      <c r="N652" s="423"/>
      <c r="O652" s="423"/>
      <c r="P652" s="423"/>
      <c r="Q652" s="423"/>
      <c r="R652" s="423"/>
      <c r="S652" s="423"/>
      <c r="T652" s="423"/>
      <c r="U652" s="423"/>
      <c r="V652" s="423"/>
      <c r="W652" s="423"/>
    </row>
    <row r="653">
      <c r="A653" s="766"/>
      <c r="B653" s="717"/>
      <c r="C653" s="763"/>
      <c r="D653" s="763"/>
      <c r="E653" s="423"/>
      <c r="F653" s="764"/>
      <c r="G653" s="765"/>
      <c r="H653" s="423"/>
      <c r="I653" s="765"/>
      <c r="J653" s="728"/>
      <c r="K653" s="423"/>
      <c r="L653" s="423"/>
      <c r="M653" s="423"/>
      <c r="N653" s="423"/>
      <c r="O653" s="423"/>
      <c r="P653" s="423"/>
      <c r="Q653" s="423"/>
      <c r="R653" s="423"/>
      <c r="S653" s="423"/>
      <c r="T653" s="423"/>
      <c r="U653" s="423"/>
      <c r="V653" s="423"/>
      <c r="W653" s="423"/>
    </row>
    <row r="654">
      <c r="A654" s="766"/>
      <c r="B654" s="717"/>
      <c r="C654" s="763"/>
      <c r="D654" s="763"/>
      <c r="E654" s="423"/>
      <c r="F654" s="764"/>
      <c r="G654" s="765"/>
      <c r="H654" s="423"/>
      <c r="I654" s="765"/>
      <c r="J654" s="728"/>
      <c r="K654" s="423"/>
      <c r="L654" s="423"/>
      <c r="M654" s="423"/>
      <c r="N654" s="423"/>
      <c r="O654" s="423"/>
      <c r="P654" s="423"/>
      <c r="Q654" s="423"/>
      <c r="R654" s="423"/>
      <c r="S654" s="423"/>
      <c r="T654" s="423"/>
      <c r="U654" s="423"/>
      <c r="V654" s="423"/>
      <c r="W654" s="423"/>
    </row>
    <row r="655">
      <c r="A655" s="766"/>
      <c r="B655" s="717"/>
      <c r="C655" s="763"/>
      <c r="D655" s="763"/>
      <c r="E655" s="423"/>
      <c r="F655" s="764"/>
      <c r="G655" s="765"/>
      <c r="H655" s="423"/>
      <c r="I655" s="765"/>
      <c r="J655" s="728"/>
      <c r="K655" s="423"/>
      <c r="L655" s="423"/>
      <c r="M655" s="423"/>
      <c r="N655" s="423"/>
      <c r="O655" s="423"/>
      <c r="P655" s="423"/>
      <c r="Q655" s="423"/>
      <c r="R655" s="423"/>
      <c r="S655" s="423"/>
      <c r="T655" s="423"/>
      <c r="U655" s="423"/>
      <c r="V655" s="423"/>
      <c r="W655" s="423"/>
    </row>
    <row r="656">
      <c r="A656" s="766"/>
      <c r="B656" s="717"/>
      <c r="C656" s="763"/>
      <c r="D656" s="763"/>
      <c r="E656" s="423"/>
      <c r="F656" s="764"/>
      <c r="G656" s="765"/>
      <c r="H656" s="423"/>
      <c r="I656" s="765"/>
      <c r="J656" s="728"/>
      <c r="K656" s="423"/>
      <c r="L656" s="423"/>
      <c r="M656" s="423"/>
      <c r="N656" s="423"/>
      <c r="O656" s="423"/>
      <c r="P656" s="423"/>
      <c r="Q656" s="423"/>
      <c r="R656" s="423"/>
      <c r="S656" s="423"/>
      <c r="T656" s="423"/>
      <c r="U656" s="423"/>
      <c r="V656" s="423"/>
      <c r="W656" s="423"/>
    </row>
    <row r="657">
      <c r="A657" s="766"/>
      <c r="B657" s="717"/>
      <c r="C657" s="763"/>
      <c r="D657" s="763"/>
      <c r="E657" s="423"/>
      <c r="F657" s="764"/>
      <c r="G657" s="765"/>
      <c r="H657" s="423"/>
      <c r="I657" s="765"/>
      <c r="J657" s="728"/>
      <c r="K657" s="423"/>
      <c r="L657" s="423"/>
      <c r="M657" s="423"/>
      <c r="N657" s="423"/>
      <c r="O657" s="423"/>
      <c r="P657" s="423"/>
      <c r="Q657" s="423"/>
      <c r="R657" s="423"/>
      <c r="S657" s="423"/>
      <c r="T657" s="423"/>
      <c r="U657" s="423"/>
      <c r="V657" s="423"/>
      <c r="W657" s="423"/>
    </row>
    <row r="658">
      <c r="A658" s="766"/>
      <c r="B658" s="717"/>
      <c r="C658" s="763"/>
      <c r="D658" s="763"/>
      <c r="E658" s="423"/>
      <c r="F658" s="764"/>
      <c r="G658" s="765"/>
      <c r="H658" s="423"/>
      <c r="I658" s="765"/>
      <c r="J658" s="728"/>
      <c r="K658" s="423"/>
      <c r="L658" s="423"/>
      <c r="M658" s="423"/>
      <c r="N658" s="423"/>
      <c r="O658" s="423"/>
      <c r="P658" s="423"/>
      <c r="Q658" s="423"/>
      <c r="R658" s="423"/>
      <c r="S658" s="423"/>
      <c r="T658" s="423"/>
      <c r="U658" s="423"/>
      <c r="V658" s="423"/>
      <c r="W658" s="423"/>
    </row>
    <row r="659">
      <c r="A659" s="766"/>
      <c r="B659" s="717"/>
      <c r="C659" s="763"/>
      <c r="D659" s="763"/>
      <c r="E659" s="423"/>
      <c r="F659" s="764"/>
      <c r="G659" s="765"/>
      <c r="H659" s="423"/>
      <c r="I659" s="765"/>
      <c r="J659" s="728"/>
      <c r="K659" s="423"/>
      <c r="L659" s="423"/>
      <c r="M659" s="423"/>
      <c r="N659" s="423"/>
      <c r="O659" s="423"/>
      <c r="P659" s="423"/>
      <c r="Q659" s="423"/>
      <c r="R659" s="423"/>
      <c r="S659" s="423"/>
      <c r="T659" s="423"/>
      <c r="U659" s="423"/>
      <c r="V659" s="423"/>
      <c r="W659" s="423"/>
    </row>
    <row r="660">
      <c r="A660" s="766"/>
      <c r="B660" s="717"/>
      <c r="C660" s="763"/>
      <c r="D660" s="763"/>
      <c r="E660" s="423"/>
      <c r="F660" s="764"/>
      <c r="G660" s="765"/>
      <c r="H660" s="423"/>
      <c r="I660" s="765"/>
      <c r="J660" s="728"/>
      <c r="K660" s="423"/>
      <c r="L660" s="423"/>
      <c r="M660" s="423"/>
      <c r="N660" s="423"/>
      <c r="O660" s="423"/>
      <c r="P660" s="423"/>
      <c r="Q660" s="423"/>
      <c r="R660" s="423"/>
      <c r="S660" s="423"/>
      <c r="T660" s="423"/>
      <c r="U660" s="423"/>
      <c r="V660" s="423"/>
      <c r="W660" s="423"/>
    </row>
    <row r="661">
      <c r="A661" s="766"/>
      <c r="B661" s="717"/>
      <c r="C661" s="763"/>
      <c r="D661" s="763"/>
      <c r="E661" s="423"/>
      <c r="F661" s="764"/>
      <c r="G661" s="765"/>
      <c r="H661" s="423"/>
      <c r="I661" s="765"/>
      <c r="J661" s="728"/>
      <c r="K661" s="423"/>
      <c r="L661" s="423"/>
      <c r="M661" s="423"/>
      <c r="N661" s="423"/>
      <c r="O661" s="423"/>
      <c r="P661" s="423"/>
      <c r="Q661" s="423"/>
      <c r="R661" s="423"/>
      <c r="S661" s="423"/>
      <c r="T661" s="423"/>
      <c r="U661" s="423"/>
      <c r="V661" s="423"/>
      <c r="W661" s="423"/>
    </row>
    <row r="662">
      <c r="A662" s="766"/>
      <c r="B662" s="717"/>
      <c r="C662" s="763"/>
      <c r="D662" s="763"/>
      <c r="E662" s="423"/>
      <c r="F662" s="764"/>
      <c r="G662" s="765"/>
      <c r="H662" s="423"/>
      <c r="I662" s="765"/>
      <c r="J662" s="728"/>
      <c r="K662" s="423"/>
      <c r="L662" s="423"/>
      <c r="M662" s="423"/>
      <c r="N662" s="423"/>
      <c r="O662" s="423"/>
      <c r="P662" s="423"/>
      <c r="Q662" s="423"/>
      <c r="R662" s="423"/>
      <c r="S662" s="423"/>
      <c r="T662" s="423"/>
      <c r="U662" s="423"/>
      <c r="V662" s="423"/>
      <c r="W662" s="423"/>
    </row>
    <row r="663">
      <c r="A663" s="766"/>
      <c r="B663" s="717"/>
      <c r="C663" s="763"/>
      <c r="D663" s="763"/>
      <c r="E663" s="423"/>
      <c r="F663" s="764"/>
      <c r="G663" s="765"/>
      <c r="H663" s="423"/>
      <c r="I663" s="765"/>
      <c r="J663" s="728"/>
      <c r="K663" s="423"/>
      <c r="L663" s="423"/>
      <c r="M663" s="423"/>
      <c r="N663" s="423"/>
      <c r="O663" s="423"/>
      <c r="P663" s="423"/>
      <c r="Q663" s="423"/>
      <c r="R663" s="423"/>
      <c r="S663" s="423"/>
      <c r="T663" s="423"/>
      <c r="U663" s="423"/>
      <c r="V663" s="423"/>
      <c r="W663" s="423"/>
    </row>
    <row r="664">
      <c r="A664" s="766"/>
      <c r="B664" s="717"/>
      <c r="C664" s="763"/>
      <c r="D664" s="763"/>
      <c r="E664" s="423"/>
      <c r="F664" s="764"/>
      <c r="G664" s="765"/>
      <c r="H664" s="423"/>
      <c r="I664" s="765"/>
      <c r="J664" s="728"/>
      <c r="K664" s="423"/>
      <c r="L664" s="423"/>
      <c r="M664" s="423"/>
      <c r="N664" s="423"/>
      <c r="O664" s="423"/>
      <c r="P664" s="423"/>
      <c r="Q664" s="423"/>
      <c r="R664" s="423"/>
      <c r="S664" s="423"/>
      <c r="T664" s="423"/>
      <c r="U664" s="423"/>
      <c r="V664" s="423"/>
      <c r="W664" s="423"/>
    </row>
    <row r="665">
      <c r="A665" s="766"/>
      <c r="B665" s="717"/>
      <c r="C665" s="763"/>
      <c r="D665" s="763"/>
      <c r="E665" s="423"/>
      <c r="F665" s="764"/>
      <c r="G665" s="765"/>
      <c r="H665" s="423"/>
      <c r="I665" s="765"/>
      <c r="J665" s="728"/>
      <c r="K665" s="423"/>
      <c r="L665" s="423"/>
      <c r="M665" s="423"/>
      <c r="N665" s="423"/>
      <c r="O665" s="423"/>
      <c r="P665" s="423"/>
      <c r="Q665" s="423"/>
      <c r="R665" s="423"/>
      <c r="S665" s="423"/>
      <c r="T665" s="423"/>
      <c r="U665" s="423"/>
      <c r="V665" s="423"/>
      <c r="W665" s="423"/>
    </row>
    <row r="666">
      <c r="A666" s="766"/>
      <c r="B666" s="717"/>
      <c r="C666" s="763"/>
      <c r="D666" s="763"/>
      <c r="E666" s="423"/>
      <c r="F666" s="764"/>
      <c r="G666" s="765"/>
      <c r="H666" s="423"/>
      <c r="I666" s="765"/>
      <c r="J666" s="728"/>
      <c r="K666" s="423"/>
      <c r="L666" s="423"/>
      <c r="M666" s="423"/>
      <c r="N666" s="423"/>
      <c r="O666" s="423"/>
      <c r="P666" s="423"/>
      <c r="Q666" s="423"/>
      <c r="R666" s="423"/>
      <c r="S666" s="423"/>
      <c r="T666" s="423"/>
      <c r="U666" s="423"/>
      <c r="V666" s="423"/>
      <c r="W666" s="423"/>
    </row>
    <row r="667">
      <c r="A667" s="766"/>
      <c r="B667" s="717"/>
      <c r="C667" s="763"/>
      <c r="D667" s="763"/>
      <c r="E667" s="423"/>
      <c r="F667" s="764"/>
      <c r="G667" s="765"/>
      <c r="H667" s="423"/>
      <c r="I667" s="765"/>
      <c r="J667" s="728"/>
      <c r="K667" s="423"/>
      <c r="L667" s="423"/>
      <c r="M667" s="423"/>
      <c r="N667" s="423"/>
      <c r="O667" s="423"/>
      <c r="P667" s="423"/>
      <c r="Q667" s="423"/>
      <c r="R667" s="423"/>
      <c r="S667" s="423"/>
      <c r="T667" s="423"/>
      <c r="U667" s="423"/>
      <c r="V667" s="423"/>
      <c r="W667" s="423"/>
    </row>
    <row r="668">
      <c r="A668" s="766"/>
      <c r="B668" s="717"/>
      <c r="C668" s="763"/>
      <c r="D668" s="763"/>
      <c r="E668" s="423"/>
      <c r="F668" s="764"/>
      <c r="G668" s="765"/>
      <c r="H668" s="423"/>
      <c r="I668" s="765"/>
      <c r="J668" s="728"/>
      <c r="K668" s="423"/>
      <c r="L668" s="423"/>
      <c r="M668" s="423"/>
      <c r="N668" s="423"/>
      <c r="O668" s="423"/>
      <c r="P668" s="423"/>
      <c r="Q668" s="423"/>
      <c r="R668" s="423"/>
      <c r="S668" s="423"/>
      <c r="T668" s="423"/>
      <c r="U668" s="423"/>
      <c r="V668" s="423"/>
      <c r="W668" s="423"/>
    </row>
    <row r="669">
      <c r="A669" s="766"/>
      <c r="B669" s="717"/>
      <c r="C669" s="763"/>
      <c r="D669" s="763"/>
      <c r="E669" s="423"/>
      <c r="F669" s="764"/>
      <c r="G669" s="765"/>
      <c r="H669" s="423"/>
      <c r="I669" s="765"/>
      <c r="J669" s="728"/>
      <c r="K669" s="423"/>
      <c r="L669" s="423"/>
      <c r="M669" s="423"/>
      <c r="N669" s="423"/>
      <c r="O669" s="423"/>
      <c r="P669" s="423"/>
      <c r="Q669" s="423"/>
      <c r="R669" s="423"/>
      <c r="S669" s="423"/>
      <c r="T669" s="423"/>
      <c r="U669" s="423"/>
      <c r="V669" s="423"/>
      <c r="W669" s="423"/>
    </row>
    <row r="670">
      <c r="A670" s="766"/>
      <c r="B670" s="717"/>
      <c r="C670" s="763"/>
      <c r="D670" s="763"/>
      <c r="E670" s="423"/>
      <c r="F670" s="764"/>
      <c r="G670" s="765"/>
      <c r="H670" s="423"/>
      <c r="I670" s="765"/>
      <c r="J670" s="728"/>
      <c r="K670" s="423"/>
      <c r="L670" s="423"/>
      <c r="M670" s="423"/>
      <c r="N670" s="423"/>
      <c r="O670" s="423"/>
      <c r="P670" s="423"/>
      <c r="Q670" s="423"/>
      <c r="R670" s="423"/>
      <c r="S670" s="423"/>
      <c r="T670" s="423"/>
      <c r="U670" s="423"/>
      <c r="V670" s="423"/>
      <c r="W670" s="423"/>
    </row>
    <row r="671">
      <c r="A671" s="766"/>
      <c r="B671" s="717"/>
      <c r="C671" s="763"/>
      <c r="D671" s="763"/>
      <c r="E671" s="423"/>
      <c r="F671" s="764"/>
      <c r="G671" s="765"/>
      <c r="H671" s="423"/>
      <c r="I671" s="765"/>
      <c r="J671" s="728"/>
      <c r="K671" s="423"/>
      <c r="L671" s="423"/>
      <c r="M671" s="423"/>
      <c r="N671" s="423"/>
      <c r="O671" s="423"/>
      <c r="P671" s="423"/>
      <c r="Q671" s="423"/>
      <c r="R671" s="423"/>
      <c r="S671" s="423"/>
      <c r="T671" s="423"/>
      <c r="U671" s="423"/>
      <c r="V671" s="423"/>
      <c r="W671" s="423"/>
    </row>
    <row r="672">
      <c r="A672" s="766"/>
      <c r="B672" s="717"/>
      <c r="C672" s="763"/>
      <c r="D672" s="763"/>
      <c r="E672" s="423"/>
      <c r="F672" s="764"/>
      <c r="G672" s="765"/>
      <c r="H672" s="423"/>
      <c r="I672" s="765"/>
      <c r="J672" s="728"/>
      <c r="K672" s="423"/>
      <c r="L672" s="423"/>
      <c r="M672" s="423"/>
      <c r="N672" s="423"/>
      <c r="O672" s="423"/>
      <c r="P672" s="423"/>
      <c r="Q672" s="423"/>
      <c r="R672" s="423"/>
      <c r="S672" s="423"/>
      <c r="T672" s="423"/>
      <c r="U672" s="423"/>
      <c r="V672" s="423"/>
      <c r="W672" s="423"/>
    </row>
    <row r="673">
      <c r="A673" s="766"/>
      <c r="B673" s="717"/>
      <c r="C673" s="763"/>
      <c r="D673" s="763"/>
      <c r="E673" s="423"/>
      <c r="F673" s="764"/>
      <c r="G673" s="765"/>
      <c r="H673" s="423"/>
      <c r="I673" s="765"/>
      <c r="J673" s="728"/>
      <c r="K673" s="423"/>
      <c r="L673" s="423"/>
      <c r="M673" s="423"/>
      <c r="N673" s="423"/>
      <c r="O673" s="423"/>
      <c r="P673" s="423"/>
      <c r="Q673" s="423"/>
      <c r="R673" s="423"/>
      <c r="S673" s="423"/>
      <c r="T673" s="423"/>
      <c r="U673" s="423"/>
      <c r="V673" s="423"/>
      <c r="W673" s="423"/>
    </row>
    <row r="674">
      <c r="A674" s="766"/>
      <c r="B674" s="717"/>
      <c r="C674" s="763"/>
      <c r="D674" s="763"/>
      <c r="E674" s="423"/>
      <c r="F674" s="764"/>
      <c r="G674" s="765"/>
      <c r="H674" s="423"/>
      <c r="I674" s="765"/>
      <c r="J674" s="728"/>
      <c r="K674" s="423"/>
      <c r="L674" s="423"/>
      <c r="M674" s="423"/>
      <c r="N674" s="423"/>
      <c r="O674" s="423"/>
      <c r="P674" s="423"/>
      <c r="Q674" s="423"/>
      <c r="R674" s="423"/>
      <c r="S674" s="423"/>
      <c r="T674" s="423"/>
      <c r="U674" s="423"/>
      <c r="V674" s="423"/>
      <c r="W674" s="423"/>
    </row>
    <row r="675">
      <c r="A675" s="766"/>
      <c r="B675" s="717"/>
      <c r="C675" s="763"/>
      <c r="D675" s="763"/>
      <c r="E675" s="423"/>
      <c r="F675" s="764"/>
      <c r="G675" s="765"/>
      <c r="H675" s="423"/>
      <c r="I675" s="765"/>
      <c r="J675" s="728"/>
      <c r="K675" s="423"/>
      <c r="L675" s="423"/>
      <c r="M675" s="423"/>
      <c r="N675" s="423"/>
      <c r="O675" s="423"/>
      <c r="P675" s="423"/>
      <c r="Q675" s="423"/>
      <c r="R675" s="423"/>
      <c r="S675" s="423"/>
      <c r="T675" s="423"/>
      <c r="U675" s="423"/>
      <c r="V675" s="423"/>
      <c r="W675" s="423"/>
    </row>
    <row r="676">
      <c r="A676" s="766"/>
      <c r="B676" s="717"/>
      <c r="C676" s="763"/>
      <c r="D676" s="763"/>
      <c r="E676" s="423"/>
      <c r="F676" s="764"/>
      <c r="G676" s="765"/>
      <c r="H676" s="423"/>
      <c r="I676" s="765"/>
      <c r="J676" s="728"/>
      <c r="K676" s="423"/>
      <c r="L676" s="423"/>
      <c r="M676" s="423"/>
      <c r="N676" s="423"/>
      <c r="O676" s="423"/>
      <c r="P676" s="423"/>
      <c r="Q676" s="423"/>
      <c r="R676" s="423"/>
      <c r="S676" s="423"/>
      <c r="T676" s="423"/>
      <c r="U676" s="423"/>
      <c r="V676" s="423"/>
      <c r="W676" s="423"/>
    </row>
    <row r="677">
      <c r="A677" s="766"/>
      <c r="B677" s="717"/>
      <c r="C677" s="763"/>
      <c r="D677" s="763"/>
      <c r="E677" s="423"/>
      <c r="F677" s="764"/>
      <c r="G677" s="765"/>
      <c r="H677" s="423"/>
      <c r="I677" s="765"/>
      <c r="J677" s="728"/>
      <c r="K677" s="423"/>
      <c r="L677" s="423"/>
      <c r="M677" s="423"/>
      <c r="N677" s="423"/>
      <c r="O677" s="423"/>
      <c r="P677" s="423"/>
      <c r="Q677" s="423"/>
      <c r="R677" s="423"/>
      <c r="S677" s="423"/>
      <c r="T677" s="423"/>
      <c r="U677" s="423"/>
      <c r="V677" s="423"/>
      <c r="W677" s="423"/>
    </row>
    <row r="678">
      <c r="A678" s="766"/>
      <c r="B678" s="717"/>
      <c r="C678" s="763"/>
      <c r="D678" s="763"/>
      <c r="E678" s="423"/>
      <c r="F678" s="764"/>
      <c r="G678" s="765"/>
      <c r="H678" s="423"/>
      <c r="I678" s="765"/>
      <c r="J678" s="728"/>
      <c r="K678" s="423"/>
      <c r="L678" s="423"/>
      <c r="M678" s="423"/>
      <c r="N678" s="423"/>
      <c r="O678" s="423"/>
      <c r="P678" s="423"/>
      <c r="Q678" s="423"/>
      <c r="R678" s="423"/>
      <c r="S678" s="423"/>
      <c r="T678" s="423"/>
      <c r="U678" s="423"/>
      <c r="V678" s="423"/>
      <c r="W678" s="423"/>
    </row>
    <row r="679">
      <c r="A679" s="766"/>
      <c r="B679" s="717"/>
      <c r="C679" s="763"/>
      <c r="D679" s="763"/>
      <c r="E679" s="423"/>
      <c r="F679" s="764"/>
      <c r="G679" s="765"/>
      <c r="H679" s="423"/>
      <c r="I679" s="765"/>
      <c r="J679" s="728"/>
      <c r="K679" s="423"/>
      <c r="L679" s="423"/>
      <c r="M679" s="423"/>
      <c r="N679" s="423"/>
      <c r="O679" s="423"/>
      <c r="P679" s="423"/>
      <c r="Q679" s="423"/>
      <c r="R679" s="423"/>
      <c r="S679" s="423"/>
      <c r="T679" s="423"/>
      <c r="U679" s="423"/>
      <c r="V679" s="423"/>
      <c r="W679" s="423"/>
    </row>
    <row r="680">
      <c r="A680" s="766"/>
      <c r="B680" s="717"/>
      <c r="C680" s="763"/>
      <c r="D680" s="763"/>
      <c r="E680" s="423"/>
      <c r="F680" s="764"/>
      <c r="G680" s="765"/>
      <c r="H680" s="423"/>
      <c r="I680" s="765"/>
      <c r="J680" s="728"/>
      <c r="K680" s="423"/>
      <c r="L680" s="423"/>
      <c r="M680" s="423"/>
      <c r="N680" s="423"/>
      <c r="O680" s="423"/>
      <c r="P680" s="423"/>
      <c r="Q680" s="423"/>
      <c r="R680" s="423"/>
      <c r="S680" s="423"/>
      <c r="T680" s="423"/>
      <c r="U680" s="423"/>
      <c r="V680" s="423"/>
      <c r="W680" s="423"/>
    </row>
    <row r="681">
      <c r="A681" s="766"/>
      <c r="B681" s="717"/>
      <c r="C681" s="763"/>
      <c r="D681" s="763"/>
      <c r="E681" s="423"/>
      <c r="F681" s="764"/>
      <c r="G681" s="765"/>
      <c r="H681" s="423"/>
      <c r="I681" s="765"/>
      <c r="J681" s="728"/>
      <c r="K681" s="423"/>
      <c r="L681" s="423"/>
      <c r="M681" s="423"/>
      <c r="N681" s="423"/>
      <c r="O681" s="423"/>
      <c r="P681" s="423"/>
      <c r="Q681" s="423"/>
      <c r="R681" s="423"/>
      <c r="S681" s="423"/>
      <c r="T681" s="423"/>
      <c r="U681" s="423"/>
      <c r="V681" s="423"/>
      <c r="W681" s="423"/>
    </row>
    <row r="682">
      <c r="A682" s="766"/>
      <c r="B682" s="717"/>
      <c r="C682" s="763"/>
      <c r="D682" s="763"/>
      <c r="E682" s="423"/>
      <c r="F682" s="764"/>
      <c r="G682" s="765"/>
      <c r="H682" s="423"/>
      <c r="I682" s="765"/>
      <c r="J682" s="728"/>
      <c r="K682" s="423"/>
      <c r="L682" s="423"/>
      <c r="M682" s="423"/>
      <c r="N682" s="423"/>
      <c r="O682" s="423"/>
      <c r="P682" s="423"/>
      <c r="Q682" s="423"/>
      <c r="R682" s="423"/>
      <c r="S682" s="423"/>
      <c r="T682" s="423"/>
      <c r="U682" s="423"/>
      <c r="V682" s="423"/>
      <c r="W682" s="423"/>
    </row>
    <row r="683">
      <c r="A683" s="766"/>
      <c r="B683" s="717"/>
      <c r="C683" s="763"/>
      <c r="D683" s="763"/>
      <c r="E683" s="423"/>
      <c r="F683" s="764"/>
      <c r="G683" s="765"/>
      <c r="H683" s="423"/>
      <c r="I683" s="765"/>
      <c r="J683" s="728"/>
      <c r="K683" s="423"/>
      <c r="L683" s="423"/>
      <c r="M683" s="423"/>
      <c r="N683" s="423"/>
      <c r="O683" s="423"/>
      <c r="P683" s="423"/>
      <c r="Q683" s="423"/>
      <c r="R683" s="423"/>
      <c r="S683" s="423"/>
      <c r="T683" s="423"/>
      <c r="U683" s="423"/>
      <c r="V683" s="423"/>
      <c r="W683" s="423"/>
    </row>
    <row r="684">
      <c r="A684" s="766"/>
      <c r="B684" s="717"/>
      <c r="C684" s="763"/>
      <c r="D684" s="763"/>
      <c r="E684" s="423"/>
      <c r="F684" s="764"/>
      <c r="G684" s="765"/>
      <c r="H684" s="423"/>
      <c r="I684" s="765"/>
      <c r="J684" s="728"/>
      <c r="K684" s="423"/>
      <c r="L684" s="423"/>
      <c r="M684" s="423"/>
      <c r="N684" s="423"/>
      <c r="O684" s="423"/>
      <c r="P684" s="423"/>
      <c r="Q684" s="423"/>
      <c r="R684" s="423"/>
      <c r="S684" s="423"/>
      <c r="T684" s="423"/>
      <c r="U684" s="423"/>
      <c r="V684" s="423"/>
      <c r="W684" s="423"/>
    </row>
    <row r="685">
      <c r="A685" s="766"/>
      <c r="B685" s="717"/>
      <c r="C685" s="763"/>
      <c r="D685" s="763"/>
      <c r="E685" s="423"/>
      <c r="F685" s="764"/>
      <c r="G685" s="765"/>
      <c r="H685" s="423"/>
      <c r="I685" s="765"/>
      <c r="J685" s="728"/>
      <c r="K685" s="423"/>
      <c r="L685" s="423"/>
      <c r="M685" s="423"/>
      <c r="N685" s="423"/>
      <c r="O685" s="423"/>
      <c r="P685" s="423"/>
      <c r="Q685" s="423"/>
      <c r="R685" s="423"/>
      <c r="S685" s="423"/>
      <c r="T685" s="423"/>
      <c r="U685" s="423"/>
      <c r="V685" s="423"/>
      <c r="W685" s="423"/>
    </row>
    <row r="686">
      <c r="A686" s="766"/>
      <c r="B686" s="717"/>
      <c r="C686" s="763"/>
      <c r="D686" s="763"/>
      <c r="E686" s="423"/>
      <c r="F686" s="764"/>
      <c r="G686" s="765"/>
      <c r="H686" s="423"/>
      <c r="I686" s="765"/>
      <c r="J686" s="728"/>
      <c r="K686" s="423"/>
      <c r="L686" s="423"/>
      <c r="M686" s="423"/>
      <c r="N686" s="423"/>
      <c r="O686" s="423"/>
      <c r="P686" s="423"/>
      <c r="Q686" s="423"/>
      <c r="R686" s="423"/>
      <c r="S686" s="423"/>
      <c r="T686" s="423"/>
      <c r="U686" s="423"/>
      <c r="V686" s="423"/>
      <c r="W686" s="423"/>
    </row>
    <row r="687">
      <c r="A687" s="766"/>
      <c r="B687" s="717"/>
      <c r="C687" s="763"/>
      <c r="D687" s="763"/>
      <c r="E687" s="423"/>
      <c r="F687" s="764"/>
      <c r="G687" s="765"/>
      <c r="H687" s="423"/>
      <c r="I687" s="765"/>
      <c r="J687" s="728"/>
      <c r="K687" s="423"/>
      <c r="L687" s="423"/>
      <c r="M687" s="423"/>
      <c r="N687" s="423"/>
      <c r="O687" s="423"/>
      <c r="P687" s="423"/>
      <c r="Q687" s="423"/>
      <c r="R687" s="423"/>
      <c r="S687" s="423"/>
      <c r="T687" s="423"/>
      <c r="U687" s="423"/>
      <c r="V687" s="423"/>
      <c r="W687" s="423"/>
    </row>
    <row r="688">
      <c r="A688" s="766"/>
      <c r="B688" s="717"/>
      <c r="C688" s="763"/>
      <c r="D688" s="763"/>
      <c r="E688" s="423"/>
      <c r="F688" s="764"/>
      <c r="G688" s="765"/>
      <c r="H688" s="423"/>
      <c r="I688" s="765"/>
      <c r="J688" s="728"/>
      <c r="K688" s="423"/>
      <c r="L688" s="423"/>
      <c r="M688" s="423"/>
      <c r="N688" s="423"/>
      <c r="O688" s="423"/>
      <c r="P688" s="423"/>
      <c r="Q688" s="423"/>
      <c r="R688" s="423"/>
      <c r="S688" s="423"/>
      <c r="T688" s="423"/>
      <c r="U688" s="423"/>
      <c r="V688" s="423"/>
      <c r="W688" s="423"/>
    </row>
    <row r="689">
      <c r="A689" s="766"/>
      <c r="B689" s="717"/>
      <c r="C689" s="763"/>
      <c r="D689" s="763"/>
      <c r="E689" s="423"/>
      <c r="F689" s="764"/>
      <c r="G689" s="765"/>
      <c r="H689" s="423"/>
      <c r="I689" s="765"/>
      <c r="J689" s="728"/>
      <c r="K689" s="423"/>
      <c r="L689" s="423"/>
      <c r="M689" s="423"/>
      <c r="N689" s="423"/>
      <c r="O689" s="423"/>
      <c r="P689" s="423"/>
      <c r="Q689" s="423"/>
      <c r="R689" s="423"/>
      <c r="S689" s="423"/>
      <c r="T689" s="423"/>
      <c r="U689" s="423"/>
      <c r="V689" s="423"/>
      <c r="W689" s="423"/>
    </row>
    <row r="690">
      <c r="A690" s="766"/>
      <c r="B690" s="717"/>
      <c r="C690" s="763"/>
      <c r="D690" s="763"/>
      <c r="E690" s="423"/>
      <c r="F690" s="764"/>
      <c r="G690" s="765"/>
      <c r="H690" s="423"/>
      <c r="I690" s="765"/>
      <c r="J690" s="728"/>
      <c r="K690" s="423"/>
      <c r="L690" s="423"/>
      <c r="M690" s="423"/>
      <c r="N690" s="423"/>
      <c r="O690" s="423"/>
      <c r="P690" s="423"/>
      <c r="Q690" s="423"/>
      <c r="R690" s="423"/>
      <c r="S690" s="423"/>
      <c r="T690" s="423"/>
      <c r="U690" s="423"/>
      <c r="V690" s="423"/>
      <c r="W690" s="423"/>
    </row>
    <row r="691">
      <c r="A691" s="766"/>
      <c r="B691" s="717"/>
      <c r="C691" s="763"/>
      <c r="D691" s="763"/>
      <c r="E691" s="423"/>
      <c r="F691" s="764"/>
      <c r="G691" s="765"/>
      <c r="H691" s="423"/>
      <c r="I691" s="765"/>
      <c r="J691" s="728"/>
      <c r="K691" s="423"/>
      <c r="L691" s="423"/>
      <c r="M691" s="423"/>
      <c r="N691" s="423"/>
      <c r="O691" s="423"/>
      <c r="P691" s="423"/>
      <c r="Q691" s="423"/>
      <c r="R691" s="423"/>
      <c r="S691" s="423"/>
      <c r="T691" s="423"/>
      <c r="U691" s="423"/>
      <c r="V691" s="423"/>
      <c r="W691" s="423"/>
    </row>
    <row r="692">
      <c r="A692" s="766"/>
      <c r="B692" s="717"/>
      <c r="C692" s="763"/>
      <c r="D692" s="763"/>
      <c r="E692" s="423"/>
      <c r="F692" s="764"/>
      <c r="G692" s="765"/>
      <c r="H692" s="423"/>
      <c r="I692" s="765"/>
      <c r="J692" s="728"/>
      <c r="K692" s="423"/>
      <c r="L692" s="423"/>
      <c r="M692" s="423"/>
      <c r="N692" s="423"/>
      <c r="O692" s="423"/>
      <c r="P692" s="423"/>
      <c r="Q692" s="423"/>
      <c r="R692" s="423"/>
      <c r="S692" s="423"/>
      <c r="T692" s="423"/>
      <c r="U692" s="423"/>
      <c r="V692" s="423"/>
      <c r="W692" s="423"/>
    </row>
    <row r="693">
      <c r="A693" s="766"/>
      <c r="B693" s="717"/>
      <c r="C693" s="763"/>
      <c r="D693" s="763"/>
      <c r="E693" s="423"/>
      <c r="F693" s="764"/>
      <c r="G693" s="765"/>
      <c r="H693" s="423"/>
      <c r="I693" s="765"/>
      <c r="J693" s="728"/>
      <c r="K693" s="423"/>
      <c r="L693" s="423"/>
      <c r="M693" s="423"/>
      <c r="N693" s="423"/>
      <c r="O693" s="423"/>
      <c r="P693" s="423"/>
      <c r="Q693" s="423"/>
      <c r="R693" s="423"/>
      <c r="S693" s="423"/>
      <c r="T693" s="423"/>
      <c r="U693" s="423"/>
      <c r="V693" s="423"/>
      <c r="W693" s="423"/>
    </row>
    <row r="694">
      <c r="A694" s="766"/>
      <c r="B694" s="717"/>
      <c r="C694" s="763"/>
      <c r="D694" s="763"/>
      <c r="E694" s="423"/>
      <c r="F694" s="764"/>
      <c r="G694" s="765"/>
      <c r="H694" s="423"/>
      <c r="I694" s="765"/>
      <c r="J694" s="728"/>
      <c r="K694" s="423"/>
      <c r="L694" s="423"/>
      <c r="M694" s="423"/>
      <c r="N694" s="423"/>
      <c r="O694" s="423"/>
      <c r="P694" s="423"/>
      <c r="Q694" s="423"/>
      <c r="R694" s="423"/>
      <c r="S694" s="423"/>
      <c r="T694" s="423"/>
      <c r="U694" s="423"/>
      <c r="V694" s="423"/>
      <c r="W694" s="423"/>
    </row>
    <row r="695">
      <c r="A695" s="766"/>
      <c r="B695" s="717"/>
      <c r="C695" s="763"/>
      <c r="D695" s="763"/>
      <c r="E695" s="423"/>
      <c r="F695" s="764"/>
      <c r="G695" s="765"/>
      <c r="H695" s="423"/>
      <c r="I695" s="765"/>
      <c r="J695" s="728"/>
      <c r="K695" s="423"/>
      <c r="L695" s="423"/>
      <c r="M695" s="423"/>
      <c r="N695" s="423"/>
      <c r="O695" s="423"/>
      <c r="P695" s="423"/>
      <c r="Q695" s="423"/>
      <c r="R695" s="423"/>
      <c r="S695" s="423"/>
      <c r="T695" s="423"/>
      <c r="U695" s="423"/>
      <c r="V695" s="423"/>
      <c r="W695" s="423"/>
    </row>
    <row r="696">
      <c r="A696" s="766"/>
      <c r="B696" s="717"/>
      <c r="C696" s="763"/>
      <c r="D696" s="763"/>
      <c r="E696" s="423"/>
      <c r="F696" s="764"/>
      <c r="G696" s="765"/>
      <c r="H696" s="423"/>
      <c r="I696" s="765"/>
      <c r="J696" s="728"/>
      <c r="K696" s="423"/>
      <c r="L696" s="423"/>
      <c r="M696" s="423"/>
      <c r="N696" s="423"/>
      <c r="O696" s="423"/>
      <c r="P696" s="423"/>
      <c r="Q696" s="423"/>
      <c r="R696" s="423"/>
      <c r="S696" s="423"/>
      <c r="T696" s="423"/>
      <c r="U696" s="423"/>
      <c r="V696" s="423"/>
      <c r="W696" s="423"/>
    </row>
    <row r="697">
      <c r="A697" s="766"/>
      <c r="B697" s="717"/>
      <c r="C697" s="763"/>
      <c r="D697" s="763"/>
      <c r="E697" s="423"/>
      <c r="F697" s="764"/>
      <c r="G697" s="765"/>
      <c r="H697" s="423"/>
      <c r="I697" s="765"/>
      <c r="J697" s="728"/>
      <c r="K697" s="423"/>
      <c r="L697" s="423"/>
      <c r="M697" s="423"/>
      <c r="N697" s="423"/>
      <c r="O697" s="423"/>
      <c r="P697" s="423"/>
      <c r="Q697" s="423"/>
      <c r="R697" s="423"/>
      <c r="S697" s="423"/>
      <c r="T697" s="423"/>
      <c r="U697" s="423"/>
      <c r="V697" s="423"/>
      <c r="W697" s="423"/>
    </row>
    <row r="698">
      <c r="A698" s="766"/>
      <c r="B698" s="717"/>
      <c r="C698" s="763"/>
      <c r="D698" s="763"/>
      <c r="E698" s="423"/>
      <c r="F698" s="764"/>
      <c r="G698" s="765"/>
      <c r="H698" s="423"/>
      <c r="I698" s="765"/>
      <c r="J698" s="728"/>
      <c r="K698" s="423"/>
      <c r="L698" s="423"/>
      <c r="M698" s="423"/>
      <c r="N698" s="423"/>
      <c r="O698" s="423"/>
      <c r="P698" s="423"/>
      <c r="Q698" s="423"/>
      <c r="R698" s="423"/>
      <c r="S698" s="423"/>
      <c r="T698" s="423"/>
      <c r="U698" s="423"/>
      <c r="V698" s="423"/>
      <c r="W698" s="423"/>
    </row>
    <row r="699">
      <c r="A699" s="766"/>
      <c r="B699" s="717"/>
      <c r="C699" s="763"/>
      <c r="D699" s="763"/>
      <c r="E699" s="423"/>
      <c r="F699" s="764"/>
      <c r="G699" s="765"/>
      <c r="H699" s="423"/>
      <c r="I699" s="765"/>
      <c r="J699" s="728"/>
      <c r="K699" s="423"/>
      <c r="L699" s="423"/>
      <c r="M699" s="423"/>
      <c r="N699" s="423"/>
      <c r="O699" s="423"/>
      <c r="P699" s="423"/>
      <c r="Q699" s="423"/>
      <c r="R699" s="423"/>
      <c r="S699" s="423"/>
      <c r="T699" s="423"/>
      <c r="U699" s="423"/>
      <c r="V699" s="423"/>
      <c r="W699" s="423"/>
    </row>
    <row r="700">
      <c r="A700" s="766"/>
      <c r="B700" s="717"/>
      <c r="C700" s="763"/>
      <c r="D700" s="763"/>
      <c r="E700" s="423"/>
      <c r="F700" s="764"/>
      <c r="G700" s="765"/>
      <c r="H700" s="423"/>
      <c r="I700" s="765"/>
      <c r="J700" s="728"/>
      <c r="K700" s="423"/>
      <c r="L700" s="423"/>
      <c r="M700" s="423"/>
      <c r="N700" s="423"/>
      <c r="O700" s="423"/>
      <c r="P700" s="423"/>
      <c r="Q700" s="423"/>
      <c r="R700" s="423"/>
      <c r="S700" s="423"/>
      <c r="T700" s="423"/>
      <c r="U700" s="423"/>
      <c r="V700" s="423"/>
      <c r="W700" s="423"/>
    </row>
    <row r="701">
      <c r="A701" s="766"/>
      <c r="B701" s="717"/>
      <c r="C701" s="763"/>
      <c r="D701" s="763"/>
      <c r="E701" s="423"/>
      <c r="F701" s="764"/>
      <c r="G701" s="765"/>
      <c r="H701" s="423"/>
      <c r="I701" s="765"/>
      <c r="J701" s="728"/>
      <c r="K701" s="423"/>
      <c r="L701" s="423"/>
      <c r="M701" s="423"/>
      <c r="N701" s="423"/>
      <c r="O701" s="423"/>
      <c r="P701" s="423"/>
      <c r="Q701" s="423"/>
      <c r="R701" s="423"/>
      <c r="S701" s="423"/>
      <c r="T701" s="423"/>
      <c r="U701" s="423"/>
      <c r="V701" s="423"/>
      <c r="W701" s="423"/>
    </row>
    <row r="702">
      <c r="A702" s="766"/>
      <c r="B702" s="717"/>
      <c r="C702" s="763"/>
      <c r="D702" s="763"/>
      <c r="E702" s="423"/>
      <c r="F702" s="764"/>
      <c r="G702" s="765"/>
      <c r="H702" s="423"/>
      <c r="I702" s="765"/>
      <c r="J702" s="728"/>
      <c r="K702" s="423"/>
      <c r="L702" s="423"/>
      <c r="M702" s="423"/>
      <c r="N702" s="423"/>
      <c r="O702" s="423"/>
      <c r="P702" s="423"/>
      <c r="Q702" s="423"/>
      <c r="R702" s="423"/>
      <c r="S702" s="423"/>
      <c r="T702" s="423"/>
      <c r="U702" s="423"/>
      <c r="V702" s="423"/>
      <c r="W702" s="423"/>
    </row>
    <row r="703">
      <c r="A703" s="766"/>
      <c r="B703" s="717"/>
      <c r="C703" s="763"/>
      <c r="D703" s="763"/>
      <c r="E703" s="423"/>
      <c r="F703" s="764"/>
      <c r="G703" s="765"/>
      <c r="H703" s="423"/>
      <c r="I703" s="765"/>
      <c r="J703" s="728"/>
      <c r="K703" s="423"/>
      <c r="L703" s="423"/>
      <c r="M703" s="423"/>
      <c r="N703" s="423"/>
      <c r="O703" s="423"/>
      <c r="P703" s="423"/>
      <c r="Q703" s="423"/>
      <c r="R703" s="423"/>
      <c r="S703" s="423"/>
      <c r="T703" s="423"/>
      <c r="U703" s="423"/>
      <c r="V703" s="423"/>
      <c r="W703" s="423"/>
    </row>
    <row r="704">
      <c r="A704" s="766"/>
      <c r="B704" s="717"/>
      <c r="C704" s="763"/>
      <c r="D704" s="763"/>
      <c r="E704" s="423"/>
      <c r="F704" s="764"/>
      <c r="G704" s="765"/>
      <c r="H704" s="423"/>
      <c r="I704" s="765"/>
      <c r="J704" s="728"/>
      <c r="K704" s="423"/>
      <c r="L704" s="423"/>
      <c r="M704" s="423"/>
      <c r="N704" s="423"/>
      <c r="O704" s="423"/>
      <c r="P704" s="423"/>
      <c r="Q704" s="423"/>
      <c r="R704" s="423"/>
      <c r="S704" s="423"/>
      <c r="T704" s="423"/>
      <c r="U704" s="423"/>
      <c r="V704" s="423"/>
      <c r="W704" s="423"/>
    </row>
    <row r="705">
      <c r="A705" s="766"/>
      <c r="B705" s="717"/>
      <c r="C705" s="763"/>
      <c r="D705" s="763"/>
      <c r="E705" s="423"/>
      <c r="F705" s="764"/>
      <c r="G705" s="765"/>
      <c r="H705" s="423"/>
      <c r="I705" s="765"/>
      <c r="J705" s="728"/>
      <c r="K705" s="423"/>
      <c r="L705" s="423"/>
      <c r="M705" s="423"/>
      <c r="N705" s="423"/>
      <c r="O705" s="423"/>
      <c r="P705" s="423"/>
      <c r="Q705" s="423"/>
      <c r="R705" s="423"/>
      <c r="S705" s="423"/>
      <c r="T705" s="423"/>
      <c r="U705" s="423"/>
      <c r="V705" s="423"/>
      <c r="W705" s="423"/>
    </row>
    <row r="706">
      <c r="A706" s="766"/>
      <c r="B706" s="717"/>
      <c r="C706" s="763"/>
      <c r="D706" s="763"/>
      <c r="E706" s="423"/>
      <c r="F706" s="764"/>
      <c r="G706" s="765"/>
      <c r="H706" s="423"/>
      <c r="I706" s="765"/>
      <c r="J706" s="728"/>
      <c r="K706" s="423"/>
      <c r="L706" s="423"/>
      <c r="M706" s="423"/>
      <c r="N706" s="423"/>
      <c r="O706" s="423"/>
      <c r="P706" s="423"/>
      <c r="Q706" s="423"/>
      <c r="R706" s="423"/>
      <c r="S706" s="423"/>
      <c r="T706" s="423"/>
      <c r="U706" s="423"/>
      <c r="V706" s="423"/>
      <c r="W706" s="423"/>
    </row>
    <row r="707">
      <c r="A707" s="766"/>
      <c r="B707" s="717"/>
      <c r="C707" s="763"/>
      <c r="D707" s="763"/>
      <c r="E707" s="423"/>
      <c r="F707" s="764"/>
      <c r="G707" s="765"/>
      <c r="H707" s="423"/>
      <c r="I707" s="765"/>
      <c r="J707" s="728"/>
      <c r="K707" s="423"/>
      <c r="L707" s="423"/>
      <c r="M707" s="423"/>
      <c r="N707" s="423"/>
      <c r="O707" s="423"/>
      <c r="P707" s="423"/>
      <c r="Q707" s="423"/>
      <c r="R707" s="423"/>
      <c r="S707" s="423"/>
      <c r="T707" s="423"/>
      <c r="U707" s="423"/>
      <c r="V707" s="423"/>
      <c r="W707" s="423"/>
    </row>
    <row r="708">
      <c r="A708" s="766"/>
      <c r="B708" s="717"/>
      <c r="C708" s="763"/>
      <c r="D708" s="763"/>
      <c r="E708" s="423"/>
      <c r="F708" s="764"/>
      <c r="G708" s="765"/>
      <c r="H708" s="423"/>
      <c r="I708" s="765"/>
      <c r="J708" s="728"/>
      <c r="K708" s="423"/>
      <c r="L708" s="423"/>
      <c r="M708" s="423"/>
      <c r="N708" s="423"/>
      <c r="O708" s="423"/>
      <c r="P708" s="423"/>
      <c r="Q708" s="423"/>
      <c r="R708" s="423"/>
      <c r="S708" s="423"/>
      <c r="T708" s="423"/>
      <c r="U708" s="423"/>
      <c r="V708" s="423"/>
      <c r="W708" s="423"/>
    </row>
    <row r="709">
      <c r="A709" s="766"/>
      <c r="B709" s="717"/>
      <c r="C709" s="763"/>
      <c r="D709" s="763"/>
      <c r="E709" s="423"/>
      <c r="F709" s="764"/>
      <c r="G709" s="765"/>
      <c r="H709" s="423"/>
      <c r="I709" s="765"/>
      <c r="J709" s="728"/>
      <c r="K709" s="423"/>
      <c r="L709" s="423"/>
      <c r="M709" s="423"/>
      <c r="N709" s="423"/>
      <c r="O709" s="423"/>
      <c r="P709" s="423"/>
      <c r="Q709" s="423"/>
      <c r="R709" s="423"/>
      <c r="S709" s="423"/>
      <c r="T709" s="423"/>
      <c r="U709" s="423"/>
      <c r="V709" s="423"/>
      <c r="W709" s="423"/>
    </row>
    <row r="710">
      <c r="A710" s="766"/>
      <c r="B710" s="717"/>
      <c r="C710" s="763"/>
      <c r="D710" s="763"/>
      <c r="E710" s="423"/>
      <c r="F710" s="764"/>
      <c r="G710" s="765"/>
      <c r="H710" s="423"/>
      <c r="I710" s="765"/>
      <c r="J710" s="728"/>
      <c r="K710" s="423"/>
      <c r="L710" s="423"/>
      <c r="M710" s="423"/>
      <c r="N710" s="423"/>
      <c r="O710" s="423"/>
      <c r="P710" s="423"/>
      <c r="Q710" s="423"/>
      <c r="R710" s="423"/>
      <c r="S710" s="423"/>
      <c r="T710" s="423"/>
      <c r="U710" s="423"/>
      <c r="V710" s="423"/>
      <c r="W710" s="423"/>
    </row>
    <row r="711">
      <c r="A711" s="766"/>
      <c r="B711" s="717"/>
      <c r="C711" s="763"/>
      <c r="D711" s="763"/>
      <c r="E711" s="423"/>
      <c r="F711" s="764"/>
      <c r="G711" s="765"/>
      <c r="H711" s="423"/>
      <c r="I711" s="765"/>
      <c r="J711" s="728"/>
      <c r="K711" s="423"/>
      <c r="L711" s="423"/>
      <c r="M711" s="423"/>
      <c r="N711" s="423"/>
      <c r="O711" s="423"/>
      <c r="P711" s="423"/>
      <c r="Q711" s="423"/>
      <c r="R711" s="423"/>
      <c r="S711" s="423"/>
      <c r="T711" s="423"/>
      <c r="U711" s="423"/>
      <c r="V711" s="423"/>
      <c r="W711" s="423"/>
    </row>
    <row r="712">
      <c r="A712" s="766"/>
      <c r="B712" s="717"/>
      <c r="C712" s="763"/>
      <c r="D712" s="763"/>
      <c r="E712" s="423"/>
      <c r="F712" s="764"/>
      <c r="G712" s="765"/>
      <c r="H712" s="423"/>
      <c r="I712" s="765"/>
      <c r="J712" s="728"/>
      <c r="K712" s="423"/>
      <c r="L712" s="423"/>
      <c r="M712" s="423"/>
      <c r="N712" s="423"/>
      <c r="O712" s="423"/>
      <c r="P712" s="423"/>
      <c r="Q712" s="423"/>
      <c r="R712" s="423"/>
      <c r="S712" s="423"/>
      <c r="T712" s="423"/>
      <c r="U712" s="423"/>
      <c r="V712" s="423"/>
      <c r="W712" s="423"/>
    </row>
    <row r="713">
      <c r="A713" s="766"/>
      <c r="B713" s="717"/>
      <c r="C713" s="763"/>
      <c r="D713" s="763"/>
      <c r="E713" s="423"/>
      <c r="F713" s="764"/>
      <c r="G713" s="765"/>
      <c r="H713" s="423"/>
      <c r="I713" s="765"/>
      <c r="J713" s="728"/>
      <c r="K713" s="423"/>
      <c r="L713" s="423"/>
      <c r="M713" s="423"/>
      <c r="N713" s="423"/>
      <c r="O713" s="423"/>
      <c r="P713" s="423"/>
      <c r="Q713" s="423"/>
      <c r="R713" s="423"/>
      <c r="S713" s="423"/>
      <c r="T713" s="423"/>
      <c r="U713" s="423"/>
      <c r="V713" s="423"/>
      <c r="W713" s="423"/>
    </row>
    <row r="714">
      <c r="A714" s="766"/>
      <c r="B714" s="717"/>
      <c r="C714" s="763"/>
      <c r="D714" s="763"/>
      <c r="E714" s="423"/>
      <c r="F714" s="764"/>
      <c r="G714" s="765"/>
      <c r="H714" s="423"/>
      <c r="I714" s="765"/>
      <c r="J714" s="728"/>
      <c r="K714" s="423"/>
      <c r="L714" s="423"/>
      <c r="M714" s="423"/>
      <c r="N714" s="423"/>
      <c r="O714" s="423"/>
      <c r="P714" s="423"/>
      <c r="Q714" s="423"/>
      <c r="R714" s="423"/>
      <c r="S714" s="423"/>
      <c r="T714" s="423"/>
      <c r="U714" s="423"/>
      <c r="V714" s="423"/>
      <c r="W714" s="423"/>
    </row>
    <row r="715">
      <c r="A715" s="766"/>
      <c r="B715" s="717"/>
      <c r="C715" s="763"/>
      <c r="D715" s="763"/>
      <c r="E715" s="423"/>
      <c r="F715" s="764"/>
      <c r="G715" s="765"/>
      <c r="H715" s="423"/>
      <c r="I715" s="765"/>
      <c r="J715" s="728"/>
      <c r="K715" s="423"/>
      <c r="L715" s="423"/>
      <c r="M715" s="423"/>
      <c r="N715" s="423"/>
      <c r="O715" s="423"/>
      <c r="P715" s="423"/>
      <c r="Q715" s="423"/>
      <c r="R715" s="423"/>
      <c r="S715" s="423"/>
      <c r="T715" s="423"/>
      <c r="U715" s="423"/>
      <c r="V715" s="423"/>
      <c r="W715" s="423"/>
    </row>
    <row r="716">
      <c r="A716" s="766"/>
      <c r="B716" s="717"/>
      <c r="C716" s="763"/>
      <c r="D716" s="763"/>
      <c r="E716" s="423"/>
      <c r="F716" s="764"/>
      <c r="G716" s="765"/>
      <c r="H716" s="423"/>
      <c r="I716" s="765"/>
      <c r="J716" s="728"/>
      <c r="K716" s="423"/>
      <c r="L716" s="423"/>
      <c r="M716" s="423"/>
      <c r="N716" s="423"/>
      <c r="O716" s="423"/>
      <c r="P716" s="423"/>
      <c r="Q716" s="423"/>
      <c r="R716" s="423"/>
      <c r="S716" s="423"/>
      <c r="T716" s="423"/>
      <c r="U716" s="423"/>
      <c r="V716" s="423"/>
      <c r="W716" s="423"/>
    </row>
    <row r="717">
      <c r="A717" s="766"/>
      <c r="B717" s="717"/>
      <c r="C717" s="763"/>
      <c r="D717" s="763"/>
      <c r="E717" s="423"/>
      <c r="F717" s="764"/>
      <c r="G717" s="765"/>
      <c r="H717" s="423"/>
      <c r="I717" s="765"/>
      <c r="J717" s="728"/>
      <c r="K717" s="423"/>
      <c r="L717" s="423"/>
      <c r="M717" s="423"/>
      <c r="N717" s="423"/>
      <c r="O717" s="423"/>
      <c r="P717" s="423"/>
      <c r="Q717" s="423"/>
      <c r="R717" s="423"/>
      <c r="S717" s="423"/>
      <c r="T717" s="423"/>
      <c r="U717" s="423"/>
      <c r="V717" s="423"/>
      <c r="W717" s="423"/>
    </row>
    <row r="718">
      <c r="A718" s="766"/>
      <c r="B718" s="717"/>
      <c r="C718" s="763"/>
      <c r="D718" s="763"/>
      <c r="E718" s="423"/>
      <c r="F718" s="764"/>
      <c r="G718" s="765"/>
      <c r="H718" s="423"/>
      <c r="I718" s="765"/>
      <c r="J718" s="728"/>
      <c r="K718" s="423"/>
      <c r="L718" s="423"/>
      <c r="M718" s="423"/>
      <c r="N718" s="423"/>
      <c r="O718" s="423"/>
      <c r="P718" s="423"/>
      <c r="Q718" s="423"/>
      <c r="R718" s="423"/>
      <c r="S718" s="423"/>
      <c r="T718" s="423"/>
      <c r="U718" s="423"/>
      <c r="V718" s="423"/>
      <c r="W718" s="423"/>
    </row>
    <row r="719">
      <c r="A719" s="766"/>
      <c r="B719" s="717"/>
      <c r="C719" s="763"/>
      <c r="D719" s="763"/>
      <c r="E719" s="423"/>
      <c r="F719" s="764"/>
      <c r="G719" s="765"/>
      <c r="H719" s="423"/>
      <c r="I719" s="765"/>
      <c r="J719" s="728"/>
      <c r="K719" s="423"/>
      <c r="L719" s="423"/>
      <c r="M719" s="423"/>
      <c r="N719" s="423"/>
      <c r="O719" s="423"/>
      <c r="P719" s="423"/>
      <c r="Q719" s="423"/>
      <c r="R719" s="423"/>
      <c r="S719" s="423"/>
      <c r="T719" s="423"/>
      <c r="U719" s="423"/>
      <c r="V719" s="423"/>
      <c r="W719" s="423"/>
    </row>
    <row r="720">
      <c r="A720" s="766"/>
      <c r="B720" s="717"/>
      <c r="C720" s="763"/>
      <c r="D720" s="763"/>
      <c r="E720" s="423"/>
      <c r="F720" s="764"/>
      <c r="G720" s="765"/>
      <c r="H720" s="423"/>
      <c r="I720" s="765"/>
      <c r="J720" s="728"/>
      <c r="K720" s="423"/>
      <c r="L720" s="423"/>
      <c r="M720" s="423"/>
      <c r="N720" s="423"/>
      <c r="O720" s="423"/>
      <c r="P720" s="423"/>
      <c r="Q720" s="423"/>
      <c r="R720" s="423"/>
      <c r="S720" s="423"/>
      <c r="T720" s="423"/>
      <c r="U720" s="423"/>
      <c r="V720" s="423"/>
      <c r="W720" s="423"/>
    </row>
    <row r="721">
      <c r="A721" s="766"/>
      <c r="B721" s="717"/>
      <c r="C721" s="763"/>
      <c r="D721" s="763"/>
      <c r="E721" s="423"/>
      <c r="F721" s="764"/>
      <c r="G721" s="765"/>
      <c r="H721" s="423"/>
      <c r="I721" s="765"/>
      <c r="J721" s="728"/>
      <c r="K721" s="423"/>
      <c r="L721" s="423"/>
      <c r="M721" s="423"/>
      <c r="N721" s="423"/>
      <c r="O721" s="423"/>
      <c r="P721" s="423"/>
      <c r="Q721" s="423"/>
      <c r="R721" s="423"/>
      <c r="S721" s="423"/>
      <c r="T721" s="423"/>
      <c r="U721" s="423"/>
      <c r="V721" s="423"/>
      <c r="W721" s="423"/>
    </row>
    <row r="722">
      <c r="A722" s="766"/>
      <c r="B722" s="717"/>
      <c r="C722" s="763"/>
      <c r="D722" s="763"/>
      <c r="E722" s="423"/>
      <c r="F722" s="764"/>
      <c r="G722" s="765"/>
      <c r="H722" s="423"/>
      <c r="I722" s="765"/>
      <c r="J722" s="728"/>
      <c r="K722" s="423"/>
      <c r="L722" s="423"/>
      <c r="M722" s="423"/>
      <c r="N722" s="423"/>
      <c r="O722" s="423"/>
      <c r="P722" s="423"/>
      <c r="Q722" s="423"/>
      <c r="R722" s="423"/>
      <c r="S722" s="423"/>
      <c r="T722" s="423"/>
      <c r="U722" s="423"/>
      <c r="V722" s="423"/>
      <c r="W722" s="423"/>
    </row>
    <row r="723">
      <c r="A723" s="766"/>
      <c r="B723" s="717"/>
      <c r="C723" s="763"/>
      <c r="D723" s="763"/>
      <c r="E723" s="423"/>
      <c r="F723" s="764"/>
      <c r="G723" s="765"/>
      <c r="H723" s="423"/>
      <c r="I723" s="765"/>
      <c r="J723" s="728"/>
      <c r="K723" s="423"/>
      <c r="L723" s="423"/>
      <c r="M723" s="423"/>
      <c r="N723" s="423"/>
      <c r="O723" s="423"/>
      <c r="P723" s="423"/>
      <c r="Q723" s="423"/>
      <c r="R723" s="423"/>
      <c r="S723" s="423"/>
      <c r="T723" s="423"/>
      <c r="U723" s="423"/>
      <c r="V723" s="423"/>
      <c r="W723" s="423"/>
    </row>
    <row r="724">
      <c r="A724" s="766"/>
      <c r="B724" s="717"/>
      <c r="C724" s="763"/>
      <c r="D724" s="763"/>
      <c r="E724" s="423"/>
      <c r="F724" s="764"/>
      <c r="G724" s="765"/>
      <c r="H724" s="423"/>
      <c r="I724" s="765"/>
      <c r="J724" s="728"/>
      <c r="K724" s="423"/>
      <c r="L724" s="423"/>
      <c r="M724" s="423"/>
      <c r="N724" s="423"/>
      <c r="O724" s="423"/>
      <c r="P724" s="423"/>
      <c r="Q724" s="423"/>
      <c r="R724" s="423"/>
      <c r="S724" s="423"/>
      <c r="T724" s="423"/>
      <c r="U724" s="423"/>
      <c r="V724" s="423"/>
      <c r="W724" s="423"/>
    </row>
    <row r="725">
      <c r="A725" s="766"/>
      <c r="B725" s="717"/>
      <c r="C725" s="763"/>
      <c r="D725" s="763"/>
      <c r="E725" s="423"/>
      <c r="F725" s="764"/>
      <c r="G725" s="765"/>
      <c r="H725" s="423"/>
      <c r="I725" s="765"/>
      <c r="J725" s="728"/>
      <c r="K725" s="423"/>
      <c r="L725" s="423"/>
      <c r="M725" s="423"/>
      <c r="N725" s="423"/>
      <c r="O725" s="423"/>
      <c r="P725" s="423"/>
      <c r="Q725" s="423"/>
      <c r="R725" s="423"/>
      <c r="S725" s="423"/>
      <c r="T725" s="423"/>
      <c r="U725" s="423"/>
      <c r="V725" s="423"/>
      <c r="W725" s="423"/>
    </row>
    <row r="726">
      <c r="A726" s="766"/>
      <c r="B726" s="717"/>
      <c r="C726" s="763"/>
      <c r="D726" s="763"/>
      <c r="E726" s="423"/>
      <c r="F726" s="764"/>
      <c r="G726" s="765"/>
      <c r="H726" s="423"/>
      <c r="I726" s="765"/>
      <c r="J726" s="728"/>
      <c r="K726" s="423"/>
      <c r="L726" s="423"/>
      <c r="M726" s="423"/>
      <c r="N726" s="423"/>
      <c r="O726" s="423"/>
      <c r="P726" s="423"/>
      <c r="Q726" s="423"/>
      <c r="R726" s="423"/>
      <c r="S726" s="423"/>
      <c r="T726" s="423"/>
      <c r="U726" s="423"/>
      <c r="V726" s="423"/>
      <c r="W726" s="423"/>
    </row>
    <row r="727">
      <c r="A727" s="766"/>
      <c r="B727" s="717"/>
      <c r="C727" s="763"/>
      <c r="D727" s="763"/>
      <c r="E727" s="423"/>
      <c r="F727" s="764"/>
      <c r="G727" s="765"/>
      <c r="H727" s="423"/>
      <c r="I727" s="765"/>
      <c r="J727" s="728"/>
      <c r="K727" s="423"/>
      <c r="L727" s="423"/>
      <c r="M727" s="423"/>
      <c r="N727" s="423"/>
      <c r="O727" s="423"/>
      <c r="P727" s="423"/>
      <c r="Q727" s="423"/>
      <c r="R727" s="423"/>
      <c r="S727" s="423"/>
      <c r="T727" s="423"/>
      <c r="U727" s="423"/>
      <c r="V727" s="423"/>
      <c r="W727" s="423"/>
    </row>
    <row r="728">
      <c r="A728" s="766"/>
      <c r="B728" s="717"/>
      <c r="C728" s="763"/>
      <c r="D728" s="763"/>
      <c r="E728" s="423"/>
      <c r="F728" s="764"/>
      <c r="G728" s="765"/>
      <c r="H728" s="423"/>
      <c r="I728" s="765"/>
      <c r="J728" s="728"/>
      <c r="K728" s="423"/>
      <c r="L728" s="423"/>
      <c r="M728" s="423"/>
      <c r="N728" s="423"/>
      <c r="O728" s="423"/>
      <c r="P728" s="423"/>
      <c r="Q728" s="423"/>
      <c r="R728" s="423"/>
      <c r="S728" s="423"/>
      <c r="T728" s="423"/>
      <c r="U728" s="423"/>
      <c r="V728" s="423"/>
      <c r="W728" s="423"/>
    </row>
    <row r="729">
      <c r="A729" s="766"/>
      <c r="B729" s="717"/>
      <c r="C729" s="763"/>
      <c r="D729" s="763"/>
      <c r="E729" s="423"/>
      <c r="F729" s="764"/>
      <c r="G729" s="765"/>
      <c r="H729" s="423"/>
      <c r="I729" s="765"/>
      <c r="J729" s="728"/>
      <c r="K729" s="423"/>
      <c r="L729" s="423"/>
      <c r="M729" s="423"/>
      <c r="N729" s="423"/>
      <c r="O729" s="423"/>
      <c r="P729" s="423"/>
      <c r="Q729" s="423"/>
      <c r="R729" s="423"/>
      <c r="S729" s="423"/>
      <c r="T729" s="423"/>
      <c r="U729" s="423"/>
      <c r="V729" s="423"/>
      <c r="W729" s="423"/>
    </row>
    <row r="730">
      <c r="A730" s="766"/>
      <c r="B730" s="717"/>
      <c r="C730" s="763"/>
      <c r="D730" s="763"/>
      <c r="E730" s="423"/>
      <c r="F730" s="764"/>
      <c r="G730" s="765"/>
      <c r="H730" s="423"/>
      <c r="I730" s="765"/>
      <c r="J730" s="728"/>
      <c r="K730" s="423"/>
      <c r="L730" s="423"/>
      <c r="M730" s="423"/>
      <c r="N730" s="423"/>
      <c r="O730" s="423"/>
      <c r="P730" s="423"/>
      <c r="Q730" s="423"/>
      <c r="R730" s="423"/>
      <c r="S730" s="423"/>
      <c r="T730" s="423"/>
      <c r="U730" s="423"/>
      <c r="V730" s="423"/>
      <c r="W730" s="423"/>
    </row>
    <row r="731">
      <c r="A731" s="766"/>
      <c r="B731" s="717"/>
      <c r="C731" s="763"/>
      <c r="D731" s="763"/>
      <c r="E731" s="423"/>
      <c r="F731" s="764"/>
      <c r="G731" s="765"/>
      <c r="H731" s="423"/>
      <c r="I731" s="765"/>
      <c r="J731" s="728"/>
      <c r="K731" s="423"/>
      <c r="L731" s="423"/>
      <c r="M731" s="423"/>
      <c r="N731" s="423"/>
      <c r="O731" s="423"/>
      <c r="P731" s="423"/>
      <c r="Q731" s="423"/>
      <c r="R731" s="423"/>
      <c r="S731" s="423"/>
      <c r="T731" s="423"/>
      <c r="U731" s="423"/>
      <c r="V731" s="423"/>
      <c r="W731" s="423"/>
    </row>
    <row r="732">
      <c r="A732" s="766"/>
      <c r="B732" s="717"/>
      <c r="C732" s="763"/>
      <c r="D732" s="763"/>
      <c r="E732" s="423"/>
      <c r="F732" s="764"/>
      <c r="G732" s="765"/>
      <c r="H732" s="423"/>
      <c r="I732" s="765"/>
      <c r="J732" s="728"/>
      <c r="K732" s="423"/>
      <c r="L732" s="423"/>
      <c r="M732" s="423"/>
      <c r="N732" s="423"/>
      <c r="O732" s="423"/>
      <c r="P732" s="423"/>
      <c r="Q732" s="423"/>
      <c r="R732" s="423"/>
      <c r="S732" s="423"/>
      <c r="T732" s="423"/>
      <c r="U732" s="423"/>
      <c r="V732" s="423"/>
      <c r="W732" s="423"/>
    </row>
    <row r="733">
      <c r="A733" s="766"/>
      <c r="B733" s="717"/>
      <c r="C733" s="763"/>
      <c r="D733" s="763"/>
      <c r="E733" s="423"/>
      <c r="F733" s="764"/>
      <c r="G733" s="765"/>
      <c r="H733" s="423"/>
      <c r="I733" s="765"/>
      <c r="J733" s="728"/>
      <c r="K733" s="423"/>
      <c r="L733" s="423"/>
      <c r="M733" s="423"/>
      <c r="N733" s="423"/>
      <c r="O733" s="423"/>
      <c r="P733" s="423"/>
      <c r="Q733" s="423"/>
      <c r="R733" s="423"/>
      <c r="S733" s="423"/>
      <c r="T733" s="423"/>
      <c r="U733" s="423"/>
      <c r="V733" s="423"/>
      <c r="W733" s="423"/>
    </row>
    <row r="734">
      <c r="A734" s="766"/>
      <c r="B734" s="717"/>
      <c r="C734" s="763"/>
      <c r="D734" s="763"/>
      <c r="E734" s="423"/>
      <c r="F734" s="764"/>
      <c r="G734" s="765"/>
      <c r="H734" s="423"/>
      <c r="I734" s="765"/>
      <c r="J734" s="728"/>
      <c r="K734" s="423"/>
      <c r="L734" s="423"/>
      <c r="M734" s="423"/>
      <c r="N734" s="423"/>
      <c r="O734" s="423"/>
      <c r="P734" s="423"/>
      <c r="Q734" s="423"/>
      <c r="R734" s="423"/>
      <c r="S734" s="423"/>
      <c r="T734" s="423"/>
      <c r="U734" s="423"/>
      <c r="V734" s="423"/>
      <c r="W734" s="423"/>
    </row>
    <row r="735">
      <c r="A735" s="766"/>
      <c r="B735" s="717"/>
      <c r="C735" s="763"/>
      <c r="D735" s="763"/>
      <c r="E735" s="423"/>
      <c r="F735" s="764"/>
      <c r="G735" s="765"/>
      <c r="H735" s="423"/>
      <c r="I735" s="765"/>
      <c r="J735" s="728"/>
      <c r="K735" s="423"/>
      <c r="L735" s="423"/>
      <c r="M735" s="423"/>
      <c r="N735" s="423"/>
      <c r="O735" s="423"/>
      <c r="P735" s="423"/>
      <c r="Q735" s="423"/>
      <c r="R735" s="423"/>
      <c r="S735" s="423"/>
      <c r="T735" s="423"/>
      <c r="U735" s="423"/>
      <c r="V735" s="423"/>
      <c r="W735" s="423"/>
    </row>
    <row r="736">
      <c r="A736" s="766"/>
      <c r="B736" s="717"/>
      <c r="C736" s="763"/>
      <c r="D736" s="763"/>
      <c r="E736" s="423"/>
      <c r="F736" s="764"/>
      <c r="G736" s="765"/>
      <c r="H736" s="423"/>
      <c r="I736" s="765"/>
      <c r="J736" s="728"/>
      <c r="K736" s="423"/>
      <c r="L736" s="423"/>
      <c r="M736" s="423"/>
      <c r="N736" s="423"/>
      <c r="O736" s="423"/>
      <c r="P736" s="423"/>
      <c r="Q736" s="423"/>
      <c r="R736" s="423"/>
      <c r="S736" s="423"/>
      <c r="T736" s="423"/>
      <c r="U736" s="423"/>
      <c r="V736" s="423"/>
      <c r="W736" s="423"/>
    </row>
    <row r="737">
      <c r="A737" s="766"/>
      <c r="B737" s="717"/>
      <c r="C737" s="763"/>
      <c r="D737" s="763"/>
      <c r="E737" s="423"/>
      <c r="F737" s="764"/>
      <c r="G737" s="765"/>
      <c r="H737" s="423"/>
      <c r="I737" s="765"/>
      <c r="J737" s="728"/>
      <c r="K737" s="423"/>
      <c r="L737" s="423"/>
      <c r="M737" s="423"/>
      <c r="N737" s="423"/>
      <c r="O737" s="423"/>
      <c r="P737" s="423"/>
      <c r="Q737" s="423"/>
      <c r="R737" s="423"/>
      <c r="S737" s="423"/>
      <c r="T737" s="423"/>
      <c r="U737" s="423"/>
      <c r="V737" s="423"/>
      <c r="W737" s="423"/>
    </row>
    <row r="738">
      <c r="A738" s="766"/>
      <c r="B738" s="717"/>
      <c r="C738" s="763"/>
      <c r="D738" s="763"/>
      <c r="E738" s="423"/>
      <c r="F738" s="764"/>
      <c r="G738" s="765"/>
      <c r="H738" s="423"/>
      <c r="I738" s="765"/>
      <c r="J738" s="728"/>
      <c r="K738" s="423"/>
      <c r="L738" s="423"/>
      <c r="M738" s="423"/>
      <c r="N738" s="423"/>
      <c r="O738" s="423"/>
      <c r="P738" s="423"/>
      <c r="Q738" s="423"/>
      <c r="R738" s="423"/>
      <c r="S738" s="423"/>
      <c r="T738" s="423"/>
      <c r="U738" s="423"/>
      <c r="V738" s="423"/>
      <c r="W738" s="423"/>
    </row>
    <row r="739">
      <c r="A739" s="766"/>
      <c r="B739" s="717"/>
      <c r="C739" s="763"/>
      <c r="D739" s="763"/>
      <c r="E739" s="423"/>
      <c r="F739" s="764"/>
      <c r="G739" s="765"/>
      <c r="H739" s="423"/>
      <c r="I739" s="765"/>
      <c r="J739" s="728"/>
      <c r="K739" s="423"/>
      <c r="L739" s="423"/>
      <c r="M739" s="423"/>
      <c r="N739" s="423"/>
      <c r="O739" s="423"/>
      <c r="P739" s="423"/>
      <c r="Q739" s="423"/>
      <c r="R739" s="423"/>
      <c r="S739" s="423"/>
      <c r="T739" s="423"/>
      <c r="U739" s="423"/>
      <c r="V739" s="423"/>
      <c r="W739" s="423"/>
    </row>
    <row r="740">
      <c r="A740" s="766"/>
      <c r="B740" s="717"/>
      <c r="C740" s="763"/>
      <c r="D740" s="763"/>
      <c r="E740" s="423"/>
      <c r="F740" s="764"/>
      <c r="G740" s="765"/>
      <c r="H740" s="423"/>
      <c r="I740" s="765"/>
      <c r="J740" s="728"/>
      <c r="K740" s="423"/>
      <c r="L740" s="423"/>
      <c r="M740" s="423"/>
      <c r="N740" s="423"/>
      <c r="O740" s="423"/>
      <c r="P740" s="423"/>
      <c r="Q740" s="423"/>
      <c r="R740" s="423"/>
      <c r="S740" s="423"/>
      <c r="T740" s="423"/>
      <c r="U740" s="423"/>
      <c r="V740" s="423"/>
      <c r="W740" s="423"/>
    </row>
    <row r="741">
      <c r="A741" s="766"/>
      <c r="B741" s="717"/>
      <c r="C741" s="763"/>
      <c r="D741" s="763"/>
      <c r="E741" s="423"/>
      <c r="F741" s="764"/>
      <c r="G741" s="765"/>
      <c r="H741" s="423"/>
      <c r="I741" s="765"/>
      <c r="J741" s="728"/>
      <c r="K741" s="423"/>
      <c r="L741" s="423"/>
      <c r="M741" s="423"/>
      <c r="N741" s="423"/>
      <c r="O741" s="423"/>
      <c r="P741" s="423"/>
      <c r="Q741" s="423"/>
      <c r="R741" s="423"/>
      <c r="S741" s="423"/>
      <c r="T741" s="423"/>
      <c r="U741" s="423"/>
      <c r="V741" s="423"/>
      <c r="W741" s="423"/>
    </row>
    <row r="742">
      <c r="A742" s="766"/>
      <c r="B742" s="717"/>
      <c r="C742" s="763"/>
      <c r="D742" s="763"/>
      <c r="E742" s="423"/>
      <c r="F742" s="764"/>
      <c r="G742" s="765"/>
      <c r="H742" s="423"/>
      <c r="I742" s="765"/>
      <c r="J742" s="728"/>
      <c r="K742" s="423"/>
      <c r="L742" s="423"/>
      <c r="M742" s="423"/>
      <c r="N742" s="423"/>
      <c r="O742" s="423"/>
      <c r="P742" s="423"/>
      <c r="Q742" s="423"/>
      <c r="R742" s="423"/>
      <c r="S742" s="423"/>
      <c r="T742" s="423"/>
      <c r="U742" s="423"/>
      <c r="V742" s="423"/>
      <c r="W742" s="423"/>
    </row>
    <row r="743">
      <c r="A743" s="766"/>
      <c r="B743" s="717"/>
      <c r="C743" s="763"/>
      <c r="D743" s="763"/>
      <c r="E743" s="423"/>
      <c r="F743" s="764"/>
      <c r="G743" s="765"/>
      <c r="H743" s="423"/>
      <c r="I743" s="765"/>
      <c r="J743" s="728"/>
      <c r="K743" s="423"/>
      <c r="L743" s="423"/>
      <c r="M743" s="423"/>
      <c r="N743" s="423"/>
      <c r="O743" s="423"/>
      <c r="P743" s="423"/>
      <c r="Q743" s="423"/>
      <c r="R743" s="423"/>
      <c r="S743" s="423"/>
      <c r="T743" s="423"/>
      <c r="U743" s="423"/>
      <c r="V743" s="423"/>
      <c r="W743" s="423"/>
    </row>
    <row r="744">
      <c r="A744" s="766"/>
      <c r="B744" s="717"/>
      <c r="C744" s="763"/>
      <c r="D744" s="763"/>
      <c r="E744" s="423"/>
      <c r="F744" s="764"/>
      <c r="G744" s="765"/>
      <c r="H744" s="423"/>
      <c r="I744" s="765"/>
      <c r="J744" s="728"/>
      <c r="K744" s="423"/>
      <c r="L744" s="423"/>
      <c r="M744" s="423"/>
      <c r="N744" s="423"/>
      <c r="O744" s="423"/>
      <c r="P744" s="423"/>
      <c r="Q744" s="423"/>
      <c r="R744" s="423"/>
      <c r="S744" s="423"/>
      <c r="T744" s="423"/>
      <c r="U744" s="423"/>
      <c r="V744" s="423"/>
      <c r="W744" s="423"/>
    </row>
    <row r="745">
      <c r="A745" s="766"/>
      <c r="B745" s="717"/>
      <c r="C745" s="763"/>
      <c r="D745" s="763"/>
      <c r="E745" s="423"/>
      <c r="F745" s="764"/>
      <c r="G745" s="765"/>
      <c r="H745" s="423"/>
      <c r="I745" s="765"/>
      <c r="J745" s="728"/>
      <c r="K745" s="423"/>
      <c r="L745" s="423"/>
      <c r="M745" s="423"/>
      <c r="N745" s="423"/>
      <c r="O745" s="423"/>
      <c r="P745" s="423"/>
      <c r="Q745" s="423"/>
      <c r="R745" s="423"/>
      <c r="S745" s="423"/>
      <c r="T745" s="423"/>
      <c r="U745" s="423"/>
      <c r="V745" s="423"/>
      <c r="W745" s="423"/>
    </row>
    <row r="746">
      <c r="A746" s="766"/>
      <c r="B746" s="717"/>
      <c r="C746" s="763"/>
      <c r="D746" s="763"/>
      <c r="E746" s="423"/>
      <c r="F746" s="764"/>
      <c r="G746" s="765"/>
      <c r="H746" s="423"/>
      <c r="I746" s="765"/>
      <c r="J746" s="728"/>
      <c r="K746" s="423"/>
      <c r="L746" s="423"/>
      <c r="M746" s="423"/>
      <c r="N746" s="423"/>
      <c r="O746" s="423"/>
      <c r="P746" s="423"/>
      <c r="Q746" s="423"/>
      <c r="R746" s="423"/>
      <c r="S746" s="423"/>
      <c r="T746" s="423"/>
      <c r="U746" s="423"/>
      <c r="V746" s="423"/>
      <c r="W746" s="423"/>
    </row>
    <row r="747">
      <c r="A747" s="766"/>
      <c r="B747" s="717"/>
      <c r="C747" s="763"/>
      <c r="D747" s="763"/>
      <c r="E747" s="423"/>
      <c r="F747" s="764"/>
      <c r="G747" s="765"/>
      <c r="H747" s="423"/>
      <c r="I747" s="765"/>
      <c r="J747" s="728"/>
      <c r="K747" s="423"/>
      <c r="L747" s="423"/>
      <c r="M747" s="423"/>
      <c r="N747" s="423"/>
      <c r="O747" s="423"/>
      <c r="P747" s="423"/>
      <c r="Q747" s="423"/>
      <c r="R747" s="423"/>
      <c r="S747" s="423"/>
      <c r="T747" s="423"/>
      <c r="U747" s="423"/>
      <c r="V747" s="423"/>
      <c r="W747" s="423"/>
    </row>
    <row r="748">
      <c r="A748" s="766"/>
      <c r="B748" s="717"/>
      <c r="C748" s="763"/>
      <c r="D748" s="763"/>
      <c r="E748" s="423"/>
      <c r="F748" s="764"/>
      <c r="G748" s="765"/>
      <c r="H748" s="423"/>
      <c r="I748" s="765"/>
      <c r="J748" s="728"/>
      <c r="K748" s="423"/>
      <c r="L748" s="423"/>
      <c r="M748" s="423"/>
      <c r="N748" s="423"/>
      <c r="O748" s="423"/>
      <c r="P748" s="423"/>
      <c r="Q748" s="423"/>
      <c r="R748" s="423"/>
      <c r="S748" s="423"/>
      <c r="T748" s="423"/>
      <c r="U748" s="423"/>
      <c r="V748" s="423"/>
      <c r="W748" s="423"/>
    </row>
    <row r="749">
      <c r="A749" s="766"/>
      <c r="B749" s="717"/>
      <c r="C749" s="763"/>
      <c r="D749" s="763"/>
      <c r="E749" s="423"/>
      <c r="F749" s="764"/>
      <c r="G749" s="765"/>
      <c r="H749" s="423"/>
      <c r="I749" s="765"/>
      <c r="J749" s="728"/>
      <c r="K749" s="423"/>
      <c r="L749" s="423"/>
      <c r="M749" s="423"/>
      <c r="N749" s="423"/>
      <c r="O749" s="423"/>
      <c r="P749" s="423"/>
      <c r="Q749" s="423"/>
      <c r="R749" s="423"/>
      <c r="S749" s="423"/>
      <c r="T749" s="423"/>
      <c r="U749" s="423"/>
      <c r="V749" s="423"/>
      <c r="W749" s="423"/>
    </row>
    <row r="750">
      <c r="A750" s="766"/>
      <c r="B750" s="717"/>
      <c r="C750" s="763"/>
      <c r="D750" s="763"/>
      <c r="E750" s="423"/>
      <c r="F750" s="764"/>
      <c r="G750" s="765"/>
      <c r="H750" s="423"/>
      <c r="I750" s="765"/>
      <c r="J750" s="728"/>
      <c r="K750" s="423"/>
      <c r="L750" s="423"/>
      <c r="M750" s="423"/>
      <c r="N750" s="423"/>
      <c r="O750" s="423"/>
      <c r="P750" s="423"/>
      <c r="Q750" s="423"/>
      <c r="R750" s="423"/>
      <c r="S750" s="423"/>
      <c r="T750" s="423"/>
      <c r="U750" s="423"/>
      <c r="V750" s="423"/>
      <c r="W750" s="423"/>
    </row>
    <row r="751">
      <c r="A751" s="766"/>
      <c r="B751" s="717"/>
      <c r="C751" s="763"/>
      <c r="D751" s="763"/>
      <c r="E751" s="423"/>
      <c r="F751" s="764"/>
      <c r="G751" s="765"/>
      <c r="H751" s="423"/>
      <c r="I751" s="765"/>
      <c r="J751" s="728"/>
      <c r="K751" s="423"/>
      <c r="L751" s="423"/>
      <c r="M751" s="423"/>
      <c r="N751" s="423"/>
      <c r="O751" s="423"/>
      <c r="P751" s="423"/>
      <c r="Q751" s="423"/>
      <c r="R751" s="423"/>
      <c r="S751" s="423"/>
      <c r="T751" s="423"/>
      <c r="U751" s="423"/>
      <c r="V751" s="423"/>
      <c r="W751" s="423"/>
    </row>
    <row r="752">
      <c r="A752" s="766"/>
      <c r="B752" s="717"/>
      <c r="C752" s="763"/>
      <c r="D752" s="763"/>
      <c r="E752" s="423"/>
      <c r="F752" s="764"/>
      <c r="G752" s="765"/>
      <c r="H752" s="423"/>
      <c r="I752" s="765"/>
      <c r="J752" s="728"/>
      <c r="K752" s="423"/>
      <c r="L752" s="423"/>
      <c r="M752" s="423"/>
      <c r="N752" s="423"/>
      <c r="O752" s="423"/>
      <c r="P752" s="423"/>
      <c r="Q752" s="423"/>
      <c r="R752" s="423"/>
      <c r="S752" s="423"/>
      <c r="T752" s="423"/>
      <c r="U752" s="423"/>
      <c r="V752" s="423"/>
      <c r="W752" s="423"/>
    </row>
    <row r="753">
      <c r="A753" s="766"/>
      <c r="B753" s="717"/>
      <c r="C753" s="763"/>
      <c r="D753" s="763"/>
      <c r="E753" s="423"/>
      <c r="F753" s="764"/>
      <c r="G753" s="765"/>
      <c r="H753" s="423"/>
      <c r="I753" s="765"/>
      <c r="J753" s="728"/>
      <c r="K753" s="423"/>
      <c r="L753" s="423"/>
      <c r="M753" s="423"/>
      <c r="N753" s="423"/>
      <c r="O753" s="423"/>
      <c r="P753" s="423"/>
      <c r="Q753" s="423"/>
      <c r="R753" s="423"/>
      <c r="S753" s="423"/>
      <c r="T753" s="423"/>
      <c r="U753" s="423"/>
      <c r="V753" s="423"/>
      <c r="W753" s="423"/>
    </row>
    <row r="754">
      <c r="A754" s="766"/>
      <c r="B754" s="717"/>
      <c r="C754" s="763"/>
      <c r="D754" s="763"/>
      <c r="E754" s="423"/>
      <c r="F754" s="764"/>
      <c r="G754" s="765"/>
      <c r="H754" s="423"/>
      <c r="I754" s="765"/>
      <c r="J754" s="728"/>
      <c r="K754" s="423"/>
      <c r="L754" s="423"/>
      <c r="M754" s="423"/>
      <c r="N754" s="423"/>
      <c r="O754" s="423"/>
      <c r="P754" s="423"/>
      <c r="Q754" s="423"/>
      <c r="R754" s="423"/>
      <c r="S754" s="423"/>
      <c r="T754" s="423"/>
      <c r="U754" s="423"/>
      <c r="V754" s="423"/>
      <c r="W754" s="423"/>
    </row>
    <row r="755">
      <c r="A755" s="766"/>
      <c r="B755" s="717"/>
      <c r="C755" s="763"/>
      <c r="D755" s="763"/>
      <c r="E755" s="423"/>
      <c r="F755" s="764"/>
      <c r="G755" s="765"/>
      <c r="H755" s="423"/>
      <c r="I755" s="765"/>
      <c r="J755" s="728"/>
      <c r="K755" s="423"/>
      <c r="L755" s="423"/>
      <c r="M755" s="423"/>
      <c r="N755" s="423"/>
      <c r="O755" s="423"/>
      <c r="P755" s="423"/>
      <c r="Q755" s="423"/>
      <c r="R755" s="423"/>
      <c r="S755" s="423"/>
      <c r="T755" s="423"/>
      <c r="U755" s="423"/>
      <c r="V755" s="423"/>
      <c r="W755" s="423"/>
    </row>
    <row r="756">
      <c r="A756" s="766"/>
      <c r="B756" s="717"/>
      <c r="C756" s="763"/>
      <c r="D756" s="763"/>
      <c r="E756" s="423"/>
      <c r="F756" s="764"/>
      <c r="G756" s="765"/>
      <c r="H756" s="423"/>
      <c r="I756" s="765"/>
      <c r="J756" s="728"/>
      <c r="K756" s="423"/>
      <c r="L756" s="423"/>
      <c r="M756" s="423"/>
      <c r="N756" s="423"/>
      <c r="O756" s="423"/>
      <c r="P756" s="423"/>
      <c r="Q756" s="423"/>
      <c r="R756" s="423"/>
      <c r="S756" s="423"/>
      <c r="T756" s="423"/>
      <c r="U756" s="423"/>
      <c r="V756" s="423"/>
      <c r="W756" s="423"/>
    </row>
    <row r="757">
      <c r="A757" s="766"/>
      <c r="B757" s="717"/>
      <c r="C757" s="763"/>
      <c r="D757" s="763"/>
      <c r="E757" s="423"/>
      <c r="F757" s="764"/>
      <c r="G757" s="765"/>
      <c r="H757" s="423"/>
      <c r="I757" s="765"/>
      <c r="J757" s="728"/>
      <c r="K757" s="423"/>
      <c r="L757" s="423"/>
      <c r="M757" s="423"/>
      <c r="N757" s="423"/>
      <c r="O757" s="423"/>
      <c r="P757" s="423"/>
      <c r="Q757" s="423"/>
      <c r="R757" s="423"/>
      <c r="S757" s="423"/>
      <c r="T757" s="423"/>
      <c r="U757" s="423"/>
      <c r="V757" s="423"/>
      <c r="W757" s="423"/>
    </row>
    <row r="758">
      <c r="A758" s="766"/>
      <c r="B758" s="717"/>
      <c r="C758" s="763"/>
      <c r="D758" s="763"/>
      <c r="E758" s="423"/>
      <c r="F758" s="764"/>
      <c r="G758" s="765"/>
      <c r="H758" s="423"/>
      <c r="I758" s="765"/>
      <c r="J758" s="728"/>
      <c r="K758" s="423"/>
      <c r="L758" s="423"/>
      <c r="M758" s="423"/>
      <c r="N758" s="423"/>
      <c r="O758" s="423"/>
      <c r="P758" s="423"/>
      <c r="Q758" s="423"/>
      <c r="R758" s="423"/>
      <c r="S758" s="423"/>
      <c r="T758" s="423"/>
      <c r="U758" s="423"/>
      <c r="V758" s="423"/>
      <c r="W758" s="423"/>
    </row>
    <row r="759">
      <c r="A759" s="766"/>
      <c r="B759" s="717"/>
      <c r="C759" s="763"/>
      <c r="D759" s="763"/>
      <c r="E759" s="423"/>
      <c r="F759" s="764"/>
      <c r="G759" s="765"/>
      <c r="H759" s="423"/>
      <c r="I759" s="765"/>
      <c r="J759" s="728"/>
      <c r="K759" s="423"/>
      <c r="L759" s="423"/>
      <c r="M759" s="423"/>
      <c r="N759" s="423"/>
      <c r="O759" s="423"/>
      <c r="P759" s="423"/>
      <c r="Q759" s="423"/>
      <c r="R759" s="423"/>
      <c r="S759" s="423"/>
      <c r="T759" s="423"/>
      <c r="U759" s="423"/>
      <c r="V759" s="423"/>
      <c r="W759" s="423"/>
    </row>
    <row r="760">
      <c r="A760" s="766"/>
      <c r="B760" s="717"/>
      <c r="C760" s="763"/>
      <c r="D760" s="763"/>
      <c r="E760" s="423"/>
      <c r="F760" s="764"/>
      <c r="G760" s="765"/>
      <c r="H760" s="423"/>
      <c r="I760" s="765"/>
      <c r="J760" s="728"/>
      <c r="K760" s="423"/>
      <c r="L760" s="423"/>
      <c r="M760" s="423"/>
      <c r="N760" s="423"/>
      <c r="O760" s="423"/>
      <c r="P760" s="423"/>
      <c r="Q760" s="423"/>
      <c r="R760" s="423"/>
      <c r="S760" s="423"/>
      <c r="T760" s="423"/>
      <c r="U760" s="423"/>
      <c r="V760" s="423"/>
      <c r="W760" s="423"/>
    </row>
    <row r="761">
      <c r="A761" s="766"/>
      <c r="B761" s="717"/>
      <c r="C761" s="763"/>
      <c r="D761" s="763"/>
      <c r="E761" s="423"/>
      <c r="F761" s="764"/>
      <c r="G761" s="765"/>
      <c r="H761" s="423"/>
      <c r="I761" s="765"/>
      <c r="J761" s="728"/>
      <c r="K761" s="423"/>
      <c r="L761" s="423"/>
      <c r="M761" s="423"/>
      <c r="N761" s="423"/>
      <c r="O761" s="423"/>
      <c r="P761" s="423"/>
      <c r="Q761" s="423"/>
      <c r="R761" s="423"/>
      <c r="S761" s="423"/>
      <c r="T761" s="423"/>
      <c r="U761" s="423"/>
      <c r="V761" s="423"/>
      <c r="W761" s="423"/>
    </row>
    <row r="762">
      <c r="A762" s="766"/>
      <c r="B762" s="717"/>
      <c r="C762" s="763"/>
      <c r="D762" s="763"/>
      <c r="E762" s="423"/>
      <c r="F762" s="764"/>
      <c r="G762" s="765"/>
      <c r="H762" s="423"/>
      <c r="I762" s="765"/>
      <c r="J762" s="728"/>
      <c r="K762" s="423"/>
      <c r="L762" s="423"/>
      <c r="M762" s="423"/>
      <c r="N762" s="423"/>
      <c r="O762" s="423"/>
      <c r="P762" s="423"/>
      <c r="Q762" s="423"/>
      <c r="R762" s="423"/>
      <c r="S762" s="423"/>
      <c r="T762" s="423"/>
      <c r="U762" s="423"/>
      <c r="V762" s="423"/>
      <c r="W762" s="423"/>
    </row>
    <row r="763">
      <c r="A763" s="766"/>
      <c r="B763" s="717"/>
      <c r="C763" s="763"/>
      <c r="D763" s="763"/>
      <c r="E763" s="423"/>
      <c r="F763" s="764"/>
      <c r="G763" s="765"/>
      <c r="H763" s="423"/>
      <c r="I763" s="765"/>
      <c r="J763" s="728"/>
      <c r="K763" s="423"/>
      <c r="L763" s="423"/>
      <c r="M763" s="423"/>
      <c r="N763" s="423"/>
      <c r="O763" s="423"/>
      <c r="P763" s="423"/>
      <c r="Q763" s="423"/>
      <c r="R763" s="423"/>
      <c r="S763" s="423"/>
      <c r="T763" s="423"/>
      <c r="U763" s="423"/>
      <c r="V763" s="423"/>
      <c r="W763" s="423"/>
    </row>
    <row r="764">
      <c r="A764" s="766"/>
      <c r="B764" s="717"/>
      <c r="C764" s="763"/>
      <c r="D764" s="763"/>
      <c r="E764" s="423"/>
      <c r="F764" s="764"/>
      <c r="G764" s="765"/>
      <c r="H764" s="423"/>
      <c r="I764" s="765"/>
      <c r="J764" s="728"/>
      <c r="K764" s="423"/>
      <c r="L764" s="423"/>
      <c r="M764" s="423"/>
      <c r="N764" s="423"/>
      <c r="O764" s="423"/>
      <c r="P764" s="423"/>
      <c r="Q764" s="423"/>
      <c r="R764" s="423"/>
      <c r="S764" s="423"/>
      <c r="T764" s="423"/>
      <c r="U764" s="423"/>
      <c r="V764" s="423"/>
      <c r="W764" s="423"/>
    </row>
    <row r="765">
      <c r="A765" s="766"/>
      <c r="B765" s="717"/>
      <c r="C765" s="763"/>
      <c r="D765" s="763"/>
      <c r="E765" s="423"/>
      <c r="F765" s="764"/>
      <c r="G765" s="765"/>
      <c r="H765" s="423"/>
      <c r="I765" s="765"/>
      <c r="J765" s="728"/>
      <c r="K765" s="423"/>
      <c r="L765" s="423"/>
      <c r="M765" s="423"/>
      <c r="N765" s="423"/>
      <c r="O765" s="423"/>
      <c r="P765" s="423"/>
      <c r="Q765" s="423"/>
      <c r="R765" s="423"/>
      <c r="S765" s="423"/>
      <c r="T765" s="423"/>
      <c r="U765" s="423"/>
      <c r="V765" s="423"/>
      <c r="W765" s="423"/>
    </row>
    <row r="766">
      <c r="A766" s="766"/>
      <c r="B766" s="717"/>
      <c r="C766" s="763"/>
      <c r="D766" s="763"/>
      <c r="E766" s="423"/>
      <c r="F766" s="764"/>
      <c r="G766" s="765"/>
      <c r="H766" s="423"/>
      <c r="I766" s="765"/>
      <c r="J766" s="728"/>
      <c r="K766" s="423"/>
      <c r="L766" s="423"/>
      <c r="M766" s="423"/>
      <c r="N766" s="423"/>
      <c r="O766" s="423"/>
      <c r="P766" s="423"/>
      <c r="Q766" s="423"/>
      <c r="R766" s="423"/>
      <c r="S766" s="423"/>
      <c r="T766" s="423"/>
      <c r="U766" s="423"/>
      <c r="V766" s="423"/>
      <c r="W766" s="423"/>
    </row>
    <row r="767">
      <c r="A767" s="766"/>
      <c r="B767" s="717"/>
      <c r="C767" s="763"/>
      <c r="D767" s="763"/>
      <c r="E767" s="423"/>
      <c r="F767" s="764"/>
      <c r="G767" s="765"/>
      <c r="H767" s="423"/>
      <c r="I767" s="765"/>
      <c r="J767" s="728"/>
      <c r="K767" s="423"/>
      <c r="L767" s="423"/>
      <c r="M767" s="423"/>
      <c r="N767" s="423"/>
      <c r="O767" s="423"/>
      <c r="P767" s="423"/>
      <c r="Q767" s="423"/>
      <c r="R767" s="423"/>
      <c r="S767" s="423"/>
      <c r="T767" s="423"/>
      <c r="U767" s="423"/>
      <c r="V767" s="423"/>
      <c r="W767" s="423"/>
    </row>
    <row r="768">
      <c r="A768" s="766"/>
      <c r="B768" s="717"/>
      <c r="C768" s="763"/>
      <c r="D768" s="763"/>
      <c r="E768" s="423"/>
      <c r="F768" s="764"/>
      <c r="G768" s="765"/>
      <c r="H768" s="423"/>
      <c r="I768" s="765"/>
      <c r="J768" s="728"/>
      <c r="K768" s="423"/>
      <c r="L768" s="423"/>
      <c r="M768" s="423"/>
      <c r="N768" s="423"/>
      <c r="O768" s="423"/>
      <c r="P768" s="423"/>
      <c r="Q768" s="423"/>
      <c r="R768" s="423"/>
      <c r="S768" s="423"/>
      <c r="T768" s="423"/>
      <c r="U768" s="423"/>
      <c r="V768" s="423"/>
      <c r="W768" s="423"/>
    </row>
    <row r="769">
      <c r="A769" s="766"/>
      <c r="B769" s="717"/>
      <c r="C769" s="763"/>
      <c r="D769" s="763"/>
      <c r="E769" s="423"/>
      <c r="F769" s="764"/>
      <c r="G769" s="765"/>
      <c r="H769" s="423"/>
      <c r="I769" s="765"/>
      <c r="J769" s="728"/>
      <c r="K769" s="423"/>
      <c r="L769" s="423"/>
      <c r="M769" s="423"/>
      <c r="N769" s="423"/>
      <c r="O769" s="423"/>
      <c r="P769" s="423"/>
      <c r="Q769" s="423"/>
      <c r="R769" s="423"/>
      <c r="S769" s="423"/>
      <c r="T769" s="423"/>
      <c r="U769" s="423"/>
      <c r="V769" s="423"/>
      <c r="W769" s="423"/>
    </row>
    <row r="770">
      <c r="A770" s="766"/>
      <c r="B770" s="717"/>
      <c r="C770" s="763"/>
      <c r="D770" s="763"/>
      <c r="E770" s="423"/>
      <c r="F770" s="764"/>
      <c r="G770" s="765"/>
      <c r="H770" s="423"/>
      <c r="I770" s="765"/>
      <c r="J770" s="728"/>
      <c r="K770" s="423"/>
      <c r="L770" s="423"/>
      <c r="M770" s="423"/>
      <c r="N770" s="423"/>
      <c r="O770" s="423"/>
      <c r="P770" s="423"/>
      <c r="Q770" s="423"/>
      <c r="R770" s="423"/>
      <c r="S770" s="423"/>
      <c r="T770" s="423"/>
      <c r="U770" s="423"/>
      <c r="V770" s="423"/>
      <c r="W770" s="423"/>
    </row>
    <row r="771">
      <c r="A771" s="766"/>
      <c r="B771" s="717"/>
      <c r="C771" s="763"/>
      <c r="D771" s="763"/>
      <c r="E771" s="423"/>
      <c r="F771" s="764"/>
      <c r="G771" s="765"/>
      <c r="H771" s="423"/>
      <c r="I771" s="765"/>
      <c r="J771" s="728"/>
      <c r="K771" s="423"/>
      <c r="L771" s="423"/>
      <c r="M771" s="423"/>
      <c r="N771" s="423"/>
      <c r="O771" s="423"/>
      <c r="P771" s="423"/>
      <c r="Q771" s="423"/>
      <c r="R771" s="423"/>
      <c r="S771" s="423"/>
      <c r="T771" s="423"/>
      <c r="U771" s="423"/>
      <c r="V771" s="423"/>
      <c r="W771" s="423"/>
    </row>
    <row r="772">
      <c r="A772" s="766"/>
      <c r="B772" s="717"/>
      <c r="C772" s="763"/>
      <c r="D772" s="763"/>
      <c r="E772" s="423"/>
      <c r="F772" s="764"/>
      <c r="G772" s="765"/>
      <c r="H772" s="423"/>
      <c r="I772" s="765"/>
      <c r="J772" s="728"/>
      <c r="K772" s="423"/>
      <c r="L772" s="423"/>
      <c r="M772" s="423"/>
      <c r="N772" s="423"/>
      <c r="O772" s="423"/>
      <c r="P772" s="423"/>
      <c r="Q772" s="423"/>
      <c r="R772" s="423"/>
      <c r="S772" s="423"/>
      <c r="T772" s="423"/>
      <c r="U772" s="423"/>
      <c r="V772" s="423"/>
      <c r="W772" s="423"/>
    </row>
    <row r="773">
      <c r="A773" s="766"/>
      <c r="B773" s="717"/>
      <c r="C773" s="763"/>
      <c r="D773" s="763"/>
      <c r="E773" s="423"/>
      <c r="F773" s="764"/>
      <c r="G773" s="765"/>
      <c r="H773" s="423"/>
      <c r="I773" s="765"/>
      <c r="J773" s="728"/>
      <c r="K773" s="423"/>
      <c r="L773" s="423"/>
      <c r="M773" s="423"/>
      <c r="N773" s="423"/>
      <c r="O773" s="423"/>
      <c r="P773" s="423"/>
      <c r="Q773" s="423"/>
      <c r="R773" s="423"/>
      <c r="S773" s="423"/>
      <c r="T773" s="423"/>
      <c r="U773" s="423"/>
      <c r="V773" s="423"/>
      <c r="W773" s="423"/>
    </row>
    <row r="774">
      <c r="A774" s="766"/>
      <c r="B774" s="717"/>
      <c r="C774" s="763"/>
      <c r="D774" s="763"/>
      <c r="E774" s="423"/>
      <c r="F774" s="764"/>
      <c r="G774" s="765"/>
      <c r="H774" s="423"/>
      <c r="I774" s="765"/>
      <c r="J774" s="728"/>
      <c r="K774" s="423"/>
      <c r="L774" s="423"/>
      <c r="M774" s="423"/>
      <c r="N774" s="423"/>
      <c r="O774" s="423"/>
      <c r="P774" s="423"/>
      <c r="Q774" s="423"/>
      <c r="R774" s="423"/>
      <c r="S774" s="423"/>
      <c r="T774" s="423"/>
      <c r="U774" s="423"/>
      <c r="V774" s="423"/>
      <c r="W774" s="423"/>
    </row>
    <row r="775">
      <c r="A775" s="766"/>
      <c r="B775" s="717"/>
      <c r="C775" s="763"/>
      <c r="D775" s="763"/>
      <c r="E775" s="423"/>
      <c r="F775" s="764"/>
      <c r="G775" s="765"/>
      <c r="H775" s="423"/>
      <c r="I775" s="765"/>
      <c r="J775" s="728"/>
      <c r="K775" s="423"/>
      <c r="L775" s="423"/>
      <c r="M775" s="423"/>
      <c r="N775" s="423"/>
      <c r="O775" s="423"/>
      <c r="P775" s="423"/>
      <c r="Q775" s="423"/>
      <c r="R775" s="423"/>
      <c r="S775" s="423"/>
      <c r="T775" s="423"/>
      <c r="U775" s="423"/>
      <c r="V775" s="423"/>
      <c r="W775" s="423"/>
    </row>
    <row r="776">
      <c r="A776" s="766"/>
      <c r="B776" s="717"/>
      <c r="C776" s="763"/>
      <c r="D776" s="763"/>
      <c r="E776" s="423"/>
      <c r="F776" s="764"/>
      <c r="G776" s="765"/>
      <c r="H776" s="423"/>
      <c r="I776" s="765"/>
      <c r="J776" s="728"/>
      <c r="K776" s="423"/>
      <c r="L776" s="423"/>
      <c r="M776" s="423"/>
      <c r="N776" s="423"/>
      <c r="O776" s="423"/>
      <c r="P776" s="423"/>
      <c r="Q776" s="423"/>
      <c r="R776" s="423"/>
      <c r="S776" s="423"/>
      <c r="T776" s="423"/>
      <c r="U776" s="423"/>
      <c r="V776" s="423"/>
      <c r="W776" s="423"/>
    </row>
    <row r="777">
      <c r="A777" s="766"/>
      <c r="B777" s="717"/>
      <c r="C777" s="763"/>
      <c r="D777" s="763"/>
      <c r="E777" s="423"/>
      <c r="F777" s="764"/>
      <c r="G777" s="765"/>
      <c r="H777" s="423"/>
      <c r="I777" s="765"/>
      <c r="J777" s="728"/>
      <c r="K777" s="423"/>
      <c r="L777" s="423"/>
      <c r="M777" s="423"/>
      <c r="N777" s="423"/>
      <c r="O777" s="423"/>
      <c r="P777" s="423"/>
      <c r="Q777" s="423"/>
      <c r="R777" s="423"/>
      <c r="S777" s="423"/>
      <c r="T777" s="423"/>
      <c r="U777" s="423"/>
      <c r="V777" s="423"/>
      <c r="W777" s="423"/>
    </row>
    <row r="778">
      <c r="A778" s="766"/>
      <c r="B778" s="717"/>
      <c r="C778" s="763"/>
      <c r="D778" s="763"/>
      <c r="E778" s="423"/>
      <c r="F778" s="764"/>
      <c r="G778" s="765"/>
      <c r="H778" s="423"/>
      <c r="I778" s="765"/>
      <c r="J778" s="728"/>
      <c r="K778" s="423"/>
      <c r="L778" s="423"/>
      <c r="M778" s="423"/>
      <c r="N778" s="423"/>
      <c r="O778" s="423"/>
      <c r="P778" s="423"/>
      <c r="Q778" s="423"/>
      <c r="R778" s="423"/>
      <c r="S778" s="423"/>
      <c r="T778" s="423"/>
      <c r="U778" s="423"/>
      <c r="V778" s="423"/>
      <c r="W778" s="423"/>
    </row>
    <row r="779">
      <c r="A779" s="766"/>
      <c r="B779" s="717"/>
      <c r="C779" s="763"/>
      <c r="D779" s="763"/>
      <c r="E779" s="423"/>
      <c r="F779" s="764"/>
      <c r="G779" s="765"/>
      <c r="H779" s="423"/>
      <c r="I779" s="765"/>
      <c r="J779" s="728"/>
      <c r="K779" s="423"/>
      <c r="L779" s="423"/>
      <c r="M779" s="423"/>
      <c r="N779" s="423"/>
      <c r="O779" s="423"/>
      <c r="P779" s="423"/>
      <c r="Q779" s="423"/>
      <c r="R779" s="423"/>
      <c r="S779" s="423"/>
      <c r="T779" s="423"/>
      <c r="U779" s="423"/>
      <c r="V779" s="423"/>
      <c r="W779" s="423"/>
    </row>
    <row r="780">
      <c r="A780" s="766"/>
      <c r="B780" s="717"/>
      <c r="C780" s="763"/>
      <c r="D780" s="763"/>
      <c r="E780" s="423"/>
      <c r="F780" s="764"/>
      <c r="G780" s="765"/>
      <c r="H780" s="423"/>
      <c r="I780" s="765"/>
      <c r="J780" s="728"/>
      <c r="K780" s="423"/>
      <c r="L780" s="423"/>
      <c r="M780" s="423"/>
      <c r="N780" s="423"/>
      <c r="O780" s="423"/>
      <c r="P780" s="423"/>
      <c r="Q780" s="423"/>
      <c r="R780" s="423"/>
      <c r="S780" s="423"/>
      <c r="T780" s="423"/>
      <c r="U780" s="423"/>
      <c r="V780" s="423"/>
      <c r="W780" s="423"/>
    </row>
    <row r="781">
      <c r="A781" s="766"/>
      <c r="B781" s="717"/>
      <c r="C781" s="763"/>
      <c r="D781" s="763"/>
      <c r="E781" s="423"/>
      <c r="F781" s="764"/>
      <c r="G781" s="765"/>
      <c r="H781" s="423"/>
      <c r="I781" s="765"/>
      <c r="J781" s="728"/>
      <c r="K781" s="423"/>
      <c r="L781" s="423"/>
      <c r="M781" s="423"/>
      <c r="N781" s="423"/>
      <c r="O781" s="423"/>
      <c r="P781" s="423"/>
      <c r="Q781" s="423"/>
      <c r="R781" s="423"/>
      <c r="S781" s="423"/>
      <c r="T781" s="423"/>
      <c r="U781" s="423"/>
      <c r="V781" s="423"/>
      <c r="W781" s="423"/>
    </row>
    <row r="782">
      <c r="A782" s="766"/>
      <c r="B782" s="717"/>
      <c r="C782" s="763"/>
      <c r="D782" s="763"/>
      <c r="E782" s="423"/>
      <c r="F782" s="764"/>
      <c r="G782" s="765"/>
      <c r="H782" s="423"/>
      <c r="I782" s="765"/>
      <c r="J782" s="728"/>
      <c r="K782" s="423"/>
      <c r="L782" s="423"/>
      <c r="M782" s="423"/>
      <c r="N782" s="423"/>
      <c r="O782" s="423"/>
      <c r="P782" s="423"/>
      <c r="Q782" s="423"/>
      <c r="R782" s="423"/>
      <c r="S782" s="423"/>
      <c r="T782" s="423"/>
      <c r="U782" s="423"/>
      <c r="V782" s="423"/>
      <c r="W782" s="423"/>
    </row>
    <row r="783">
      <c r="A783" s="766"/>
      <c r="B783" s="717"/>
      <c r="C783" s="763"/>
      <c r="D783" s="763"/>
      <c r="E783" s="423"/>
      <c r="F783" s="764"/>
      <c r="G783" s="765"/>
      <c r="H783" s="423"/>
      <c r="I783" s="765"/>
      <c r="J783" s="728"/>
      <c r="K783" s="423"/>
      <c r="L783" s="423"/>
      <c r="M783" s="423"/>
      <c r="N783" s="423"/>
      <c r="O783" s="423"/>
      <c r="P783" s="423"/>
      <c r="Q783" s="423"/>
      <c r="R783" s="423"/>
      <c r="S783" s="423"/>
      <c r="T783" s="423"/>
      <c r="U783" s="423"/>
      <c r="V783" s="423"/>
      <c r="W783" s="423"/>
    </row>
    <row r="784">
      <c r="A784" s="766"/>
      <c r="B784" s="717"/>
      <c r="C784" s="763"/>
      <c r="D784" s="763"/>
      <c r="E784" s="423"/>
      <c r="F784" s="764"/>
      <c r="G784" s="765"/>
      <c r="H784" s="423"/>
      <c r="I784" s="765"/>
      <c r="J784" s="728"/>
      <c r="K784" s="423"/>
      <c r="L784" s="423"/>
      <c r="M784" s="423"/>
      <c r="N784" s="423"/>
      <c r="O784" s="423"/>
      <c r="P784" s="423"/>
      <c r="Q784" s="423"/>
      <c r="R784" s="423"/>
      <c r="S784" s="423"/>
      <c r="T784" s="423"/>
      <c r="U784" s="423"/>
      <c r="V784" s="423"/>
      <c r="W784" s="423"/>
    </row>
    <row r="785">
      <c r="A785" s="766"/>
      <c r="B785" s="717"/>
      <c r="C785" s="763"/>
      <c r="D785" s="763"/>
      <c r="E785" s="423"/>
      <c r="F785" s="764"/>
      <c r="G785" s="765"/>
      <c r="H785" s="423"/>
      <c r="I785" s="765"/>
      <c r="J785" s="728"/>
      <c r="K785" s="423"/>
      <c r="L785" s="423"/>
      <c r="M785" s="423"/>
      <c r="N785" s="423"/>
      <c r="O785" s="423"/>
      <c r="P785" s="423"/>
      <c r="Q785" s="423"/>
      <c r="R785" s="423"/>
      <c r="S785" s="423"/>
      <c r="T785" s="423"/>
      <c r="U785" s="423"/>
      <c r="V785" s="423"/>
      <c r="W785" s="423"/>
    </row>
    <row r="786">
      <c r="A786" s="766"/>
      <c r="B786" s="717"/>
      <c r="C786" s="763"/>
      <c r="D786" s="763"/>
      <c r="E786" s="423"/>
      <c r="F786" s="764"/>
      <c r="G786" s="765"/>
      <c r="H786" s="423"/>
      <c r="I786" s="765"/>
      <c r="J786" s="728"/>
      <c r="K786" s="423"/>
      <c r="L786" s="423"/>
      <c r="M786" s="423"/>
      <c r="N786" s="423"/>
      <c r="O786" s="423"/>
      <c r="P786" s="423"/>
      <c r="Q786" s="423"/>
      <c r="R786" s="423"/>
      <c r="S786" s="423"/>
      <c r="T786" s="423"/>
      <c r="U786" s="423"/>
      <c r="V786" s="423"/>
      <c r="W786" s="423"/>
    </row>
    <row r="787">
      <c r="A787" s="766"/>
      <c r="B787" s="717"/>
      <c r="C787" s="763"/>
      <c r="D787" s="763"/>
      <c r="E787" s="423"/>
      <c r="F787" s="764"/>
      <c r="G787" s="765"/>
      <c r="H787" s="423"/>
      <c r="I787" s="765"/>
      <c r="J787" s="728"/>
      <c r="K787" s="423"/>
      <c r="L787" s="423"/>
      <c r="M787" s="423"/>
      <c r="N787" s="423"/>
      <c r="O787" s="423"/>
      <c r="P787" s="423"/>
      <c r="Q787" s="423"/>
      <c r="R787" s="423"/>
      <c r="S787" s="423"/>
      <c r="T787" s="423"/>
      <c r="U787" s="423"/>
      <c r="V787" s="423"/>
      <c r="W787" s="423"/>
    </row>
    <row r="788">
      <c r="A788" s="766"/>
      <c r="B788" s="717"/>
      <c r="C788" s="763"/>
      <c r="D788" s="763"/>
      <c r="E788" s="423"/>
      <c r="F788" s="764"/>
      <c r="G788" s="765"/>
      <c r="H788" s="423"/>
      <c r="I788" s="765"/>
      <c r="J788" s="728"/>
      <c r="K788" s="423"/>
      <c r="L788" s="423"/>
      <c r="M788" s="423"/>
      <c r="N788" s="423"/>
      <c r="O788" s="423"/>
      <c r="P788" s="423"/>
      <c r="Q788" s="423"/>
      <c r="R788" s="423"/>
      <c r="S788" s="423"/>
      <c r="T788" s="423"/>
      <c r="U788" s="423"/>
      <c r="V788" s="423"/>
      <c r="W788" s="423"/>
    </row>
    <row r="789">
      <c r="A789" s="766"/>
      <c r="B789" s="717"/>
      <c r="C789" s="763"/>
      <c r="D789" s="763"/>
      <c r="E789" s="423"/>
      <c r="F789" s="764"/>
      <c r="G789" s="765"/>
      <c r="H789" s="423"/>
      <c r="I789" s="765"/>
      <c r="J789" s="728"/>
      <c r="K789" s="423"/>
      <c r="L789" s="423"/>
      <c r="M789" s="423"/>
      <c r="N789" s="423"/>
      <c r="O789" s="423"/>
      <c r="P789" s="423"/>
      <c r="Q789" s="423"/>
      <c r="R789" s="423"/>
      <c r="S789" s="423"/>
      <c r="T789" s="423"/>
      <c r="U789" s="423"/>
      <c r="V789" s="423"/>
      <c r="W789" s="423"/>
    </row>
    <row r="790">
      <c r="A790" s="766"/>
      <c r="B790" s="717"/>
      <c r="C790" s="763"/>
      <c r="D790" s="763"/>
      <c r="E790" s="423"/>
      <c r="F790" s="764"/>
      <c r="G790" s="765"/>
      <c r="H790" s="423"/>
      <c r="I790" s="765"/>
      <c r="J790" s="728"/>
      <c r="K790" s="423"/>
      <c r="L790" s="423"/>
      <c r="M790" s="423"/>
      <c r="N790" s="423"/>
      <c r="O790" s="423"/>
      <c r="P790" s="423"/>
      <c r="Q790" s="423"/>
      <c r="R790" s="423"/>
      <c r="S790" s="423"/>
      <c r="T790" s="423"/>
      <c r="U790" s="423"/>
      <c r="V790" s="423"/>
      <c r="W790" s="423"/>
    </row>
    <row r="791">
      <c r="A791" s="766"/>
      <c r="B791" s="717"/>
      <c r="C791" s="763"/>
      <c r="D791" s="763"/>
      <c r="E791" s="423"/>
      <c r="F791" s="764"/>
      <c r="G791" s="765"/>
      <c r="H791" s="423"/>
      <c r="I791" s="765"/>
      <c r="J791" s="728"/>
      <c r="K791" s="423"/>
      <c r="L791" s="423"/>
      <c r="M791" s="423"/>
      <c r="N791" s="423"/>
      <c r="O791" s="423"/>
      <c r="P791" s="423"/>
      <c r="Q791" s="423"/>
      <c r="R791" s="423"/>
      <c r="S791" s="423"/>
      <c r="T791" s="423"/>
      <c r="U791" s="423"/>
      <c r="V791" s="423"/>
      <c r="W791" s="423"/>
    </row>
    <row r="792">
      <c r="A792" s="766"/>
      <c r="B792" s="717"/>
      <c r="C792" s="763"/>
      <c r="D792" s="763"/>
      <c r="E792" s="423"/>
      <c r="F792" s="764"/>
      <c r="G792" s="765"/>
      <c r="H792" s="423"/>
      <c r="I792" s="765"/>
      <c r="J792" s="728"/>
      <c r="K792" s="423"/>
      <c r="L792" s="423"/>
      <c r="M792" s="423"/>
      <c r="N792" s="423"/>
      <c r="O792" s="423"/>
      <c r="P792" s="423"/>
      <c r="Q792" s="423"/>
      <c r="R792" s="423"/>
      <c r="S792" s="423"/>
      <c r="T792" s="423"/>
      <c r="U792" s="423"/>
      <c r="V792" s="423"/>
      <c r="W792" s="423"/>
    </row>
    <row r="793">
      <c r="A793" s="766"/>
      <c r="B793" s="717"/>
      <c r="C793" s="763"/>
      <c r="D793" s="763"/>
      <c r="E793" s="423"/>
      <c r="F793" s="764"/>
      <c r="G793" s="765"/>
      <c r="H793" s="423"/>
      <c r="I793" s="765"/>
      <c r="J793" s="728"/>
      <c r="K793" s="423"/>
      <c r="L793" s="423"/>
      <c r="M793" s="423"/>
      <c r="N793" s="423"/>
      <c r="O793" s="423"/>
      <c r="P793" s="423"/>
      <c r="Q793" s="423"/>
      <c r="R793" s="423"/>
      <c r="S793" s="423"/>
      <c r="T793" s="423"/>
      <c r="U793" s="423"/>
      <c r="V793" s="423"/>
      <c r="W793" s="423"/>
    </row>
    <row r="794">
      <c r="A794" s="766"/>
      <c r="B794" s="717"/>
      <c r="C794" s="763"/>
      <c r="D794" s="763"/>
      <c r="E794" s="423"/>
      <c r="F794" s="764"/>
      <c r="G794" s="765"/>
      <c r="H794" s="423"/>
      <c r="I794" s="765"/>
      <c r="J794" s="728"/>
      <c r="K794" s="423"/>
      <c r="L794" s="423"/>
      <c r="M794" s="423"/>
      <c r="N794" s="423"/>
      <c r="O794" s="423"/>
      <c r="P794" s="423"/>
      <c r="Q794" s="423"/>
      <c r="R794" s="423"/>
      <c r="S794" s="423"/>
      <c r="T794" s="423"/>
      <c r="U794" s="423"/>
      <c r="V794" s="423"/>
      <c r="W794" s="423"/>
    </row>
    <row r="795">
      <c r="A795" s="766"/>
      <c r="B795" s="717"/>
      <c r="C795" s="763"/>
      <c r="D795" s="763"/>
      <c r="E795" s="423"/>
      <c r="F795" s="764"/>
      <c r="G795" s="765"/>
      <c r="H795" s="423"/>
      <c r="I795" s="765"/>
      <c r="J795" s="728"/>
      <c r="K795" s="423"/>
      <c r="L795" s="423"/>
      <c r="M795" s="423"/>
      <c r="N795" s="423"/>
      <c r="O795" s="423"/>
      <c r="P795" s="423"/>
      <c r="Q795" s="423"/>
      <c r="R795" s="423"/>
      <c r="S795" s="423"/>
      <c r="T795" s="423"/>
      <c r="U795" s="423"/>
      <c r="V795" s="423"/>
      <c r="W795" s="423"/>
    </row>
    <row r="796">
      <c r="A796" s="766"/>
      <c r="B796" s="717"/>
      <c r="C796" s="763"/>
      <c r="D796" s="763"/>
      <c r="E796" s="423"/>
      <c r="F796" s="764"/>
      <c r="G796" s="765"/>
      <c r="H796" s="423"/>
      <c r="I796" s="765"/>
      <c r="J796" s="728"/>
      <c r="K796" s="423"/>
      <c r="L796" s="423"/>
      <c r="M796" s="423"/>
      <c r="N796" s="423"/>
      <c r="O796" s="423"/>
      <c r="P796" s="423"/>
      <c r="Q796" s="423"/>
      <c r="R796" s="423"/>
      <c r="S796" s="423"/>
      <c r="T796" s="423"/>
      <c r="U796" s="423"/>
      <c r="V796" s="423"/>
      <c r="W796" s="423"/>
    </row>
    <row r="797">
      <c r="A797" s="766"/>
      <c r="B797" s="717"/>
      <c r="C797" s="763"/>
      <c r="D797" s="763"/>
      <c r="E797" s="423"/>
      <c r="F797" s="764"/>
      <c r="G797" s="765"/>
      <c r="H797" s="423"/>
      <c r="I797" s="765"/>
      <c r="J797" s="728"/>
      <c r="K797" s="423"/>
      <c r="L797" s="423"/>
      <c r="M797" s="423"/>
      <c r="N797" s="423"/>
      <c r="O797" s="423"/>
      <c r="P797" s="423"/>
      <c r="Q797" s="423"/>
      <c r="R797" s="423"/>
      <c r="S797" s="423"/>
      <c r="T797" s="423"/>
      <c r="U797" s="423"/>
      <c r="V797" s="423"/>
      <c r="W797" s="423"/>
    </row>
    <row r="798">
      <c r="A798" s="766"/>
      <c r="B798" s="717"/>
      <c r="C798" s="763"/>
      <c r="D798" s="763"/>
      <c r="E798" s="423"/>
      <c r="F798" s="764"/>
      <c r="G798" s="765"/>
      <c r="H798" s="423"/>
      <c r="I798" s="765"/>
      <c r="J798" s="728"/>
      <c r="K798" s="423"/>
      <c r="L798" s="423"/>
      <c r="M798" s="423"/>
      <c r="N798" s="423"/>
      <c r="O798" s="423"/>
      <c r="P798" s="423"/>
      <c r="Q798" s="423"/>
      <c r="R798" s="423"/>
      <c r="S798" s="423"/>
      <c r="T798" s="423"/>
      <c r="U798" s="423"/>
      <c r="V798" s="423"/>
      <c r="W798" s="423"/>
    </row>
    <row r="799">
      <c r="A799" s="766"/>
      <c r="B799" s="717"/>
      <c r="C799" s="763"/>
      <c r="D799" s="763"/>
      <c r="E799" s="423"/>
      <c r="F799" s="764"/>
      <c r="G799" s="765"/>
      <c r="H799" s="423"/>
      <c r="I799" s="765"/>
      <c r="J799" s="728"/>
      <c r="K799" s="423"/>
      <c r="L799" s="423"/>
      <c r="M799" s="423"/>
      <c r="N799" s="423"/>
      <c r="O799" s="423"/>
      <c r="P799" s="423"/>
      <c r="Q799" s="423"/>
      <c r="R799" s="423"/>
      <c r="S799" s="423"/>
      <c r="T799" s="423"/>
      <c r="U799" s="423"/>
      <c r="V799" s="423"/>
      <c r="W799" s="423"/>
    </row>
    <row r="800">
      <c r="A800" s="766"/>
      <c r="B800" s="717"/>
      <c r="C800" s="763"/>
      <c r="D800" s="763"/>
      <c r="E800" s="423"/>
      <c r="F800" s="764"/>
      <c r="G800" s="765"/>
      <c r="H800" s="423"/>
      <c r="I800" s="765"/>
      <c r="J800" s="728"/>
      <c r="K800" s="423"/>
      <c r="L800" s="423"/>
      <c r="M800" s="423"/>
      <c r="N800" s="423"/>
      <c r="O800" s="423"/>
      <c r="P800" s="423"/>
      <c r="Q800" s="423"/>
      <c r="R800" s="423"/>
      <c r="S800" s="423"/>
      <c r="T800" s="423"/>
      <c r="U800" s="423"/>
      <c r="V800" s="423"/>
      <c r="W800" s="423"/>
    </row>
    <row r="801">
      <c r="A801" s="766"/>
      <c r="B801" s="717"/>
      <c r="C801" s="763"/>
      <c r="D801" s="763"/>
      <c r="E801" s="423"/>
      <c r="F801" s="764"/>
      <c r="G801" s="765"/>
      <c r="H801" s="423"/>
      <c r="I801" s="765"/>
      <c r="J801" s="728"/>
      <c r="K801" s="423"/>
      <c r="L801" s="423"/>
      <c r="M801" s="423"/>
      <c r="N801" s="423"/>
      <c r="O801" s="423"/>
      <c r="P801" s="423"/>
      <c r="Q801" s="423"/>
      <c r="R801" s="423"/>
      <c r="S801" s="423"/>
      <c r="T801" s="423"/>
      <c r="U801" s="423"/>
      <c r="V801" s="423"/>
      <c r="W801" s="423"/>
    </row>
    <row r="802">
      <c r="A802" s="766"/>
      <c r="B802" s="717"/>
      <c r="C802" s="763"/>
      <c r="D802" s="763"/>
      <c r="E802" s="423"/>
      <c r="F802" s="764"/>
      <c r="G802" s="765"/>
      <c r="H802" s="423"/>
      <c r="I802" s="765"/>
      <c r="J802" s="728"/>
      <c r="K802" s="423"/>
      <c r="L802" s="423"/>
      <c r="M802" s="423"/>
      <c r="N802" s="423"/>
      <c r="O802" s="423"/>
      <c r="P802" s="423"/>
      <c r="Q802" s="423"/>
      <c r="R802" s="423"/>
      <c r="S802" s="423"/>
      <c r="T802" s="423"/>
      <c r="U802" s="423"/>
      <c r="V802" s="423"/>
      <c r="W802" s="423"/>
    </row>
    <row r="803">
      <c r="A803" s="766"/>
      <c r="B803" s="717"/>
      <c r="C803" s="763"/>
      <c r="D803" s="763"/>
      <c r="E803" s="423"/>
      <c r="F803" s="764"/>
      <c r="G803" s="765"/>
      <c r="H803" s="423"/>
      <c r="I803" s="765"/>
      <c r="J803" s="728"/>
      <c r="K803" s="423"/>
      <c r="L803" s="423"/>
      <c r="M803" s="423"/>
      <c r="N803" s="423"/>
      <c r="O803" s="423"/>
      <c r="P803" s="423"/>
      <c r="Q803" s="423"/>
      <c r="R803" s="423"/>
      <c r="S803" s="423"/>
      <c r="T803" s="423"/>
      <c r="U803" s="423"/>
      <c r="V803" s="423"/>
      <c r="W803" s="423"/>
    </row>
    <row r="804">
      <c r="A804" s="766"/>
      <c r="B804" s="717"/>
      <c r="C804" s="763"/>
      <c r="D804" s="763"/>
      <c r="E804" s="423"/>
      <c r="F804" s="764"/>
      <c r="G804" s="765"/>
      <c r="H804" s="423"/>
      <c r="I804" s="765"/>
      <c r="J804" s="728"/>
      <c r="K804" s="423"/>
      <c r="L804" s="423"/>
      <c r="M804" s="423"/>
      <c r="N804" s="423"/>
      <c r="O804" s="423"/>
      <c r="P804" s="423"/>
      <c r="Q804" s="423"/>
      <c r="R804" s="423"/>
      <c r="S804" s="423"/>
      <c r="T804" s="423"/>
      <c r="U804" s="423"/>
      <c r="V804" s="423"/>
      <c r="W804" s="423"/>
    </row>
    <row r="805">
      <c r="A805" s="766"/>
      <c r="B805" s="717"/>
      <c r="C805" s="763"/>
      <c r="D805" s="763"/>
      <c r="E805" s="423"/>
      <c r="F805" s="764"/>
      <c r="G805" s="765"/>
      <c r="H805" s="423"/>
      <c r="I805" s="765"/>
      <c r="J805" s="728"/>
      <c r="K805" s="423"/>
      <c r="L805" s="423"/>
      <c r="M805" s="423"/>
      <c r="N805" s="423"/>
      <c r="O805" s="423"/>
      <c r="P805" s="423"/>
      <c r="Q805" s="423"/>
      <c r="R805" s="423"/>
      <c r="S805" s="423"/>
      <c r="T805" s="423"/>
      <c r="U805" s="423"/>
      <c r="V805" s="423"/>
      <c r="W805" s="423"/>
    </row>
    <row r="806">
      <c r="A806" s="766"/>
      <c r="B806" s="717"/>
      <c r="C806" s="763"/>
      <c r="D806" s="763"/>
      <c r="E806" s="423"/>
      <c r="F806" s="764"/>
      <c r="G806" s="765"/>
      <c r="H806" s="423"/>
      <c r="I806" s="765"/>
      <c r="J806" s="728"/>
      <c r="K806" s="423"/>
      <c r="L806" s="423"/>
      <c r="M806" s="423"/>
      <c r="N806" s="423"/>
      <c r="O806" s="423"/>
      <c r="P806" s="423"/>
      <c r="Q806" s="423"/>
      <c r="R806" s="423"/>
      <c r="S806" s="423"/>
      <c r="T806" s="423"/>
      <c r="U806" s="423"/>
      <c r="V806" s="423"/>
      <c r="W806" s="423"/>
    </row>
    <row r="807">
      <c r="A807" s="766"/>
      <c r="B807" s="717"/>
      <c r="C807" s="763"/>
      <c r="D807" s="763"/>
      <c r="E807" s="423"/>
      <c r="F807" s="764"/>
      <c r="G807" s="765"/>
      <c r="H807" s="423"/>
      <c r="I807" s="765"/>
      <c r="J807" s="728"/>
      <c r="K807" s="423"/>
      <c r="L807" s="423"/>
      <c r="M807" s="423"/>
      <c r="N807" s="423"/>
      <c r="O807" s="423"/>
      <c r="P807" s="423"/>
      <c r="Q807" s="423"/>
      <c r="R807" s="423"/>
      <c r="S807" s="423"/>
      <c r="T807" s="423"/>
      <c r="U807" s="423"/>
      <c r="V807" s="423"/>
      <c r="W807" s="423"/>
    </row>
    <row r="808">
      <c r="A808" s="766"/>
      <c r="B808" s="717"/>
      <c r="C808" s="763"/>
      <c r="D808" s="763"/>
      <c r="E808" s="423"/>
      <c r="F808" s="764"/>
      <c r="G808" s="765"/>
      <c r="H808" s="423"/>
      <c r="I808" s="765"/>
      <c r="J808" s="728"/>
      <c r="K808" s="423"/>
      <c r="L808" s="423"/>
      <c r="M808" s="423"/>
      <c r="N808" s="423"/>
      <c r="O808" s="423"/>
      <c r="P808" s="423"/>
      <c r="Q808" s="423"/>
      <c r="R808" s="423"/>
      <c r="S808" s="423"/>
      <c r="T808" s="423"/>
      <c r="U808" s="423"/>
      <c r="V808" s="423"/>
      <c r="W808" s="423"/>
    </row>
    <row r="809">
      <c r="A809" s="766"/>
      <c r="B809" s="717"/>
      <c r="C809" s="763"/>
      <c r="D809" s="763"/>
      <c r="E809" s="423"/>
      <c r="F809" s="764"/>
      <c r="G809" s="765"/>
      <c r="H809" s="423"/>
      <c r="I809" s="765"/>
      <c r="J809" s="728"/>
      <c r="K809" s="423"/>
      <c r="L809" s="423"/>
      <c r="M809" s="423"/>
      <c r="N809" s="423"/>
      <c r="O809" s="423"/>
      <c r="P809" s="423"/>
      <c r="Q809" s="423"/>
      <c r="R809" s="423"/>
      <c r="S809" s="423"/>
      <c r="T809" s="423"/>
      <c r="U809" s="423"/>
      <c r="V809" s="423"/>
      <c r="W809" s="423"/>
    </row>
    <row r="810">
      <c r="A810" s="766"/>
      <c r="B810" s="717"/>
      <c r="C810" s="763"/>
      <c r="D810" s="763"/>
      <c r="E810" s="423"/>
      <c r="F810" s="764"/>
      <c r="G810" s="765"/>
      <c r="H810" s="423"/>
      <c r="I810" s="765"/>
      <c r="J810" s="728"/>
      <c r="K810" s="423"/>
      <c r="L810" s="423"/>
      <c r="M810" s="423"/>
      <c r="N810" s="423"/>
      <c r="O810" s="423"/>
      <c r="P810" s="423"/>
      <c r="Q810" s="423"/>
      <c r="R810" s="423"/>
      <c r="S810" s="423"/>
      <c r="T810" s="423"/>
      <c r="U810" s="423"/>
      <c r="V810" s="423"/>
      <c r="W810" s="423"/>
    </row>
    <row r="811">
      <c r="A811" s="766"/>
      <c r="B811" s="717"/>
      <c r="C811" s="763"/>
      <c r="D811" s="763"/>
      <c r="E811" s="423"/>
      <c r="F811" s="764"/>
      <c r="G811" s="765"/>
      <c r="H811" s="423"/>
      <c r="I811" s="765"/>
      <c r="J811" s="728"/>
      <c r="K811" s="423"/>
      <c r="L811" s="423"/>
      <c r="M811" s="423"/>
      <c r="N811" s="423"/>
      <c r="O811" s="423"/>
      <c r="P811" s="423"/>
      <c r="Q811" s="423"/>
      <c r="R811" s="423"/>
      <c r="S811" s="423"/>
      <c r="T811" s="423"/>
      <c r="U811" s="423"/>
      <c r="V811" s="423"/>
      <c r="W811" s="423"/>
    </row>
    <row r="812">
      <c r="A812" s="766"/>
      <c r="B812" s="717"/>
      <c r="C812" s="763"/>
      <c r="D812" s="763"/>
      <c r="E812" s="423"/>
      <c r="F812" s="764"/>
      <c r="G812" s="765"/>
      <c r="H812" s="423"/>
      <c r="I812" s="765"/>
      <c r="J812" s="728"/>
      <c r="K812" s="423"/>
      <c r="L812" s="423"/>
      <c r="M812" s="423"/>
      <c r="N812" s="423"/>
      <c r="O812" s="423"/>
      <c r="P812" s="423"/>
      <c r="Q812" s="423"/>
      <c r="R812" s="423"/>
      <c r="S812" s="423"/>
      <c r="T812" s="423"/>
      <c r="U812" s="423"/>
      <c r="V812" s="423"/>
      <c r="W812" s="423"/>
    </row>
    <row r="813">
      <c r="A813" s="766"/>
      <c r="B813" s="717"/>
      <c r="C813" s="763"/>
      <c r="D813" s="763"/>
      <c r="E813" s="423"/>
      <c r="F813" s="764"/>
      <c r="G813" s="765"/>
      <c r="H813" s="423"/>
      <c r="I813" s="765"/>
      <c r="J813" s="728"/>
      <c r="K813" s="423"/>
      <c r="L813" s="423"/>
      <c r="M813" s="423"/>
      <c r="N813" s="423"/>
      <c r="O813" s="423"/>
      <c r="P813" s="423"/>
      <c r="Q813" s="423"/>
      <c r="R813" s="423"/>
      <c r="S813" s="423"/>
      <c r="T813" s="423"/>
      <c r="U813" s="423"/>
      <c r="V813" s="423"/>
      <c r="W813" s="423"/>
    </row>
    <row r="814">
      <c r="A814" s="766"/>
      <c r="B814" s="717"/>
      <c r="C814" s="763"/>
      <c r="D814" s="763"/>
      <c r="E814" s="423"/>
      <c r="F814" s="764"/>
      <c r="G814" s="765"/>
      <c r="H814" s="423"/>
      <c r="I814" s="765"/>
      <c r="J814" s="728"/>
      <c r="K814" s="423"/>
      <c r="L814" s="423"/>
      <c r="M814" s="423"/>
      <c r="N814" s="423"/>
      <c r="O814" s="423"/>
      <c r="P814" s="423"/>
      <c r="Q814" s="423"/>
      <c r="R814" s="423"/>
      <c r="S814" s="423"/>
      <c r="T814" s="423"/>
      <c r="U814" s="423"/>
      <c r="V814" s="423"/>
      <c r="W814" s="423"/>
    </row>
    <row r="815">
      <c r="A815" s="766"/>
      <c r="B815" s="717"/>
      <c r="C815" s="763"/>
      <c r="D815" s="763"/>
      <c r="E815" s="423"/>
      <c r="F815" s="764"/>
      <c r="G815" s="765"/>
      <c r="H815" s="423"/>
      <c r="I815" s="765"/>
      <c r="J815" s="728"/>
      <c r="K815" s="423"/>
      <c r="L815" s="423"/>
      <c r="M815" s="423"/>
      <c r="N815" s="423"/>
      <c r="O815" s="423"/>
      <c r="P815" s="423"/>
      <c r="Q815" s="423"/>
      <c r="R815" s="423"/>
      <c r="S815" s="423"/>
      <c r="T815" s="423"/>
      <c r="U815" s="423"/>
      <c r="V815" s="423"/>
      <c r="W815" s="423"/>
    </row>
    <row r="816">
      <c r="A816" s="766"/>
      <c r="B816" s="717"/>
      <c r="C816" s="763"/>
      <c r="D816" s="763"/>
      <c r="E816" s="423"/>
      <c r="F816" s="764"/>
      <c r="G816" s="765"/>
      <c r="H816" s="423"/>
      <c r="I816" s="765"/>
      <c r="J816" s="728"/>
      <c r="K816" s="423"/>
      <c r="L816" s="423"/>
      <c r="M816" s="423"/>
      <c r="N816" s="423"/>
      <c r="O816" s="423"/>
      <c r="P816" s="423"/>
      <c r="Q816" s="423"/>
      <c r="R816" s="423"/>
      <c r="S816" s="423"/>
      <c r="T816" s="423"/>
      <c r="U816" s="423"/>
      <c r="V816" s="423"/>
      <c r="W816" s="423"/>
    </row>
    <row r="817">
      <c r="A817" s="766"/>
      <c r="B817" s="717"/>
      <c r="C817" s="763"/>
      <c r="D817" s="763"/>
      <c r="E817" s="423"/>
      <c r="F817" s="764"/>
      <c r="G817" s="765"/>
      <c r="H817" s="423"/>
      <c r="I817" s="765"/>
      <c r="J817" s="728"/>
      <c r="K817" s="423"/>
      <c r="L817" s="423"/>
      <c r="M817" s="423"/>
      <c r="N817" s="423"/>
      <c r="O817" s="423"/>
      <c r="P817" s="423"/>
      <c r="Q817" s="423"/>
      <c r="R817" s="423"/>
      <c r="S817" s="423"/>
      <c r="T817" s="423"/>
      <c r="U817" s="423"/>
      <c r="V817" s="423"/>
      <c r="W817" s="423"/>
    </row>
    <row r="818">
      <c r="A818" s="766"/>
      <c r="B818" s="717"/>
      <c r="C818" s="763"/>
      <c r="D818" s="763"/>
      <c r="E818" s="423"/>
      <c r="F818" s="764"/>
      <c r="G818" s="765"/>
      <c r="H818" s="423"/>
      <c r="I818" s="765"/>
      <c r="J818" s="728"/>
      <c r="K818" s="423"/>
      <c r="L818" s="423"/>
      <c r="M818" s="423"/>
      <c r="N818" s="423"/>
      <c r="O818" s="423"/>
      <c r="P818" s="423"/>
      <c r="Q818" s="423"/>
      <c r="R818" s="423"/>
      <c r="S818" s="423"/>
      <c r="T818" s="423"/>
      <c r="U818" s="423"/>
      <c r="V818" s="423"/>
      <c r="W818" s="423"/>
    </row>
    <row r="819">
      <c r="A819" s="766"/>
      <c r="B819" s="717"/>
      <c r="C819" s="763"/>
      <c r="D819" s="763"/>
      <c r="E819" s="423"/>
      <c r="F819" s="764"/>
      <c r="G819" s="765"/>
      <c r="H819" s="423"/>
      <c r="I819" s="765"/>
      <c r="J819" s="728"/>
      <c r="K819" s="423"/>
      <c r="L819" s="423"/>
      <c r="M819" s="423"/>
      <c r="N819" s="423"/>
      <c r="O819" s="423"/>
      <c r="P819" s="423"/>
      <c r="Q819" s="423"/>
      <c r="R819" s="423"/>
      <c r="S819" s="423"/>
      <c r="T819" s="423"/>
      <c r="U819" s="423"/>
      <c r="V819" s="423"/>
      <c r="W819" s="423"/>
    </row>
    <row r="820">
      <c r="A820" s="766"/>
      <c r="B820" s="717"/>
      <c r="C820" s="763"/>
      <c r="D820" s="763"/>
      <c r="E820" s="423"/>
      <c r="F820" s="764"/>
      <c r="G820" s="765"/>
      <c r="H820" s="423"/>
      <c r="I820" s="765"/>
      <c r="J820" s="728"/>
      <c r="K820" s="423"/>
      <c r="L820" s="423"/>
      <c r="M820" s="423"/>
      <c r="N820" s="423"/>
      <c r="O820" s="423"/>
      <c r="P820" s="423"/>
      <c r="Q820" s="423"/>
      <c r="R820" s="423"/>
      <c r="S820" s="423"/>
      <c r="T820" s="423"/>
      <c r="U820" s="423"/>
      <c r="V820" s="423"/>
      <c r="W820" s="423"/>
    </row>
    <row r="821">
      <c r="A821" s="766"/>
      <c r="B821" s="717"/>
      <c r="C821" s="763"/>
      <c r="D821" s="763"/>
      <c r="E821" s="423"/>
      <c r="F821" s="764"/>
      <c r="G821" s="765"/>
      <c r="H821" s="423"/>
      <c r="I821" s="765"/>
      <c r="J821" s="728"/>
      <c r="K821" s="423"/>
      <c r="L821" s="423"/>
      <c r="M821" s="423"/>
      <c r="N821" s="423"/>
      <c r="O821" s="423"/>
      <c r="P821" s="423"/>
      <c r="Q821" s="423"/>
      <c r="R821" s="423"/>
      <c r="S821" s="423"/>
      <c r="T821" s="423"/>
      <c r="U821" s="423"/>
      <c r="V821" s="423"/>
      <c r="W821" s="423"/>
    </row>
    <row r="822">
      <c r="A822" s="766"/>
      <c r="B822" s="717"/>
      <c r="C822" s="763"/>
      <c r="D822" s="763"/>
      <c r="E822" s="423"/>
      <c r="F822" s="764"/>
      <c r="G822" s="765"/>
      <c r="H822" s="423"/>
      <c r="I822" s="765"/>
      <c r="J822" s="728"/>
      <c r="K822" s="423"/>
      <c r="L822" s="423"/>
      <c r="M822" s="423"/>
      <c r="N822" s="423"/>
      <c r="O822" s="423"/>
      <c r="P822" s="423"/>
      <c r="Q822" s="423"/>
      <c r="R822" s="423"/>
      <c r="S822" s="423"/>
      <c r="T822" s="423"/>
      <c r="U822" s="423"/>
      <c r="V822" s="423"/>
      <c r="W822" s="423"/>
    </row>
    <row r="823">
      <c r="A823" s="766"/>
      <c r="B823" s="717"/>
      <c r="C823" s="763"/>
      <c r="D823" s="763"/>
      <c r="E823" s="423"/>
      <c r="F823" s="764"/>
      <c r="G823" s="765"/>
      <c r="H823" s="423"/>
      <c r="I823" s="765"/>
      <c r="J823" s="728"/>
      <c r="K823" s="423"/>
      <c r="L823" s="423"/>
      <c r="M823" s="423"/>
      <c r="N823" s="423"/>
      <c r="O823" s="423"/>
      <c r="P823" s="423"/>
      <c r="Q823" s="423"/>
      <c r="R823" s="423"/>
      <c r="S823" s="423"/>
      <c r="T823" s="423"/>
      <c r="U823" s="423"/>
      <c r="V823" s="423"/>
      <c r="W823" s="423"/>
    </row>
    <row r="824">
      <c r="A824" s="766"/>
      <c r="B824" s="717"/>
      <c r="C824" s="763"/>
      <c r="D824" s="763"/>
      <c r="E824" s="423"/>
      <c r="F824" s="764"/>
      <c r="G824" s="765"/>
      <c r="H824" s="423"/>
      <c r="I824" s="765"/>
      <c r="J824" s="728"/>
      <c r="K824" s="423"/>
      <c r="L824" s="423"/>
      <c r="M824" s="423"/>
      <c r="N824" s="423"/>
      <c r="O824" s="423"/>
      <c r="P824" s="423"/>
      <c r="Q824" s="423"/>
      <c r="R824" s="423"/>
      <c r="S824" s="423"/>
      <c r="T824" s="423"/>
      <c r="U824" s="423"/>
      <c r="V824" s="423"/>
      <c r="W824" s="423"/>
    </row>
    <row r="825">
      <c r="A825" s="766"/>
      <c r="B825" s="717"/>
      <c r="C825" s="763"/>
      <c r="D825" s="763"/>
      <c r="E825" s="423"/>
      <c r="F825" s="764"/>
      <c r="G825" s="765"/>
      <c r="H825" s="423"/>
      <c r="I825" s="765"/>
      <c r="J825" s="728"/>
      <c r="K825" s="423"/>
      <c r="L825" s="423"/>
      <c r="M825" s="423"/>
      <c r="N825" s="423"/>
      <c r="O825" s="423"/>
      <c r="P825" s="423"/>
      <c r="Q825" s="423"/>
      <c r="R825" s="423"/>
      <c r="S825" s="423"/>
      <c r="T825" s="423"/>
      <c r="U825" s="423"/>
      <c r="V825" s="423"/>
      <c r="W825" s="423"/>
    </row>
    <row r="826">
      <c r="A826" s="766"/>
      <c r="B826" s="717"/>
      <c r="C826" s="763"/>
      <c r="D826" s="763"/>
      <c r="E826" s="423"/>
      <c r="F826" s="764"/>
      <c r="G826" s="765"/>
      <c r="H826" s="423"/>
      <c r="I826" s="765"/>
      <c r="J826" s="728"/>
      <c r="K826" s="423"/>
      <c r="L826" s="423"/>
      <c r="M826" s="423"/>
      <c r="N826" s="423"/>
      <c r="O826" s="423"/>
      <c r="P826" s="423"/>
      <c r="Q826" s="423"/>
      <c r="R826" s="423"/>
      <c r="S826" s="423"/>
      <c r="T826" s="423"/>
      <c r="U826" s="423"/>
      <c r="V826" s="423"/>
      <c r="W826" s="423"/>
    </row>
    <row r="827">
      <c r="A827" s="766"/>
      <c r="B827" s="717"/>
      <c r="C827" s="763"/>
      <c r="D827" s="763"/>
      <c r="E827" s="423"/>
      <c r="F827" s="764"/>
      <c r="G827" s="765"/>
      <c r="H827" s="423"/>
      <c r="I827" s="765"/>
      <c r="J827" s="728"/>
      <c r="K827" s="423"/>
      <c r="L827" s="423"/>
      <c r="M827" s="423"/>
      <c r="N827" s="423"/>
      <c r="O827" s="423"/>
      <c r="P827" s="423"/>
      <c r="Q827" s="423"/>
      <c r="R827" s="423"/>
      <c r="S827" s="423"/>
      <c r="T827" s="423"/>
      <c r="U827" s="423"/>
      <c r="V827" s="423"/>
      <c r="W827" s="423"/>
    </row>
    <row r="828">
      <c r="A828" s="766"/>
      <c r="B828" s="717"/>
      <c r="C828" s="763"/>
      <c r="D828" s="763"/>
      <c r="E828" s="423"/>
      <c r="F828" s="764"/>
      <c r="G828" s="765"/>
      <c r="H828" s="423"/>
      <c r="I828" s="765"/>
      <c r="J828" s="728"/>
      <c r="K828" s="423"/>
      <c r="L828" s="423"/>
      <c r="M828" s="423"/>
      <c r="N828" s="423"/>
      <c r="O828" s="423"/>
      <c r="P828" s="423"/>
      <c r="Q828" s="423"/>
      <c r="R828" s="423"/>
      <c r="S828" s="423"/>
      <c r="T828" s="423"/>
      <c r="U828" s="423"/>
      <c r="V828" s="423"/>
      <c r="W828" s="423"/>
    </row>
    <row r="829">
      <c r="A829" s="766"/>
      <c r="B829" s="717"/>
      <c r="C829" s="763"/>
      <c r="D829" s="763"/>
      <c r="E829" s="423"/>
      <c r="F829" s="764"/>
      <c r="G829" s="765"/>
      <c r="H829" s="423"/>
      <c r="I829" s="765"/>
      <c r="J829" s="728"/>
      <c r="K829" s="423"/>
      <c r="L829" s="423"/>
      <c r="M829" s="423"/>
      <c r="N829" s="423"/>
      <c r="O829" s="423"/>
      <c r="P829" s="423"/>
      <c r="Q829" s="423"/>
      <c r="R829" s="423"/>
      <c r="S829" s="423"/>
      <c r="T829" s="423"/>
      <c r="U829" s="423"/>
      <c r="V829" s="423"/>
      <c r="W829" s="423"/>
    </row>
    <row r="830">
      <c r="A830" s="766"/>
      <c r="B830" s="717"/>
      <c r="C830" s="763"/>
      <c r="D830" s="763"/>
      <c r="E830" s="423"/>
      <c r="F830" s="764"/>
      <c r="G830" s="765"/>
      <c r="H830" s="423"/>
      <c r="I830" s="765"/>
      <c r="J830" s="728"/>
      <c r="K830" s="423"/>
      <c r="L830" s="423"/>
      <c r="M830" s="423"/>
      <c r="N830" s="423"/>
      <c r="O830" s="423"/>
      <c r="P830" s="423"/>
      <c r="Q830" s="423"/>
      <c r="R830" s="423"/>
      <c r="S830" s="423"/>
      <c r="T830" s="423"/>
      <c r="U830" s="423"/>
      <c r="V830" s="423"/>
      <c r="W830" s="423"/>
    </row>
    <row r="831">
      <c r="A831" s="766"/>
      <c r="B831" s="717"/>
      <c r="C831" s="763"/>
      <c r="D831" s="763"/>
      <c r="E831" s="423"/>
      <c r="F831" s="764"/>
      <c r="G831" s="765"/>
      <c r="H831" s="423"/>
      <c r="I831" s="765"/>
      <c r="J831" s="728"/>
      <c r="K831" s="423"/>
      <c r="L831" s="423"/>
      <c r="M831" s="423"/>
      <c r="N831" s="423"/>
      <c r="O831" s="423"/>
      <c r="P831" s="423"/>
      <c r="Q831" s="423"/>
      <c r="R831" s="423"/>
      <c r="S831" s="423"/>
      <c r="T831" s="423"/>
      <c r="U831" s="423"/>
      <c r="V831" s="423"/>
      <c r="W831" s="423"/>
    </row>
    <row r="832">
      <c r="A832" s="766"/>
      <c r="B832" s="717"/>
      <c r="C832" s="763"/>
      <c r="D832" s="763"/>
      <c r="E832" s="423"/>
      <c r="F832" s="764"/>
      <c r="G832" s="765"/>
      <c r="H832" s="423"/>
      <c r="I832" s="765"/>
      <c r="J832" s="728"/>
      <c r="K832" s="423"/>
      <c r="L832" s="423"/>
      <c r="M832" s="423"/>
      <c r="N832" s="423"/>
      <c r="O832" s="423"/>
      <c r="P832" s="423"/>
      <c r="Q832" s="423"/>
      <c r="R832" s="423"/>
      <c r="S832" s="423"/>
      <c r="T832" s="423"/>
      <c r="U832" s="423"/>
      <c r="V832" s="423"/>
      <c r="W832" s="423"/>
    </row>
    <row r="833">
      <c r="A833" s="766"/>
      <c r="B833" s="717"/>
      <c r="C833" s="763"/>
      <c r="D833" s="763"/>
      <c r="E833" s="423"/>
      <c r="F833" s="764"/>
      <c r="G833" s="765"/>
      <c r="H833" s="423"/>
      <c r="I833" s="765"/>
      <c r="J833" s="728"/>
      <c r="K833" s="423"/>
      <c r="L833" s="423"/>
      <c r="M833" s="423"/>
      <c r="N833" s="423"/>
      <c r="O833" s="423"/>
      <c r="P833" s="423"/>
      <c r="Q833" s="423"/>
      <c r="R833" s="423"/>
      <c r="S833" s="423"/>
      <c r="T833" s="423"/>
      <c r="U833" s="423"/>
      <c r="V833" s="423"/>
      <c r="W833" s="423"/>
    </row>
    <row r="834">
      <c r="A834" s="766"/>
      <c r="B834" s="717"/>
      <c r="C834" s="763"/>
      <c r="D834" s="763"/>
      <c r="E834" s="423"/>
      <c r="F834" s="764"/>
      <c r="G834" s="765"/>
      <c r="H834" s="423"/>
      <c r="I834" s="765"/>
      <c r="J834" s="728"/>
      <c r="K834" s="423"/>
      <c r="L834" s="423"/>
      <c r="M834" s="423"/>
      <c r="N834" s="423"/>
      <c r="O834" s="423"/>
      <c r="P834" s="423"/>
      <c r="Q834" s="423"/>
      <c r="R834" s="423"/>
      <c r="S834" s="423"/>
      <c r="T834" s="423"/>
      <c r="U834" s="423"/>
      <c r="V834" s="423"/>
      <c r="W834" s="423"/>
    </row>
    <row r="835">
      <c r="A835" s="766"/>
      <c r="B835" s="717"/>
      <c r="C835" s="763"/>
      <c r="D835" s="763"/>
      <c r="E835" s="423"/>
      <c r="F835" s="764"/>
      <c r="G835" s="765"/>
      <c r="H835" s="423"/>
      <c r="I835" s="765"/>
      <c r="J835" s="728"/>
      <c r="K835" s="423"/>
      <c r="L835" s="423"/>
      <c r="M835" s="423"/>
      <c r="N835" s="423"/>
      <c r="O835" s="423"/>
      <c r="P835" s="423"/>
      <c r="Q835" s="423"/>
      <c r="R835" s="423"/>
      <c r="S835" s="423"/>
      <c r="T835" s="423"/>
      <c r="U835" s="423"/>
      <c r="V835" s="423"/>
      <c r="W835" s="423"/>
    </row>
    <row r="836">
      <c r="A836" s="766"/>
      <c r="B836" s="717"/>
      <c r="C836" s="763"/>
      <c r="D836" s="763"/>
      <c r="E836" s="423"/>
      <c r="F836" s="764"/>
      <c r="G836" s="765"/>
      <c r="H836" s="423"/>
      <c r="I836" s="765"/>
      <c r="J836" s="728"/>
      <c r="K836" s="423"/>
      <c r="L836" s="423"/>
      <c r="M836" s="423"/>
      <c r="N836" s="423"/>
      <c r="O836" s="423"/>
      <c r="P836" s="423"/>
      <c r="Q836" s="423"/>
      <c r="R836" s="423"/>
      <c r="S836" s="423"/>
      <c r="T836" s="423"/>
      <c r="U836" s="423"/>
      <c r="V836" s="423"/>
      <c r="W836" s="423"/>
    </row>
    <row r="837">
      <c r="A837" s="766"/>
      <c r="B837" s="717"/>
      <c r="C837" s="763"/>
      <c r="D837" s="763"/>
      <c r="E837" s="423"/>
      <c r="F837" s="764"/>
      <c r="G837" s="765"/>
      <c r="H837" s="423"/>
      <c r="I837" s="765"/>
      <c r="J837" s="728"/>
      <c r="K837" s="423"/>
      <c r="L837" s="423"/>
      <c r="M837" s="423"/>
      <c r="N837" s="423"/>
      <c r="O837" s="423"/>
      <c r="P837" s="423"/>
      <c r="Q837" s="423"/>
      <c r="R837" s="423"/>
      <c r="S837" s="423"/>
      <c r="T837" s="423"/>
      <c r="U837" s="423"/>
      <c r="V837" s="423"/>
      <c r="W837" s="423"/>
    </row>
    <row r="838">
      <c r="A838" s="766"/>
      <c r="B838" s="717"/>
      <c r="C838" s="763"/>
      <c r="D838" s="763"/>
      <c r="E838" s="423"/>
      <c r="F838" s="764"/>
      <c r="G838" s="765"/>
      <c r="H838" s="423"/>
      <c r="I838" s="765"/>
      <c r="J838" s="728"/>
      <c r="K838" s="423"/>
      <c r="L838" s="423"/>
      <c r="M838" s="423"/>
      <c r="N838" s="423"/>
      <c r="O838" s="423"/>
      <c r="P838" s="423"/>
      <c r="Q838" s="423"/>
      <c r="R838" s="423"/>
      <c r="S838" s="423"/>
      <c r="T838" s="423"/>
      <c r="U838" s="423"/>
      <c r="V838" s="423"/>
      <c r="W838" s="423"/>
    </row>
    <row r="839">
      <c r="A839" s="766"/>
      <c r="B839" s="717"/>
      <c r="C839" s="763"/>
      <c r="D839" s="763"/>
      <c r="E839" s="423"/>
      <c r="F839" s="764"/>
      <c r="G839" s="765"/>
      <c r="H839" s="423"/>
      <c r="I839" s="765"/>
      <c r="J839" s="728"/>
      <c r="K839" s="423"/>
      <c r="L839" s="423"/>
      <c r="M839" s="423"/>
      <c r="N839" s="423"/>
      <c r="O839" s="423"/>
      <c r="P839" s="423"/>
      <c r="Q839" s="423"/>
      <c r="R839" s="423"/>
      <c r="S839" s="423"/>
      <c r="T839" s="423"/>
      <c r="U839" s="423"/>
      <c r="V839" s="423"/>
      <c r="W839" s="423"/>
    </row>
    <row r="840">
      <c r="A840" s="766"/>
      <c r="B840" s="717"/>
      <c r="C840" s="763"/>
      <c r="D840" s="763"/>
      <c r="E840" s="423"/>
      <c r="F840" s="764"/>
      <c r="G840" s="765"/>
      <c r="H840" s="423"/>
      <c r="I840" s="765"/>
      <c r="J840" s="728"/>
      <c r="K840" s="423"/>
      <c r="L840" s="423"/>
      <c r="M840" s="423"/>
      <c r="N840" s="423"/>
      <c r="O840" s="423"/>
      <c r="P840" s="423"/>
      <c r="Q840" s="423"/>
      <c r="R840" s="423"/>
      <c r="S840" s="423"/>
      <c r="T840" s="423"/>
      <c r="U840" s="423"/>
      <c r="V840" s="423"/>
      <c r="W840" s="423"/>
    </row>
    <row r="841">
      <c r="A841" s="766"/>
      <c r="B841" s="717"/>
      <c r="C841" s="763"/>
      <c r="D841" s="763"/>
      <c r="E841" s="423"/>
      <c r="F841" s="764"/>
      <c r="G841" s="765"/>
      <c r="H841" s="423"/>
      <c r="I841" s="765"/>
      <c r="J841" s="728"/>
      <c r="K841" s="423"/>
      <c r="L841" s="423"/>
      <c r="M841" s="423"/>
      <c r="N841" s="423"/>
      <c r="O841" s="423"/>
      <c r="P841" s="423"/>
      <c r="Q841" s="423"/>
      <c r="R841" s="423"/>
      <c r="S841" s="423"/>
      <c r="T841" s="423"/>
      <c r="U841" s="423"/>
      <c r="V841" s="423"/>
      <c r="W841" s="423"/>
    </row>
    <row r="842">
      <c r="A842" s="766"/>
      <c r="B842" s="717"/>
      <c r="C842" s="763"/>
      <c r="D842" s="763"/>
      <c r="E842" s="423"/>
      <c r="F842" s="764"/>
      <c r="G842" s="765"/>
      <c r="H842" s="423"/>
      <c r="I842" s="765"/>
      <c r="J842" s="728"/>
      <c r="K842" s="423"/>
      <c r="L842" s="423"/>
      <c r="M842" s="423"/>
      <c r="N842" s="423"/>
      <c r="O842" s="423"/>
      <c r="P842" s="423"/>
      <c r="Q842" s="423"/>
      <c r="R842" s="423"/>
      <c r="S842" s="423"/>
      <c r="T842" s="423"/>
      <c r="U842" s="423"/>
      <c r="V842" s="423"/>
      <c r="W842" s="423"/>
    </row>
    <row r="843">
      <c r="A843" s="766"/>
      <c r="B843" s="717"/>
      <c r="C843" s="763"/>
      <c r="D843" s="763"/>
      <c r="E843" s="423"/>
      <c r="F843" s="764"/>
      <c r="G843" s="765"/>
      <c r="H843" s="423"/>
      <c r="I843" s="765"/>
      <c r="J843" s="728"/>
      <c r="K843" s="423"/>
      <c r="L843" s="423"/>
      <c r="M843" s="423"/>
      <c r="N843" s="423"/>
      <c r="O843" s="423"/>
      <c r="P843" s="423"/>
      <c r="Q843" s="423"/>
      <c r="R843" s="423"/>
      <c r="S843" s="423"/>
      <c r="T843" s="423"/>
      <c r="U843" s="423"/>
      <c r="V843" s="423"/>
      <c r="W843" s="423"/>
    </row>
    <row r="844">
      <c r="A844" s="766"/>
      <c r="B844" s="717"/>
      <c r="C844" s="763"/>
      <c r="D844" s="763"/>
      <c r="E844" s="423"/>
      <c r="F844" s="764"/>
      <c r="G844" s="765"/>
      <c r="H844" s="423"/>
      <c r="I844" s="765"/>
      <c r="J844" s="728"/>
      <c r="K844" s="423"/>
      <c r="L844" s="423"/>
      <c r="M844" s="423"/>
      <c r="N844" s="423"/>
      <c r="O844" s="423"/>
      <c r="P844" s="423"/>
      <c r="Q844" s="423"/>
      <c r="R844" s="423"/>
      <c r="S844" s="423"/>
      <c r="T844" s="423"/>
      <c r="U844" s="423"/>
      <c r="V844" s="423"/>
      <c r="W844" s="423"/>
    </row>
    <row r="845">
      <c r="A845" s="766"/>
      <c r="B845" s="717"/>
      <c r="C845" s="763"/>
      <c r="D845" s="763"/>
      <c r="E845" s="423"/>
      <c r="F845" s="764"/>
      <c r="G845" s="765"/>
      <c r="H845" s="423"/>
      <c r="I845" s="765"/>
      <c r="J845" s="728"/>
      <c r="K845" s="423"/>
      <c r="L845" s="423"/>
      <c r="M845" s="423"/>
      <c r="N845" s="423"/>
      <c r="O845" s="423"/>
      <c r="P845" s="423"/>
      <c r="Q845" s="423"/>
      <c r="R845" s="423"/>
      <c r="S845" s="423"/>
      <c r="T845" s="423"/>
      <c r="U845" s="423"/>
      <c r="V845" s="423"/>
      <c r="W845" s="423"/>
    </row>
    <row r="846">
      <c r="A846" s="766"/>
      <c r="B846" s="717"/>
      <c r="C846" s="763"/>
      <c r="D846" s="763"/>
      <c r="E846" s="423"/>
      <c r="F846" s="764"/>
      <c r="G846" s="765"/>
      <c r="H846" s="423"/>
      <c r="I846" s="765"/>
      <c r="J846" s="728"/>
      <c r="K846" s="423"/>
      <c r="L846" s="423"/>
      <c r="M846" s="423"/>
      <c r="N846" s="423"/>
      <c r="O846" s="423"/>
      <c r="P846" s="423"/>
      <c r="Q846" s="423"/>
      <c r="R846" s="423"/>
      <c r="S846" s="423"/>
      <c r="T846" s="423"/>
      <c r="U846" s="423"/>
      <c r="V846" s="423"/>
      <c r="W846" s="423"/>
    </row>
    <row r="847">
      <c r="A847" s="766"/>
      <c r="B847" s="717"/>
      <c r="C847" s="763"/>
      <c r="D847" s="763"/>
      <c r="E847" s="423"/>
      <c r="F847" s="764"/>
      <c r="G847" s="765"/>
      <c r="H847" s="423"/>
      <c r="I847" s="765"/>
      <c r="J847" s="728"/>
      <c r="K847" s="423"/>
      <c r="L847" s="423"/>
      <c r="M847" s="423"/>
      <c r="N847" s="423"/>
      <c r="O847" s="423"/>
      <c r="P847" s="423"/>
      <c r="Q847" s="423"/>
      <c r="R847" s="423"/>
      <c r="S847" s="423"/>
      <c r="T847" s="423"/>
      <c r="U847" s="423"/>
      <c r="V847" s="423"/>
      <c r="W847" s="423"/>
    </row>
    <row r="848">
      <c r="A848" s="766"/>
      <c r="B848" s="717"/>
      <c r="C848" s="763"/>
      <c r="D848" s="763"/>
      <c r="E848" s="423"/>
      <c r="F848" s="764"/>
      <c r="G848" s="765"/>
      <c r="H848" s="423"/>
      <c r="I848" s="765"/>
      <c r="J848" s="728"/>
      <c r="K848" s="423"/>
      <c r="L848" s="423"/>
      <c r="M848" s="423"/>
      <c r="N848" s="423"/>
      <c r="O848" s="423"/>
      <c r="P848" s="423"/>
      <c r="Q848" s="423"/>
      <c r="R848" s="423"/>
      <c r="S848" s="423"/>
      <c r="T848" s="423"/>
      <c r="U848" s="423"/>
      <c r="V848" s="423"/>
      <c r="W848" s="423"/>
    </row>
    <row r="849">
      <c r="A849" s="766"/>
      <c r="B849" s="717"/>
      <c r="C849" s="763"/>
      <c r="D849" s="763"/>
      <c r="E849" s="423"/>
      <c r="F849" s="764"/>
      <c r="G849" s="765"/>
      <c r="H849" s="423"/>
      <c r="I849" s="765"/>
      <c r="J849" s="728"/>
      <c r="K849" s="423"/>
      <c r="L849" s="423"/>
      <c r="M849" s="423"/>
      <c r="N849" s="423"/>
      <c r="O849" s="423"/>
      <c r="P849" s="423"/>
      <c r="Q849" s="423"/>
      <c r="R849" s="423"/>
      <c r="S849" s="423"/>
      <c r="T849" s="423"/>
      <c r="U849" s="423"/>
      <c r="V849" s="423"/>
      <c r="W849" s="423"/>
    </row>
    <row r="850">
      <c r="A850" s="766"/>
      <c r="B850" s="717"/>
      <c r="C850" s="763"/>
      <c r="D850" s="763"/>
      <c r="E850" s="423"/>
      <c r="F850" s="764"/>
      <c r="G850" s="765"/>
      <c r="H850" s="423"/>
      <c r="I850" s="765"/>
      <c r="J850" s="728"/>
      <c r="K850" s="423"/>
      <c r="L850" s="423"/>
      <c r="M850" s="423"/>
      <c r="N850" s="423"/>
      <c r="O850" s="423"/>
      <c r="P850" s="423"/>
      <c r="Q850" s="423"/>
      <c r="R850" s="423"/>
      <c r="S850" s="423"/>
      <c r="T850" s="423"/>
      <c r="U850" s="423"/>
      <c r="V850" s="423"/>
      <c r="W850" s="423"/>
    </row>
    <row r="851">
      <c r="A851" s="766"/>
      <c r="B851" s="717"/>
      <c r="C851" s="763"/>
      <c r="D851" s="763"/>
      <c r="E851" s="423"/>
      <c r="F851" s="764"/>
      <c r="G851" s="765"/>
      <c r="H851" s="423"/>
      <c r="I851" s="765"/>
      <c r="J851" s="728"/>
      <c r="K851" s="423"/>
      <c r="L851" s="423"/>
      <c r="M851" s="423"/>
      <c r="N851" s="423"/>
      <c r="O851" s="423"/>
      <c r="P851" s="423"/>
      <c r="Q851" s="423"/>
      <c r="R851" s="423"/>
      <c r="S851" s="423"/>
      <c r="T851" s="423"/>
      <c r="U851" s="423"/>
      <c r="V851" s="423"/>
      <c r="W851" s="423"/>
    </row>
    <row r="852">
      <c r="A852" s="766"/>
      <c r="B852" s="717"/>
      <c r="C852" s="763"/>
      <c r="D852" s="763"/>
      <c r="E852" s="423"/>
      <c r="F852" s="764"/>
      <c r="G852" s="765"/>
      <c r="H852" s="423"/>
      <c r="I852" s="765"/>
      <c r="J852" s="728"/>
      <c r="K852" s="423"/>
      <c r="L852" s="423"/>
      <c r="M852" s="423"/>
      <c r="N852" s="423"/>
      <c r="O852" s="423"/>
      <c r="P852" s="423"/>
      <c r="Q852" s="423"/>
      <c r="R852" s="423"/>
      <c r="S852" s="423"/>
      <c r="T852" s="423"/>
      <c r="U852" s="423"/>
      <c r="V852" s="423"/>
      <c r="W852" s="423"/>
    </row>
    <row r="853">
      <c r="A853" s="766"/>
      <c r="B853" s="717"/>
      <c r="C853" s="763"/>
      <c r="D853" s="763"/>
      <c r="E853" s="423"/>
      <c r="F853" s="764"/>
      <c r="G853" s="765"/>
      <c r="H853" s="423"/>
      <c r="I853" s="765"/>
      <c r="J853" s="728"/>
      <c r="K853" s="423"/>
      <c r="L853" s="423"/>
      <c r="M853" s="423"/>
      <c r="N853" s="423"/>
      <c r="O853" s="423"/>
      <c r="P853" s="423"/>
      <c r="Q853" s="423"/>
      <c r="R853" s="423"/>
      <c r="S853" s="423"/>
      <c r="T853" s="423"/>
      <c r="U853" s="423"/>
      <c r="V853" s="423"/>
      <c r="W853" s="423"/>
    </row>
    <row r="854">
      <c r="A854" s="766"/>
      <c r="B854" s="717"/>
      <c r="C854" s="763"/>
      <c r="D854" s="763"/>
      <c r="E854" s="423"/>
      <c r="F854" s="764"/>
      <c r="G854" s="765"/>
      <c r="H854" s="423"/>
      <c r="I854" s="765"/>
      <c r="J854" s="728"/>
      <c r="K854" s="423"/>
      <c r="L854" s="423"/>
      <c r="M854" s="423"/>
      <c r="N854" s="423"/>
      <c r="O854" s="423"/>
      <c r="P854" s="423"/>
      <c r="Q854" s="423"/>
      <c r="R854" s="423"/>
      <c r="S854" s="423"/>
      <c r="T854" s="423"/>
      <c r="U854" s="423"/>
      <c r="V854" s="423"/>
      <c r="W854" s="423"/>
    </row>
    <row r="855">
      <c r="A855" s="766"/>
      <c r="B855" s="717"/>
      <c r="C855" s="763"/>
      <c r="D855" s="763"/>
      <c r="E855" s="423"/>
      <c r="F855" s="764"/>
      <c r="G855" s="765"/>
      <c r="H855" s="423"/>
      <c r="I855" s="765"/>
      <c r="J855" s="728"/>
      <c r="K855" s="423"/>
      <c r="L855" s="423"/>
      <c r="M855" s="423"/>
      <c r="N855" s="423"/>
      <c r="O855" s="423"/>
      <c r="P855" s="423"/>
      <c r="Q855" s="423"/>
      <c r="R855" s="423"/>
      <c r="S855" s="423"/>
      <c r="T855" s="423"/>
      <c r="U855" s="423"/>
      <c r="V855" s="423"/>
      <c r="W855" s="423"/>
    </row>
    <row r="856">
      <c r="A856" s="766"/>
      <c r="B856" s="717"/>
      <c r="C856" s="763"/>
      <c r="D856" s="763"/>
      <c r="E856" s="423"/>
      <c r="F856" s="764"/>
      <c r="G856" s="765"/>
      <c r="H856" s="423"/>
      <c r="I856" s="765"/>
      <c r="J856" s="728"/>
      <c r="K856" s="423"/>
      <c r="L856" s="423"/>
      <c r="M856" s="423"/>
      <c r="N856" s="423"/>
      <c r="O856" s="423"/>
      <c r="P856" s="423"/>
      <c r="Q856" s="423"/>
      <c r="R856" s="423"/>
      <c r="S856" s="423"/>
      <c r="T856" s="423"/>
      <c r="U856" s="423"/>
      <c r="V856" s="423"/>
      <c r="W856" s="423"/>
    </row>
    <row r="857">
      <c r="A857" s="766"/>
      <c r="B857" s="717"/>
      <c r="C857" s="763"/>
      <c r="D857" s="763"/>
      <c r="E857" s="423"/>
      <c r="F857" s="764"/>
      <c r="G857" s="765"/>
      <c r="H857" s="423"/>
      <c r="I857" s="765"/>
      <c r="J857" s="728"/>
      <c r="K857" s="423"/>
      <c r="L857" s="423"/>
      <c r="M857" s="423"/>
      <c r="N857" s="423"/>
      <c r="O857" s="423"/>
      <c r="P857" s="423"/>
      <c r="Q857" s="423"/>
      <c r="R857" s="423"/>
      <c r="S857" s="423"/>
      <c r="T857" s="423"/>
      <c r="U857" s="423"/>
      <c r="V857" s="423"/>
      <c r="W857" s="423"/>
    </row>
    <row r="858">
      <c r="A858" s="766"/>
      <c r="B858" s="717"/>
      <c r="C858" s="763"/>
      <c r="D858" s="763"/>
      <c r="E858" s="423"/>
      <c r="F858" s="764"/>
      <c r="G858" s="765"/>
      <c r="H858" s="423"/>
      <c r="I858" s="765"/>
      <c r="J858" s="728"/>
      <c r="K858" s="423"/>
      <c r="L858" s="423"/>
      <c r="M858" s="423"/>
      <c r="N858" s="423"/>
      <c r="O858" s="423"/>
      <c r="P858" s="423"/>
      <c r="Q858" s="423"/>
      <c r="R858" s="423"/>
      <c r="S858" s="423"/>
      <c r="T858" s="423"/>
      <c r="U858" s="423"/>
      <c r="V858" s="423"/>
      <c r="W858" s="423"/>
    </row>
    <row r="859">
      <c r="A859" s="766"/>
      <c r="B859" s="717"/>
      <c r="C859" s="763"/>
      <c r="D859" s="763"/>
      <c r="E859" s="423"/>
      <c r="F859" s="764"/>
      <c r="G859" s="765"/>
      <c r="H859" s="423"/>
      <c r="I859" s="765"/>
      <c r="J859" s="728"/>
      <c r="K859" s="423"/>
      <c r="L859" s="423"/>
      <c r="M859" s="423"/>
      <c r="N859" s="423"/>
      <c r="O859" s="423"/>
      <c r="P859" s="423"/>
      <c r="Q859" s="423"/>
      <c r="R859" s="423"/>
      <c r="S859" s="423"/>
      <c r="T859" s="423"/>
      <c r="U859" s="423"/>
      <c r="V859" s="423"/>
      <c r="W859" s="423"/>
    </row>
    <row r="860">
      <c r="A860" s="766"/>
      <c r="B860" s="717"/>
      <c r="C860" s="763"/>
      <c r="D860" s="763"/>
      <c r="E860" s="423"/>
      <c r="F860" s="764"/>
      <c r="G860" s="765"/>
      <c r="H860" s="423"/>
      <c r="I860" s="765"/>
      <c r="J860" s="728"/>
      <c r="K860" s="423"/>
      <c r="L860" s="423"/>
      <c r="M860" s="423"/>
      <c r="N860" s="423"/>
      <c r="O860" s="423"/>
      <c r="P860" s="423"/>
      <c r="Q860" s="423"/>
      <c r="R860" s="423"/>
      <c r="S860" s="423"/>
      <c r="T860" s="423"/>
      <c r="U860" s="423"/>
      <c r="V860" s="423"/>
      <c r="W860" s="423"/>
    </row>
    <row r="861">
      <c r="A861" s="766"/>
      <c r="B861" s="717"/>
      <c r="C861" s="763"/>
      <c r="D861" s="763"/>
      <c r="E861" s="423"/>
      <c r="F861" s="764"/>
      <c r="G861" s="765"/>
      <c r="H861" s="423"/>
      <c r="I861" s="765"/>
      <c r="J861" s="728"/>
      <c r="K861" s="423"/>
      <c r="L861" s="423"/>
      <c r="M861" s="423"/>
      <c r="N861" s="423"/>
      <c r="O861" s="423"/>
      <c r="P861" s="423"/>
      <c r="Q861" s="423"/>
      <c r="R861" s="423"/>
      <c r="S861" s="423"/>
      <c r="T861" s="423"/>
      <c r="U861" s="423"/>
      <c r="V861" s="423"/>
      <c r="W861" s="423"/>
    </row>
    <row r="862">
      <c r="A862" s="766"/>
      <c r="B862" s="717"/>
      <c r="C862" s="763"/>
      <c r="D862" s="763"/>
      <c r="E862" s="423"/>
      <c r="F862" s="764"/>
      <c r="G862" s="765"/>
      <c r="H862" s="423"/>
      <c r="I862" s="765"/>
      <c r="J862" s="728"/>
      <c r="K862" s="423"/>
      <c r="L862" s="423"/>
      <c r="M862" s="423"/>
      <c r="N862" s="423"/>
      <c r="O862" s="423"/>
      <c r="P862" s="423"/>
      <c r="Q862" s="423"/>
      <c r="R862" s="423"/>
      <c r="S862" s="423"/>
      <c r="T862" s="423"/>
      <c r="U862" s="423"/>
      <c r="V862" s="423"/>
      <c r="W862" s="423"/>
    </row>
    <row r="863">
      <c r="A863" s="766"/>
      <c r="B863" s="717"/>
      <c r="C863" s="763"/>
      <c r="D863" s="763"/>
      <c r="E863" s="423"/>
      <c r="F863" s="764"/>
      <c r="G863" s="765"/>
      <c r="H863" s="423"/>
      <c r="I863" s="765"/>
      <c r="J863" s="728"/>
      <c r="K863" s="423"/>
      <c r="L863" s="423"/>
      <c r="M863" s="423"/>
      <c r="N863" s="423"/>
      <c r="O863" s="423"/>
      <c r="P863" s="423"/>
      <c r="Q863" s="423"/>
      <c r="R863" s="423"/>
      <c r="S863" s="423"/>
      <c r="T863" s="423"/>
      <c r="U863" s="423"/>
      <c r="V863" s="423"/>
      <c r="W863" s="423"/>
    </row>
    <row r="864">
      <c r="A864" s="766"/>
      <c r="B864" s="717"/>
      <c r="C864" s="763"/>
      <c r="D864" s="763"/>
      <c r="E864" s="423"/>
      <c r="F864" s="764"/>
      <c r="G864" s="765"/>
      <c r="H864" s="423"/>
      <c r="I864" s="765"/>
      <c r="J864" s="728"/>
      <c r="K864" s="423"/>
      <c r="L864" s="423"/>
      <c r="M864" s="423"/>
      <c r="N864" s="423"/>
      <c r="O864" s="423"/>
      <c r="P864" s="423"/>
      <c r="Q864" s="423"/>
      <c r="R864" s="423"/>
      <c r="S864" s="423"/>
      <c r="T864" s="423"/>
      <c r="U864" s="423"/>
      <c r="V864" s="423"/>
      <c r="W864" s="423"/>
    </row>
    <row r="865">
      <c r="A865" s="766"/>
      <c r="B865" s="717"/>
      <c r="C865" s="763"/>
      <c r="D865" s="763"/>
      <c r="E865" s="423"/>
      <c r="F865" s="764"/>
      <c r="G865" s="765"/>
      <c r="H865" s="423"/>
      <c r="I865" s="765"/>
      <c r="J865" s="728"/>
      <c r="K865" s="423"/>
      <c r="L865" s="423"/>
      <c r="M865" s="423"/>
      <c r="N865" s="423"/>
      <c r="O865" s="423"/>
      <c r="P865" s="423"/>
      <c r="Q865" s="423"/>
      <c r="R865" s="423"/>
      <c r="S865" s="423"/>
      <c r="T865" s="423"/>
      <c r="U865" s="423"/>
      <c r="V865" s="423"/>
      <c r="W865" s="423"/>
    </row>
    <row r="866">
      <c r="A866" s="766"/>
      <c r="B866" s="717"/>
      <c r="C866" s="763"/>
      <c r="D866" s="763"/>
      <c r="E866" s="423"/>
      <c r="F866" s="764"/>
      <c r="G866" s="765"/>
      <c r="H866" s="423"/>
      <c r="I866" s="765"/>
      <c r="J866" s="728"/>
      <c r="K866" s="423"/>
      <c r="L866" s="423"/>
      <c r="M866" s="423"/>
      <c r="N866" s="423"/>
      <c r="O866" s="423"/>
      <c r="P866" s="423"/>
      <c r="Q866" s="423"/>
      <c r="R866" s="423"/>
      <c r="S866" s="423"/>
      <c r="T866" s="423"/>
      <c r="U866" s="423"/>
      <c r="V866" s="423"/>
      <c r="W866" s="423"/>
    </row>
    <row r="867">
      <c r="A867" s="766"/>
      <c r="B867" s="717"/>
      <c r="C867" s="763"/>
      <c r="D867" s="763"/>
      <c r="E867" s="423"/>
      <c r="F867" s="764"/>
      <c r="G867" s="765"/>
      <c r="H867" s="423"/>
      <c r="I867" s="765"/>
      <c r="J867" s="728"/>
      <c r="K867" s="423"/>
      <c r="L867" s="423"/>
      <c r="M867" s="423"/>
      <c r="N867" s="423"/>
      <c r="O867" s="423"/>
      <c r="P867" s="423"/>
      <c r="Q867" s="423"/>
      <c r="R867" s="423"/>
      <c r="S867" s="423"/>
      <c r="T867" s="423"/>
      <c r="U867" s="423"/>
      <c r="V867" s="423"/>
      <c r="W867" s="423"/>
    </row>
    <row r="868">
      <c r="A868" s="766"/>
      <c r="B868" s="717"/>
      <c r="C868" s="763"/>
      <c r="D868" s="763"/>
      <c r="E868" s="423"/>
      <c r="F868" s="764"/>
      <c r="G868" s="765"/>
      <c r="H868" s="423"/>
      <c r="I868" s="765"/>
      <c r="J868" s="728"/>
      <c r="K868" s="423"/>
      <c r="L868" s="423"/>
      <c r="M868" s="423"/>
      <c r="N868" s="423"/>
      <c r="O868" s="423"/>
      <c r="P868" s="423"/>
      <c r="Q868" s="423"/>
      <c r="R868" s="423"/>
      <c r="S868" s="423"/>
      <c r="T868" s="423"/>
      <c r="U868" s="423"/>
      <c r="V868" s="423"/>
      <c r="W868" s="423"/>
    </row>
    <row r="869">
      <c r="A869" s="766"/>
      <c r="B869" s="717"/>
      <c r="C869" s="763"/>
      <c r="D869" s="763"/>
      <c r="E869" s="423"/>
      <c r="F869" s="764"/>
      <c r="G869" s="765"/>
      <c r="H869" s="423"/>
      <c r="I869" s="765"/>
      <c r="J869" s="728"/>
      <c r="K869" s="423"/>
      <c r="L869" s="423"/>
      <c r="M869" s="423"/>
      <c r="N869" s="423"/>
      <c r="O869" s="423"/>
      <c r="P869" s="423"/>
      <c r="Q869" s="423"/>
      <c r="R869" s="423"/>
      <c r="S869" s="423"/>
      <c r="T869" s="423"/>
      <c r="U869" s="423"/>
      <c r="V869" s="423"/>
      <c r="W869" s="423"/>
    </row>
    <row r="870">
      <c r="A870" s="766"/>
      <c r="B870" s="717"/>
      <c r="C870" s="763"/>
      <c r="D870" s="763"/>
      <c r="E870" s="423"/>
      <c r="F870" s="764"/>
      <c r="G870" s="765"/>
      <c r="H870" s="423"/>
      <c r="I870" s="765"/>
      <c r="J870" s="728"/>
      <c r="K870" s="423"/>
      <c r="L870" s="423"/>
      <c r="M870" s="423"/>
      <c r="N870" s="423"/>
      <c r="O870" s="423"/>
      <c r="P870" s="423"/>
      <c r="Q870" s="423"/>
      <c r="R870" s="423"/>
      <c r="S870" s="423"/>
      <c r="T870" s="423"/>
      <c r="U870" s="423"/>
      <c r="V870" s="423"/>
      <c r="W870" s="423"/>
    </row>
    <row r="871">
      <c r="A871" s="766"/>
      <c r="B871" s="717"/>
      <c r="C871" s="763"/>
      <c r="D871" s="763"/>
      <c r="E871" s="423"/>
      <c r="F871" s="764"/>
      <c r="G871" s="765"/>
      <c r="H871" s="423"/>
      <c r="I871" s="765"/>
      <c r="J871" s="728"/>
      <c r="K871" s="423"/>
      <c r="L871" s="423"/>
      <c r="M871" s="423"/>
      <c r="N871" s="423"/>
      <c r="O871" s="423"/>
      <c r="P871" s="423"/>
      <c r="Q871" s="423"/>
      <c r="R871" s="423"/>
      <c r="S871" s="423"/>
      <c r="T871" s="423"/>
      <c r="U871" s="423"/>
      <c r="V871" s="423"/>
      <c r="W871" s="423"/>
    </row>
    <row r="872">
      <c r="A872" s="766"/>
      <c r="B872" s="717"/>
      <c r="C872" s="763"/>
      <c r="D872" s="763"/>
      <c r="E872" s="423"/>
      <c r="F872" s="764"/>
      <c r="G872" s="765"/>
      <c r="H872" s="423"/>
      <c r="I872" s="765"/>
      <c r="J872" s="728"/>
      <c r="K872" s="423"/>
      <c r="L872" s="423"/>
      <c r="M872" s="423"/>
      <c r="N872" s="423"/>
      <c r="O872" s="423"/>
      <c r="P872" s="423"/>
      <c r="Q872" s="423"/>
      <c r="R872" s="423"/>
      <c r="S872" s="423"/>
      <c r="T872" s="423"/>
      <c r="U872" s="423"/>
      <c r="V872" s="423"/>
      <c r="W872" s="423"/>
    </row>
    <row r="873">
      <c r="A873" s="766"/>
      <c r="B873" s="717"/>
      <c r="C873" s="763"/>
      <c r="D873" s="763"/>
      <c r="E873" s="423"/>
      <c r="F873" s="764"/>
      <c r="G873" s="765"/>
      <c r="H873" s="423"/>
      <c r="I873" s="765"/>
      <c r="J873" s="728"/>
      <c r="K873" s="423"/>
      <c r="L873" s="423"/>
      <c r="M873" s="423"/>
      <c r="N873" s="423"/>
      <c r="O873" s="423"/>
      <c r="P873" s="423"/>
      <c r="Q873" s="423"/>
      <c r="R873" s="423"/>
      <c r="S873" s="423"/>
      <c r="T873" s="423"/>
      <c r="U873" s="423"/>
      <c r="V873" s="423"/>
      <c r="W873" s="423"/>
    </row>
    <row r="874">
      <c r="A874" s="766"/>
      <c r="B874" s="717"/>
      <c r="C874" s="763"/>
      <c r="D874" s="763"/>
      <c r="E874" s="423"/>
      <c r="F874" s="764"/>
      <c r="G874" s="765"/>
      <c r="H874" s="423"/>
      <c r="I874" s="765"/>
      <c r="J874" s="728"/>
      <c r="K874" s="423"/>
      <c r="L874" s="423"/>
      <c r="M874" s="423"/>
      <c r="N874" s="423"/>
      <c r="O874" s="423"/>
      <c r="P874" s="423"/>
      <c r="Q874" s="423"/>
      <c r="R874" s="423"/>
      <c r="S874" s="423"/>
      <c r="T874" s="423"/>
      <c r="U874" s="423"/>
      <c r="V874" s="423"/>
      <c r="W874" s="423"/>
    </row>
    <row r="875">
      <c r="A875" s="766"/>
      <c r="B875" s="717"/>
      <c r="C875" s="763"/>
      <c r="D875" s="763"/>
      <c r="E875" s="423"/>
      <c r="F875" s="764"/>
      <c r="G875" s="765"/>
      <c r="H875" s="423"/>
      <c r="I875" s="765"/>
      <c r="J875" s="728"/>
      <c r="K875" s="423"/>
      <c r="L875" s="423"/>
      <c r="M875" s="423"/>
      <c r="N875" s="423"/>
      <c r="O875" s="423"/>
      <c r="P875" s="423"/>
      <c r="Q875" s="423"/>
      <c r="R875" s="423"/>
      <c r="S875" s="423"/>
      <c r="T875" s="423"/>
      <c r="U875" s="423"/>
      <c r="V875" s="423"/>
      <c r="W875" s="423"/>
    </row>
    <row r="876">
      <c r="A876" s="766"/>
      <c r="B876" s="717"/>
      <c r="C876" s="763"/>
      <c r="D876" s="763"/>
      <c r="E876" s="423"/>
      <c r="F876" s="764"/>
      <c r="G876" s="765"/>
      <c r="H876" s="423"/>
      <c r="I876" s="765"/>
      <c r="J876" s="728"/>
      <c r="K876" s="423"/>
      <c r="L876" s="423"/>
      <c r="M876" s="423"/>
      <c r="N876" s="423"/>
      <c r="O876" s="423"/>
      <c r="P876" s="423"/>
      <c r="Q876" s="423"/>
      <c r="R876" s="423"/>
      <c r="S876" s="423"/>
      <c r="T876" s="423"/>
      <c r="U876" s="423"/>
      <c r="V876" s="423"/>
      <c r="W876" s="423"/>
    </row>
    <row r="877">
      <c r="A877" s="766"/>
      <c r="B877" s="717"/>
      <c r="C877" s="763"/>
      <c r="D877" s="763"/>
      <c r="E877" s="423"/>
      <c r="F877" s="764"/>
      <c r="G877" s="765"/>
      <c r="H877" s="423"/>
      <c r="I877" s="765"/>
      <c r="J877" s="728"/>
      <c r="K877" s="423"/>
      <c r="L877" s="423"/>
      <c r="M877" s="423"/>
      <c r="N877" s="423"/>
      <c r="O877" s="423"/>
      <c r="P877" s="423"/>
      <c r="Q877" s="423"/>
      <c r="R877" s="423"/>
      <c r="S877" s="423"/>
      <c r="T877" s="423"/>
      <c r="U877" s="423"/>
      <c r="V877" s="423"/>
      <c r="W877" s="423"/>
    </row>
    <row r="878">
      <c r="A878" s="766"/>
      <c r="B878" s="717"/>
      <c r="C878" s="763"/>
      <c r="D878" s="763"/>
      <c r="E878" s="423"/>
      <c r="F878" s="764"/>
      <c r="G878" s="765"/>
      <c r="H878" s="423"/>
      <c r="I878" s="765"/>
      <c r="J878" s="728"/>
      <c r="K878" s="423"/>
      <c r="L878" s="423"/>
      <c r="M878" s="423"/>
      <c r="N878" s="423"/>
      <c r="O878" s="423"/>
      <c r="P878" s="423"/>
      <c r="Q878" s="423"/>
      <c r="R878" s="423"/>
      <c r="S878" s="423"/>
      <c r="T878" s="423"/>
      <c r="U878" s="423"/>
      <c r="V878" s="423"/>
      <c r="W878" s="423"/>
    </row>
    <row r="879">
      <c r="A879" s="766"/>
      <c r="B879" s="717"/>
      <c r="C879" s="763"/>
      <c r="D879" s="763"/>
      <c r="E879" s="423"/>
      <c r="F879" s="764"/>
      <c r="G879" s="765"/>
      <c r="H879" s="423"/>
      <c r="I879" s="765"/>
      <c r="J879" s="728"/>
      <c r="K879" s="423"/>
      <c r="L879" s="423"/>
      <c r="M879" s="423"/>
      <c r="N879" s="423"/>
      <c r="O879" s="423"/>
      <c r="P879" s="423"/>
      <c r="Q879" s="423"/>
      <c r="R879" s="423"/>
      <c r="S879" s="423"/>
      <c r="T879" s="423"/>
      <c r="U879" s="423"/>
      <c r="V879" s="423"/>
      <c r="W879" s="423"/>
    </row>
    <row r="880">
      <c r="A880" s="766"/>
      <c r="B880" s="717"/>
      <c r="C880" s="763"/>
      <c r="D880" s="763"/>
      <c r="E880" s="423"/>
      <c r="F880" s="764"/>
      <c r="G880" s="765"/>
      <c r="H880" s="423"/>
      <c r="I880" s="765"/>
      <c r="J880" s="728"/>
      <c r="K880" s="423"/>
      <c r="L880" s="423"/>
      <c r="M880" s="423"/>
      <c r="N880" s="423"/>
      <c r="O880" s="423"/>
      <c r="P880" s="423"/>
      <c r="Q880" s="423"/>
      <c r="R880" s="423"/>
      <c r="S880" s="423"/>
      <c r="T880" s="423"/>
      <c r="U880" s="423"/>
      <c r="V880" s="423"/>
      <c r="W880" s="423"/>
    </row>
    <row r="881">
      <c r="A881" s="766"/>
      <c r="B881" s="717"/>
      <c r="C881" s="763"/>
      <c r="D881" s="763"/>
      <c r="E881" s="423"/>
      <c r="F881" s="764"/>
      <c r="G881" s="765"/>
      <c r="H881" s="423"/>
      <c r="I881" s="765"/>
      <c r="J881" s="728"/>
      <c r="K881" s="423"/>
      <c r="L881" s="423"/>
      <c r="M881" s="423"/>
      <c r="N881" s="423"/>
      <c r="O881" s="423"/>
      <c r="P881" s="423"/>
      <c r="Q881" s="423"/>
      <c r="R881" s="423"/>
      <c r="S881" s="423"/>
      <c r="T881" s="423"/>
      <c r="U881" s="423"/>
      <c r="V881" s="423"/>
      <c r="W881" s="423"/>
    </row>
    <row r="882">
      <c r="A882" s="766"/>
      <c r="B882" s="717"/>
      <c r="C882" s="763"/>
      <c r="D882" s="763"/>
      <c r="E882" s="423"/>
      <c r="F882" s="764"/>
      <c r="G882" s="765"/>
      <c r="H882" s="423"/>
      <c r="I882" s="765"/>
      <c r="J882" s="728"/>
      <c r="K882" s="423"/>
      <c r="L882" s="423"/>
      <c r="M882" s="423"/>
      <c r="N882" s="423"/>
      <c r="O882" s="423"/>
      <c r="P882" s="423"/>
      <c r="Q882" s="423"/>
      <c r="R882" s="423"/>
      <c r="S882" s="423"/>
      <c r="T882" s="423"/>
      <c r="U882" s="423"/>
      <c r="V882" s="423"/>
      <c r="W882" s="423"/>
    </row>
    <row r="883">
      <c r="A883" s="766"/>
      <c r="B883" s="717"/>
      <c r="C883" s="763"/>
      <c r="D883" s="763"/>
      <c r="E883" s="423"/>
      <c r="F883" s="764"/>
      <c r="G883" s="765"/>
      <c r="H883" s="423"/>
      <c r="I883" s="765"/>
      <c r="J883" s="728"/>
      <c r="K883" s="423"/>
      <c r="L883" s="423"/>
      <c r="M883" s="423"/>
      <c r="N883" s="423"/>
      <c r="O883" s="423"/>
      <c r="P883" s="423"/>
      <c r="Q883" s="423"/>
      <c r="R883" s="423"/>
      <c r="S883" s="423"/>
      <c r="T883" s="423"/>
      <c r="U883" s="423"/>
      <c r="V883" s="423"/>
      <c r="W883" s="423"/>
    </row>
    <row r="884">
      <c r="A884" s="766"/>
      <c r="B884" s="717"/>
      <c r="C884" s="763"/>
      <c r="D884" s="763"/>
      <c r="E884" s="423"/>
      <c r="F884" s="764"/>
      <c r="G884" s="765"/>
      <c r="H884" s="423"/>
      <c r="I884" s="765"/>
      <c r="J884" s="728"/>
      <c r="K884" s="423"/>
      <c r="L884" s="423"/>
      <c r="M884" s="423"/>
      <c r="N884" s="423"/>
      <c r="O884" s="423"/>
      <c r="P884" s="423"/>
      <c r="Q884" s="423"/>
      <c r="R884" s="423"/>
      <c r="S884" s="423"/>
      <c r="T884" s="423"/>
      <c r="U884" s="423"/>
      <c r="V884" s="423"/>
      <c r="W884" s="423"/>
    </row>
    <row r="885">
      <c r="A885" s="766"/>
      <c r="B885" s="717"/>
      <c r="C885" s="763"/>
      <c r="D885" s="763"/>
      <c r="E885" s="423"/>
      <c r="F885" s="764"/>
      <c r="G885" s="765"/>
      <c r="H885" s="423"/>
      <c r="I885" s="765"/>
      <c r="J885" s="728"/>
      <c r="K885" s="423"/>
      <c r="L885" s="423"/>
      <c r="M885" s="423"/>
      <c r="N885" s="423"/>
      <c r="O885" s="423"/>
      <c r="P885" s="423"/>
      <c r="Q885" s="423"/>
      <c r="R885" s="423"/>
      <c r="S885" s="423"/>
      <c r="T885" s="423"/>
      <c r="U885" s="423"/>
      <c r="V885" s="423"/>
      <c r="W885" s="423"/>
    </row>
    <row r="886">
      <c r="A886" s="766"/>
      <c r="B886" s="717"/>
      <c r="C886" s="763"/>
      <c r="D886" s="763"/>
      <c r="E886" s="423"/>
      <c r="F886" s="764"/>
      <c r="G886" s="765"/>
      <c r="H886" s="423"/>
      <c r="I886" s="765"/>
      <c r="J886" s="728"/>
      <c r="K886" s="423"/>
      <c r="L886" s="423"/>
      <c r="M886" s="423"/>
      <c r="N886" s="423"/>
      <c r="O886" s="423"/>
      <c r="P886" s="423"/>
      <c r="Q886" s="423"/>
      <c r="R886" s="423"/>
      <c r="S886" s="423"/>
      <c r="T886" s="423"/>
      <c r="U886" s="423"/>
      <c r="V886" s="423"/>
      <c r="W886" s="423"/>
    </row>
    <row r="887">
      <c r="A887" s="766"/>
      <c r="B887" s="717"/>
      <c r="C887" s="763"/>
      <c r="D887" s="763"/>
      <c r="E887" s="423"/>
      <c r="F887" s="764"/>
      <c r="G887" s="765"/>
      <c r="H887" s="423"/>
      <c r="I887" s="765"/>
      <c r="J887" s="728"/>
      <c r="K887" s="423"/>
      <c r="L887" s="423"/>
      <c r="M887" s="423"/>
      <c r="N887" s="423"/>
      <c r="O887" s="423"/>
      <c r="P887" s="423"/>
      <c r="Q887" s="423"/>
      <c r="R887" s="423"/>
      <c r="S887" s="423"/>
      <c r="T887" s="423"/>
      <c r="U887" s="423"/>
      <c r="V887" s="423"/>
      <c r="W887" s="423"/>
    </row>
    <row r="888">
      <c r="A888" s="766"/>
      <c r="B888" s="717"/>
      <c r="C888" s="763"/>
      <c r="D888" s="763"/>
      <c r="E888" s="423"/>
      <c r="F888" s="764"/>
      <c r="G888" s="765"/>
      <c r="H888" s="423"/>
      <c r="I888" s="765"/>
      <c r="J888" s="728"/>
      <c r="K888" s="423"/>
      <c r="L888" s="423"/>
      <c r="M888" s="423"/>
      <c r="N888" s="423"/>
      <c r="O888" s="423"/>
      <c r="P888" s="423"/>
      <c r="Q888" s="423"/>
      <c r="R888" s="423"/>
      <c r="S888" s="423"/>
      <c r="T888" s="423"/>
      <c r="U888" s="423"/>
      <c r="V888" s="423"/>
      <c r="W888" s="423"/>
    </row>
    <row r="889">
      <c r="A889" s="766"/>
      <c r="B889" s="717"/>
      <c r="C889" s="763"/>
      <c r="D889" s="763"/>
      <c r="E889" s="423"/>
      <c r="F889" s="764"/>
      <c r="G889" s="765"/>
      <c r="H889" s="423"/>
      <c r="I889" s="765"/>
      <c r="J889" s="728"/>
      <c r="K889" s="423"/>
      <c r="L889" s="423"/>
      <c r="M889" s="423"/>
      <c r="N889" s="423"/>
      <c r="O889" s="423"/>
      <c r="P889" s="423"/>
      <c r="Q889" s="423"/>
      <c r="R889" s="423"/>
      <c r="S889" s="423"/>
      <c r="T889" s="423"/>
      <c r="U889" s="423"/>
      <c r="V889" s="423"/>
      <c r="W889" s="423"/>
    </row>
    <row r="890">
      <c r="A890" s="766"/>
      <c r="B890" s="717"/>
      <c r="C890" s="763"/>
      <c r="D890" s="763"/>
      <c r="E890" s="423"/>
      <c r="F890" s="764"/>
      <c r="G890" s="765"/>
      <c r="H890" s="423"/>
      <c r="I890" s="765"/>
      <c r="J890" s="728"/>
      <c r="K890" s="423"/>
      <c r="L890" s="423"/>
      <c r="M890" s="423"/>
      <c r="N890" s="423"/>
      <c r="O890" s="423"/>
      <c r="P890" s="423"/>
      <c r="Q890" s="423"/>
      <c r="R890" s="423"/>
      <c r="S890" s="423"/>
      <c r="T890" s="423"/>
      <c r="U890" s="423"/>
      <c r="V890" s="423"/>
      <c r="W890" s="423"/>
    </row>
    <row r="891">
      <c r="A891" s="766"/>
      <c r="B891" s="717"/>
      <c r="C891" s="763"/>
      <c r="D891" s="763"/>
      <c r="E891" s="423"/>
      <c r="F891" s="764"/>
      <c r="G891" s="765"/>
      <c r="H891" s="423"/>
      <c r="I891" s="765"/>
      <c r="J891" s="728"/>
      <c r="K891" s="423"/>
      <c r="L891" s="423"/>
      <c r="M891" s="423"/>
      <c r="N891" s="423"/>
      <c r="O891" s="423"/>
      <c r="P891" s="423"/>
      <c r="Q891" s="423"/>
      <c r="R891" s="423"/>
      <c r="S891" s="423"/>
      <c r="T891" s="423"/>
      <c r="U891" s="423"/>
      <c r="V891" s="423"/>
      <c r="W891" s="423"/>
    </row>
    <row r="892">
      <c r="A892" s="766"/>
      <c r="B892" s="717"/>
      <c r="C892" s="763"/>
      <c r="D892" s="763"/>
      <c r="E892" s="423"/>
      <c r="F892" s="764"/>
      <c r="G892" s="765"/>
      <c r="H892" s="423"/>
      <c r="I892" s="765"/>
      <c r="J892" s="728"/>
      <c r="K892" s="423"/>
      <c r="L892" s="423"/>
      <c r="M892" s="423"/>
      <c r="N892" s="423"/>
      <c r="O892" s="423"/>
      <c r="P892" s="423"/>
      <c r="Q892" s="423"/>
      <c r="R892" s="423"/>
      <c r="S892" s="423"/>
      <c r="T892" s="423"/>
      <c r="U892" s="423"/>
      <c r="V892" s="423"/>
      <c r="W892" s="423"/>
    </row>
    <row r="893">
      <c r="A893" s="766"/>
      <c r="B893" s="717"/>
      <c r="C893" s="763"/>
      <c r="D893" s="763"/>
      <c r="E893" s="423"/>
      <c r="F893" s="764"/>
      <c r="G893" s="765"/>
      <c r="H893" s="423"/>
      <c r="I893" s="765"/>
      <c r="J893" s="728"/>
      <c r="K893" s="423"/>
      <c r="L893" s="423"/>
      <c r="M893" s="423"/>
      <c r="N893" s="423"/>
      <c r="O893" s="423"/>
      <c r="P893" s="423"/>
      <c r="Q893" s="423"/>
      <c r="R893" s="423"/>
      <c r="S893" s="423"/>
      <c r="T893" s="423"/>
      <c r="U893" s="423"/>
      <c r="V893" s="423"/>
      <c r="W893" s="423"/>
    </row>
    <row r="894">
      <c r="A894" s="766"/>
      <c r="B894" s="717"/>
      <c r="C894" s="763"/>
      <c r="D894" s="763"/>
      <c r="E894" s="423"/>
      <c r="F894" s="764"/>
      <c r="G894" s="765"/>
      <c r="H894" s="423"/>
      <c r="I894" s="765"/>
      <c r="J894" s="728"/>
      <c r="K894" s="423"/>
      <c r="L894" s="423"/>
      <c r="M894" s="423"/>
      <c r="N894" s="423"/>
      <c r="O894" s="423"/>
      <c r="P894" s="423"/>
      <c r="Q894" s="423"/>
      <c r="R894" s="423"/>
      <c r="S894" s="423"/>
      <c r="T894" s="423"/>
      <c r="U894" s="423"/>
      <c r="V894" s="423"/>
      <c r="W894" s="423"/>
    </row>
    <row r="895">
      <c r="A895" s="766"/>
      <c r="B895" s="717"/>
      <c r="C895" s="763"/>
      <c r="D895" s="763"/>
      <c r="E895" s="423"/>
      <c r="F895" s="764"/>
      <c r="G895" s="765"/>
      <c r="H895" s="423"/>
      <c r="I895" s="765"/>
      <c r="J895" s="728"/>
      <c r="K895" s="423"/>
      <c r="L895" s="423"/>
      <c r="M895" s="423"/>
      <c r="N895" s="423"/>
      <c r="O895" s="423"/>
      <c r="P895" s="423"/>
      <c r="Q895" s="423"/>
      <c r="R895" s="423"/>
      <c r="S895" s="423"/>
      <c r="T895" s="423"/>
      <c r="U895" s="423"/>
      <c r="V895" s="423"/>
      <c r="W895" s="423"/>
    </row>
    <row r="896">
      <c r="A896" s="766"/>
      <c r="B896" s="717"/>
      <c r="C896" s="763"/>
      <c r="D896" s="763"/>
      <c r="E896" s="423"/>
      <c r="F896" s="764"/>
      <c r="G896" s="765"/>
      <c r="H896" s="423"/>
      <c r="I896" s="765"/>
      <c r="J896" s="728"/>
      <c r="K896" s="423"/>
      <c r="L896" s="423"/>
      <c r="M896" s="423"/>
      <c r="N896" s="423"/>
      <c r="O896" s="423"/>
      <c r="P896" s="423"/>
      <c r="Q896" s="423"/>
      <c r="R896" s="423"/>
      <c r="S896" s="423"/>
      <c r="T896" s="423"/>
      <c r="U896" s="423"/>
      <c r="V896" s="423"/>
      <c r="W896" s="423"/>
    </row>
    <row r="897">
      <c r="A897" s="766"/>
      <c r="B897" s="717"/>
      <c r="C897" s="763"/>
      <c r="D897" s="763"/>
      <c r="E897" s="423"/>
      <c r="F897" s="764"/>
      <c r="G897" s="765"/>
      <c r="H897" s="423"/>
      <c r="I897" s="765"/>
      <c r="J897" s="728"/>
      <c r="K897" s="423"/>
      <c r="L897" s="423"/>
      <c r="M897" s="423"/>
      <c r="N897" s="423"/>
      <c r="O897" s="423"/>
      <c r="P897" s="423"/>
      <c r="Q897" s="423"/>
      <c r="R897" s="423"/>
      <c r="S897" s="423"/>
      <c r="T897" s="423"/>
      <c r="U897" s="423"/>
      <c r="V897" s="423"/>
      <c r="W897" s="423"/>
    </row>
    <row r="898">
      <c r="A898" s="766"/>
      <c r="B898" s="717"/>
      <c r="C898" s="763"/>
      <c r="D898" s="763"/>
      <c r="E898" s="423"/>
      <c r="F898" s="764"/>
      <c r="G898" s="765"/>
      <c r="H898" s="423"/>
      <c r="I898" s="765"/>
      <c r="J898" s="728"/>
      <c r="K898" s="423"/>
      <c r="L898" s="423"/>
      <c r="M898" s="423"/>
      <c r="N898" s="423"/>
      <c r="O898" s="423"/>
      <c r="P898" s="423"/>
      <c r="Q898" s="423"/>
      <c r="R898" s="423"/>
      <c r="S898" s="423"/>
      <c r="T898" s="423"/>
      <c r="U898" s="423"/>
      <c r="V898" s="423"/>
      <c r="W898" s="423"/>
    </row>
    <row r="899">
      <c r="A899" s="766"/>
      <c r="B899" s="717"/>
      <c r="C899" s="763"/>
      <c r="D899" s="763"/>
      <c r="E899" s="423"/>
      <c r="F899" s="764"/>
      <c r="G899" s="765"/>
      <c r="H899" s="423"/>
      <c r="I899" s="765"/>
      <c r="J899" s="728"/>
      <c r="K899" s="423"/>
      <c r="L899" s="423"/>
      <c r="M899" s="423"/>
      <c r="N899" s="423"/>
      <c r="O899" s="423"/>
      <c r="P899" s="423"/>
      <c r="Q899" s="423"/>
      <c r="R899" s="423"/>
      <c r="S899" s="423"/>
      <c r="T899" s="423"/>
      <c r="U899" s="423"/>
      <c r="V899" s="423"/>
      <c r="W899" s="423"/>
    </row>
    <row r="900">
      <c r="A900" s="766"/>
      <c r="B900" s="717"/>
      <c r="C900" s="763"/>
      <c r="D900" s="763"/>
      <c r="E900" s="423"/>
      <c r="F900" s="764"/>
      <c r="G900" s="765"/>
      <c r="H900" s="423"/>
      <c r="I900" s="765"/>
      <c r="J900" s="728"/>
      <c r="K900" s="423"/>
      <c r="L900" s="423"/>
      <c r="M900" s="423"/>
      <c r="N900" s="423"/>
      <c r="O900" s="423"/>
      <c r="P900" s="423"/>
      <c r="Q900" s="423"/>
      <c r="R900" s="423"/>
      <c r="S900" s="423"/>
      <c r="T900" s="423"/>
      <c r="U900" s="423"/>
      <c r="V900" s="423"/>
      <c r="W900" s="423"/>
    </row>
    <row r="901">
      <c r="A901" s="766"/>
      <c r="B901" s="717"/>
      <c r="C901" s="763"/>
      <c r="D901" s="763"/>
      <c r="E901" s="423"/>
      <c r="F901" s="764"/>
      <c r="G901" s="765"/>
      <c r="H901" s="423"/>
      <c r="I901" s="765"/>
      <c r="J901" s="728"/>
      <c r="K901" s="423"/>
      <c r="L901" s="423"/>
      <c r="M901" s="423"/>
      <c r="N901" s="423"/>
      <c r="O901" s="423"/>
      <c r="P901" s="423"/>
      <c r="Q901" s="423"/>
      <c r="R901" s="423"/>
      <c r="S901" s="423"/>
      <c r="T901" s="423"/>
      <c r="U901" s="423"/>
      <c r="V901" s="423"/>
      <c r="W901" s="423"/>
    </row>
    <row r="902">
      <c r="A902" s="766"/>
      <c r="B902" s="717"/>
      <c r="C902" s="763"/>
      <c r="D902" s="763"/>
      <c r="E902" s="423"/>
      <c r="F902" s="764"/>
      <c r="G902" s="765"/>
      <c r="H902" s="423"/>
      <c r="I902" s="765"/>
      <c r="J902" s="728"/>
      <c r="K902" s="423"/>
      <c r="L902" s="423"/>
      <c r="M902" s="423"/>
      <c r="N902" s="423"/>
      <c r="O902" s="423"/>
      <c r="P902" s="423"/>
      <c r="Q902" s="423"/>
      <c r="R902" s="423"/>
      <c r="S902" s="423"/>
      <c r="T902" s="423"/>
      <c r="U902" s="423"/>
      <c r="V902" s="423"/>
      <c r="W902" s="423"/>
    </row>
    <row r="903">
      <c r="A903" s="766"/>
      <c r="B903" s="717"/>
      <c r="C903" s="763"/>
      <c r="D903" s="763"/>
      <c r="E903" s="423"/>
      <c r="F903" s="764"/>
      <c r="G903" s="765"/>
      <c r="H903" s="423"/>
      <c r="I903" s="765"/>
      <c r="J903" s="728"/>
      <c r="K903" s="423"/>
      <c r="L903" s="423"/>
      <c r="M903" s="423"/>
      <c r="N903" s="423"/>
      <c r="O903" s="423"/>
      <c r="P903" s="423"/>
      <c r="Q903" s="423"/>
      <c r="R903" s="423"/>
      <c r="S903" s="423"/>
      <c r="T903" s="423"/>
      <c r="U903" s="423"/>
      <c r="V903" s="423"/>
      <c r="W903" s="423"/>
    </row>
    <row r="904">
      <c r="A904" s="766"/>
      <c r="B904" s="717"/>
      <c r="C904" s="763"/>
      <c r="D904" s="763"/>
      <c r="E904" s="423"/>
      <c r="F904" s="764"/>
      <c r="G904" s="765"/>
      <c r="H904" s="423"/>
      <c r="I904" s="765"/>
      <c r="J904" s="728"/>
      <c r="K904" s="423"/>
      <c r="L904" s="423"/>
      <c r="M904" s="423"/>
      <c r="N904" s="423"/>
      <c r="O904" s="423"/>
      <c r="P904" s="423"/>
      <c r="Q904" s="423"/>
      <c r="R904" s="423"/>
      <c r="S904" s="423"/>
      <c r="T904" s="423"/>
      <c r="U904" s="423"/>
      <c r="V904" s="423"/>
      <c r="W904" s="423"/>
    </row>
    <row r="905">
      <c r="A905" s="766"/>
      <c r="B905" s="717"/>
      <c r="C905" s="763"/>
      <c r="D905" s="763"/>
      <c r="E905" s="423"/>
      <c r="F905" s="764"/>
      <c r="G905" s="765"/>
      <c r="H905" s="423"/>
      <c r="I905" s="765"/>
      <c r="J905" s="728"/>
      <c r="K905" s="423"/>
      <c r="L905" s="423"/>
      <c r="M905" s="423"/>
      <c r="N905" s="423"/>
      <c r="O905" s="423"/>
      <c r="P905" s="423"/>
      <c r="Q905" s="423"/>
      <c r="R905" s="423"/>
      <c r="S905" s="423"/>
      <c r="T905" s="423"/>
      <c r="U905" s="423"/>
      <c r="V905" s="423"/>
      <c r="W905" s="423"/>
    </row>
    <row r="906">
      <c r="A906" s="766"/>
      <c r="B906" s="717"/>
      <c r="C906" s="763"/>
      <c r="D906" s="763"/>
      <c r="E906" s="423"/>
      <c r="F906" s="764"/>
      <c r="G906" s="765"/>
      <c r="H906" s="423"/>
      <c r="I906" s="765"/>
      <c r="J906" s="728"/>
      <c r="K906" s="423"/>
      <c r="L906" s="423"/>
      <c r="M906" s="423"/>
      <c r="N906" s="423"/>
      <c r="O906" s="423"/>
      <c r="P906" s="423"/>
      <c r="Q906" s="423"/>
      <c r="R906" s="423"/>
      <c r="S906" s="423"/>
      <c r="T906" s="423"/>
      <c r="U906" s="423"/>
      <c r="V906" s="423"/>
      <c r="W906" s="423"/>
    </row>
    <row r="907">
      <c r="A907" s="766"/>
      <c r="B907" s="717"/>
      <c r="C907" s="763"/>
      <c r="D907" s="763"/>
      <c r="E907" s="423"/>
      <c r="F907" s="764"/>
      <c r="G907" s="765"/>
      <c r="H907" s="423"/>
      <c r="I907" s="765"/>
      <c r="J907" s="728"/>
      <c r="K907" s="423"/>
      <c r="L907" s="423"/>
      <c r="M907" s="423"/>
      <c r="N907" s="423"/>
      <c r="O907" s="423"/>
      <c r="P907" s="423"/>
      <c r="Q907" s="423"/>
      <c r="R907" s="423"/>
      <c r="S907" s="423"/>
      <c r="T907" s="423"/>
      <c r="U907" s="423"/>
      <c r="V907" s="423"/>
      <c r="W907" s="423"/>
    </row>
    <row r="908">
      <c r="A908" s="766"/>
      <c r="B908" s="717"/>
      <c r="C908" s="763"/>
      <c r="D908" s="763"/>
      <c r="E908" s="423"/>
      <c r="F908" s="764"/>
      <c r="G908" s="765"/>
      <c r="H908" s="423"/>
      <c r="I908" s="765"/>
      <c r="J908" s="728"/>
      <c r="K908" s="423"/>
      <c r="L908" s="423"/>
      <c r="M908" s="423"/>
      <c r="N908" s="423"/>
      <c r="O908" s="423"/>
      <c r="P908" s="423"/>
      <c r="Q908" s="423"/>
      <c r="R908" s="423"/>
      <c r="S908" s="423"/>
      <c r="T908" s="423"/>
      <c r="U908" s="423"/>
      <c r="V908" s="423"/>
      <c r="W908" s="423"/>
    </row>
    <row r="909">
      <c r="A909" s="766"/>
      <c r="B909" s="717"/>
      <c r="C909" s="763"/>
      <c r="D909" s="763"/>
      <c r="E909" s="423"/>
      <c r="F909" s="764"/>
      <c r="G909" s="765"/>
      <c r="H909" s="423"/>
      <c r="I909" s="765"/>
      <c r="J909" s="728"/>
      <c r="K909" s="423"/>
      <c r="L909" s="423"/>
      <c r="M909" s="423"/>
      <c r="N909" s="423"/>
      <c r="O909" s="423"/>
      <c r="P909" s="423"/>
      <c r="Q909" s="423"/>
      <c r="R909" s="423"/>
      <c r="S909" s="423"/>
      <c r="T909" s="423"/>
      <c r="U909" s="423"/>
      <c r="V909" s="423"/>
      <c r="W909" s="423"/>
    </row>
    <row r="910">
      <c r="A910" s="766"/>
      <c r="B910" s="717"/>
      <c r="C910" s="763"/>
      <c r="D910" s="763"/>
      <c r="E910" s="423"/>
      <c r="F910" s="764"/>
      <c r="G910" s="765"/>
      <c r="H910" s="423"/>
      <c r="I910" s="765"/>
      <c r="J910" s="728"/>
      <c r="K910" s="423"/>
      <c r="L910" s="423"/>
      <c r="M910" s="423"/>
      <c r="N910" s="423"/>
      <c r="O910" s="423"/>
      <c r="P910" s="423"/>
      <c r="Q910" s="423"/>
      <c r="R910" s="423"/>
      <c r="S910" s="423"/>
      <c r="T910" s="423"/>
      <c r="U910" s="423"/>
      <c r="V910" s="423"/>
      <c r="W910" s="423"/>
    </row>
    <row r="911">
      <c r="A911" s="766"/>
      <c r="B911" s="717"/>
      <c r="C911" s="763"/>
      <c r="D911" s="763"/>
      <c r="E911" s="423"/>
      <c r="F911" s="764"/>
      <c r="G911" s="765"/>
      <c r="H911" s="423"/>
      <c r="I911" s="765"/>
      <c r="J911" s="728"/>
      <c r="K911" s="423"/>
      <c r="L911" s="423"/>
      <c r="M911" s="423"/>
      <c r="N911" s="423"/>
      <c r="O911" s="423"/>
      <c r="P911" s="423"/>
      <c r="Q911" s="423"/>
      <c r="R911" s="423"/>
      <c r="S911" s="423"/>
      <c r="T911" s="423"/>
      <c r="U911" s="423"/>
      <c r="V911" s="423"/>
      <c r="W911" s="423"/>
    </row>
    <row r="912">
      <c r="A912" s="766"/>
      <c r="B912" s="717"/>
      <c r="C912" s="763"/>
      <c r="D912" s="763"/>
      <c r="E912" s="423"/>
      <c r="F912" s="764"/>
      <c r="G912" s="765"/>
      <c r="H912" s="423"/>
      <c r="I912" s="765"/>
      <c r="J912" s="728"/>
      <c r="K912" s="423"/>
      <c r="L912" s="423"/>
      <c r="M912" s="423"/>
      <c r="N912" s="423"/>
      <c r="O912" s="423"/>
      <c r="P912" s="423"/>
      <c r="Q912" s="423"/>
      <c r="R912" s="423"/>
      <c r="S912" s="423"/>
      <c r="T912" s="423"/>
      <c r="U912" s="423"/>
      <c r="V912" s="423"/>
      <c r="W912" s="423"/>
    </row>
    <row r="913">
      <c r="A913" s="766"/>
      <c r="B913" s="717"/>
      <c r="C913" s="763"/>
      <c r="D913" s="763"/>
      <c r="E913" s="423"/>
      <c r="F913" s="764"/>
      <c r="G913" s="765"/>
      <c r="H913" s="423"/>
      <c r="I913" s="765"/>
      <c r="J913" s="728"/>
      <c r="K913" s="423"/>
      <c r="L913" s="423"/>
      <c r="M913" s="423"/>
      <c r="N913" s="423"/>
      <c r="O913" s="423"/>
      <c r="P913" s="423"/>
      <c r="Q913" s="423"/>
      <c r="R913" s="423"/>
      <c r="S913" s="423"/>
      <c r="T913" s="423"/>
      <c r="U913" s="423"/>
      <c r="V913" s="423"/>
      <c r="W913" s="423"/>
    </row>
    <row r="914">
      <c r="A914" s="766"/>
      <c r="B914" s="717"/>
      <c r="C914" s="763"/>
      <c r="D914" s="763"/>
      <c r="E914" s="423"/>
      <c r="F914" s="764"/>
      <c r="G914" s="765"/>
      <c r="H914" s="423"/>
      <c r="I914" s="765"/>
      <c r="J914" s="728"/>
      <c r="K914" s="423"/>
      <c r="L914" s="423"/>
      <c r="M914" s="423"/>
      <c r="N914" s="423"/>
      <c r="O914" s="423"/>
      <c r="P914" s="423"/>
      <c r="Q914" s="423"/>
      <c r="R914" s="423"/>
      <c r="S914" s="423"/>
      <c r="T914" s="423"/>
      <c r="U914" s="423"/>
      <c r="V914" s="423"/>
      <c r="W914" s="423"/>
    </row>
    <row r="915">
      <c r="A915" s="766"/>
      <c r="B915" s="717"/>
      <c r="C915" s="763"/>
      <c r="D915" s="763"/>
      <c r="E915" s="423"/>
      <c r="F915" s="764"/>
      <c r="G915" s="765"/>
      <c r="H915" s="423"/>
      <c r="I915" s="765"/>
      <c r="J915" s="728"/>
      <c r="K915" s="423"/>
      <c r="L915" s="423"/>
      <c r="M915" s="423"/>
      <c r="N915" s="423"/>
      <c r="O915" s="423"/>
      <c r="P915" s="423"/>
      <c r="Q915" s="423"/>
      <c r="R915" s="423"/>
      <c r="S915" s="423"/>
      <c r="T915" s="423"/>
      <c r="U915" s="423"/>
      <c r="V915" s="423"/>
      <c r="W915" s="423"/>
    </row>
    <row r="916">
      <c r="A916" s="766"/>
      <c r="B916" s="717"/>
      <c r="C916" s="763"/>
      <c r="D916" s="763"/>
      <c r="E916" s="423"/>
      <c r="F916" s="764"/>
      <c r="G916" s="765"/>
      <c r="H916" s="423"/>
      <c r="I916" s="765"/>
      <c r="J916" s="728"/>
      <c r="K916" s="423"/>
      <c r="L916" s="423"/>
      <c r="M916" s="423"/>
      <c r="N916" s="423"/>
      <c r="O916" s="423"/>
      <c r="P916" s="423"/>
      <c r="Q916" s="423"/>
      <c r="R916" s="423"/>
      <c r="S916" s="423"/>
      <c r="T916" s="423"/>
      <c r="U916" s="423"/>
      <c r="V916" s="423"/>
      <c r="W916" s="423"/>
    </row>
    <row r="917">
      <c r="A917" s="766"/>
      <c r="B917" s="717"/>
      <c r="C917" s="763"/>
      <c r="D917" s="763"/>
      <c r="E917" s="423"/>
      <c r="F917" s="764"/>
      <c r="G917" s="765"/>
      <c r="H917" s="423"/>
      <c r="I917" s="765"/>
      <c r="J917" s="728"/>
      <c r="K917" s="423"/>
      <c r="L917" s="423"/>
      <c r="M917" s="423"/>
      <c r="N917" s="423"/>
      <c r="O917" s="423"/>
      <c r="P917" s="423"/>
      <c r="Q917" s="423"/>
      <c r="R917" s="423"/>
      <c r="S917" s="423"/>
      <c r="T917" s="423"/>
      <c r="U917" s="423"/>
      <c r="V917" s="423"/>
      <c r="W917" s="423"/>
    </row>
    <row r="918">
      <c r="A918" s="766"/>
      <c r="B918" s="717"/>
      <c r="C918" s="763"/>
      <c r="D918" s="763"/>
      <c r="E918" s="423"/>
      <c r="F918" s="764"/>
      <c r="G918" s="765"/>
      <c r="H918" s="423"/>
      <c r="I918" s="765"/>
      <c r="J918" s="728"/>
      <c r="K918" s="423"/>
      <c r="L918" s="423"/>
      <c r="M918" s="423"/>
      <c r="N918" s="423"/>
      <c r="O918" s="423"/>
      <c r="P918" s="423"/>
      <c r="Q918" s="423"/>
      <c r="R918" s="423"/>
      <c r="S918" s="423"/>
      <c r="T918" s="423"/>
      <c r="U918" s="423"/>
      <c r="V918" s="423"/>
      <c r="W918" s="423"/>
    </row>
    <row r="919">
      <c r="A919" s="766"/>
      <c r="B919" s="717"/>
      <c r="C919" s="763"/>
      <c r="D919" s="763"/>
      <c r="E919" s="423"/>
      <c r="F919" s="764"/>
      <c r="G919" s="765"/>
      <c r="H919" s="423"/>
      <c r="I919" s="765"/>
      <c r="J919" s="728"/>
      <c r="K919" s="423"/>
      <c r="L919" s="423"/>
      <c r="M919" s="423"/>
      <c r="N919" s="423"/>
      <c r="O919" s="423"/>
      <c r="P919" s="423"/>
      <c r="Q919" s="423"/>
      <c r="R919" s="423"/>
      <c r="S919" s="423"/>
      <c r="T919" s="423"/>
      <c r="U919" s="423"/>
      <c r="V919" s="423"/>
      <c r="W919" s="423"/>
    </row>
    <row r="920">
      <c r="A920" s="766"/>
      <c r="B920" s="717"/>
      <c r="C920" s="763"/>
      <c r="D920" s="763"/>
      <c r="E920" s="423"/>
      <c r="F920" s="764"/>
      <c r="G920" s="765"/>
      <c r="H920" s="423"/>
      <c r="I920" s="765"/>
      <c r="J920" s="728"/>
      <c r="K920" s="423"/>
      <c r="L920" s="423"/>
      <c r="M920" s="423"/>
      <c r="N920" s="423"/>
      <c r="O920" s="423"/>
      <c r="P920" s="423"/>
      <c r="Q920" s="423"/>
      <c r="R920" s="423"/>
      <c r="S920" s="423"/>
      <c r="T920" s="423"/>
      <c r="U920" s="423"/>
      <c r="V920" s="423"/>
      <c r="W920" s="423"/>
    </row>
    <row r="921">
      <c r="A921" s="766"/>
      <c r="B921" s="717"/>
      <c r="C921" s="763"/>
      <c r="D921" s="763"/>
      <c r="E921" s="423"/>
      <c r="F921" s="764"/>
      <c r="G921" s="765"/>
      <c r="H921" s="423"/>
      <c r="I921" s="765"/>
      <c r="J921" s="728"/>
      <c r="K921" s="423"/>
      <c r="L921" s="423"/>
      <c r="M921" s="423"/>
      <c r="N921" s="423"/>
      <c r="O921" s="423"/>
      <c r="P921" s="423"/>
      <c r="Q921" s="423"/>
      <c r="R921" s="423"/>
      <c r="S921" s="423"/>
      <c r="T921" s="423"/>
      <c r="U921" s="423"/>
      <c r="V921" s="423"/>
      <c r="W921" s="423"/>
    </row>
    <row r="922">
      <c r="A922" s="766"/>
      <c r="B922" s="717"/>
      <c r="C922" s="763"/>
      <c r="D922" s="763"/>
      <c r="E922" s="423"/>
      <c r="F922" s="764"/>
      <c r="G922" s="765"/>
      <c r="H922" s="423"/>
      <c r="I922" s="765"/>
      <c r="J922" s="728"/>
      <c r="K922" s="423"/>
      <c r="L922" s="423"/>
      <c r="M922" s="423"/>
      <c r="N922" s="423"/>
      <c r="O922" s="423"/>
      <c r="P922" s="423"/>
      <c r="Q922" s="423"/>
      <c r="R922" s="423"/>
      <c r="S922" s="423"/>
      <c r="T922" s="423"/>
      <c r="U922" s="423"/>
      <c r="V922" s="423"/>
      <c r="W922" s="423"/>
    </row>
    <row r="923">
      <c r="A923" s="766"/>
      <c r="B923" s="717"/>
      <c r="C923" s="763"/>
      <c r="D923" s="763"/>
      <c r="E923" s="423"/>
      <c r="F923" s="764"/>
      <c r="G923" s="765"/>
      <c r="H923" s="423"/>
      <c r="I923" s="765"/>
      <c r="J923" s="728"/>
      <c r="K923" s="423"/>
      <c r="L923" s="423"/>
      <c r="M923" s="423"/>
      <c r="N923" s="423"/>
      <c r="O923" s="423"/>
      <c r="P923" s="423"/>
      <c r="Q923" s="423"/>
      <c r="R923" s="423"/>
      <c r="S923" s="423"/>
      <c r="T923" s="423"/>
      <c r="U923" s="423"/>
      <c r="V923" s="423"/>
      <c r="W923" s="423"/>
    </row>
    <row r="924">
      <c r="A924" s="766"/>
      <c r="B924" s="717"/>
      <c r="C924" s="763"/>
      <c r="D924" s="763"/>
      <c r="E924" s="423"/>
      <c r="F924" s="764"/>
      <c r="G924" s="765"/>
      <c r="H924" s="423"/>
      <c r="I924" s="765"/>
      <c r="J924" s="728"/>
      <c r="K924" s="423"/>
      <c r="L924" s="423"/>
      <c r="M924" s="423"/>
      <c r="N924" s="423"/>
      <c r="O924" s="423"/>
      <c r="P924" s="423"/>
      <c r="Q924" s="423"/>
      <c r="R924" s="423"/>
      <c r="S924" s="423"/>
      <c r="T924" s="423"/>
      <c r="U924" s="423"/>
      <c r="V924" s="423"/>
      <c r="W924" s="423"/>
    </row>
    <row r="925">
      <c r="A925" s="766"/>
      <c r="B925" s="717"/>
      <c r="C925" s="763"/>
      <c r="D925" s="763"/>
      <c r="E925" s="423"/>
      <c r="F925" s="764"/>
      <c r="G925" s="765"/>
      <c r="H925" s="423"/>
      <c r="I925" s="765"/>
      <c r="J925" s="728"/>
      <c r="K925" s="423"/>
      <c r="L925" s="423"/>
      <c r="M925" s="423"/>
      <c r="N925" s="423"/>
      <c r="O925" s="423"/>
      <c r="P925" s="423"/>
      <c r="Q925" s="423"/>
      <c r="R925" s="423"/>
      <c r="S925" s="423"/>
      <c r="T925" s="423"/>
      <c r="U925" s="423"/>
      <c r="V925" s="423"/>
      <c r="W925" s="423"/>
    </row>
    <row r="926">
      <c r="A926" s="766"/>
      <c r="B926" s="717"/>
      <c r="C926" s="763"/>
      <c r="D926" s="763"/>
      <c r="E926" s="423"/>
      <c r="F926" s="764"/>
      <c r="G926" s="765"/>
      <c r="H926" s="423"/>
      <c r="I926" s="765"/>
      <c r="J926" s="728"/>
      <c r="K926" s="423"/>
      <c r="L926" s="423"/>
      <c r="M926" s="423"/>
      <c r="N926" s="423"/>
      <c r="O926" s="423"/>
      <c r="P926" s="423"/>
      <c r="Q926" s="423"/>
      <c r="R926" s="423"/>
      <c r="S926" s="423"/>
      <c r="T926" s="423"/>
      <c r="U926" s="423"/>
      <c r="V926" s="423"/>
      <c r="W926" s="423"/>
    </row>
    <row r="927">
      <c r="A927" s="766"/>
      <c r="B927" s="717"/>
      <c r="C927" s="763"/>
      <c r="D927" s="763"/>
      <c r="E927" s="423"/>
      <c r="F927" s="764"/>
      <c r="G927" s="765"/>
      <c r="H927" s="423"/>
      <c r="I927" s="765"/>
      <c r="J927" s="728"/>
      <c r="K927" s="423"/>
      <c r="L927" s="423"/>
      <c r="M927" s="423"/>
      <c r="N927" s="423"/>
      <c r="O927" s="423"/>
      <c r="P927" s="423"/>
      <c r="Q927" s="423"/>
      <c r="R927" s="423"/>
      <c r="S927" s="423"/>
      <c r="T927" s="423"/>
      <c r="U927" s="423"/>
      <c r="V927" s="423"/>
      <c r="W927" s="423"/>
    </row>
    <row r="928">
      <c r="A928" s="766"/>
      <c r="B928" s="717"/>
      <c r="C928" s="763"/>
      <c r="D928" s="763"/>
      <c r="E928" s="423"/>
      <c r="F928" s="764"/>
      <c r="G928" s="765"/>
      <c r="H928" s="423"/>
      <c r="I928" s="765"/>
      <c r="J928" s="728"/>
      <c r="K928" s="423"/>
      <c r="L928" s="423"/>
      <c r="M928" s="423"/>
      <c r="N928" s="423"/>
      <c r="O928" s="423"/>
      <c r="P928" s="423"/>
      <c r="Q928" s="423"/>
      <c r="R928" s="423"/>
      <c r="S928" s="423"/>
      <c r="T928" s="423"/>
      <c r="U928" s="423"/>
      <c r="V928" s="423"/>
      <c r="W928" s="423"/>
    </row>
    <row r="929">
      <c r="A929" s="766"/>
      <c r="B929" s="717"/>
      <c r="C929" s="763"/>
      <c r="D929" s="763"/>
      <c r="E929" s="423"/>
      <c r="F929" s="764"/>
      <c r="G929" s="765"/>
      <c r="H929" s="423"/>
      <c r="I929" s="765"/>
      <c r="J929" s="728"/>
      <c r="K929" s="423"/>
      <c r="L929" s="423"/>
      <c r="M929" s="423"/>
      <c r="N929" s="423"/>
      <c r="O929" s="423"/>
      <c r="P929" s="423"/>
      <c r="Q929" s="423"/>
      <c r="R929" s="423"/>
      <c r="S929" s="423"/>
      <c r="T929" s="423"/>
      <c r="U929" s="423"/>
      <c r="V929" s="423"/>
      <c r="W929" s="423"/>
    </row>
    <row r="930">
      <c r="A930" s="766"/>
      <c r="B930" s="717"/>
      <c r="C930" s="763"/>
      <c r="D930" s="763"/>
      <c r="E930" s="423"/>
      <c r="F930" s="764"/>
      <c r="G930" s="765"/>
      <c r="H930" s="423"/>
      <c r="I930" s="765"/>
      <c r="J930" s="728"/>
      <c r="K930" s="423"/>
      <c r="L930" s="423"/>
      <c r="M930" s="423"/>
      <c r="N930" s="423"/>
      <c r="O930" s="423"/>
      <c r="P930" s="423"/>
      <c r="Q930" s="423"/>
      <c r="R930" s="423"/>
      <c r="S930" s="423"/>
      <c r="T930" s="423"/>
      <c r="U930" s="423"/>
      <c r="V930" s="423"/>
      <c r="W930" s="423"/>
    </row>
    <row r="931">
      <c r="A931" s="766"/>
      <c r="B931" s="717"/>
      <c r="C931" s="763"/>
      <c r="D931" s="763"/>
      <c r="E931" s="423"/>
      <c r="F931" s="764"/>
      <c r="G931" s="765"/>
      <c r="H931" s="423"/>
      <c r="I931" s="765"/>
      <c r="J931" s="728"/>
      <c r="K931" s="423"/>
      <c r="L931" s="423"/>
      <c r="M931" s="423"/>
      <c r="N931" s="423"/>
      <c r="O931" s="423"/>
      <c r="P931" s="423"/>
      <c r="Q931" s="423"/>
      <c r="R931" s="423"/>
      <c r="S931" s="423"/>
      <c r="T931" s="423"/>
      <c r="U931" s="423"/>
      <c r="V931" s="423"/>
      <c r="W931" s="423"/>
    </row>
    <row r="932">
      <c r="A932" s="766"/>
      <c r="B932" s="717"/>
      <c r="C932" s="763"/>
      <c r="D932" s="763"/>
      <c r="E932" s="423"/>
      <c r="F932" s="764"/>
      <c r="G932" s="765"/>
      <c r="H932" s="423"/>
      <c r="I932" s="765"/>
      <c r="J932" s="728"/>
      <c r="K932" s="423"/>
      <c r="L932" s="423"/>
      <c r="M932" s="423"/>
      <c r="N932" s="423"/>
      <c r="O932" s="423"/>
      <c r="P932" s="423"/>
      <c r="Q932" s="423"/>
      <c r="R932" s="423"/>
      <c r="S932" s="423"/>
      <c r="T932" s="423"/>
      <c r="U932" s="423"/>
      <c r="V932" s="423"/>
      <c r="W932" s="423"/>
    </row>
    <row r="933">
      <c r="A933" s="766"/>
      <c r="B933" s="717"/>
      <c r="C933" s="763"/>
      <c r="D933" s="763"/>
      <c r="E933" s="423"/>
      <c r="F933" s="764"/>
      <c r="G933" s="765"/>
      <c r="H933" s="423"/>
      <c r="I933" s="765"/>
      <c r="J933" s="728"/>
      <c r="K933" s="423"/>
      <c r="L933" s="423"/>
      <c r="M933" s="423"/>
      <c r="N933" s="423"/>
      <c r="O933" s="423"/>
      <c r="P933" s="423"/>
      <c r="Q933" s="423"/>
      <c r="R933" s="423"/>
      <c r="S933" s="423"/>
      <c r="T933" s="423"/>
      <c r="U933" s="423"/>
      <c r="V933" s="423"/>
      <c r="W933" s="423"/>
    </row>
    <row r="934">
      <c r="A934" s="766"/>
      <c r="B934" s="717"/>
      <c r="C934" s="763"/>
      <c r="D934" s="763"/>
      <c r="E934" s="423"/>
      <c r="F934" s="764"/>
      <c r="G934" s="765"/>
      <c r="H934" s="423"/>
      <c r="I934" s="765"/>
      <c r="J934" s="728"/>
      <c r="K934" s="423"/>
      <c r="L934" s="423"/>
      <c r="M934" s="423"/>
      <c r="N934" s="423"/>
      <c r="O934" s="423"/>
      <c r="P934" s="423"/>
      <c r="Q934" s="423"/>
      <c r="R934" s="423"/>
      <c r="S934" s="423"/>
      <c r="T934" s="423"/>
      <c r="U934" s="423"/>
      <c r="V934" s="423"/>
      <c r="W934" s="423"/>
    </row>
    <row r="935">
      <c r="A935" s="766"/>
      <c r="B935" s="717"/>
      <c r="C935" s="763"/>
      <c r="D935" s="763"/>
      <c r="E935" s="423"/>
      <c r="F935" s="764"/>
      <c r="G935" s="765"/>
      <c r="H935" s="423"/>
      <c r="I935" s="765"/>
      <c r="J935" s="728"/>
      <c r="K935" s="423"/>
      <c r="L935" s="423"/>
      <c r="M935" s="423"/>
      <c r="N935" s="423"/>
      <c r="O935" s="423"/>
      <c r="P935" s="423"/>
      <c r="Q935" s="423"/>
      <c r="R935" s="423"/>
      <c r="S935" s="423"/>
      <c r="T935" s="423"/>
      <c r="U935" s="423"/>
      <c r="V935" s="423"/>
      <c r="W935" s="423"/>
    </row>
    <row r="936">
      <c r="A936" s="766"/>
      <c r="B936" s="717"/>
      <c r="C936" s="763"/>
      <c r="D936" s="763"/>
      <c r="E936" s="423"/>
      <c r="F936" s="764"/>
      <c r="G936" s="765"/>
      <c r="H936" s="423"/>
      <c r="I936" s="765"/>
      <c r="J936" s="728"/>
      <c r="K936" s="423"/>
      <c r="L936" s="423"/>
      <c r="M936" s="423"/>
      <c r="N936" s="423"/>
      <c r="O936" s="423"/>
      <c r="P936" s="423"/>
      <c r="Q936" s="423"/>
      <c r="R936" s="423"/>
      <c r="S936" s="423"/>
      <c r="T936" s="423"/>
      <c r="U936" s="423"/>
      <c r="V936" s="423"/>
      <c r="W936" s="423"/>
    </row>
    <row r="937">
      <c r="A937" s="766"/>
      <c r="B937" s="717"/>
      <c r="C937" s="763"/>
      <c r="D937" s="763"/>
      <c r="E937" s="423"/>
      <c r="F937" s="764"/>
      <c r="G937" s="765"/>
      <c r="H937" s="423"/>
      <c r="I937" s="765"/>
      <c r="J937" s="728"/>
      <c r="K937" s="423"/>
      <c r="L937" s="423"/>
      <c r="M937" s="423"/>
      <c r="N937" s="423"/>
      <c r="O937" s="423"/>
      <c r="P937" s="423"/>
      <c r="Q937" s="423"/>
      <c r="R937" s="423"/>
      <c r="S937" s="423"/>
      <c r="T937" s="423"/>
      <c r="U937" s="423"/>
      <c r="V937" s="423"/>
      <c r="W937" s="423"/>
    </row>
    <row r="938">
      <c r="A938" s="766"/>
      <c r="B938" s="717"/>
      <c r="C938" s="763"/>
      <c r="D938" s="763"/>
      <c r="E938" s="423"/>
      <c r="F938" s="764"/>
      <c r="G938" s="765"/>
      <c r="H938" s="423"/>
      <c r="I938" s="765"/>
      <c r="J938" s="728"/>
      <c r="K938" s="423"/>
      <c r="L938" s="423"/>
      <c r="M938" s="423"/>
      <c r="N938" s="423"/>
      <c r="O938" s="423"/>
      <c r="P938" s="423"/>
      <c r="Q938" s="423"/>
      <c r="R938" s="423"/>
      <c r="S938" s="423"/>
      <c r="T938" s="423"/>
      <c r="U938" s="423"/>
      <c r="V938" s="423"/>
      <c r="W938" s="423"/>
    </row>
    <row r="939">
      <c r="A939" s="766"/>
      <c r="B939" s="717"/>
      <c r="C939" s="763"/>
      <c r="D939" s="763"/>
      <c r="E939" s="423"/>
      <c r="F939" s="764"/>
      <c r="G939" s="765"/>
      <c r="H939" s="423"/>
      <c r="I939" s="765"/>
      <c r="J939" s="728"/>
      <c r="K939" s="423"/>
      <c r="L939" s="423"/>
      <c r="M939" s="423"/>
      <c r="N939" s="423"/>
      <c r="O939" s="423"/>
      <c r="P939" s="423"/>
      <c r="Q939" s="423"/>
      <c r="R939" s="423"/>
      <c r="S939" s="423"/>
      <c r="T939" s="423"/>
      <c r="U939" s="423"/>
      <c r="V939" s="423"/>
      <c r="W939" s="423"/>
    </row>
    <row r="940">
      <c r="A940" s="766"/>
      <c r="B940" s="717"/>
      <c r="C940" s="763"/>
      <c r="D940" s="763"/>
      <c r="E940" s="423"/>
      <c r="F940" s="764"/>
      <c r="G940" s="765"/>
      <c r="H940" s="423"/>
      <c r="I940" s="765"/>
      <c r="J940" s="728"/>
      <c r="K940" s="423"/>
      <c r="L940" s="423"/>
      <c r="M940" s="423"/>
      <c r="N940" s="423"/>
      <c r="O940" s="423"/>
      <c r="P940" s="423"/>
      <c r="Q940" s="423"/>
      <c r="R940" s="423"/>
      <c r="S940" s="423"/>
      <c r="T940" s="423"/>
      <c r="U940" s="423"/>
      <c r="V940" s="423"/>
      <c r="W940" s="423"/>
    </row>
    <row r="941">
      <c r="A941" s="766"/>
      <c r="B941" s="717"/>
      <c r="C941" s="763"/>
      <c r="D941" s="763"/>
      <c r="E941" s="423"/>
      <c r="F941" s="764"/>
      <c r="G941" s="765"/>
      <c r="H941" s="423"/>
      <c r="I941" s="765"/>
      <c r="J941" s="728"/>
      <c r="K941" s="423"/>
      <c r="L941" s="423"/>
      <c r="M941" s="423"/>
      <c r="N941" s="423"/>
      <c r="O941" s="423"/>
      <c r="P941" s="423"/>
      <c r="Q941" s="423"/>
      <c r="R941" s="423"/>
      <c r="S941" s="423"/>
      <c r="T941" s="423"/>
      <c r="U941" s="423"/>
      <c r="V941" s="423"/>
      <c r="W941" s="423"/>
    </row>
    <row r="942">
      <c r="A942" s="766"/>
      <c r="B942" s="717"/>
      <c r="C942" s="763"/>
      <c r="D942" s="763"/>
      <c r="E942" s="423"/>
      <c r="F942" s="764"/>
      <c r="G942" s="765"/>
      <c r="H942" s="423"/>
      <c r="I942" s="765"/>
      <c r="J942" s="728"/>
      <c r="K942" s="423"/>
      <c r="L942" s="423"/>
      <c r="M942" s="423"/>
      <c r="N942" s="423"/>
      <c r="O942" s="423"/>
      <c r="P942" s="423"/>
      <c r="Q942" s="423"/>
      <c r="R942" s="423"/>
      <c r="S942" s="423"/>
      <c r="T942" s="423"/>
      <c r="U942" s="423"/>
      <c r="V942" s="423"/>
      <c r="W942" s="423"/>
    </row>
    <row r="943">
      <c r="A943" s="766"/>
      <c r="B943" s="717"/>
      <c r="C943" s="763"/>
      <c r="D943" s="763"/>
      <c r="E943" s="423"/>
      <c r="F943" s="764"/>
      <c r="G943" s="765"/>
      <c r="H943" s="423"/>
      <c r="I943" s="765"/>
      <c r="J943" s="728"/>
      <c r="K943" s="423"/>
      <c r="L943" s="423"/>
      <c r="M943" s="423"/>
      <c r="N943" s="423"/>
      <c r="O943" s="423"/>
      <c r="P943" s="423"/>
      <c r="Q943" s="423"/>
      <c r="R943" s="423"/>
      <c r="S943" s="423"/>
      <c r="T943" s="423"/>
      <c r="U943" s="423"/>
      <c r="V943" s="423"/>
      <c r="W943" s="423"/>
    </row>
    <row r="944">
      <c r="A944" s="766"/>
      <c r="B944" s="717"/>
      <c r="C944" s="763"/>
      <c r="D944" s="763"/>
      <c r="E944" s="423"/>
      <c r="F944" s="764"/>
      <c r="G944" s="765"/>
      <c r="H944" s="423"/>
      <c r="I944" s="765"/>
      <c r="J944" s="728"/>
      <c r="K944" s="423"/>
      <c r="L944" s="423"/>
      <c r="M944" s="423"/>
      <c r="N944" s="423"/>
      <c r="O944" s="423"/>
      <c r="P944" s="423"/>
      <c r="Q944" s="423"/>
      <c r="R944" s="423"/>
      <c r="S944" s="423"/>
      <c r="T944" s="423"/>
      <c r="U944" s="423"/>
      <c r="V944" s="423"/>
      <c r="W944" s="423"/>
    </row>
    <row r="945">
      <c r="A945" s="766"/>
      <c r="B945" s="717"/>
      <c r="C945" s="763"/>
      <c r="D945" s="763"/>
      <c r="E945" s="423"/>
      <c r="F945" s="764"/>
      <c r="G945" s="765"/>
      <c r="H945" s="423"/>
      <c r="I945" s="765"/>
      <c r="J945" s="728"/>
      <c r="K945" s="423"/>
      <c r="L945" s="423"/>
      <c r="M945" s="423"/>
      <c r="N945" s="423"/>
      <c r="O945" s="423"/>
      <c r="P945" s="423"/>
      <c r="Q945" s="423"/>
      <c r="R945" s="423"/>
      <c r="S945" s="423"/>
      <c r="T945" s="423"/>
      <c r="U945" s="423"/>
      <c r="V945" s="423"/>
      <c r="W945" s="423"/>
    </row>
    <row r="946">
      <c r="A946" s="766"/>
      <c r="B946" s="717"/>
      <c r="C946" s="763"/>
      <c r="D946" s="763"/>
      <c r="E946" s="423"/>
      <c r="F946" s="764"/>
      <c r="G946" s="765"/>
      <c r="H946" s="423"/>
      <c r="I946" s="765"/>
      <c r="J946" s="728"/>
      <c r="K946" s="423"/>
      <c r="L946" s="423"/>
      <c r="M946" s="423"/>
      <c r="N946" s="423"/>
      <c r="O946" s="423"/>
      <c r="P946" s="423"/>
      <c r="Q946" s="423"/>
      <c r="R946" s="423"/>
      <c r="S946" s="423"/>
      <c r="T946" s="423"/>
      <c r="U946" s="423"/>
      <c r="V946" s="423"/>
      <c r="W946" s="423"/>
    </row>
    <row r="947">
      <c r="A947" s="766"/>
      <c r="B947" s="717"/>
      <c r="C947" s="763"/>
      <c r="D947" s="763"/>
      <c r="E947" s="423"/>
      <c r="F947" s="764"/>
      <c r="G947" s="765"/>
      <c r="H947" s="423"/>
      <c r="I947" s="765"/>
      <c r="J947" s="728"/>
      <c r="K947" s="423"/>
      <c r="L947" s="423"/>
      <c r="M947" s="423"/>
      <c r="N947" s="423"/>
      <c r="O947" s="423"/>
      <c r="P947" s="423"/>
      <c r="Q947" s="423"/>
      <c r="R947" s="423"/>
      <c r="S947" s="423"/>
      <c r="T947" s="423"/>
      <c r="U947" s="423"/>
      <c r="V947" s="423"/>
      <c r="W947" s="423"/>
    </row>
    <row r="948">
      <c r="A948" s="766"/>
      <c r="B948" s="717"/>
      <c r="C948" s="763"/>
      <c r="D948" s="763"/>
      <c r="E948" s="423"/>
      <c r="F948" s="764"/>
      <c r="G948" s="765"/>
      <c r="H948" s="423"/>
      <c r="I948" s="765"/>
      <c r="J948" s="728"/>
      <c r="K948" s="423"/>
      <c r="L948" s="423"/>
      <c r="M948" s="423"/>
      <c r="N948" s="423"/>
      <c r="O948" s="423"/>
      <c r="P948" s="423"/>
      <c r="Q948" s="423"/>
      <c r="R948" s="423"/>
      <c r="S948" s="423"/>
      <c r="T948" s="423"/>
      <c r="U948" s="423"/>
      <c r="V948" s="423"/>
      <c r="W948" s="423"/>
    </row>
    <row r="949">
      <c r="A949" s="766"/>
      <c r="B949" s="717"/>
      <c r="C949" s="763"/>
      <c r="D949" s="763"/>
      <c r="E949" s="423"/>
      <c r="F949" s="764"/>
      <c r="G949" s="765"/>
      <c r="H949" s="423"/>
      <c r="I949" s="765"/>
      <c r="J949" s="728"/>
      <c r="K949" s="423"/>
      <c r="L949" s="423"/>
      <c r="M949" s="423"/>
      <c r="N949" s="423"/>
      <c r="O949" s="423"/>
      <c r="P949" s="423"/>
      <c r="Q949" s="423"/>
      <c r="R949" s="423"/>
      <c r="S949" s="423"/>
      <c r="T949" s="423"/>
      <c r="U949" s="423"/>
      <c r="V949" s="423"/>
      <c r="W949" s="423"/>
    </row>
    <row r="950">
      <c r="A950" s="766"/>
      <c r="B950" s="717"/>
      <c r="C950" s="763"/>
      <c r="D950" s="763"/>
      <c r="E950" s="423"/>
      <c r="F950" s="764"/>
      <c r="G950" s="765"/>
      <c r="H950" s="423"/>
      <c r="I950" s="765"/>
      <c r="J950" s="728"/>
      <c r="K950" s="423"/>
      <c r="L950" s="423"/>
      <c r="M950" s="423"/>
      <c r="N950" s="423"/>
      <c r="O950" s="423"/>
      <c r="P950" s="423"/>
      <c r="Q950" s="423"/>
      <c r="R950" s="423"/>
      <c r="S950" s="423"/>
      <c r="T950" s="423"/>
      <c r="U950" s="423"/>
      <c r="V950" s="423"/>
      <c r="W950" s="423"/>
    </row>
    <row r="951">
      <c r="A951" s="766"/>
      <c r="B951" s="717"/>
      <c r="C951" s="763"/>
      <c r="D951" s="763"/>
      <c r="E951" s="423"/>
      <c r="F951" s="764"/>
      <c r="G951" s="765"/>
      <c r="H951" s="423"/>
      <c r="I951" s="765"/>
      <c r="J951" s="728"/>
      <c r="K951" s="423"/>
      <c r="L951" s="423"/>
      <c r="M951" s="423"/>
      <c r="N951" s="423"/>
      <c r="O951" s="423"/>
      <c r="P951" s="423"/>
      <c r="Q951" s="423"/>
      <c r="R951" s="423"/>
      <c r="S951" s="423"/>
      <c r="T951" s="423"/>
      <c r="U951" s="423"/>
      <c r="V951" s="423"/>
      <c r="W951" s="423"/>
    </row>
    <row r="952">
      <c r="A952" s="766"/>
      <c r="B952" s="717"/>
      <c r="C952" s="763"/>
      <c r="D952" s="763"/>
      <c r="E952" s="423"/>
      <c r="F952" s="764"/>
      <c r="G952" s="765"/>
      <c r="H952" s="423"/>
      <c r="I952" s="765"/>
      <c r="J952" s="728"/>
      <c r="K952" s="423"/>
      <c r="L952" s="423"/>
      <c r="M952" s="423"/>
      <c r="N952" s="423"/>
      <c r="O952" s="423"/>
      <c r="P952" s="423"/>
      <c r="Q952" s="423"/>
      <c r="R952" s="423"/>
      <c r="S952" s="423"/>
      <c r="T952" s="423"/>
      <c r="U952" s="423"/>
      <c r="V952" s="423"/>
      <c r="W952" s="423"/>
    </row>
    <row r="953">
      <c r="A953" s="766"/>
      <c r="B953" s="717"/>
      <c r="C953" s="763"/>
      <c r="D953" s="763"/>
      <c r="E953" s="423"/>
      <c r="F953" s="764"/>
      <c r="G953" s="765"/>
      <c r="H953" s="423"/>
      <c r="I953" s="765"/>
      <c r="J953" s="728"/>
      <c r="K953" s="423"/>
      <c r="L953" s="423"/>
      <c r="M953" s="423"/>
      <c r="N953" s="423"/>
      <c r="O953" s="423"/>
      <c r="P953" s="423"/>
      <c r="Q953" s="423"/>
      <c r="R953" s="423"/>
      <c r="S953" s="423"/>
      <c r="T953" s="423"/>
      <c r="U953" s="423"/>
      <c r="V953" s="423"/>
      <c r="W953" s="423"/>
    </row>
    <row r="954">
      <c r="A954" s="766"/>
      <c r="B954" s="717"/>
      <c r="C954" s="763"/>
      <c r="D954" s="763"/>
      <c r="E954" s="423"/>
      <c r="F954" s="764"/>
      <c r="G954" s="765"/>
      <c r="H954" s="423"/>
      <c r="I954" s="765"/>
      <c r="J954" s="728"/>
      <c r="K954" s="423"/>
      <c r="L954" s="423"/>
      <c r="M954" s="423"/>
      <c r="N954" s="423"/>
      <c r="O954" s="423"/>
      <c r="P954" s="423"/>
      <c r="Q954" s="423"/>
      <c r="R954" s="423"/>
      <c r="S954" s="423"/>
      <c r="T954" s="423"/>
      <c r="U954" s="423"/>
      <c r="V954" s="423"/>
      <c r="W954" s="423"/>
    </row>
    <row r="955">
      <c r="A955" s="766"/>
      <c r="B955" s="717"/>
      <c r="C955" s="763"/>
      <c r="D955" s="763"/>
      <c r="E955" s="423"/>
      <c r="F955" s="764"/>
      <c r="G955" s="765"/>
      <c r="H955" s="423"/>
      <c r="I955" s="765"/>
      <c r="J955" s="728"/>
      <c r="K955" s="423"/>
      <c r="L955" s="423"/>
      <c r="M955" s="423"/>
      <c r="N955" s="423"/>
      <c r="O955" s="423"/>
      <c r="P955" s="423"/>
      <c r="Q955" s="423"/>
      <c r="R955" s="423"/>
      <c r="S955" s="423"/>
      <c r="T955" s="423"/>
      <c r="U955" s="423"/>
      <c r="V955" s="423"/>
      <c r="W955" s="423"/>
    </row>
    <row r="956">
      <c r="A956" s="766"/>
      <c r="B956" s="717"/>
      <c r="C956" s="763"/>
      <c r="D956" s="763"/>
      <c r="E956" s="423"/>
      <c r="F956" s="764"/>
      <c r="G956" s="765"/>
      <c r="H956" s="423"/>
      <c r="I956" s="765"/>
      <c r="J956" s="728"/>
      <c r="K956" s="423"/>
      <c r="L956" s="423"/>
      <c r="M956" s="423"/>
      <c r="N956" s="423"/>
      <c r="O956" s="423"/>
      <c r="P956" s="423"/>
      <c r="Q956" s="423"/>
      <c r="R956" s="423"/>
      <c r="S956" s="423"/>
      <c r="T956" s="423"/>
      <c r="U956" s="423"/>
      <c r="V956" s="423"/>
      <c r="W956" s="423"/>
    </row>
    <row r="957">
      <c r="A957" s="766"/>
      <c r="B957" s="717"/>
      <c r="C957" s="763"/>
      <c r="D957" s="763"/>
      <c r="E957" s="423"/>
      <c r="F957" s="764"/>
      <c r="G957" s="765"/>
      <c r="H957" s="423"/>
      <c r="I957" s="765"/>
      <c r="J957" s="728"/>
      <c r="K957" s="423"/>
      <c r="L957" s="423"/>
      <c r="M957" s="423"/>
      <c r="N957" s="423"/>
      <c r="O957" s="423"/>
      <c r="P957" s="423"/>
      <c r="Q957" s="423"/>
      <c r="R957" s="423"/>
      <c r="S957" s="423"/>
      <c r="T957" s="423"/>
      <c r="U957" s="423"/>
      <c r="V957" s="423"/>
      <c r="W957" s="423"/>
    </row>
    <row r="958">
      <c r="A958" s="766"/>
      <c r="B958" s="717"/>
      <c r="C958" s="763"/>
      <c r="D958" s="763"/>
      <c r="E958" s="423"/>
      <c r="F958" s="764"/>
      <c r="G958" s="765"/>
      <c r="H958" s="423"/>
      <c r="I958" s="765"/>
      <c r="J958" s="728"/>
      <c r="K958" s="423"/>
      <c r="L958" s="423"/>
      <c r="M958" s="423"/>
      <c r="N958" s="423"/>
      <c r="O958" s="423"/>
      <c r="P958" s="423"/>
      <c r="Q958" s="423"/>
      <c r="R958" s="423"/>
      <c r="S958" s="423"/>
      <c r="T958" s="423"/>
      <c r="U958" s="423"/>
      <c r="V958" s="423"/>
      <c r="W958" s="423"/>
    </row>
    <row r="959">
      <c r="A959" s="766"/>
      <c r="B959" s="717"/>
      <c r="C959" s="763"/>
      <c r="D959" s="763"/>
      <c r="E959" s="423"/>
      <c r="F959" s="764"/>
      <c r="G959" s="765"/>
      <c r="H959" s="423"/>
      <c r="I959" s="765"/>
      <c r="J959" s="728"/>
      <c r="K959" s="423"/>
      <c r="L959" s="423"/>
      <c r="M959" s="423"/>
      <c r="N959" s="423"/>
      <c r="O959" s="423"/>
      <c r="P959" s="423"/>
      <c r="Q959" s="423"/>
      <c r="R959" s="423"/>
      <c r="S959" s="423"/>
      <c r="T959" s="423"/>
      <c r="U959" s="423"/>
      <c r="V959" s="423"/>
      <c r="W959" s="423"/>
    </row>
    <row r="960">
      <c r="A960" s="766"/>
      <c r="B960" s="717"/>
      <c r="C960" s="763"/>
      <c r="D960" s="763"/>
      <c r="E960" s="423"/>
      <c r="F960" s="764"/>
      <c r="G960" s="765"/>
      <c r="H960" s="423"/>
      <c r="I960" s="765"/>
      <c r="J960" s="728"/>
      <c r="K960" s="423"/>
      <c r="L960" s="423"/>
      <c r="M960" s="423"/>
      <c r="N960" s="423"/>
      <c r="O960" s="423"/>
      <c r="P960" s="423"/>
      <c r="Q960" s="423"/>
      <c r="R960" s="423"/>
      <c r="S960" s="423"/>
      <c r="T960" s="423"/>
      <c r="U960" s="423"/>
      <c r="V960" s="423"/>
      <c r="W960" s="423"/>
    </row>
    <row r="961">
      <c r="A961" s="766"/>
      <c r="B961" s="717"/>
      <c r="C961" s="763"/>
      <c r="D961" s="763"/>
      <c r="E961" s="423"/>
      <c r="F961" s="764"/>
      <c r="G961" s="765"/>
      <c r="H961" s="423"/>
      <c r="I961" s="765"/>
      <c r="J961" s="728"/>
      <c r="K961" s="423"/>
      <c r="L961" s="423"/>
      <c r="M961" s="423"/>
      <c r="N961" s="423"/>
      <c r="O961" s="423"/>
      <c r="P961" s="423"/>
      <c r="Q961" s="423"/>
      <c r="R961" s="423"/>
      <c r="S961" s="423"/>
      <c r="T961" s="423"/>
      <c r="U961" s="423"/>
      <c r="V961" s="423"/>
      <c r="W961" s="423"/>
    </row>
    <row r="962">
      <c r="A962" s="766"/>
      <c r="B962" s="717"/>
      <c r="C962" s="763"/>
      <c r="D962" s="763"/>
      <c r="E962" s="423"/>
      <c r="F962" s="764"/>
      <c r="G962" s="765"/>
      <c r="H962" s="423"/>
      <c r="I962" s="765"/>
      <c r="J962" s="728"/>
      <c r="K962" s="423"/>
      <c r="L962" s="423"/>
      <c r="M962" s="423"/>
      <c r="N962" s="423"/>
      <c r="O962" s="423"/>
      <c r="P962" s="423"/>
      <c r="Q962" s="423"/>
      <c r="R962" s="423"/>
      <c r="S962" s="423"/>
      <c r="T962" s="423"/>
      <c r="U962" s="423"/>
      <c r="V962" s="423"/>
      <c r="W962" s="423"/>
    </row>
    <row r="963">
      <c r="A963" s="766"/>
      <c r="B963" s="717"/>
      <c r="C963" s="763"/>
      <c r="D963" s="763"/>
      <c r="E963" s="423"/>
      <c r="F963" s="764"/>
      <c r="G963" s="765"/>
      <c r="H963" s="423"/>
      <c r="I963" s="765"/>
      <c r="J963" s="728"/>
      <c r="K963" s="423"/>
      <c r="L963" s="423"/>
      <c r="M963" s="423"/>
      <c r="N963" s="423"/>
      <c r="O963" s="423"/>
      <c r="P963" s="423"/>
      <c r="Q963" s="423"/>
      <c r="R963" s="423"/>
      <c r="S963" s="423"/>
      <c r="T963" s="423"/>
      <c r="U963" s="423"/>
      <c r="V963" s="423"/>
      <c r="W963" s="423"/>
    </row>
    <row r="964">
      <c r="A964" s="766"/>
      <c r="B964" s="717"/>
      <c r="C964" s="763"/>
      <c r="D964" s="763"/>
      <c r="E964" s="423"/>
      <c r="F964" s="764"/>
      <c r="G964" s="765"/>
      <c r="H964" s="423"/>
      <c r="I964" s="765"/>
      <c r="J964" s="728"/>
      <c r="K964" s="423"/>
      <c r="L964" s="423"/>
      <c r="M964" s="423"/>
      <c r="N964" s="423"/>
      <c r="O964" s="423"/>
      <c r="P964" s="423"/>
      <c r="Q964" s="423"/>
      <c r="R964" s="423"/>
      <c r="S964" s="423"/>
      <c r="T964" s="423"/>
      <c r="U964" s="423"/>
      <c r="V964" s="423"/>
      <c r="W964" s="423"/>
    </row>
    <row r="965">
      <c r="A965" s="766"/>
      <c r="B965" s="717"/>
      <c r="C965" s="763"/>
      <c r="D965" s="763"/>
      <c r="E965" s="423"/>
      <c r="F965" s="764"/>
      <c r="G965" s="765"/>
      <c r="H965" s="423"/>
      <c r="I965" s="765"/>
      <c r="J965" s="728"/>
      <c r="K965" s="423"/>
      <c r="L965" s="423"/>
      <c r="M965" s="423"/>
      <c r="N965" s="423"/>
      <c r="O965" s="423"/>
      <c r="P965" s="423"/>
      <c r="Q965" s="423"/>
      <c r="R965" s="423"/>
      <c r="S965" s="423"/>
      <c r="T965" s="423"/>
      <c r="U965" s="423"/>
      <c r="V965" s="423"/>
      <c r="W965" s="423"/>
    </row>
    <row r="966">
      <c r="A966" s="766"/>
      <c r="B966" s="717"/>
      <c r="C966" s="763"/>
      <c r="D966" s="763"/>
      <c r="E966" s="423"/>
      <c r="F966" s="764"/>
      <c r="G966" s="765"/>
      <c r="H966" s="423"/>
      <c r="I966" s="765"/>
      <c r="J966" s="728"/>
      <c r="K966" s="423"/>
      <c r="L966" s="423"/>
      <c r="M966" s="423"/>
      <c r="N966" s="423"/>
      <c r="O966" s="423"/>
      <c r="P966" s="423"/>
      <c r="Q966" s="423"/>
      <c r="R966" s="423"/>
      <c r="S966" s="423"/>
      <c r="T966" s="423"/>
      <c r="U966" s="423"/>
      <c r="V966" s="423"/>
      <c r="W966" s="423"/>
    </row>
    <row r="967">
      <c r="A967" s="766"/>
      <c r="B967" s="717"/>
      <c r="C967" s="763"/>
      <c r="D967" s="763"/>
      <c r="E967" s="423"/>
      <c r="F967" s="764"/>
      <c r="G967" s="765"/>
      <c r="H967" s="423"/>
      <c r="I967" s="765"/>
      <c r="J967" s="728"/>
      <c r="K967" s="423"/>
      <c r="L967" s="423"/>
      <c r="M967" s="423"/>
      <c r="N967" s="423"/>
      <c r="O967" s="423"/>
      <c r="P967" s="423"/>
      <c r="Q967" s="423"/>
      <c r="R967" s="423"/>
      <c r="S967" s="423"/>
      <c r="T967" s="423"/>
      <c r="U967" s="423"/>
      <c r="V967" s="423"/>
      <c r="W967" s="423"/>
    </row>
    <row r="968">
      <c r="A968" s="766"/>
      <c r="B968" s="717"/>
      <c r="C968" s="763"/>
      <c r="D968" s="763"/>
      <c r="E968" s="423"/>
      <c r="F968" s="764"/>
      <c r="G968" s="765"/>
      <c r="H968" s="423"/>
      <c r="I968" s="765"/>
      <c r="J968" s="728"/>
      <c r="K968" s="423"/>
      <c r="L968" s="423"/>
      <c r="M968" s="423"/>
      <c r="N968" s="423"/>
      <c r="O968" s="423"/>
      <c r="P968" s="423"/>
      <c r="Q968" s="423"/>
      <c r="R968" s="423"/>
      <c r="S968" s="423"/>
      <c r="T968" s="423"/>
      <c r="U968" s="423"/>
      <c r="V968" s="423"/>
      <c r="W968" s="423"/>
    </row>
    <row r="969">
      <c r="A969" s="766"/>
      <c r="B969" s="717"/>
      <c r="C969" s="763"/>
      <c r="D969" s="763"/>
      <c r="E969" s="423"/>
      <c r="F969" s="764"/>
      <c r="G969" s="765"/>
      <c r="H969" s="423"/>
      <c r="I969" s="765"/>
      <c r="J969" s="728"/>
      <c r="K969" s="423"/>
      <c r="L969" s="423"/>
      <c r="M969" s="423"/>
      <c r="N969" s="423"/>
      <c r="O969" s="423"/>
      <c r="P969" s="423"/>
      <c r="Q969" s="423"/>
      <c r="R969" s="423"/>
      <c r="S969" s="423"/>
      <c r="T969" s="423"/>
      <c r="U969" s="423"/>
      <c r="V969" s="423"/>
      <c r="W969" s="423"/>
    </row>
    <row r="970">
      <c r="A970" s="766"/>
      <c r="B970" s="717"/>
      <c r="C970" s="763"/>
      <c r="D970" s="763"/>
      <c r="E970" s="423"/>
      <c r="F970" s="764"/>
      <c r="G970" s="765"/>
      <c r="H970" s="423"/>
      <c r="I970" s="765"/>
      <c r="J970" s="728"/>
      <c r="K970" s="423"/>
      <c r="L970" s="423"/>
      <c r="M970" s="423"/>
      <c r="N970" s="423"/>
      <c r="O970" s="423"/>
      <c r="P970" s="423"/>
      <c r="Q970" s="423"/>
      <c r="R970" s="423"/>
      <c r="S970" s="423"/>
      <c r="T970" s="423"/>
      <c r="U970" s="423"/>
      <c r="V970" s="423"/>
      <c r="W970" s="423"/>
    </row>
    <row r="971">
      <c r="A971" s="766"/>
      <c r="B971" s="717"/>
      <c r="C971" s="763"/>
      <c r="D971" s="763"/>
      <c r="E971" s="423"/>
      <c r="F971" s="764"/>
      <c r="G971" s="765"/>
      <c r="H971" s="423"/>
      <c r="I971" s="765"/>
      <c r="J971" s="728"/>
      <c r="K971" s="423"/>
      <c r="L971" s="423"/>
      <c r="M971" s="423"/>
      <c r="N971" s="423"/>
      <c r="O971" s="423"/>
      <c r="P971" s="423"/>
      <c r="Q971" s="423"/>
      <c r="R971" s="423"/>
      <c r="S971" s="423"/>
      <c r="T971" s="423"/>
      <c r="U971" s="423"/>
      <c r="V971" s="423"/>
      <c r="W971" s="423"/>
    </row>
    <row r="972">
      <c r="A972" s="766"/>
      <c r="B972" s="717"/>
      <c r="C972" s="763"/>
      <c r="D972" s="763"/>
      <c r="E972" s="423"/>
      <c r="F972" s="764"/>
      <c r="G972" s="765"/>
      <c r="H972" s="423"/>
      <c r="I972" s="765"/>
      <c r="J972" s="728"/>
      <c r="K972" s="423"/>
      <c r="L972" s="423"/>
      <c r="M972" s="423"/>
      <c r="N972" s="423"/>
      <c r="O972" s="423"/>
      <c r="P972" s="423"/>
      <c r="Q972" s="423"/>
      <c r="R972" s="423"/>
      <c r="S972" s="423"/>
      <c r="T972" s="423"/>
      <c r="U972" s="423"/>
      <c r="V972" s="423"/>
      <c r="W972" s="423"/>
    </row>
    <row r="973">
      <c r="A973" s="766"/>
      <c r="B973" s="717"/>
      <c r="C973" s="763"/>
      <c r="D973" s="763"/>
      <c r="E973" s="423"/>
      <c r="F973" s="764"/>
      <c r="G973" s="765"/>
      <c r="H973" s="423"/>
      <c r="I973" s="765"/>
      <c r="J973" s="728"/>
      <c r="K973" s="423"/>
      <c r="L973" s="423"/>
      <c r="M973" s="423"/>
      <c r="N973" s="423"/>
      <c r="O973" s="423"/>
      <c r="P973" s="423"/>
      <c r="Q973" s="423"/>
      <c r="R973" s="423"/>
      <c r="S973" s="423"/>
      <c r="T973" s="423"/>
      <c r="U973" s="423"/>
      <c r="V973" s="423"/>
      <c r="W973" s="423"/>
    </row>
    <row r="974">
      <c r="A974" s="766"/>
      <c r="B974" s="717"/>
      <c r="C974" s="763"/>
      <c r="D974" s="763"/>
      <c r="E974" s="423"/>
      <c r="F974" s="764"/>
      <c r="G974" s="765"/>
      <c r="H974" s="423"/>
      <c r="I974" s="765"/>
      <c r="J974" s="728"/>
      <c r="K974" s="423"/>
      <c r="L974" s="423"/>
      <c r="M974" s="423"/>
      <c r="N974" s="423"/>
      <c r="O974" s="423"/>
      <c r="P974" s="423"/>
      <c r="Q974" s="423"/>
      <c r="R974" s="423"/>
      <c r="S974" s="423"/>
      <c r="T974" s="423"/>
      <c r="U974" s="423"/>
      <c r="V974" s="423"/>
      <c r="W974" s="423"/>
    </row>
    <row r="975">
      <c r="A975" s="766"/>
      <c r="B975" s="717"/>
      <c r="C975" s="763"/>
      <c r="D975" s="763"/>
      <c r="E975" s="423"/>
      <c r="F975" s="764"/>
      <c r="G975" s="765"/>
      <c r="H975" s="423"/>
      <c r="I975" s="765"/>
      <c r="J975" s="728"/>
      <c r="K975" s="423"/>
      <c r="L975" s="423"/>
      <c r="M975" s="423"/>
      <c r="N975" s="423"/>
      <c r="O975" s="423"/>
      <c r="P975" s="423"/>
      <c r="Q975" s="423"/>
      <c r="R975" s="423"/>
      <c r="S975" s="423"/>
      <c r="T975" s="423"/>
      <c r="U975" s="423"/>
      <c r="V975" s="423"/>
      <c r="W975" s="423"/>
    </row>
    <row r="976">
      <c r="A976" s="766"/>
      <c r="B976" s="717"/>
      <c r="C976" s="763"/>
      <c r="D976" s="763"/>
      <c r="E976" s="423"/>
      <c r="F976" s="764"/>
      <c r="G976" s="765"/>
      <c r="H976" s="423"/>
      <c r="I976" s="765"/>
      <c r="J976" s="728"/>
      <c r="K976" s="423"/>
      <c r="L976" s="423"/>
      <c r="M976" s="423"/>
      <c r="N976" s="423"/>
      <c r="O976" s="423"/>
      <c r="P976" s="423"/>
      <c r="Q976" s="423"/>
      <c r="R976" s="423"/>
      <c r="S976" s="423"/>
      <c r="T976" s="423"/>
      <c r="U976" s="423"/>
      <c r="V976" s="423"/>
      <c r="W976" s="423"/>
    </row>
    <row r="977">
      <c r="A977" s="766"/>
      <c r="B977" s="717"/>
      <c r="C977" s="763"/>
      <c r="D977" s="763"/>
      <c r="E977" s="423"/>
      <c r="F977" s="764"/>
      <c r="G977" s="765"/>
      <c r="H977" s="423"/>
      <c r="I977" s="765"/>
      <c r="J977" s="728"/>
      <c r="K977" s="423"/>
      <c r="L977" s="423"/>
      <c r="M977" s="423"/>
      <c r="N977" s="423"/>
      <c r="O977" s="423"/>
      <c r="P977" s="423"/>
      <c r="Q977" s="423"/>
      <c r="R977" s="423"/>
      <c r="S977" s="423"/>
      <c r="T977" s="423"/>
      <c r="U977" s="423"/>
      <c r="V977" s="423"/>
      <c r="W977" s="423"/>
    </row>
    <row r="978">
      <c r="A978" s="766"/>
      <c r="B978" s="717"/>
      <c r="C978" s="763"/>
      <c r="D978" s="763"/>
      <c r="E978" s="423"/>
      <c r="F978" s="764"/>
      <c r="G978" s="765"/>
      <c r="H978" s="423"/>
      <c r="I978" s="765"/>
      <c r="J978" s="728"/>
      <c r="K978" s="423"/>
      <c r="L978" s="423"/>
      <c r="M978" s="423"/>
      <c r="N978" s="423"/>
      <c r="O978" s="423"/>
      <c r="P978" s="423"/>
      <c r="Q978" s="423"/>
      <c r="R978" s="423"/>
      <c r="S978" s="423"/>
      <c r="T978" s="423"/>
      <c r="U978" s="423"/>
      <c r="V978" s="423"/>
      <c r="W978" s="423"/>
    </row>
    <row r="979">
      <c r="A979" s="766"/>
      <c r="B979" s="717"/>
      <c r="C979" s="763"/>
      <c r="D979" s="763"/>
      <c r="E979" s="423"/>
      <c r="F979" s="764"/>
      <c r="G979" s="765"/>
      <c r="H979" s="423"/>
      <c r="I979" s="765"/>
      <c r="J979" s="728"/>
      <c r="K979" s="423"/>
      <c r="L979" s="423"/>
      <c r="M979" s="423"/>
      <c r="N979" s="423"/>
      <c r="O979" s="423"/>
      <c r="P979" s="423"/>
      <c r="Q979" s="423"/>
      <c r="R979" s="423"/>
      <c r="S979" s="423"/>
      <c r="T979" s="423"/>
      <c r="U979" s="423"/>
      <c r="V979" s="423"/>
      <c r="W979" s="423"/>
    </row>
    <row r="980">
      <c r="A980" s="766"/>
      <c r="B980" s="717"/>
      <c r="C980" s="763"/>
      <c r="D980" s="763"/>
      <c r="E980" s="423"/>
      <c r="F980" s="764"/>
      <c r="G980" s="765"/>
      <c r="H980" s="423"/>
      <c r="I980" s="765"/>
      <c r="J980" s="728"/>
      <c r="K980" s="423"/>
      <c r="L980" s="423"/>
      <c r="M980" s="423"/>
      <c r="N980" s="423"/>
      <c r="O980" s="423"/>
      <c r="P980" s="423"/>
      <c r="Q980" s="423"/>
      <c r="R980" s="423"/>
      <c r="S980" s="423"/>
      <c r="T980" s="423"/>
      <c r="U980" s="423"/>
      <c r="V980" s="423"/>
      <c r="W980" s="423"/>
    </row>
    <row r="981">
      <c r="A981" s="766"/>
      <c r="B981" s="717"/>
      <c r="C981" s="763"/>
      <c r="D981" s="763"/>
      <c r="E981" s="423"/>
      <c r="F981" s="764"/>
      <c r="G981" s="765"/>
      <c r="H981" s="423"/>
      <c r="I981" s="765"/>
      <c r="J981" s="728"/>
      <c r="K981" s="423"/>
      <c r="L981" s="423"/>
      <c r="M981" s="423"/>
      <c r="N981" s="423"/>
      <c r="O981" s="423"/>
      <c r="P981" s="423"/>
      <c r="Q981" s="423"/>
      <c r="R981" s="423"/>
      <c r="S981" s="423"/>
      <c r="T981" s="423"/>
      <c r="U981" s="423"/>
      <c r="V981" s="423"/>
      <c r="W981" s="423"/>
    </row>
    <row r="982">
      <c r="A982" s="766"/>
      <c r="B982" s="717"/>
      <c r="C982" s="763"/>
      <c r="D982" s="763"/>
      <c r="E982" s="423"/>
      <c r="F982" s="764"/>
      <c r="G982" s="765"/>
      <c r="H982" s="423"/>
      <c r="I982" s="765"/>
      <c r="J982" s="728"/>
      <c r="K982" s="423"/>
      <c r="L982" s="423"/>
      <c r="M982" s="423"/>
      <c r="N982" s="423"/>
      <c r="O982" s="423"/>
      <c r="P982" s="423"/>
      <c r="Q982" s="423"/>
      <c r="R982" s="423"/>
      <c r="S982" s="423"/>
      <c r="T982" s="423"/>
      <c r="U982" s="423"/>
      <c r="V982" s="423"/>
      <c r="W982" s="423"/>
    </row>
    <row r="983">
      <c r="A983" s="766"/>
      <c r="B983" s="717"/>
      <c r="C983" s="763"/>
      <c r="D983" s="763"/>
      <c r="E983" s="423"/>
      <c r="F983" s="764"/>
      <c r="G983" s="765"/>
      <c r="H983" s="423"/>
      <c r="I983" s="765"/>
      <c r="J983" s="728"/>
      <c r="K983" s="423"/>
      <c r="L983" s="423"/>
      <c r="M983" s="423"/>
      <c r="N983" s="423"/>
      <c r="O983" s="423"/>
      <c r="P983" s="423"/>
      <c r="Q983" s="423"/>
      <c r="R983" s="423"/>
      <c r="S983" s="423"/>
      <c r="T983" s="423"/>
      <c r="U983" s="423"/>
      <c r="V983" s="423"/>
      <c r="W983" s="423"/>
    </row>
    <row r="984">
      <c r="A984" s="766"/>
      <c r="B984" s="717"/>
      <c r="C984" s="763"/>
      <c r="D984" s="763"/>
      <c r="E984" s="423"/>
      <c r="F984" s="764"/>
      <c r="G984" s="765"/>
      <c r="H984" s="423"/>
      <c r="I984" s="765"/>
      <c r="J984" s="728"/>
      <c r="K984" s="423"/>
      <c r="L984" s="423"/>
      <c r="M984" s="423"/>
      <c r="N984" s="423"/>
      <c r="O984" s="423"/>
      <c r="P984" s="423"/>
      <c r="Q984" s="423"/>
      <c r="R984" s="423"/>
      <c r="S984" s="423"/>
      <c r="T984" s="423"/>
      <c r="U984" s="423"/>
      <c r="V984" s="423"/>
      <c r="W984" s="423"/>
    </row>
    <row r="985">
      <c r="A985" s="766"/>
      <c r="B985" s="717"/>
      <c r="C985" s="763"/>
      <c r="D985" s="763"/>
      <c r="E985" s="423"/>
      <c r="F985" s="764"/>
      <c r="G985" s="765"/>
      <c r="H985" s="423"/>
      <c r="I985" s="765"/>
      <c r="J985" s="728"/>
      <c r="K985" s="423"/>
      <c r="L985" s="423"/>
      <c r="M985" s="423"/>
      <c r="N985" s="423"/>
      <c r="O985" s="423"/>
      <c r="P985" s="423"/>
      <c r="Q985" s="423"/>
      <c r="R985" s="423"/>
      <c r="S985" s="423"/>
      <c r="T985" s="423"/>
      <c r="U985" s="423"/>
      <c r="V985" s="423"/>
      <c r="W985" s="423"/>
    </row>
    <row r="986">
      <c r="A986" s="766"/>
      <c r="B986" s="717"/>
      <c r="C986" s="763"/>
      <c r="D986" s="763"/>
      <c r="E986" s="423"/>
      <c r="F986" s="764"/>
      <c r="G986" s="765"/>
      <c r="H986" s="423"/>
      <c r="I986" s="765"/>
      <c r="J986" s="728"/>
      <c r="K986" s="423"/>
      <c r="L986" s="423"/>
      <c r="M986" s="423"/>
      <c r="N986" s="423"/>
      <c r="O986" s="423"/>
      <c r="P986" s="423"/>
      <c r="Q986" s="423"/>
      <c r="R986" s="423"/>
      <c r="S986" s="423"/>
      <c r="T986" s="423"/>
      <c r="U986" s="423"/>
      <c r="V986" s="423"/>
      <c r="W986" s="423"/>
    </row>
    <row r="987">
      <c r="A987" s="766"/>
      <c r="B987" s="717"/>
      <c r="C987" s="763"/>
      <c r="D987" s="763"/>
      <c r="E987" s="423"/>
      <c r="F987" s="764"/>
      <c r="G987" s="765"/>
      <c r="H987" s="423"/>
      <c r="I987" s="765"/>
      <c r="J987" s="728"/>
      <c r="K987" s="423"/>
      <c r="L987" s="423"/>
      <c r="M987" s="423"/>
      <c r="N987" s="423"/>
      <c r="O987" s="423"/>
      <c r="P987" s="423"/>
      <c r="Q987" s="423"/>
      <c r="R987" s="423"/>
      <c r="S987" s="423"/>
      <c r="T987" s="423"/>
      <c r="U987" s="423"/>
      <c r="V987" s="423"/>
      <c r="W987" s="423"/>
    </row>
    <row r="988">
      <c r="A988" s="766"/>
      <c r="B988" s="717"/>
      <c r="C988" s="763"/>
      <c r="D988" s="763"/>
      <c r="E988" s="423"/>
      <c r="F988" s="764"/>
      <c r="G988" s="765"/>
      <c r="H988" s="423"/>
      <c r="I988" s="765"/>
      <c r="J988" s="728"/>
      <c r="K988" s="423"/>
      <c r="L988" s="423"/>
      <c r="M988" s="423"/>
      <c r="N988" s="423"/>
      <c r="O988" s="423"/>
      <c r="P988" s="423"/>
      <c r="Q988" s="423"/>
      <c r="R988" s="423"/>
      <c r="S988" s="423"/>
      <c r="T988" s="423"/>
      <c r="U988" s="423"/>
      <c r="V988" s="423"/>
      <c r="W988" s="423"/>
    </row>
    <row r="989">
      <c r="A989" s="766"/>
      <c r="B989" s="717"/>
      <c r="C989" s="763"/>
      <c r="D989" s="763"/>
      <c r="E989" s="423"/>
      <c r="F989" s="764"/>
      <c r="G989" s="765"/>
      <c r="H989" s="423"/>
      <c r="I989" s="765"/>
      <c r="J989" s="728"/>
      <c r="K989" s="423"/>
      <c r="L989" s="423"/>
      <c r="M989" s="423"/>
      <c r="N989" s="423"/>
      <c r="O989" s="423"/>
      <c r="P989" s="423"/>
      <c r="Q989" s="423"/>
      <c r="R989" s="423"/>
      <c r="S989" s="423"/>
      <c r="T989" s="423"/>
      <c r="U989" s="423"/>
      <c r="V989" s="423"/>
      <c r="W989" s="423"/>
    </row>
    <row r="990">
      <c r="A990" s="766"/>
      <c r="B990" s="717"/>
      <c r="C990" s="763"/>
      <c r="D990" s="763"/>
      <c r="E990" s="423"/>
      <c r="F990" s="764"/>
      <c r="G990" s="765"/>
      <c r="H990" s="423"/>
      <c r="I990" s="765"/>
      <c r="J990" s="728"/>
      <c r="K990" s="423"/>
      <c r="L990" s="423"/>
      <c r="M990" s="423"/>
      <c r="N990" s="423"/>
      <c r="O990" s="423"/>
      <c r="P990" s="423"/>
      <c r="Q990" s="423"/>
      <c r="R990" s="423"/>
      <c r="S990" s="423"/>
      <c r="T990" s="423"/>
      <c r="U990" s="423"/>
      <c r="V990" s="423"/>
      <c r="W990" s="423"/>
    </row>
    <row r="991">
      <c r="A991" s="766"/>
      <c r="B991" s="717"/>
      <c r="C991" s="763"/>
      <c r="D991" s="763"/>
      <c r="E991" s="423"/>
      <c r="F991" s="764"/>
      <c r="G991" s="765"/>
      <c r="H991" s="423"/>
      <c r="I991" s="765"/>
      <c r="J991" s="728"/>
      <c r="K991" s="423"/>
      <c r="L991" s="423"/>
      <c r="M991" s="423"/>
      <c r="N991" s="423"/>
      <c r="O991" s="423"/>
      <c r="P991" s="423"/>
      <c r="Q991" s="423"/>
      <c r="R991" s="423"/>
      <c r="S991" s="423"/>
      <c r="T991" s="423"/>
      <c r="U991" s="423"/>
      <c r="V991" s="423"/>
      <c r="W991" s="423"/>
    </row>
    <row r="992">
      <c r="A992" s="766"/>
      <c r="B992" s="717"/>
      <c r="C992" s="763"/>
      <c r="D992" s="763"/>
      <c r="E992" s="423"/>
      <c r="F992" s="764"/>
      <c r="G992" s="765"/>
      <c r="H992" s="423"/>
      <c r="I992" s="765"/>
      <c r="J992" s="728"/>
      <c r="K992" s="423"/>
      <c r="L992" s="423"/>
      <c r="M992" s="423"/>
      <c r="N992" s="423"/>
      <c r="O992" s="423"/>
      <c r="P992" s="423"/>
      <c r="Q992" s="423"/>
      <c r="R992" s="423"/>
      <c r="S992" s="423"/>
      <c r="T992" s="423"/>
      <c r="U992" s="423"/>
      <c r="V992" s="423"/>
      <c r="W992" s="423"/>
    </row>
    <row r="993">
      <c r="A993" s="766"/>
      <c r="B993" s="717"/>
      <c r="C993" s="763"/>
      <c r="D993" s="763"/>
      <c r="E993" s="423"/>
      <c r="F993" s="764"/>
      <c r="G993" s="765"/>
      <c r="H993" s="423"/>
      <c r="I993" s="765"/>
      <c r="J993" s="728"/>
      <c r="K993" s="423"/>
      <c r="L993" s="423"/>
      <c r="M993" s="423"/>
      <c r="N993" s="423"/>
      <c r="O993" s="423"/>
      <c r="P993" s="423"/>
      <c r="Q993" s="423"/>
      <c r="R993" s="423"/>
      <c r="S993" s="423"/>
      <c r="T993" s="423"/>
      <c r="U993" s="423"/>
      <c r="V993" s="423"/>
      <c r="W993" s="423"/>
    </row>
    <row r="994">
      <c r="A994" s="766"/>
      <c r="B994" s="717"/>
      <c r="C994" s="763"/>
      <c r="D994" s="763"/>
      <c r="E994" s="423"/>
      <c r="F994" s="764"/>
      <c r="G994" s="765"/>
      <c r="H994" s="423"/>
      <c r="I994" s="765"/>
      <c r="J994" s="728"/>
      <c r="K994" s="423"/>
      <c r="L994" s="423"/>
      <c r="M994" s="423"/>
      <c r="N994" s="423"/>
      <c r="O994" s="423"/>
      <c r="P994" s="423"/>
      <c r="Q994" s="423"/>
      <c r="R994" s="423"/>
      <c r="S994" s="423"/>
      <c r="T994" s="423"/>
      <c r="U994" s="423"/>
      <c r="V994" s="423"/>
      <c r="W994" s="423"/>
    </row>
    <row r="995">
      <c r="A995" s="766"/>
      <c r="B995" s="717"/>
      <c r="C995" s="763"/>
      <c r="D995" s="763"/>
      <c r="E995" s="423"/>
      <c r="F995" s="764"/>
      <c r="G995" s="765"/>
      <c r="H995" s="423"/>
      <c r="I995" s="765"/>
      <c r="J995" s="728"/>
      <c r="K995" s="423"/>
      <c r="L995" s="423"/>
      <c r="M995" s="423"/>
      <c r="N995" s="423"/>
      <c r="O995" s="423"/>
      <c r="P995" s="423"/>
      <c r="Q995" s="423"/>
      <c r="R995" s="423"/>
      <c r="S995" s="423"/>
      <c r="T995" s="423"/>
      <c r="U995" s="423"/>
      <c r="V995" s="423"/>
      <c r="W995" s="423"/>
    </row>
    <row r="996">
      <c r="A996" s="766"/>
      <c r="B996" s="717"/>
      <c r="C996" s="763"/>
      <c r="D996" s="763"/>
      <c r="E996" s="423"/>
      <c r="F996" s="764"/>
      <c r="G996" s="765"/>
      <c r="H996" s="423"/>
      <c r="I996" s="765"/>
      <c r="J996" s="728"/>
      <c r="K996" s="423"/>
      <c r="L996" s="423"/>
      <c r="M996" s="423"/>
      <c r="N996" s="423"/>
      <c r="O996" s="423"/>
      <c r="P996" s="423"/>
      <c r="Q996" s="423"/>
      <c r="R996" s="423"/>
      <c r="S996" s="423"/>
      <c r="T996" s="423"/>
      <c r="U996" s="423"/>
      <c r="V996" s="423"/>
      <c r="W996" s="423"/>
    </row>
    <row r="997">
      <c r="A997" s="766"/>
      <c r="B997" s="717"/>
      <c r="C997" s="763"/>
      <c r="D997" s="763"/>
      <c r="E997" s="423"/>
      <c r="F997" s="764"/>
      <c r="G997" s="765"/>
      <c r="H997" s="423"/>
      <c r="I997" s="765"/>
      <c r="J997" s="728"/>
      <c r="K997" s="423"/>
      <c r="L997" s="423"/>
      <c r="M997" s="423"/>
      <c r="N997" s="423"/>
      <c r="O997" s="423"/>
      <c r="P997" s="423"/>
      <c r="Q997" s="423"/>
      <c r="R997" s="423"/>
      <c r="S997" s="423"/>
      <c r="T997" s="423"/>
      <c r="U997" s="423"/>
      <c r="V997" s="423"/>
      <c r="W997" s="423"/>
    </row>
    <row r="998">
      <c r="A998" s="766"/>
      <c r="B998" s="717"/>
      <c r="C998" s="763"/>
      <c r="D998" s="763"/>
      <c r="E998" s="423"/>
      <c r="F998" s="764"/>
      <c r="G998" s="765"/>
      <c r="H998" s="423"/>
      <c r="I998" s="765"/>
      <c r="J998" s="728"/>
      <c r="K998" s="423"/>
      <c r="L998" s="423"/>
      <c r="M998" s="423"/>
      <c r="N998" s="423"/>
      <c r="O998" s="423"/>
      <c r="P998" s="423"/>
      <c r="Q998" s="423"/>
      <c r="R998" s="423"/>
      <c r="S998" s="423"/>
      <c r="T998" s="423"/>
      <c r="U998" s="423"/>
      <c r="V998" s="423"/>
      <c r="W998" s="423"/>
    </row>
    <row r="999">
      <c r="A999" s="766"/>
      <c r="B999" s="717"/>
      <c r="C999" s="763"/>
      <c r="D999" s="763"/>
      <c r="E999" s="423"/>
      <c r="F999" s="764"/>
      <c r="G999" s="765"/>
      <c r="H999" s="423"/>
      <c r="I999" s="765"/>
      <c r="J999" s="728"/>
      <c r="K999" s="423"/>
      <c r="L999" s="423"/>
      <c r="M999" s="423"/>
      <c r="N999" s="423"/>
      <c r="O999" s="423"/>
      <c r="P999" s="423"/>
      <c r="Q999" s="423"/>
      <c r="R999" s="423"/>
      <c r="S999" s="423"/>
      <c r="T999" s="423"/>
      <c r="U999" s="423"/>
      <c r="V999" s="423"/>
      <c r="W999" s="423"/>
    </row>
    <row r="1000">
      <c r="A1000" s="766"/>
      <c r="B1000" s="717"/>
      <c r="C1000" s="763"/>
      <c r="D1000" s="763"/>
      <c r="E1000" s="423"/>
      <c r="F1000" s="764"/>
      <c r="G1000" s="765"/>
      <c r="H1000" s="423"/>
      <c r="I1000" s="765"/>
      <c r="J1000" s="728"/>
      <c r="K1000" s="423"/>
      <c r="L1000" s="423"/>
      <c r="M1000" s="423"/>
      <c r="N1000" s="423"/>
      <c r="O1000" s="423"/>
      <c r="P1000" s="423"/>
      <c r="Q1000" s="423"/>
      <c r="R1000" s="423"/>
      <c r="S1000" s="423"/>
      <c r="T1000" s="423"/>
      <c r="U1000" s="423"/>
      <c r="V1000" s="423"/>
      <c r="W1000" s="423"/>
    </row>
    <row r="1001">
      <c r="A1001" s="766"/>
      <c r="B1001" s="717"/>
      <c r="C1001" s="763"/>
      <c r="D1001" s="763"/>
      <c r="E1001" s="423"/>
      <c r="F1001" s="764"/>
      <c r="G1001" s="765"/>
      <c r="H1001" s="423"/>
      <c r="I1001" s="765"/>
      <c r="J1001" s="728"/>
      <c r="K1001" s="423"/>
      <c r="L1001" s="423"/>
      <c r="M1001" s="423"/>
      <c r="N1001" s="423"/>
      <c r="O1001" s="423"/>
      <c r="P1001" s="423"/>
      <c r="Q1001" s="423"/>
      <c r="R1001" s="423"/>
      <c r="S1001" s="423"/>
      <c r="T1001" s="423"/>
      <c r="U1001" s="423"/>
      <c r="V1001" s="423"/>
      <c r="W1001" s="423"/>
    </row>
    <row r="1002">
      <c r="A1002" s="766"/>
      <c r="B1002" s="717"/>
      <c r="C1002" s="763"/>
      <c r="D1002" s="763"/>
      <c r="E1002" s="423"/>
      <c r="F1002" s="764"/>
      <c r="G1002" s="765"/>
      <c r="H1002" s="423"/>
      <c r="I1002" s="765"/>
      <c r="J1002" s="728"/>
      <c r="K1002" s="423"/>
      <c r="L1002" s="423"/>
      <c r="M1002" s="423"/>
      <c r="N1002" s="423"/>
      <c r="O1002" s="423"/>
      <c r="P1002" s="423"/>
      <c r="Q1002" s="423"/>
      <c r="R1002" s="423"/>
      <c r="S1002" s="423"/>
      <c r="T1002" s="423"/>
      <c r="U1002" s="423"/>
      <c r="V1002" s="423"/>
      <c r="W1002" s="423"/>
    </row>
    <row r="1003">
      <c r="A1003" s="766"/>
      <c r="B1003" s="717"/>
      <c r="C1003" s="763"/>
      <c r="D1003" s="763"/>
      <c r="E1003" s="423"/>
      <c r="F1003" s="764"/>
      <c r="G1003" s="765"/>
      <c r="H1003" s="423"/>
      <c r="I1003" s="765"/>
      <c r="J1003" s="728"/>
      <c r="K1003" s="423"/>
      <c r="L1003" s="423"/>
      <c r="M1003" s="423"/>
      <c r="N1003" s="423"/>
      <c r="O1003" s="423"/>
      <c r="P1003" s="423"/>
      <c r="Q1003" s="423"/>
      <c r="R1003" s="423"/>
      <c r="S1003" s="423"/>
      <c r="T1003" s="423"/>
      <c r="U1003" s="423"/>
      <c r="V1003" s="423"/>
      <c r="W1003" s="423"/>
    </row>
    <row r="1004">
      <c r="A1004" s="766"/>
      <c r="B1004" s="717"/>
      <c r="C1004" s="763"/>
      <c r="D1004" s="763"/>
      <c r="E1004" s="423"/>
      <c r="F1004" s="764"/>
      <c r="G1004" s="765"/>
      <c r="H1004" s="423"/>
      <c r="I1004" s="765"/>
      <c r="J1004" s="728"/>
      <c r="K1004" s="423"/>
      <c r="L1004" s="423"/>
      <c r="M1004" s="423"/>
      <c r="N1004" s="423"/>
      <c r="O1004" s="423"/>
      <c r="P1004" s="423"/>
      <c r="Q1004" s="423"/>
      <c r="R1004" s="423"/>
      <c r="S1004" s="423"/>
      <c r="T1004" s="423"/>
      <c r="U1004" s="423"/>
      <c r="V1004" s="423"/>
      <c r="W1004" s="423"/>
    </row>
    <row r="1005">
      <c r="A1005" s="766"/>
      <c r="B1005" s="717"/>
      <c r="C1005" s="763"/>
      <c r="D1005" s="763"/>
      <c r="E1005" s="423"/>
      <c r="F1005" s="764"/>
      <c r="G1005" s="765"/>
      <c r="H1005" s="423"/>
      <c r="I1005" s="765"/>
      <c r="J1005" s="728"/>
      <c r="K1005" s="423"/>
      <c r="L1005" s="423"/>
      <c r="M1005" s="423"/>
      <c r="N1005" s="423"/>
      <c r="O1005" s="423"/>
      <c r="P1005" s="423"/>
      <c r="Q1005" s="423"/>
      <c r="R1005" s="423"/>
      <c r="S1005" s="423"/>
      <c r="T1005" s="423"/>
      <c r="U1005" s="423"/>
      <c r="V1005" s="423"/>
      <c r="W1005" s="423"/>
    </row>
    <row r="1006">
      <c r="A1006" s="766"/>
      <c r="B1006" s="717"/>
      <c r="C1006" s="763"/>
      <c r="D1006" s="763"/>
      <c r="E1006" s="423"/>
      <c r="F1006" s="764"/>
      <c r="G1006" s="765"/>
      <c r="H1006" s="423"/>
      <c r="I1006" s="765"/>
      <c r="J1006" s="728"/>
      <c r="K1006" s="423"/>
      <c r="L1006" s="423"/>
      <c r="M1006" s="423"/>
      <c r="N1006" s="423"/>
      <c r="O1006" s="423"/>
      <c r="P1006" s="423"/>
      <c r="Q1006" s="423"/>
      <c r="R1006" s="423"/>
      <c r="S1006" s="423"/>
      <c r="T1006" s="423"/>
      <c r="U1006" s="423"/>
      <c r="V1006" s="423"/>
      <c r="W1006" s="423"/>
    </row>
    <row r="1007">
      <c r="A1007" s="766"/>
      <c r="B1007" s="717"/>
      <c r="C1007" s="763"/>
      <c r="D1007" s="763"/>
      <c r="E1007" s="423"/>
      <c r="F1007" s="764"/>
      <c r="G1007" s="765"/>
      <c r="H1007" s="423"/>
      <c r="I1007" s="765"/>
      <c r="J1007" s="728"/>
      <c r="K1007" s="423"/>
      <c r="L1007" s="423"/>
      <c r="M1007" s="423"/>
      <c r="N1007" s="423"/>
      <c r="O1007" s="423"/>
      <c r="P1007" s="423"/>
      <c r="Q1007" s="423"/>
      <c r="R1007" s="423"/>
      <c r="S1007" s="423"/>
      <c r="T1007" s="423"/>
      <c r="U1007" s="423"/>
      <c r="V1007" s="423"/>
      <c r="W1007" s="423"/>
    </row>
    <row r="1008">
      <c r="A1008" s="766"/>
      <c r="B1008" s="717"/>
      <c r="C1008" s="763"/>
      <c r="D1008" s="763"/>
      <c r="E1008" s="423"/>
      <c r="F1008" s="764"/>
      <c r="G1008" s="765"/>
      <c r="H1008" s="423"/>
      <c r="I1008" s="765"/>
      <c r="J1008" s="728"/>
      <c r="K1008" s="423"/>
      <c r="L1008" s="423"/>
      <c r="M1008" s="423"/>
      <c r="N1008" s="423"/>
      <c r="O1008" s="423"/>
      <c r="P1008" s="423"/>
      <c r="Q1008" s="423"/>
      <c r="R1008" s="423"/>
      <c r="S1008" s="423"/>
      <c r="T1008" s="423"/>
      <c r="U1008" s="423"/>
      <c r="V1008" s="423"/>
      <c r="W1008" s="423"/>
    </row>
    <row r="1009">
      <c r="A1009" s="766"/>
      <c r="B1009" s="717"/>
      <c r="C1009" s="763"/>
      <c r="D1009" s="763"/>
      <c r="E1009" s="423"/>
      <c r="F1009" s="770"/>
      <c r="G1009" s="771"/>
      <c r="H1009" s="423"/>
      <c r="I1009" s="765"/>
      <c r="J1009" s="728"/>
      <c r="K1009" s="423"/>
      <c r="L1009" s="423"/>
      <c r="M1009" s="423"/>
      <c r="N1009" s="423"/>
      <c r="O1009" s="423"/>
      <c r="P1009" s="423"/>
      <c r="Q1009" s="423"/>
      <c r="R1009" s="423"/>
      <c r="S1009" s="423"/>
      <c r="T1009" s="423"/>
      <c r="U1009" s="423"/>
      <c r="V1009" s="423"/>
      <c r="W1009" s="423"/>
    </row>
  </sheetData>
  <mergeCells count="4">
    <mergeCell ref="F1:G1"/>
    <mergeCell ref="H1:I1"/>
    <mergeCell ref="F2:G2"/>
    <mergeCell ref="H2:I2"/>
  </mergeCells>
  <hyperlinks>
    <hyperlink r:id="rId1" ref="F1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14.78"/>
    <col customWidth="1" min="3" max="4" width="11.44"/>
    <col customWidth="1" min="5" max="5" width="8.33"/>
    <col customWidth="1" min="9" max="9" width="11.89"/>
    <col customWidth="1" min="11" max="11" width="15.33"/>
    <col customWidth="1" min="16" max="16" width="12.67"/>
    <col customWidth="1" min="21" max="21" width="12.22"/>
    <col customWidth="1" min="24" max="24" width="12.67"/>
  </cols>
  <sheetData>
    <row r="1">
      <c r="A1" s="772" t="s">
        <v>597</v>
      </c>
      <c r="B1" s="772">
        <v>0.1</v>
      </c>
      <c r="D1" s="189">
        <f>B1*IntelligentData!$C$4</f>
        <v>9620.286587</v>
      </c>
      <c r="E1" s="53">
        <v>2.0</v>
      </c>
      <c r="F1" s="773">
        <f>B1*E1</f>
        <v>0.2</v>
      </c>
      <c r="G1" s="189">
        <f>F1*IntelligentData!$C$4</f>
        <v>19240.57317</v>
      </c>
      <c r="I1" s="614"/>
      <c r="J1" s="774"/>
      <c r="L1" s="775"/>
      <c r="T1" s="772"/>
      <c r="U1" s="776"/>
      <c r="Z1" s="777"/>
    </row>
    <row r="2">
      <c r="I2" s="778"/>
      <c r="K2" s="779"/>
      <c r="Z2" s="777"/>
    </row>
    <row r="3">
      <c r="B3" s="780"/>
      <c r="K3" s="781"/>
      <c r="Z3" s="776"/>
    </row>
    <row r="4">
      <c r="B4" s="780"/>
      <c r="K4" s="782"/>
      <c r="M4" s="189"/>
      <c r="W4" s="192"/>
      <c r="X4" s="777"/>
      <c r="Y4" s="192"/>
      <c r="Z4" s="777"/>
    </row>
    <row r="5">
      <c r="H5" s="783"/>
      <c r="I5" s="784"/>
      <c r="M5" s="200"/>
      <c r="W5" s="192"/>
      <c r="X5" s="777"/>
      <c r="Y5" s="192"/>
      <c r="Z5" s="777"/>
    </row>
    <row r="6">
      <c r="A6" s="772"/>
      <c r="B6" s="785"/>
      <c r="C6" s="772"/>
      <c r="D6" s="786"/>
      <c r="E6" s="787"/>
      <c r="F6" s="773"/>
      <c r="G6" s="189"/>
      <c r="H6" s="788"/>
      <c r="I6" s="772"/>
      <c r="W6" s="192"/>
      <c r="X6" s="777"/>
      <c r="Y6" s="192"/>
      <c r="Z6" s="777"/>
    </row>
    <row r="7">
      <c r="F7" s="784"/>
      <c r="P7" s="189"/>
      <c r="W7" s="192"/>
      <c r="X7" s="777"/>
      <c r="Y7" s="192"/>
      <c r="Z7" s="777"/>
    </row>
    <row r="8">
      <c r="E8" s="778"/>
      <c r="P8" s="789"/>
      <c r="W8" s="192"/>
      <c r="X8" s="777"/>
      <c r="Y8" s="192"/>
      <c r="Z8" s="777"/>
    </row>
    <row r="9">
      <c r="A9" s="790"/>
      <c r="E9" s="626"/>
      <c r="W9" s="192"/>
      <c r="X9" s="777"/>
      <c r="Y9" s="192"/>
      <c r="Z9" s="777"/>
    </row>
    <row r="10">
      <c r="Z10" s="791"/>
    </row>
    <row r="11">
      <c r="I11" s="712"/>
      <c r="J11" s="676"/>
      <c r="K11" s="189"/>
      <c r="L11" s="773"/>
    </row>
    <row r="12">
      <c r="A12" s="792"/>
      <c r="B12" s="780"/>
      <c r="W12" s="793"/>
      <c r="Y12" s="783"/>
      <c r="Z12" s="794"/>
    </row>
    <row r="13" ht="96.75" customHeight="1">
      <c r="B13" s="780"/>
      <c r="Y13" s="195"/>
      <c r="Z13" s="777"/>
    </row>
    <row r="14">
      <c r="B14" s="780"/>
      <c r="Z14" s="777"/>
    </row>
    <row r="15">
      <c r="B15" s="626"/>
      <c r="E15" s="53"/>
      <c r="F15" s="53"/>
      <c r="Z15" s="777"/>
    </row>
    <row r="16">
      <c r="A16" s="795"/>
      <c r="B16" s="626"/>
      <c r="E16" s="53"/>
      <c r="F16" s="53"/>
      <c r="Z16" s="777"/>
    </row>
    <row r="17">
      <c r="B17" s="626"/>
      <c r="Z17" s="777"/>
    </row>
    <row r="18">
      <c r="B18" s="626"/>
      <c r="Z18" s="777"/>
    </row>
    <row r="19">
      <c r="B19" s="626"/>
      <c r="E19" s="626"/>
      <c r="G19" s="626"/>
      <c r="H19" s="626"/>
      <c r="Z19" s="777"/>
    </row>
    <row r="20">
      <c r="B20" s="777"/>
      <c r="E20" s="626"/>
      <c r="F20" s="626"/>
      <c r="Z20" s="777"/>
    </row>
    <row r="21">
      <c r="A21" s="796"/>
      <c r="B21" s="777"/>
      <c r="Z21" s="777"/>
    </row>
    <row r="22">
      <c r="A22" s="797"/>
      <c r="B22" s="798"/>
      <c r="C22" s="797"/>
      <c r="D22" s="797"/>
      <c r="Z22" s="777"/>
    </row>
    <row r="23">
      <c r="A23" s="799"/>
      <c r="B23" s="776"/>
      <c r="N23" s="189"/>
      <c r="O23" s="189"/>
      <c r="P23" s="773"/>
      <c r="Z23" s="777"/>
    </row>
    <row r="24">
      <c r="A24" s="796"/>
      <c r="B24" s="776"/>
      <c r="C24" s="777"/>
      <c r="D24" s="777"/>
      <c r="E24" s="189"/>
      <c r="F24" s="189"/>
      <c r="Z24" s="777"/>
    </row>
    <row r="25">
      <c r="A25" s="800"/>
      <c r="B25" s="801"/>
      <c r="C25" s="777"/>
      <c r="D25" s="777"/>
      <c r="E25" s="189"/>
      <c r="F25" s="189"/>
      <c r="Z25" s="777"/>
    </row>
    <row r="26">
      <c r="A26" s="796"/>
      <c r="B26" s="776"/>
      <c r="C26" s="777"/>
      <c r="D26" s="777"/>
      <c r="E26" s="189"/>
      <c r="F26" s="189"/>
      <c r="Z26" s="777"/>
    </row>
    <row r="27">
      <c r="A27" s="802"/>
      <c r="B27" s="801"/>
      <c r="C27" s="777"/>
      <c r="D27" s="777"/>
      <c r="E27" s="189"/>
      <c r="F27" s="189"/>
      <c r="Z27" s="777"/>
    </row>
    <row r="28">
      <c r="A28" s="802"/>
      <c r="B28" s="801"/>
      <c r="C28" s="777"/>
      <c r="D28" s="777"/>
      <c r="E28" s="189"/>
      <c r="F28" s="189"/>
      <c r="Z28" s="777"/>
    </row>
    <row r="29">
      <c r="A29" s="796"/>
      <c r="B29" s="776"/>
      <c r="C29" s="777"/>
      <c r="D29" s="777"/>
      <c r="E29" s="189"/>
      <c r="F29" s="189"/>
      <c r="Z29" s="777"/>
    </row>
    <row r="30">
      <c r="A30" s="799"/>
      <c r="B30" s="803"/>
      <c r="C30" s="777"/>
      <c r="D30" s="777"/>
      <c r="E30" s="189"/>
      <c r="F30" s="189"/>
      <c r="Z30" s="777"/>
    </row>
    <row r="31">
      <c r="A31" s="802"/>
      <c r="B31" s="804"/>
      <c r="C31" s="777"/>
      <c r="D31" s="777"/>
      <c r="E31" s="189"/>
      <c r="F31" s="189"/>
      <c r="Z31" s="777"/>
    </row>
    <row r="32">
      <c r="A32" s="802"/>
      <c r="B32" s="804"/>
      <c r="C32" s="777"/>
      <c r="D32" s="777"/>
      <c r="E32" s="189"/>
      <c r="F32" s="189"/>
      <c r="Z32" s="777"/>
    </row>
    <row r="33">
      <c r="A33" s="805"/>
      <c r="E33" s="189"/>
      <c r="F33" s="189"/>
      <c r="Z33" s="777"/>
    </row>
    <row r="34">
      <c r="A34" s="796"/>
      <c r="B34" s="776"/>
      <c r="E34" s="189"/>
      <c r="F34" s="189"/>
      <c r="Z34" s="777"/>
    </row>
    <row r="35">
      <c r="A35" s="799"/>
      <c r="B35" s="776"/>
      <c r="C35" s="777"/>
      <c r="D35" s="777"/>
      <c r="E35" s="189"/>
      <c r="F35" s="189"/>
      <c r="Z35" s="777"/>
    </row>
    <row r="36">
      <c r="A36" s="799"/>
      <c r="B36" s="776"/>
      <c r="C36" s="777"/>
      <c r="D36" s="777"/>
      <c r="E36" s="189"/>
      <c r="F36" s="189"/>
      <c r="Z36" s="777"/>
    </row>
    <row r="37">
      <c r="A37" s="799"/>
      <c r="B37" s="776"/>
      <c r="C37" s="806"/>
      <c r="D37" s="806"/>
      <c r="E37" s="189"/>
      <c r="F37" s="189"/>
      <c r="Z37" s="777"/>
    </row>
    <row r="38">
      <c r="A38" s="799"/>
      <c r="B38" s="776"/>
      <c r="C38" s="806"/>
      <c r="D38" s="806"/>
      <c r="E38" s="189"/>
      <c r="F38" s="189"/>
      <c r="Z38" s="777"/>
    </row>
    <row r="39">
      <c r="A39" s="799"/>
      <c r="B39" s="807"/>
      <c r="C39" s="806"/>
      <c r="D39" s="806"/>
      <c r="E39" s="189"/>
      <c r="F39" s="189"/>
      <c r="Z39" s="777"/>
    </row>
    <row r="40">
      <c r="A40" s="799"/>
      <c r="B40" s="776"/>
      <c r="C40" s="806"/>
      <c r="D40" s="806"/>
      <c r="E40" s="189"/>
      <c r="F40" s="189"/>
      <c r="Z40" s="777"/>
    </row>
    <row r="41">
      <c r="A41" s="799"/>
      <c r="B41" s="776"/>
      <c r="C41" s="806"/>
      <c r="D41" s="806"/>
      <c r="E41" s="189"/>
      <c r="F41" s="189"/>
      <c r="Z41" s="777"/>
    </row>
    <row r="42">
      <c r="A42" s="799"/>
      <c r="B42" s="776"/>
      <c r="C42" s="806"/>
      <c r="D42" s="806"/>
      <c r="E42" s="189"/>
      <c r="F42" s="189"/>
      <c r="Z42" s="777"/>
    </row>
    <row r="43">
      <c r="A43" s="799"/>
      <c r="B43" s="776"/>
      <c r="C43" s="806"/>
      <c r="D43" s="806"/>
      <c r="E43" s="189"/>
      <c r="F43" s="189"/>
      <c r="Z43" s="777"/>
    </row>
    <row r="44">
      <c r="A44" s="799"/>
      <c r="B44" s="776"/>
      <c r="C44" s="806"/>
      <c r="D44" s="806"/>
      <c r="E44" s="189"/>
      <c r="F44" s="189"/>
      <c r="Z44" s="777"/>
    </row>
    <row r="45">
      <c r="A45" s="799"/>
      <c r="C45" s="806"/>
      <c r="D45" s="806"/>
      <c r="E45" s="189"/>
      <c r="F45" s="189"/>
      <c r="Z45" s="777"/>
    </row>
    <row r="46">
      <c r="A46" s="808"/>
      <c r="B46" s="776"/>
      <c r="C46" s="806"/>
      <c r="D46" s="806"/>
      <c r="E46" s="189"/>
      <c r="F46" s="189"/>
      <c r="Z46" s="777"/>
    </row>
    <row r="47">
      <c r="A47" s="808"/>
      <c r="B47" s="776"/>
      <c r="C47" s="806"/>
      <c r="D47" s="806"/>
      <c r="E47" s="189"/>
      <c r="F47" s="189"/>
      <c r="Z47" s="777"/>
    </row>
    <row r="48">
      <c r="A48" s="808"/>
      <c r="B48" s="776"/>
      <c r="C48" s="806"/>
      <c r="D48" s="806"/>
      <c r="E48" s="189"/>
      <c r="F48" s="189"/>
      <c r="Z48" s="777"/>
    </row>
    <row r="49">
      <c r="A49" s="808"/>
      <c r="B49" s="776"/>
      <c r="C49" s="806"/>
      <c r="D49" s="806"/>
      <c r="E49" s="189"/>
      <c r="F49" s="189"/>
      <c r="Z49" s="777"/>
    </row>
    <row r="50">
      <c r="A50" s="808"/>
      <c r="B50" s="776"/>
      <c r="C50" s="806"/>
      <c r="D50" s="806"/>
      <c r="E50" s="189"/>
      <c r="F50" s="189"/>
      <c r="Z50" s="777"/>
    </row>
    <row r="51">
      <c r="A51" s="808"/>
      <c r="B51" s="776"/>
      <c r="C51" s="806"/>
      <c r="D51" s="806"/>
      <c r="E51" s="189"/>
      <c r="F51" s="189"/>
      <c r="Z51" s="777"/>
    </row>
    <row r="52">
      <c r="A52" s="808"/>
      <c r="B52" s="776"/>
      <c r="C52" s="806"/>
      <c r="D52" s="806"/>
      <c r="E52" s="189"/>
      <c r="F52" s="189"/>
      <c r="Z52" s="777"/>
    </row>
    <row r="53">
      <c r="A53" s="808"/>
      <c r="B53" s="776"/>
      <c r="C53" s="806"/>
      <c r="D53" s="806"/>
      <c r="E53" s="189"/>
      <c r="F53" s="189"/>
      <c r="Z53" s="777"/>
    </row>
    <row r="54">
      <c r="A54" s="808"/>
      <c r="B54" s="776"/>
      <c r="C54" s="806"/>
      <c r="D54" s="806"/>
      <c r="E54" s="189"/>
      <c r="F54" s="189"/>
      <c r="Z54" s="777"/>
    </row>
    <row r="55">
      <c r="A55" s="808"/>
      <c r="B55" s="776"/>
      <c r="E55" s="189"/>
      <c r="F55" s="189"/>
      <c r="Z55" s="777"/>
    </row>
    <row r="56">
      <c r="A56" s="808"/>
      <c r="B56" s="776"/>
      <c r="E56" s="189"/>
      <c r="F56" s="189"/>
      <c r="Z56" s="777"/>
    </row>
    <row r="57">
      <c r="A57" s="808"/>
      <c r="B57" s="776"/>
      <c r="E57" s="189"/>
      <c r="F57" s="189"/>
      <c r="Z57" s="777"/>
    </row>
    <row r="58">
      <c r="A58" s="808"/>
      <c r="B58" s="776"/>
      <c r="E58" s="189"/>
      <c r="F58" s="189"/>
      <c r="Z58" s="777"/>
    </row>
    <row r="59">
      <c r="A59" s="808"/>
      <c r="B59" s="776"/>
      <c r="E59" s="189"/>
      <c r="F59" s="189"/>
      <c r="Z59" s="777"/>
    </row>
    <row r="60">
      <c r="A60" s="808"/>
      <c r="B60" s="776"/>
      <c r="E60" s="189"/>
      <c r="F60" s="189"/>
      <c r="Z60" s="777"/>
    </row>
    <row r="61">
      <c r="A61" s="809"/>
      <c r="B61" s="776"/>
      <c r="E61" s="189"/>
      <c r="F61" s="189"/>
      <c r="Z61" s="777"/>
    </row>
    <row r="62">
      <c r="A62" s="676"/>
      <c r="B62" s="776"/>
      <c r="C62" s="777"/>
      <c r="D62" s="777"/>
      <c r="E62" s="189"/>
      <c r="F62" s="189"/>
      <c r="Z62" s="777"/>
    </row>
    <row r="63">
      <c r="A63" s="796"/>
      <c r="B63" s="777"/>
      <c r="E63" s="189"/>
      <c r="F63" s="189"/>
      <c r="Z63" s="777"/>
    </row>
    <row r="64">
      <c r="A64" s="796"/>
      <c r="B64" s="777"/>
      <c r="E64" s="189"/>
      <c r="F64" s="189"/>
      <c r="Z64" s="777"/>
    </row>
    <row r="65">
      <c r="A65" s="796"/>
      <c r="B65" s="777"/>
      <c r="E65" s="189"/>
      <c r="F65" s="189"/>
      <c r="Z65" s="777"/>
    </row>
    <row r="66">
      <c r="A66" s="796"/>
      <c r="B66" s="777"/>
      <c r="E66" s="189"/>
      <c r="F66" s="189"/>
      <c r="Z66" s="777"/>
    </row>
    <row r="67">
      <c r="A67" s="796"/>
      <c r="B67" s="777"/>
      <c r="E67" s="189"/>
      <c r="F67" s="189"/>
      <c r="Z67" s="777"/>
    </row>
    <row r="68">
      <c r="A68" s="796"/>
      <c r="B68" s="777"/>
      <c r="E68" s="189"/>
      <c r="F68" s="189"/>
      <c r="Z68" s="777"/>
    </row>
    <row r="69">
      <c r="A69" s="796"/>
      <c r="B69" s="777"/>
      <c r="E69" s="189"/>
      <c r="F69" s="189"/>
      <c r="Z69" s="777"/>
    </row>
    <row r="70">
      <c r="A70" s="796"/>
      <c r="B70" s="777"/>
      <c r="E70" s="189"/>
      <c r="F70" s="189"/>
      <c r="Z70" s="777"/>
    </row>
    <row r="71">
      <c r="A71" s="796"/>
      <c r="B71" s="777"/>
      <c r="E71" s="189"/>
      <c r="F71" s="189"/>
      <c r="Z71" s="777"/>
    </row>
    <row r="72">
      <c r="A72" s="796"/>
      <c r="B72" s="777"/>
      <c r="E72" s="189"/>
      <c r="F72" s="189"/>
      <c r="Z72" s="777"/>
    </row>
    <row r="73">
      <c r="A73" s="796"/>
      <c r="B73" s="777"/>
      <c r="Z73" s="777"/>
    </row>
    <row r="74">
      <c r="A74" s="796"/>
      <c r="B74" s="777"/>
      <c r="Z74" s="777"/>
    </row>
    <row r="75">
      <c r="B75" s="777"/>
      <c r="Z75" s="777"/>
    </row>
    <row r="76">
      <c r="B76" s="777"/>
      <c r="Z76" s="777"/>
    </row>
    <row r="77">
      <c r="B77" s="777"/>
      <c r="Z77" s="777"/>
    </row>
    <row r="78">
      <c r="B78" s="777"/>
      <c r="Z78" s="777"/>
    </row>
    <row r="79">
      <c r="B79" s="777"/>
      <c r="Z79" s="777"/>
    </row>
    <row r="80">
      <c r="B80" s="777"/>
      <c r="Z80" s="777"/>
    </row>
    <row r="81">
      <c r="B81" s="777"/>
      <c r="Z81" s="777"/>
    </row>
    <row r="82">
      <c r="B82" s="626"/>
      <c r="Z82" s="777"/>
    </row>
    <row r="83">
      <c r="B83" s="626"/>
      <c r="Z83" s="777"/>
    </row>
    <row r="84">
      <c r="B84" s="626"/>
      <c r="Z84" s="777"/>
    </row>
    <row r="85">
      <c r="B85" s="626"/>
      <c r="Z85" s="777"/>
    </row>
    <row r="86">
      <c r="B86" s="626"/>
      <c r="Z86" s="777"/>
    </row>
    <row r="87">
      <c r="B87" s="626"/>
      <c r="Z87" s="777"/>
    </row>
    <row r="88">
      <c r="B88" s="626"/>
      <c r="Z88" s="777"/>
    </row>
    <row r="89">
      <c r="B89" s="626"/>
      <c r="Z89" s="777"/>
    </row>
    <row r="90">
      <c r="B90" s="626"/>
      <c r="Z90" s="777"/>
    </row>
    <row r="91">
      <c r="B91" s="626"/>
      <c r="Z91" s="777"/>
    </row>
    <row r="92">
      <c r="B92" s="626"/>
      <c r="Z92" s="777"/>
    </row>
    <row r="93">
      <c r="B93" s="626"/>
      <c r="Z93" s="777"/>
    </row>
    <row r="94">
      <c r="B94" s="626"/>
      <c r="Z94" s="777"/>
    </row>
    <row r="95">
      <c r="B95" s="626"/>
      <c r="Z95" s="777"/>
    </row>
    <row r="96">
      <c r="B96" s="626"/>
      <c r="Z96" s="777"/>
    </row>
    <row r="97">
      <c r="B97" s="626"/>
      <c r="Z97" s="777"/>
    </row>
    <row r="98">
      <c r="B98" s="626"/>
      <c r="Z98" s="777"/>
    </row>
    <row r="99">
      <c r="B99" s="626"/>
      <c r="Z99" s="777"/>
    </row>
    <row r="100">
      <c r="B100" s="626"/>
      <c r="Z100" s="777"/>
    </row>
    <row r="101">
      <c r="B101" s="626"/>
      <c r="Z101" s="777"/>
    </row>
    <row r="102">
      <c r="B102" s="626"/>
      <c r="Z102" s="777"/>
    </row>
    <row r="103">
      <c r="B103" s="626"/>
      <c r="Z103" s="777"/>
    </row>
    <row r="104">
      <c r="B104" s="626"/>
      <c r="Z104" s="777"/>
    </row>
    <row r="105">
      <c r="B105" s="626"/>
      <c r="Z105" s="777"/>
    </row>
    <row r="106">
      <c r="B106" s="626"/>
      <c r="Z106" s="777"/>
    </row>
    <row r="107">
      <c r="B107" s="626"/>
      <c r="Z107" s="777"/>
    </row>
    <row r="108">
      <c r="B108" s="626"/>
      <c r="Z108" s="777"/>
    </row>
    <row r="109">
      <c r="B109" s="626"/>
      <c r="Z109" s="777"/>
    </row>
    <row r="110">
      <c r="B110" s="626"/>
      <c r="Z110" s="777"/>
    </row>
    <row r="111">
      <c r="B111" s="626"/>
      <c r="Z111" s="777"/>
    </row>
    <row r="112">
      <c r="B112" s="626"/>
      <c r="Z112" s="777"/>
    </row>
    <row r="113">
      <c r="B113" s="626"/>
      <c r="Z113" s="777"/>
    </row>
    <row r="114">
      <c r="B114" s="626"/>
      <c r="Z114" s="777"/>
    </row>
    <row r="115">
      <c r="B115" s="626"/>
      <c r="Z115" s="777"/>
    </row>
    <row r="116">
      <c r="B116" s="626"/>
      <c r="Z116" s="777"/>
    </row>
    <row r="117">
      <c r="B117" s="626"/>
      <c r="Z117" s="777"/>
    </row>
    <row r="118">
      <c r="B118" s="626"/>
      <c r="Z118" s="777"/>
    </row>
    <row r="119">
      <c r="B119" s="626"/>
      <c r="Z119" s="777"/>
    </row>
    <row r="120">
      <c r="B120" s="626"/>
      <c r="Z120" s="777"/>
    </row>
    <row r="121">
      <c r="B121" s="626"/>
      <c r="Z121" s="777"/>
    </row>
    <row r="122">
      <c r="B122" s="626"/>
      <c r="Z122" s="777"/>
    </row>
    <row r="123">
      <c r="B123" s="626"/>
      <c r="Z123" s="777"/>
    </row>
    <row r="124">
      <c r="B124" s="626"/>
      <c r="Z124" s="777"/>
    </row>
    <row r="125">
      <c r="B125" s="626"/>
      <c r="Z125" s="777"/>
    </row>
    <row r="126">
      <c r="B126" s="626"/>
      <c r="Z126" s="777"/>
    </row>
    <row r="127">
      <c r="B127" s="626"/>
      <c r="Z127" s="777"/>
    </row>
    <row r="128">
      <c r="B128" s="626"/>
      <c r="Z128" s="777"/>
    </row>
    <row r="129">
      <c r="B129" s="626"/>
      <c r="Z129" s="777"/>
    </row>
    <row r="130">
      <c r="B130" s="626"/>
      <c r="Z130" s="777"/>
    </row>
    <row r="131">
      <c r="B131" s="626"/>
      <c r="Z131" s="777"/>
    </row>
    <row r="132">
      <c r="B132" s="626"/>
      <c r="Z132" s="777"/>
    </row>
    <row r="133">
      <c r="B133" s="626"/>
      <c r="Z133" s="777"/>
    </row>
    <row r="134">
      <c r="B134" s="626"/>
      <c r="Z134" s="777"/>
    </row>
    <row r="135">
      <c r="B135" s="626"/>
      <c r="Z135" s="777"/>
    </row>
    <row r="136">
      <c r="B136" s="626"/>
      <c r="Z136" s="777"/>
    </row>
    <row r="137">
      <c r="B137" s="626"/>
      <c r="Z137" s="777"/>
    </row>
    <row r="138">
      <c r="B138" s="626"/>
      <c r="Z138" s="777"/>
    </row>
    <row r="139">
      <c r="B139" s="626"/>
      <c r="Z139" s="777"/>
    </row>
    <row r="140">
      <c r="B140" s="626"/>
      <c r="Z140" s="777"/>
    </row>
    <row r="141">
      <c r="B141" s="626"/>
      <c r="Z141" s="777"/>
    </row>
    <row r="142">
      <c r="B142" s="626"/>
      <c r="Z142" s="777"/>
    </row>
    <row r="143">
      <c r="B143" s="626"/>
      <c r="Z143" s="777"/>
    </row>
    <row r="144">
      <c r="B144" s="626"/>
      <c r="Z144" s="777"/>
    </row>
    <row r="145">
      <c r="B145" s="626"/>
      <c r="Z145" s="777"/>
    </row>
    <row r="146">
      <c r="B146" s="626"/>
      <c r="Z146" s="777"/>
    </row>
    <row r="147">
      <c r="B147" s="626"/>
      <c r="Z147" s="777"/>
    </row>
    <row r="148">
      <c r="B148" s="626"/>
      <c r="Z148" s="777"/>
    </row>
    <row r="149">
      <c r="B149" s="626"/>
      <c r="Z149" s="777"/>
    </row>
    <row r="150">
      <c r="B150" s="626"/>
      <c r="Z150" s="777"/>
    </row>
    <row r="151">
      <c r="B151" s="626"/>
      <c r="Z151" s="777"/>
    </row>
    <row r="152">
      <c r="B152" s="626"/>
      <c r="Z152" s="777"/>
    </row>
    <row r="153">
      <c r="B153" s="626"/>
      <c r="Z153" s="777"/>
    </row>
    <row r="154">
      <c r="B154" s="626"/>
      <c r="Z154" s="777"/>
    </row>
    <row r="155">
      <c r="B155" s="626"/>
      <c r="Z155" s="777"/>
    </row>
    <row r="156">
      <c r="B156" s="626"/>
      <c r="Z156" s="777"/>
    </row>
    <row r="157">
      <c r="B157" s="626"/>
      <c r="Z157" s="777"/>
    </row>
    <row r="158">
      <c r="B158" s="626"/>
      <c r="Z158" s="777"/>
    </row>
    <row r="159">
      <c r="B159" s="626"/>
      <c r="Z159" s="777"/>
    </row>
    <row r="160">
      <c r="B160" s="626"/>
      <c r="Z160" s="777"/>
    </row>
    <row r="161">
      <c r="B161" s="626"/>
      <c r="Z161" s="777"/>
    </row>
    <row r="162">
      <c r="B162" s="626"/>
      <c r="Z162" s="777"/>
    </row>
    <row r="163">
      <c r="B163" s="626"/>
      <c r="Z163" s="777"/>
    </row>
    <row r="164">
      <c r="B164" s="626"/>
      <c r="Z164" s="777"/>
    </row>
    <row r="165">
      <c r="B165" s="626"/>
      <c r="Z165" s="777"/>
    </row>
    <row r="166">
      <c r="B166" s="626"/>
      <c r="Z166" s="777"/>
    </row>
    <row r="167">
      <c r="B167" s="626"/>
      <c r="Z167" s="777"/>
    </row>
    <row r="168">
      <c r="B168" s="626"/>
      <c r="Z168" s="777"/>
    </row>
    <row r="169">
      <c r="B169" s="626"/>
      <c r="Z169" s="777"/>
    </row>
    <row r="170">
      <c r="B170" s="626"/>
      <c r="Z170" s="777"/>
    </row>
    <row r="171">
      <c r="B171" s="626"/>
      <c r="Z171" s="777"/>
    </row>
    <row r="172">
      <c r="B172" s="626"/>
      <c r="Z172" s="777"/>
    </row>
    <row r="173">
      <c r="B173" s="626"/>
      <c r="Z173" s="777"/>
    </row>
    <row r="174">
      <c r="B174" s="626"/>
      <c r="Z174" s="777"/>
    </row>
    <row r="175">
      <c r="B175" s="626"/>
      <c r="Z175" s="777"/>
    </row>
    <row r="176">
      <c r="B176" s="626"/>
      <c r="Z176" s="777"/>
    </row>
    <row r="177">
      <c r="B177" s="626"/>
      <c r="Z177" s="777"/>
    </row>
    <row r="178">
      <c r="B178" s="626"/>
      <c r="Z178" s="777"/>
    </row>
    <row r="179">
      <c r="B179" s="626"/>
      <c r="Z179" s="777"/>
    </row>
    <row r="180">
      <c r="B180" s="626"/>
      <c r="Z180" s="777"/>
    </row>
    <row r="181">
      <c r="B181" s="626"/>
      <c r="Z181" s="777"/>
    </row>
    <row r="182">
      <c r="B182" s="626"/>
      <c r="Z182" s="777"/>
    </row>
    <row r="183">
      <c r="B183" s="626"/>
      <c r="Z183" s="777"/>
    </row>
    <row r="184">
      <c r="B184" s="626"/>
      <c r="Z184" s="777"/>
    </row>
    <row r="185">
      <c r="B185" s="626"/>
      <c r="Z185" s="777"/>
    </row>
    <row r="186">
      <c r="B186" s="626"/>
      <c r="Z186" s="777"/>
    </row>
    <row r="187">
      <c r="B187" s="626"/>
      <c r="Z187" s="777"/>
    </row>
    <row r="188">
      <c r="B188" s="626"/>
      <c r="Z188" s="777"/>
    </row>
    <row r="189">
      <c r="B189" s="626"/>
      <c r="Z189" s="777"/>
    </row>
    <row r="190">
      <c r="B190" s="626"/>
      <c r="Z190" s="777"/>
    </row>
    <row r="191">
      <c r="B191" s="626"/>
      <c r="Z191" s="777"/>
    </row>
    <row r="192">
      <c r="B192" s="626"/>
      <c r="Z192" s="777"/>
    </row>
    <row r="193">
      <c r="B193" s="626"/>
      <c r="Z193" s="777"/>
    </row>
    <row r="194">
      <c r="B194" s="626"/>
      <c r="Z194" s="777"/>
    </row>
    <row r="195">
      <c r="B195" s="626"/>
      <c r="Z195" s="777"/>
    </row>
    <row r="196">
      <c r="B196" s="626"/>
      <c r="Z196" s="777"/>
    </row>
    <row r="197">
      <c r="B197" s="626"/>
      <c r="Z197" s="777"/>
    </row>
    <row r="198">
      <c r="B198" s="626"/>
      <c r="Z198" s="777"/>
    </row>
    <row r="199">
      <c r="B199" s="626"/>
      <c r="Z199" s="777"/>
    </row>
    <row r="200">
      <c r="B200" s="626"/>
      <c r="Z200" s="777"/>
    </row>
    <row r="201">
      <c r="B201" s="626"/>
      <c r="Z201" s="777"/>
    </row>
    <row r="202">
      <c r="B202" s="626"/>
      <c r="Z202" s="777"/>
    </row>
    <row r="203">
      <c r="B203" s="626"/>
      <c r="Z203" s="777"/>
    </row>
    <row r="204">
      <c r="B204" s="626"/>
      <c r="Z204" s="777"/>
    </row>
    <row r="205">
      <c r="B205" s="626"/>
      <c r="Z205" s="777"/>
    </row>
    <row r="206">
      <c r="B206" s="626"/>
      <c r="Z206" s="777"/>
    </row>
    <row r="207">
      <c r="B207" s="626"/>
      <c r="Z207" s="777"/>
    </row>
    <row r="208">
      <c r="B208" s="626"/>
      <c r="Z208" s="777"/>
    </row>
    <row r="209">
      <c r="B209" s="626"/>
      <c r="Z209" s="777"/>
    </row>
    <row r="210">
      <c r="B210" s="626"/>
      <c r="Z210" s="777"/>
    </row>
    <row r="211">
      <c r="B211" s="626"/>
      <c r="Z211" s="777"/>
    </row>
    <row r="212">
      <c r="B212" s="626"/>
      <c r="Z212" s="777"/>
    </row>
    <row r="213">
      <c r="B213" s="626"/>
      <c r="Z213" s="777"/>
    </row>
    <row r="214">
      <c r="B214" s="626"/>
      <c r="Z214" s="777"/>
    </row>
    <row r="215">
      <c r="B215" s="626"/>
      <c r="Z215" s="777"/>
    </row>
    <row r="216">
      <c r="B216" s="626"/>
      <c r="Z216" s="777"/>
    </row>
    <row r="217">
      <c r="B217" s="626"/>
      <c r="Z217" s="777"/>
    </row>
    <row r="218">
      <c r="B218" s="626"/>
      <c r="Z218" s="777"/>
    </row>
    <row r="219">
      <c r="B219" s="626"/>
      <c r="Z219" s="777"/>
    </row>
    <row r="220">
      <c r="B220" s="626"/>
      <c r="Z220" s="777"/>
    </row>
    <row r="221">
      <c r="B221" s="626"/>
      <c r="Z221" s="777"/>
    </row>
    <row r="222">
      <c r="B222" s="626"/>
      <c r="Z222" s="777"/>
    </row>
    <row r="223">
      <c r="B223" s="626"/>
      <c r="Z223" s="777"/>
    </row>
    <row r="224">
      <c r="B224" s="626"/>
      <c r="Z224" s="777"/>
    </row>
    <row r="225">
      <c r="B225" s="626"/>
      <c r="Z225" s="777"/>
    </row>
    <row r="226">
      <c r="B226" s="626"/>
      <c r="Z226" s="777"/>
    </row>
    <row r="227">
      <c r="B227" s="626"/>
      <c r="Z227" s="777"/>
    </row>
    <row r="228">
      <c r="B228" s="626"/>
      <c r="Z228" s="777"/>
    </row>
    <row r="229">
      <c r="B229" s="626"/>
      <c r="Z229" s="777"/>
    </row>
    <row r="230">
      <c r="B230" s="626"/>
      <c r="Z230" s="777"/>
    </row>
    <row r="231">
      <c r="B231" s="626"/>
      <c r="Z231" s="777"/>
    </row>
    <row r="232">
      <c r="B232" s="626"/>
      <c r="Z232" s="777"/>
    </row>
    <row r="233">
      <c r="B233" s="626"/>
      <c r="Z233" s="777"/>
    </row>
    <row r="234">
      <c r="B234" s="626"/>
      <c r="Z234" s="777"/>
    </row>
    <row r="235">
      <c r="B235" s="626"/>
      <c r="Z235" s="777"/>
    </row>
    <row r="236">
      <c r="B236" s="626"/>
      <c r="Z236" s="777"/>
    </row>
    <row r="237">
      <c r="B237" s="626"/>
      <c r="Z237" s="777"/>
    </row>
    <row r="238">
      <c r="B238" s="626"/>
      <c r="Z238" s="777"/>
    </row>
    <row r="239">
      <c r="B239" s="626"/>
      <c r="Z239" s="777"/>
    </row>
    <row r="240">
      <c r="B240" s="626"/>
      <c r="Z240" s="777"/>
    </row>
    <row r="241">
      <c r="B241" s="626"/>
      <c r="Z241" s="777"/>
    </row>
    <row r="242">
      <c r="B242" s="626"/>
      <c r="Z242" s="777"/>
    </row>
    <row r="243">
      <c r="B243" s="626"/>
      <c r="Z243" s="777"/>
    </row>
    <row r="244">
      <c r="B244" s="626"/>
      <c r="Z244" s="777"/>
    </row>
    <row r="245">
      <c r="B245" s="626"/>
      <c r="Z245" s="777"/>
    </row>
    <row r="246">
      <c r="B246" s="626"/>
      <c r="Z246" s="777"/>
    </row>
    <row r="247">
      <c r="B247" s="626"/>
      <c r="Z247" s="777"/>
    </row>
    <row r="248">
      <c r="B248" s="626"/>
      <c r="Z248" s="777"/>
    </row>
    <row r="249">
      <c r="B249" s="626"/>
      <c r="Z249" s="777"/>
    </row>
    <row r="250">
      <c r="B250" s="626"/>
      <c r="Z250" s="777"/>
    </row>
    <row r="251">
      <c r="B251" s="626"/>
      <c r="Z251" s="777"/>
    </row>
    <row r="252">
      <c r="B252" s="626"/>
      <c r="Z252" s="777"/>
    </row>
    <row r="253">
      <c r="B253" s="626"/>
      <c r="Z253" s="777"/>
    </row>
    <row r="254">
      <c r="B254" s="626"/>
      <c r="Z254" s="777"/>
    </row>
    <row r="255">
      <c r="B255" s="626"/>
      <c r="Z255" s="777"/>
    </row>
    <row r="256">
      <c r="B256" s="626"/>
      <c r="Z256" s="777"/>
    </row>
    <row r="257">
      <c r="B257" s="626"/>
      <c r="Z257" s="777"/>
    </row>
    <row r="258">
      <c r="B258" s="626"/>
      <c r="Z258" s="777"/>
    </row>
    <row r="259">
      <c r="B259" s="626"/>
      <c r="Z259" s="777"/>
    </row>
    <row r="260">
      <c r="B260" s="626"/>
      <c r="Z260" s="777"/>
    </row>
    <row r="261">
      <c r="B261" s="626"/>
      <c r="Z261" s="777"/>
    </row>
    <row r="262">
      <c r="B262" s="626"/>
      <c r="Z262" s="777"/>
    </row>
    <row r="263">
      <c r="B263" s="626"/>
      <c r="Z263" s="777"/>
    </row>
    <row r="264">
      <c r="B264" s="626"/>
      <c r="Z264" s="777"/>
    </row>
    <row r="265">
      <c r="B265" s="626"/>
      <c r="Z265" s="777"/>
    </row>
    <row r="266">
      <c r="B266" s="626"/>
      <c r="Z266" s="777"/>
    </row>
    <row r="267">
      <c r="B267" s="626"/>
      <c r="Z267" s="777"/>
    </row>
    <row r="268">
      <c r="B268" s="626"/>
      <c r="Z268" s="777"/>
    </row>
    <row r="269">
      <c r="B269" s="626"/>
      <c r="Z269" s="777"/>
    </row>
    <row r="270">
      <c r="B270" s="626"/>
      <c r="Z270" s="777"/>
    </row>
    <row r="271">
      <c r="B271" s="626"/>
      <c r="Z271" s="777"/>
    </row>
    <row r="272">
      <c r="B272" s="626"/>
      <c r="Z272" s="777"/>
    </row>
    <row r="273">
      <c r="B273" s="626"/>
      <c r="Z273" s="777"/>
    </row>
    <row r="274">
      <c r="B274" s="626"/>
      <c r="Z274" s="777"/>
    </row>
    <row r="275">
      <c r="B275" s="626"/>
      <c r="Z275" s="777"/>
    </row>
    <row r="276">
      <c r="B276" s="626"/>
      <c r="Z276" s="777"/>
    </row>
    <row r="277">
      <c r="B277" s="626"/>
      <c r="Z277" s="777"/>
    </row>
    <row r="278">
      <c r="B278" s="626"/>
      <c r="Z278" s="777"/>
    </row>
    <row r="279">
      <c r="B279" s="626"/>
      <c r="Z279" s="777"/>
    </row>
    <row r="280">
      <c r="B280" s="626"/>
      <c r="Z280" s="777"/>
    </row>
    <row r="281">
      <c r="B281" s="626"/>
      <c r="Z281" s="777"/>
    </row>
    <row r="282">
      <c r="B282" s="626"/>
      <c r="Z282" s="777"/>
    </row>
    <row r="283">
      <c r="B283" s="626"/>
      <c r="Z283" s="777"/>
    </row>
    <row r="284">
      <c r="B284" s="626"/>
      <c r="Z284" s="777"/>
    </row>
    <row r="285">
      <c r="B285" s="626"/>
      <c r="Z285" s="777"/>
    </row>
    <row r="286">
      <c r="B286" s="626"/>
      <c r="Z286" s="777"/>
    </row>
    <row r="287">
      <c r="B287" s="626"/>
      <c r="Z287" s="777"/>
    </row>
    <row r="288">
      <c r="B288" s="626"/>
      <c r="Z288" s="777"/>
    </row>
    <row r="289">
      <c r="B289" s="626"/>
      <c r="Z289" s="777"/>
    </row>
    <row r="290">
      <c r="B290" s="626"/>
      <c r="Z290" s="777"/>
    </row>
    <row r="291">
      <c r="B291" s="626"/>
      <c r="Z291" s="777"/>
    </row>
    <row r="292">
      <c r="B292" s="626"/>
      <c r="Z292" s="777"/>
    </row>
    <row r="293">
      <c r="B293" s="626"/>
      <c r="Z293" s="777"/>
    </row>
    <row r="294">
      <c r="B294" s="626"/>
      <c r="Z294" s="777"/>
    </row>
    <row r="295">
      <c r="B295" s="626"/>
      <c r="Z295" s="777"/>
    </row>
    <row r="296">
      <c r="B296" s="626"/>
      <c r="Z296" s="777"/>
    </row>
    <row r="297">
      <c r="B297" s="626"/>
      <c r="Z297" s="777"/>
    </row>
    <row r="298">
      <c r="B298" s="626"/>
      <c r="Z298" s="777"/>
    </row>
    <row r="299">
      <c r="B299" s="626"/>
      <c r="Z299" s="777"/>
    </row>
    <row r="300">
      <c r="B300" s="626"/>
      <c r="Z300" s="777"/>
    </row>
    <row r="301">
      <c r="B301" s="626"/>
      <c r="Z301" s="777"/>
    </row>
    <row r="302">
      <c r="B302" s="626"/>
      <c r="Z302" s="777"/>
    </row>
    <row r="303">
      <c r="B303" s="626"/>
      <c r="Z303" s="777"/>
    </row>
    <row r="304">
      <c r="B304" s="626"/>
      <c r="Z304" s="777"/>
    </row>
    <row r="305">
      <c r="B305" s="626"/>
      <c r="Z305" s="777"/>
    </row>
    <row r="306">
      <c r="B306" s="626"/>
      <c r="Z306" s="777"/>
    </row>
    <row r="307">
      <c r="B307" s="626"/>
      <c r="Z307" s="777"/>
    </row>
    <row r="308">
      <c r="B308" s="626"/>
      <c r="Z308" s="777"/>
    </row>
    <row r="309">
      <c r="B309" s="626"/>
      <c r="Z309" s="777"/>
    </row>
    <row r="310">
      <c r="B310" s="626"/>
      <c r="Z310" s="777"/>
    </row>
    <row r="311">
      <c r="B311" s="626"/>
      <c r="Z311" s="777"/>
    </row>
    <row r="312">
      <c r="B312" s="626"/>
      <c r="Z312" s="777"/>
    </row>
    <row r="313">
      <c r="B313" s="626"/>
      <c r="Z313" s="777"/>
    </row>
    <row r="314">
      <c r="B314" s="626"/>
      <c r="Z314" s="777"/>
    </row>
    <row r="315">
      <c r="B315" s="626"/>
      <c r="Z315" s="777"/>
    </row>
    <row r="316">
      <c r="B316" s="626"/>
      <c r="Z316" s="777"/>
    </row>
    <row r="317">
      <c r="B317" s="626"/>
      <c r="Z317" s="777"/>
    </row>
    <row r="318">
      <c r="B318" s="626"/>
      <c r="Z318" s="777"/>
    </row>
    <row r="319">
      <c r="B319" s="626"/>
      <c r="Z319" s="777"/>
    </row>
    <row r="320">
      <c r="B320" s="626"/>
      <c r="Z320" s="777"/>
    </row>
    <row r="321">
      <c r="B321" s="626"/>
      <c r="Z321" s="777"/>
    </row>
    <row r="322">
      <c r="B322" s="626"/>
      <c r="Z322" s="777"/>
    </row>
    <row r="323">
      <c r="B323" s="626"/>
      <c r="Z323" s="777"/>
    </row>
    <row r="324">
      <c r="B324" s="626"/>
      <c r="Z324" s="777"/>
    </row>
    <row r="325">
      <c r="B325" s="626"/>
      <c r="Z325" s="777"/>
    </row>
    <row r="326">
      <c r="B326" s="626"/>
      <c r="Z326" s="777"/>
    </row>
    <row r="327">
      <c r="B327" s="626"/>
      <c r="Z327" s="777"/>
    </row>
    <row r="328">
      <c r="B328" s="626"/>
      <c r="Z328" s="777"/>
    </row>
    <row r="329">
      <c r="B329" s="626"/>
      <c r="Z329" s="777"/>
    </row>
    <row r="330">
      <c r="B330" s="626"/>
      <c r="Z330" s="777"/>
    </row>
    <row r="331">
      <c r="B331" s="626"/>
      <c r="Z331" s="777"/>
    </row>
    <row r="332">
      <c r="B332" s="626"/>
      <c r="Z332" s="777"/>
    </row>
    <row r="333">
      <c r="B333" s="626"/>
      <c r="Z333" s="777"/>
    </row>
    <row r="334">
      <c r="B334" s="626"/>
      <c r="Z334" s="777"/>
    </row>
    <row r="335">
      <c r="B335" s="626"/>
      <c r="Z335" s="777"/>
    </row>
    <row r="336">
      <c r="B336" s="626"/>
      <c r="Z336" s="777"/>
    </row>
    <row r="337">
      <c r="B337" s="626"/>
      <c r="Z337" s="777"/>
    </row>
    <row r="338">
      <c r="B338" s="626"/>
      <c r="Z338" s="777"/>
    </row>
    <row r="339">
      <c r="B339" s="626"/>
      <c r="Z339" s="777"/>
    </row>
    <row r="340">
      <c r="B340" s="626"/>
      <c r="Z340" s="777"/>
    </row>
    <row r="341">
      <c r="B341" s="626"/>
      <c r="Z341" s="777"/>
    </row>
    <row r="342">
      <c r="B342" s="626"/>
      <c r="Z342" s="777"/>
    </row>
    <row r="343">
      <c r="B343" s="626"/>
      <c r="Z343" s="777"/>
    </row>
    <row r="344">
      <c r="B344" s="626"/>
      <c r="Z344" s="777"/>
    </row>
    <row r="345">
      <c r="B345" s="626"/>
      <c r="Z345" s="777"/>
    </row>
    <row r="346">
      <c r="B346" s="626"/>
      <c r="Z346" s="777"/>
    </row>
    <row r="347">
      <c r="B347" s="626"/>
      <c r="Z347" s="777"/>
    </row>
    <row r="348">
      <c r="B348" s="626"/>
      <c r="Z348" s="777"/>
    </row>
    <row r="349">
      <c r="B349" s="626"/>
      <c r="Z349" s="777"/>
    </row>
    <row r="350">
      <c r="B350" s="626"/>
      <c r="Z350" s="777"/>
    </row>
    <row r="351">
      <c r="B351" s="626"/>
      <c r="Z351" s="777"/>
    </row>
    <row r="352">
      <c r="B352" s="626"/>
      <c r="Z352" s="777"/>
    </row>
    <row r="353">
      <c r="B353" s="626"/>
      <c r="Z353" s="777"/>
    </row>
    <row r="354">
      <c r="B354" s="626"/>
      <c r="Z354" s="777"/>
    </row>
    <row r="355">
      <c r="B355" s="626"/>
      <c r="Z355" s="777"/>
    </row>
    <row r="356">
      <c r="B356" s="626"/>
      <c r="Z356" s="777"/>
    </row>
    <row r="357">
      <c r="B357" s="626"/>
      <c r="Z357" s="777"/>
    </row>
    <row r="358">
      <c r="B358" s="626"/>
      <c r="Z358" s="777"/>
    </row>
    <row r="359">
      <c r="B359" s="626"/>
      <c r="Z359" s="777"/>
    </row>
    <row r="360">
      <c r="B360" s="626"/>
      <c r="Z360" s="777"/>
    </row>
    <row r="361">
      <c r="B361" s="626"/>
      <c r="Z361" s="777"/>
    </row>
    <row r="362">
      <c r="B362" s="626"/>
      <c r="Z362" s="777"/>
    </row>
    <row r="363">
      <c r="B363" s="626"/>
      <c r="Z363" s="777"/>
    </row>
    <row r="364">
      <c r="B364" s="626"/>
      <c r="Z364" s="777"/>
    </row>
    <row r="365">
      <c r="B365" s="626"/>
      <c r="Z365" s="777"/>
    </row>
    <row r="366">
      <c r="B366" s="626"/>
      <c r="Z366" s="777"/>
    </row>
    <row r="367">
      <c r="B367" s="626"/>
      <c r="Z367" s="777"/>
    </row>
    <row r="368">
      <c r="B368" s="626"/>
      <c r="Z368" s="777"/>
    </row>
    <row r="369">
      <c r="B369" s="626"/>
      <c r="Z369" s="777"/>
    </row>
    <row r="370">
      <c r="B370" s="626"/>
      <c r="Z370" s="777"/>
    </row>
    <row r="371">
      <c r="B371" s="626"/>
      <c r="Z371" s="777"/>
    </row>
    <row r="372">
      <c r="B372" s="626"/>
      <c r="Z372" s="777"/>
    </row>
    <row r="373">
      <c r="B373" s="626"/>
      <c r="Z373" s="777"/>
    </row>
    <row r="374">
      <c r="B374" s="626"/>
      <c r="Z374" s="777"/>
    </row>
    <row r="375">
      <c r="B375" s="626"/>
      <c r="Z375" s="777"/>
    </row>
    <row r="376">
      <c r="B376" s="626"/>
      <c r="Z376" s="777"/>
    </row>
    <row r="377">
      <c r="B377" s="626"/>
      <c r="Z377" s="777"/>
    </row>
    <row r="378">
      <c r="B378" s="626"/>
      <c r="Z378" s="777"/>
    </row>
    <row r="379">
      <c r="B379" s="626"/>
      <c r="Z379" s="777"/>
    </row>
    <row r="380">
      <c r="B380" s="626"/>
      <c r="Z380" s="777"/>
    </row>
    <row r="381">
      <c r="B381" s="626"/>
      <c r="Z381" s="777"/>
    </row>
    <row r="382">
      <c r="B382" s="626"/>
      <c r="Z382" s="777"/>
    </row>
    <row r="383">
      <c r="B383" s="626"/>
      <c r="Z383" s="777"/>
    </row>
    <row r="384">
      <c r="B384" s="626"/>
      <c r="Z384" s="777"/>
    </row>
    <row r="385">
      <c r="B385" s="626"/>
      <c r="Z385" s="777"/>
    </row>
    <row r="386">
      <c r="B386" s="626"/>
      <c r="Z386" s="777"/>
    </row>
    <row r="387">
      <c r="B387" s="626"/>
      <c r="Z387" s="777"/>
    </row>
    <row r="388">
      <c r="B388" s="626"/>
      <c r="Z388" s="777"/>
    </row>
    <row r="389">
      <c r="B389" s="626"/>
      <c r="Z389" s="777"/>
    </row>
    <row r="390">
      <c r="B390" s="626"/>
      <c r="Z390" s="777"/>
    </row>
    <row r="391">
      <c r="B391" s="626"/>
      <c r="Z391" s="777"/>
    </row>
    <row r="392">
      <c r="B392" s="626"/>
      <c r="Z392" s="777"/>
    </row>
    <row r="393">
      <c r="B393" s="626"/>
      <c r="Z393" s="777"/>
    </row>
    <row r="394">
      <c r="B394" s="626"/>
      <c r="Z394" s="777"/>
    </row>
    <row r="395">
      <c r="B395" s="626"/>
      <c r="Z395" s="777"/>
    </row>
    <row r="396">
      <c r="B396" s="626"/>
      <c r="Z396" s="777"/>
    </row>
    <row r="397">
      <c r="B397" s="626"/>
      <c r="Z397" s="777"/>
    </row>
    <row r="398">
      <c r="B398" s="626"/>
      <c r="Z398" s="777"/>
    </row>
    <row r="399">
      <c r="B399" s="626"/>
      <c r="Z399" s="777"/>
    </row>
    <row r="400">
      <c r="B400" s="626"/>
      <c r="Z400" s="777"/>
    </row>
    <row r="401">
      <c r="B401" s="626"/>
      <c r="Z401" s="777"/>
    </row>
    <row r="402">
      <c r="B402" s="626"/>
      <c r="Z402" s="777"/>
    </row>
    <row r="403">
      <c r="B403" s="626"/>
      <c r="Z403" s="777"/>
    </row>
    <row r="404">
      <c r="B404" s="626"/>
      <c r="Z404" s="777"/>
    </row>
    <row r="405">
      <c r="B405" s="626"/>
      <c r="Z405" s="777"/>
    </row>
    <row r="406">
      <c r="B406" s="626"/>
      <c r="Z406" s="777"/>
    </row>
    <row r="407">
      <c r="B407" s="626"/>
      <c r="Z407" s="777"/>
    </row>
    <row r="408">
      <c r="B408" s="626"/>
      <c r="Z408" s="777"/>
    </row>
    <row r="409">
      <c r="B409" s="626"/>
      <c r="Z409" s="777"/>
    </row>
    <row r="410">
      <c r="B410" s="626"/>
      <c r="Z410" s="777"/>
    </row>
    <row r="411">
      <c r="B411" s="626"/>
      <c r="Z411" s="777"/>
    </row>
    <row r="412">
      <c r="B412" s="626"/>
      <c r="Z412" s="777"/>
    </row>
    <row r="413">
      <c r="B413" s="626"/>
      <c r="Z413" s="777"/>
    </row>
    <row r="414">
      <c r="B414" s="626"/>
      <c r="Z414" s="777"/>
    </row>
    <row r="415">
      <c r="B415" s="626"/>
      <c r="Z415" s="777"/>
    </row>
    <row r="416">
      <c r="B416" s="626"/>
      <c r="Z416" s="777"/>
    </row>
    <row r="417">
      <c r="B417" s="626"/>
      <c r="Z417" s="777"/>
    </row>
    <row r="418">
      <c r="B418" s="626"/>
      <c r="Z418" s="777"/>
    </row>
    <row r="419">
      <c r="B419" s="626"/>
      <c r="Z419" s="777"/>
    </row>
    <row r="420">
      <c r="B420" s="626"/>
      <c r="Z420" s="777"/>
    </row>
    <row r="421">
      <c r="B421" s="626"/>
      <c r="Z421" s="777"/>
    </row>
    <row r="422">
      <c r="B422" s="626"/>
      <c r="Z422" s="777"/>
    </row>
    <row r="423">
      <c r="B423" s="626"/>
      <c r="Z423" s="777"/>
    </row>
    <row r="424">
      <c r="B424" s="626"/>
      <c r="Z424" s="777"/>
    </row>
    <row r="425">
      <c r="B425" s="626"/>
      <c r="Z425" s="777"/>
    </row>
    <row r="426">
      <c r="B426" s="626"/>
      <c r="Z426" s="777"/>
    </row>
    <row r="427">
      <c r="B427" s="626"/>
      <c r="Z427" s="777"/>
    </row>
    <row r="428">
      <c r="B428" s="626"/>
      <c r="Z428" s="777"/>
    </row>
    <row r="429">
      <c r="B429" s="626"/>
      <c r="Z429" s="777"/>
    </row>
    <row r="430">
      <c r="B430" s="626"/>
      <c r="Z430" s="777"/>
    </row>
    <row r="431">
      <c r="B431" s="626"/>
      <c r="Z431" s="777"/>
    </row>
    <row r="432">
      <c r="B432" s="626"/>
      <c r="Z432" s="777"/>
    </row>
    <row r="433">
      <c r="B433" s="626"/>
      <c r="Z433" s="777"/>
    </row>
    <row r="434">
      <c r="B434" s="626"/>
      <c r="Z434" s="777"/>
    </row>
    <row r="435">
      <c r="B435" s="626"/>
      <c r="Z435" s="777"/>
    </row>
    <row r="436">
      <c r="B436" s="626"/>
      <c r="Z436" s="777"/>
    </row>
    <row r="437">
      <c r="B437" s="626"/>
      <c r="Z437" s="777"/>
    </row>
    <row r="438">
      <c r="B438" s="626"/>
      <c r="Z438" s="777"/>
    </row>
    <row r="439">
      <c r="B439" s="626"/>
      <c r="Z439" s="777"/>
    </row>
    <row r="440">
      <c r="B440" s="626"/>
      <c r="Z440" s="777"/>
    </row>
    <row r="441">
      <c r="B441" s="626"/>
      <c r="Z441" s="777"/>
    </row>
    <row r="442">
      <c r="B442" s="626"/>
      <c r="Z442" s="777"/>
    </row>
    <row r="443">
      <c r="B443" s="626"/>
      <c r="Z443" s="777"/>
    </row>
    <row r="444">
      <c r="B444" s="626"/>
      <c r="Z444" s="777"/>
    </row>
    <row r="445">
      <c r="B445" s="626"/>
      <c r="Z445" s="777"/>
    </row>
    <row r="446">
      <c r="B446" s="626"/>
      <c r="Z446" s="777"/>
    </row>
    <row r="447">
      <c r="B447" s="626"/>
      <c r="Z447" s="777"/>
    </row>
    <row r="448">
      <c r="B448" s="626"/>
      <c r="Z448" s="777"/>
    </row>
    <row r="449">
      <c r="B449" s="626"/>
      <c r="Z449" s="777"/>
    </row>
    <row r="450">
      <c r="B450" s="626"/>
      <c r="Z450" s="777"/>
    </row>
    <row r="451">
      <c r="B451" s="626"/>
      <c r="Z451" s="777"/>
    </row>
    <row r="452">
      <c r="B452" s="626"/>
      <c r="Z452" s="777"/>
    </row>
    <row r="453">
      <c r="B453" s="626"/>
      <c r="Z453" s="777"/>
    </row>
    <row r="454">
      <c r="B454" s="626"/>
      <c r="Z454" s="777"/>
    </row>
    <row r="455">
      <c r="B455" s="626"/>
      <c r="Z455" s="777"/>
    </row>
    <row r="456">
      <c r="B456" s="626"/>
      <c r="Z456" s="777"/>
    </row>
    <row r="457">
      <c r="B457" s="626"/>
      <c r="Z457" s="777"/>
    </row>
    <row r="458">
      <c r="B458" s="626"/>
      <c r="Z458" s="777"/>
    </row>
    <row r="459">
      <c r="B459" s="626"/>
      <c r="Z459" s="777"/>
    </row>
    <row r="460">
      <c r="B460" s="626"/>
      <c r="Z460" s="777"/>
    </row>
    <row r="461">
      <c r="B461" s="626"/>
      <c r="Z461" s="777"/>
    </row>
    <row r="462">
      <c r="B462" s="626"/>
      <c r="Z462" s="777"/>
    </row>
    <row r="463">
      <c r="B463" s="626"/>
      <c r="Z463" s="777"/>
    </row>
    <row r="464">
      <c r="B464" s="626"/>
      <c r="Z464" s="777"/>
    </row>
    <row r="465">
      <c r="B465" s="626"/>
      <c r="Z465" s="777"/>
    </row>
    <row r="466">
      <c r="B466" s="626"/>
      <c r="Z466" s="777"/>
    </row>
    <row r="467">
      <c r="B467" s="626"/>
      <c r="Z467" s="777"/>
    </row>
    <row r="468">
      <c r="B468" s="626"/>
      <c r="Z468" s="777"/>
    </row>
    <row r="469">
      <c r="B469" s="626"/>
      <c r="Z469" s="777"/>
    </row>
    <row r="470">
      <c r="B470" s="626"/>
      <c r="Z470" s="777"/>
    </row>
    <row r="471">
      <c r="B471" s="626"/>
      <c r="Z471" s="777"/>
    </row>
    <row r="472">
      <c r="B472" s="626"/>
      <c r="Z472" s="777"/>
    </row>
    <row r="473">
      <c r="B473" s="626"/>
      <c r="Z473" s="777"/>
    </row>
    <row r="474">
      <c r="B474" s="626"/>
      <c r="Z474" s="777"/>
    </row>
    <row r="475">
      <c r="B475" s="626"/>
      <c r="Z475" s="777"/>
    </row>
    <row r="476">
      <c r="B476" s="626"/>
      <c r="Z476" s="777"/>
    </row>
    <row r="477">
      <c r="B477" s="626"/>
      <c r="Z477" s="777"/>
    </row>
    <row r="478">
      <c r="B478" s="626"/>
      <c r="Z478" s="777"/>
    </row>
    <row r="479">
      <c r="B479" s="626"/>
      <c r="Z479" s="777"/>
    </row>
    <row r="480">
      <c r="B480" s="626"/>
      <c r="Z480" s="777"/>
    </row>
    <row r="481">
      <c r="B481" s="626"/>
      <c r="Z481" s="777"/>
    </row>
    <row r="482">
      <c r="B482" s="626"/>
      <c r="Z482" s="777"/>
    </row>
    <row r="483">
      <c r="B483" s="626"/>
      <c r="Z483" s="777"/>
    </row>
    <row r="484">
      <c r="B484" s="626"/>
      <c r="Z484" s="777"/>
    </row>
    <row r="485">
      <c r="B485" s="626"/>
      <c r="Z485" s="777"/>
    </row>
    <row r="486">
      <c r="B486" s="626"/>
      <c r="Z486" s="777"/>
    </row>
    <row r="487">
      <c r="B487" s="626"/>
      <c r="Z487" s="777"/>
    </row>
    <row r="488">
      <c r="B488" s="626"/>
      <c r="Z488" s="777"/>
    </row>
    <row r="489">
      <c r="B489" s="626"/>
      <c r="Z489" s="777"/>
    </row>
    <row r="490">
      <c r="B490" s="626"/>
      <c r="Z490" s="777"/>
    </row>
    <row r="491">
      <c r="B491" s="626"/>
      <c r="Z491" s="777"/>
    </row>
    <row r="492">
      <c r="B492" s="626"/>
      <c r="Z492" s="777"/>
    </row>
    <row r="493">
      <c r="B493" s="626"/>
      <c r="Z493" s="777"/>
    </row>
    <row r="494">
      <c r="B494" s="626"/>
      <c r="Z494" s="777"/>
    </row>
    <row r="495">
      <c r="B495" s="626"/>
      <c r="Z495" s="777"/>
    </row>
    <row r="496">
      <c r="B496" s="626"/>
      <c r="Z496" s="777"/>
    </row>
    <row r="497">
      <c r="B497" s="626"/>
      <c r="Z497" s="777"/>
    </row>
    <row r="498">
      <c r="B498" s="626"/>
      <c r="Z498" s="777"/>
    </row>
    <row r="499">
      <c r="B499" s="626"/>
      <c r="Z499" s="777"/>
    </row>
    <row r="500">
      <c r="B500" s="626"/>
      <c r="Z500" s="777"/>
    </row>
    <row r="501">
      <c r="B501" s="626"/>
      <c r="Z501" s="777"/>
    </row>
    <row r="502">
      <c r="B502" s="626"/>
      <c r="Z502" s="777"/>
    </row>
    <row r="503">
      <c r="B503" s="626"/>
      <c r="Z503" s="777"/>
    </row>
    <row r="504">
      <c r="B504" s="626"/>
      <c r="Z504" s="777"/>
    </row>
    <row r="505">
      <c r="B505" s="626"/>
      <c r="Z505" s="777"/>
    </row>
    <row r="506">
      <c r="B506" s="626"/>
      <c r="Z506" s="777"/>
    </row>
    <row r="507">
      <c r="B507" s="626"/>
      <c r="Z507" s="777"/>
    </row>
    <row r="508">
      <c r="B508" s="626"/>
      <c r="Z508" s="777"/>
    </row>
    <row r="509">
      <c r="B509" s="626"/>
      <c r="Z509" s="777"/>
    </row>
    <row r="510">
      <c r="B510" s="626"/>
      <c r="Z510" s="777"/>
    </row>
    <row r="511">
      <c r="B511" s="626"/>
      <c r="Z511" s="777"/>
    </row>
    <row r="512">
      <c r="B512" s="626"/>
      <c r="Z512" s="777"/>
    </row>
    <row r="513">
      <c r="B513" s="626"/>
      <c r="Z513" s="777"/>
    </row>
    <row r="514">
      <c r="B514" s="626"/>
      <c r="Z514" s="777"/>
    </row>
    <row r="515">
      <c r="B515" s="626"/>
      <c r="Z515" s="777"/>
    </row>
    <row r="516">
      <c r="B516" s="626"/>
      <c r="Z516" s="777"/>
    </row>
    <row r="517">
      <c r="B517" s="626"/>
      <c r="Z517" s="777"/>
    </row>
    <row r="518">
      <c r="B518" s="626"/>
      <c r="Z518" s="777"/>
    </row>
    <row r="519">
      <c r="B519" s="626"/>
      <c r="Z519" s="777"/>
    </row>
    <row r="520">
      <c r="B520" s="626"/>
      <c r="Z520" s="777"/>
    </row>
    <row r="521">
      <c r="B521" s="626"/>
      <c r="Z521" s="777"/>
    </row>
    <row r="522">
      <c r="B522" s="626"/>
      <c r="Z522" s="777"/>
    </row>
    <row r="523">
      <c r="B523" s="626"/>
      <c r="Z523" s="777"/>
    </row>
    <row r="524">
      <c r="B524" s="626"/>
      <c r="Z524" s="777"/>
    </row>
    <row r="525">
      <c r="B525" s="626"/>
      <c r="Z525" s="777"/>
    </row>
    <row r="526">
      <c r="B526" s="626"/>
      <c r="Z526" s="777"/>
    </row>
    <row r="527">
      <c r="B527" s="626"/>
      <c r="Z527" s="777"/>
    </row>
    <row r="528">
      <c r="B528" s="626"/>
      <c r="Z528" s="777"/>
    </row>
    <row r="529">
      <c r="B529" s="626"/>
      <c r="Z529" s="777"/>
    </row>
    <row r="530">
      <c r="B530" s="626"/>
      <c r="Z530" s="777"/>
    </row>
    <row r="531">
      <c r="B531" s="626"/>
      <c r="Z531" s="777"/>
    </row>
    <row r="532">
      <c r="B532" s="626"/>
      <c r="Z532" s="777"/>
    </row>
    <row r="533">
      <c r="B533" s="626"/>
      <c r="Z533" s="777"/>
    </row>
    <row r="534">
      <c r="B534" s="626"/>
      <c r="Z534" s="777"/>
    </row>
    <row r="535">
      <c r="B535" s="626"/>
      <c r="Z535" s="777"/>
    </row>
    <row r="536">
      <c r="B536" s="626"/>
      <c r="Z536" s="777"/>
    </row>
    <row r="537">
      <c r="B537" s="626"/>
      <c r="Z537" s="777"/>
    </row>
    <row r="538">
      <c r="B538" s="626"/>
      <c r="Z538" s="777"/>
    </row>
    <row r="539">
      <c r="B539" s="626"/>
      <c r="Z539" s="777"/>
    </row>
    <row r="540">
      <c r="B540" s="626"/>
      <c r="Z540" s="777"/>
    </row>
    <row r="541">
      <c r="B541" s="626"/>
      <c r="Z541" s="777"/>
    </row>
    <row r="542">
      <c r="B542" s="626"/>
      <c r="Z542" s="777"/>
    </row>
    <row r="543">
      <c r="B543" s="626"/>
      <c r="Z543" s="777"/>
    </row>
    <row r="544">
      <c r="B544" s="626"/>
      <c r="Z544" s="777"/>
    </row>
    <row r="545">
      <c r="B545" s="626"/>
      <c r="Z545" s="777"/>
    </row>
    <row r="546">
      <c r="B546" s="626"/>
      <c r="Z546" s="777"/>
    </row>
    <row r="547">
      <c r="B547" s="626"/>
      <c r="Z547" s="777"/>
    </row>
    <row r="548">
      <c r="B548" s="626"/>
      <c r="Z548" s="777"/>
    </row>
    <row r="549">
      <c r="B549" s="626"/>
      <c r="Z549" s="777"/>
    </row>
    <row r="550">
      <c r="B550" s="626"/>
      <c r="Z550" s="777"/>
    </row>
    <row r="551">
      <c r="B551" s="626"/>
      <c r="Z551" s="777"/>
    </row>
    <row r="552">
      <c r="B552" s="626"/>
      <c r="Z552" s="777"/>
    </row>
    <row r="553">
      <c r="B553" s="626"/>
      <c r="Z553" s="777"/>
    </row>
    <row r="554">
      <c r="B554" s="626"/>
      <c r="Z554" s="777"/>
    </row>
    <row r="555">
      <c r="B555" s="626"/>
      <c r="Z555" s="777"/>
    </row>
    <row r="556">
      <c r="B556" s="626"/>
      <c r="Z556" s="777"/>
    </row>
    <row r="557">
      <c r="B557" s="626"/>
      <c r="Z557" s="777"/>
    </row>
    <row r="558">
      <c r="B558" s="626"/>
      <c r="Z558" s="777"/>
    </row>
    <row r="559">
      <c r="B559" s="626"/>
      <c r="Z559" s="777"/>
    </row>
    <row r="560">
      <c r="B560" s="626"/>
      <c r="Z560" s="777"/>
    </row>
    <row r="561">
      <c r="B561" s="626"/>
      <c r="Z561" s="777"/>
    </row>
    <row r="562">
      <c r="B562" s="626"/>
      <c r="Z562" s="777"/>
    </row>
    <row r="563">
      <c r="B563" s="626"/>
      <c r="Z563" s="777"/>
    </row>
    <row r="564">
      <c r="B564" s="626"/>
      <c r="Z564" s="777"/>
    </row>
    <row r="565">
      <c r="B565" s="626"/>
      <c r="Z565" s="777"/>
    </row>
    <row r="566">
      <c r="B566" s="626"/>
      <c r="Z566" s="777"/>
    </row>
    <row r="567">
      <c r="B567" s="626"/>
      <c r="Z567" s="777"/>
    </row>
    <row r="568">
      <c r="B568" s="626"/>
      <c r="Z568" s="777"/>
    </row>
    <row r="569">
      <c r="B569" s="626"/>
      <c r="Z569" s="777"/>
    </row>
    <row r="570">
      <c r="B570" s="626"/>
      <c r="Z570" s="777"/>
    </row>
    <row r="571">
      <c r="B571" s="626"/>
      <c r="Z571" s="777"/>
    </row>
    <row r="572">
      <c r="B572" s="626"/>
      <c r="Z572" s="777"/>
    </row>
    <row r="573">
      <c r="B573" s="626"/>
      <c r="Z573" s="777"/>
    </row>
    <row r="574">
      <c r="B574" s="626"/>
      <c r="Z574" s="777"/>
    </row>
    <row r="575">
      <c r="B575" s="626"/>
      <c r="Z575" s="777"/>
    </row>
    <row r="576">
      <c r="B576" s="626"/>
      <c r="Z576" s="777"/>
    </row>
    <row r="577">
      <c r="B577" s="626"/>
      <c r="Z577" s="777"/>
    </row>
    <row r="578">
      <c r="B578" s="626"/>
      <c r="Z578" s="777"/>
    </row>
    <row r="579">
      <c r="B579" s="626"/>
      <c r="Z579" s="777"/>
    </row>
    <row r="580">
      <c r="B580" s="626"/>
      <c r="Z580" s="777"/>
    </row>
    <row r="581">
      <c r="B581" s="626"/>
      <c r="Z581" s="777"/>
    </row>
    <row r="582">
      <c r="B582" s="626"/>
      <c r="Z582" s="777"/>
    </row>
    <row r="583">
      <c r="B583" s="626"/>
      <c r="Z583" s="777"/>
    </row>
    <row r="584">
      <c r="B584" s="626"/>
      <c r="Z584" s="777"/>
    </row>
    <row r="585">
      <c r="B585" s="626"/>
      <c r="Z585" s="777"/>
    </row>
    <row r="586">
      <c r="B586" s="626"/>
      <c r="Z586" s="777"/>
    </row>
    <row r="587">
      <c r="B587" s="626"/>
      <c r="Z587" s="777"/>
    </row>
    <row r="588">
      <c r="B588" s="626"/>
      <c r="Z588" s="777"/>
    </row>
    <row r="589">
      <c r="B589" s="626"/>
      <c r="Z589" s="777"/>
    </row>
    <row r="590">
      <c r="B590" s="626"/>
      <c r="Z590" s="777"/>
    </row>
    <row r="591">
      <c r="B591" s="626"/>
      <c r="Z591" s="777"/>
    </row>
    <row r="592">
      <c r="B592" s="626"/>
      <c r="Z592" s="777"/>
    </row>
    <row r="593">
      <c r="B593" s="626"/>
      <c r="Z593" s="777"/>
    </row>
    <row r="594">
      <c r="B594" s="626"/>
      <c r="Z594" s="777"/>
    </row>
    <row r="595">
      <c r="B595" s="626"/>
      <c r="Z595" s="777"/>
    </row>
    <row r="596">
      <c r="B596" s="626"/>
      <c r="Z596" s="777"/>
    </row>
    <row r="597">
      <c r="B597" s="626"/>
      <c r="Z597" s="777"/>
    </row>
    <row r="598">
      <c r="B598" s="626"/>
      <c r="Z598" s="777"/>
    </row>
    <row r="599">
      <c r="B599" s="626"/>
      <c r="Z599" s="777"/>
    </row>
    <row r="600">
      <c r="B600" s="626"/>
      <c r="Z600" s="777"/>
    </row>
    <row r="601">
      <c r="B601" s="626"/>
      <c r="Z601" s="777"/>
    </row>
    <row r="602">
      <c r="B602" s="626"/>
      <c r="Z602" s="777"/>
    </row>
    <row r="603">
      <c r="B603" s="626"/>
      <c r="Z603" s="777"/>
    </row>
    <row r="604">
      <c r="B604" s="626"/>
      <c r="Z604" s="777"/>
    </row>
    <row r="605">
      <c r="B605" s="626"/>
      <c r="Z605" s="777"/>
    </row>
    <row r="606">
      <c r="B606" s="626"/>
      <c r="Z606" s="777"/>
    </row>
    <row r="607">
      <c r="B607" s="626"/>
      <c r="Z607" s="777"/>
    </row>
    <row r="608">
      <c r="B608" s="626"/>
      <c r="Z608" s="777"/>
    </row>
    <row r="609">
      <c r="B609" s="626"/>
      <c r="Z609" s="777"/>
    </row>
    <row r="610">
      <c r="B610" s="626"/>
      <c r="Z610" s="777"/>
    </row>
    <row r="611">
      <c r="B611" s="626"/>
      <c r="Z611" s="777"/>
    </row>
    <row r="612">
      <c r="B612" s="626"/>
      <c r="Z612" s="777"/>
    </row>
    <row r="613">
      <c r="B613" s="626"/>
      <c r="Z613" s="777"/>
    </row>
    <row r="614">
      <c r="B614" s="626"/>
      <c r="Z614" s="777"/>
    </row>
    <row r="615">
      <c r="B615" s="626"/>
      <c r="Z615" s="777"/>
    </row>
    <row r="616">
      <c r="B616" s="626"/>
      <c r="Z616" s="777"/>
    </row>
    <row r="617">
      <c r="B617" s="626"/>
      <c r="Z617" s="777"/>
    </row>
    <row r="618">
      <c r="B618" s="626"/>
      <c r="Z618" s="777"/>
    </row>
    <row r="619">
      <c r="B619" s="626"/>
      <c r="Z619" s="777"/>
    </row>
    <row r="620">
      <c r="B620" s="626"/>
      <c r="Z620" s="777"/>
    </row>
    <row r="621">
      <c r="B621" s="626"/>
      <c r="Z621" s="777"/>
    </row>
    <row r="622">
      <c r="B622" s="626"/>
      <c r="Z622" s="777"/>
    </row>
    <row r="623">
      <c r="B623" s="626"/>
      <c r="Z623" s="777"/>
    </row>
    <row r="624">
      <c r="B624" s="626"/>
      <c r="Z624" s="777"/>
    </row>
    <row r="625">
      <c r="B625" s="626"/>
      <c r="Z625" s="777"/>
    </row>
    <row r="626">
      <c r="B626" s="626"/>
      <c r="Z626" s="777"/>
    </row>
    <row r="627">
      <c r="B627" s="626"/>
      <c r="Z627" s="777"/>
    </row>
    <row r="628">
      <c r="B628" s="626"/>
      <c r="Z628" s="777"/>
    </row>
    <row r="629">
      <c r="B629" s="626"/>
      <c r="Z629" s="777"/>
    </row>
    <row r="630">
      <c r="B630" s="626"/>
      <c r="Z630" s="777"/>
    </row>
    <row r="631">
      <c r="B631" s="626"/>
      <c r="Z631" s="777"/>
    </row>
    <row r="632">
      <c r="B632" s="626"/>
      <c r="Z632" s="777"/>
    </row>
    <row r="633">
      <c r="B633" s="626"/>
      <c r="Z633" s="777"/>
    </row>
    <row r="634">
      <c r="B634" s="626"/>
      <c r="Z634" s="777"/>
    </row>
    <row r="635">
      <c r="B635" s="626"/>
      <c r="Z635" s="777"/>
    </row>
    <row r="636">
      <c r="B636" s="626"/>
      <c r="Z636" s="777"/>
    </row>
    <row r="637">
      <c r="B637" s="626"/>
      <c r="Z637" s="777"/>
    </row>
    <row r="638">
      <c r="B638" s="626"/>
      <c r="Z638" s="777"/>
    </row>
    <row r="639">
      <c r="B639" s="626"/>
      <c r="Z639" s="777"/>
    </row>
    <row r="640">
      <c r="B640" s="626"/>
      <c r="Z640" s="777"/>
    </row>
    <row r="641">
      <c r="B641" s="626"/>
      <c r="Z641" s="777"/>
    </row>
    <row r="642">
      <c r="B642" s="626"/>
      <c r="Z642" s="777"/>
    </row>
    <row r="643">
      <c r="B643" s="626"/>
      <c r="Z643" s="777"/>
    </row>
    <row r="644">
      <c r="B644" s="626"/>
      <c r="Z644" s="777"/>
    </row>
    <row r="645">
      <c r="B645" s="626"/>
      <c r="Z645" s="777"/>
    </row>
    <row r="646">
      <c r="B646" s="626"/>
      <c r="Z646" s="777"/>
    </row>
    <row r="647">
      <c r="B647" s="626"/>
      <c r="Z647" s="777"/>
    </row>
    <row r="648">
      <c r="B648" s="626"/>
      <c r="Z648" s="777"/>
    </row>
    <row r="649">
      <c r="B649" s="626"/>
      <c r="Z649" s="777"/>
    </row>
    <row r="650">
      <c r="B650" s="626"/>
      <c r="Z650" s="777"/>
    </row>
    <row r="651">
      <c r="B651" s="626"/>
      <c r="Z651" s="777"/>
    </row>
    <row r="652">
      <c r="B652" s="626"/>
      <c r="Z652" s="777"/>
    </row>
    <row r="653">
      <c r="B653" s="626"/>
      <c r="Z653" s="777"/>
    </row>
    <row r="654">
      <c r="B654" s="626"/>
      <c r="Z654" s="777"/>
    </row>
    <row r="655">
      <c r="B655" s="626"/>
      <c r="Z655" s="777"/>
    </row>
    <row r="656">
      <c r="B656" s="626"/>
      <c r="Z656" s="777"/>
    </row>
    <row r="657">
      <c r="B657" s="626"/>
      <c r="Z657" s="777"/>
    </row>
    <row r="658">
      <c r="B658" s="626"/>
      <c r="Z658" s="777"/>
    </row>
    <row r="659">
      <c r="B659" s="626"/>
      <c r="Z659" s="777"/>
    </row>
    <row r="660">
      <c r="B660" s="626"/>
      <c r="Z660" s="777"/>
    </row>
    <row r="661">
      <c r="B661" s="626"/>
      <c r="Z661" s="777"/>
    </row>
    <row r="662">
      <c r="B662" s="626"/>
      <c r="Z662" s="777"/>
    </row>
    <row r="663">
      <c r="B663" s="626"/>
      <c r="Z663" s="777"/>
    </row>
    <row r="664">
      <c r="B664" s="626"/>
      <c r="Z664" s="777"/>
    </row>
    <row r="665">
      <c r="B665" s="626"/>
      <c r="Z665" s="777"/>
    </row>
    <row r="666">
      <c r="B666" s="626"/>
      <c r="Z666" s="777"/>
    </row>
    <row r="667">
      <c r="B667" s="626"/>
      <c r="Z667" s="777"/>
    </row>
    <row r="668">
      <c r="B668" s="626"/>
      <c r="Z668" s="777"/>
    </row>
    <row r="669">
      <c r="B669" s="626"/>
      <c r="Z669" s="777"/>
    </row>
    <row r="670">
      <c r="B670" s="626"/>
      <c r="Z670" s="777"/>
    </row>
    <row r="671">
      <c r="B671" s="626"/>
      <c r="Z671" s="777"/>
    </row>
    <row r="672">
      <c r="B672" s="626"/>
      <c r="Z672" s="777"/>
    </row>
    <row r="673">
      <c r="B673" s="626"/>
      <c r="Z673" s="777"/>
    </row>
    <row r="674">
      <c r="B674" s="626"/>
      <c r="Z674" s="777"/>
    </row>
    <row r="675">
      <c r="B675" s="626"/>
      <c r="Z675" s="777"/>
    </row>
    <row r="676">
      <c r="B676" s="626"/>
      <c r="Z676" s="777"/>
    </row>
    <row r="677">
      <c r="B677" s="626"/>
      <c r="Z677" s="777"/>
    </row>
    <row r="678">
      <c r="B678" s="626"/>
      <c r="Z678" s="777"/>
    </row>
    <row r="679">
      <c r="B679" s="626"/>
      <c r="Z679" s="777"/>
    </row>
    <row r="680">
      <c r="B680" s="626"/>
      <c r="Z680" s="777"/>
    </row>
    <row r="681">
      <c r="B681" s="626"/>
      <c r="Z681" s="777"/>
    </row>
    <row r="682">
      <c r="B682" s="626"/>
      <c r="Z682" s="777"/>
    </row>
    <row r="683">
      <c r="B683" s="626"/>
      <c r="Z683" s="777"/>
    </row>
    <row r="684">
      <c r="B684" s="626"/>
      <c r="Z684" s="777"/>
    </row>
    <row r="685">
      <c r="B685" s="626"/>
      <c r="Z685" s="777"/>
    </row>
    <row r="686">
      <c r="B686" s="626"/>
      <c r="Z686" s="777"/>
    </row>
    <row r="687">
      <c r="B687" s="626"/>
      <c r="Z687" s="777"/>
    </row>
    <row r="688">
      <c r="B688" s="626"/>
      <c r="Z688" s="777"/>
    </row>
    <row r="689">
      <c r="B689" s="626"/>
      <c r="Z689" s="777"/>
    </row>
    <row r="690">
      <c r="B690" s="626"/>
      <c r="Z690" s="777"/>
    </row>
    <row r="691">
      <c r="B691" s="626"/>
      <c r="Z691" s="777"/>
    </row>
    <row r="692">
      <c r="B692" s="626"/>
      <c r="Z692" s="777"/>
    </row>
    <row r="693">
      <c r="B693" s="626"/>
      <c r="Z693" s="777"/>
    </row>
    <row r="694">
      <c r="B694" s="626"/>
      <c r="Z694" s="777"/>
    </row>
    <row r="695">
      <c r="B695" s="626"/>
      <c r="Z695" s="777"/>
    </row>
    <row r="696">
      <c r="B696" s="626"/>
      <c r="Z696" s="777"/>
    </row>
    <row r="697">
      <c r="B697" s="626"/>
      <c r="Z697" s="777"/>
    </row>
    <row r="698">
      <c r="B698" s="626"/>
      <c r="Z698" s="777"/>
    </row>
    <row r="699">
      <c r="B699" s="626"/>
      <c r="Z699" s="777"/>
    </row>
    <row r="700">
      <c r="B700" s="626"/>
      <c r="Z700" s="777"/>
    </row>
    <row r="701">
      <c r="B701" s="626"/>
      <c r="Z701" s="777"/>
    </row>
    <row r="702">
      <c r="B702" s="626"/>
      <c r="Z702" s="777"/>
    </row>
    <row r="703">
      <c r="B703" s="626"/>
      <c r="Z703" s="777"/>
    </row>
    <row r="704">
      <c r="B704" s="626"/>
      <c r="Z704" s="777"/>
    </row>
    <row r="705">
      <c r="B705" s="626"/>
      <c r="Z705" s="777"/>
    </row>
    <row r="706">
      <c r="B706" s="626"/>
      <c r="Z706" s="777"/>
    </row>
    <row r="707">
      <c r="B707" s="626"/>
      <c r="Z707" s="777"/>
    </row>
    <row r="708">
      <c r="B708" s="626"/>
      <c r="Z708" s="777"/>
    </row>
    <row r="709">
      <c r="B709" s="626"/>
      <c r="Z709" s="777"/>
    </row>
    <row r="710">
      <c r="B710" s="626"/>
      <c r="Z710" s="777"/>
    </row>
    <row r="711">
      <c r="B711" s="626"/>
      <c r="Z711" s="777"/>
    </row>
    <row r="712">
      <c r="B712" s="626"/>
      <c r="Z712" s="777"/>
    </row>
    <row r="713">
      <c r="B713" s="626"/>
      <c r="Z713" s="777"/>
    </row>
    <row r="714">
      <c r="B714" s="626"/>
      <c r="Z714" s="777"/>
    </row>
    <row r="715">
      <c r="B715" s="626"/>
      <c r="Z715" s="777"/>
    </row>
    <row r="716">
      <c r="B716" s="626"/>
      <c r="Z716" s="777"/>
    </row>
    <row r="717">
      <c r="B717" s="626"/>
      <c r="Z717" s="777"/>
    </row>
    <row r="718">
      <c r="B718" s="626"/>
      <c r="Z718" s="777"/>
    </row>
    <row r="719">
      <c r="B719" s="626"/>
      <c r="Z719" s="777"/>
    </row>
    <row r="720">
      <c r="B720" s="626"/>
      <c r="Z720" s="777"/>
    </row>
    <row r="721">
      <c r="B721" s="626"/>
      <c r="Z721" s="777"/>
    </row>
    <row r="722">
      <c r="B722" s="626"/>
      <c r="Z722" s="777"/>
    </row>
    <row r="723">
      <c r="B723" s="626"/>
      <c r="Z723" s="777"/>
    </row>
    <row r="724">
      <c r="B724" s="626"/>
      <c r="Z724" s="777"/>
    </row>
    <row r="725">
      <c r="B725" s="626"/>
      <c r="Z725" s="777"/>
    </row>
    <row r="726">
      <c r="B726" s="626"/>
      <c r="Z726" s="777"/>
    </row>
    <row r="727">
      <c r="B727" s="626"/>
      <c r="Z727" s="777"/>
    </row>
    <row r="728">
      <c r="B728" s="626"/>
      <c r="Z728" s="777"/>
    </row>
    <row r="729">
      <c r="B729" s="626"/>
      <c r="Z729" s="777"/>
    </row>
    <row r="730">
      <c r="B730" s="626"/>
      <c r="Z730" s="777"/>
    </row>
    <row r="731">
      <c r="B731" s="626"/>
      <c r="Z731" s="777"/>
    </row>
    <row r="732">
      <c r="B732" s="626"/>
      <c r="Z732" s="777"/>
    </row>
    <row r="733">
      <c r="B733" s="626"/>
      <c r="Z733" s="777"/>
    </row>
    <row r="734">
      <c r="B734" s="626"/>
      <c r="Z734" s="777"/>
    </row>
    <row r="735">
      <c r="B735" s="626"/>
      <c r="Z735" s="777"/>
    </row>
    <row r="736">
      <c r="B736" s="626"/>
      <c r="Z736" s="777"/>
    </row>
    <row r="737">
      <c r="B737" s="626"/>
      <c r="Z737" s="777"/>
    </row>
    <row r="738">
      <c r="B738" s="626"/>
      <c r="Z738" s="777"/>
    </row>
    <row r="739">
      <c r="B739" s="626"/>
      <c r="Z739" s="777"/>
    </row>
    <row r="740">
      <c r="B740" s="626"/>
      <c r="Z740" s="777"/>
    </row>
    <row r="741">
      <c r="B741" s="626"/>
      <c r="Z741" s="777"/>
    </row>
    <row r="742">
      <c r="B742" s="626"/>
      <c r="Z742" s="777"/>
    </row>
    <row r="743">
      <c r="B743" s="626"/>
      <c r="Z743" s="777"/>
    </row>
    <row r="744">
      <c r="B744" s="626"/>
      <c r="Z744" s="777"/>
    </row>
    <row r="745">
      <c r="B745" s="626"/>
      <c r="Z745" s="777"/>
    </row>
    <row r="746">
      <c r="B746" s="626"/>
      <c r="Z746" s="777"/>
    </row>
    <row r="747">
      <c r="B747" s="626"/>
      <c r="Z747" s="777"/>
    </row>
    <row r="748">
      <c r="B748" s="626"/>
      <c r="Z748" s="777"/>
    </row>
    <row r="749">
      <c r="B749" s="626"/>
      <c r="Z749" s="777"/>
    </row>
    <row r="750">
      <c r="B750" s="626"/>
      <c r="Z750" s="777"/>
    </row>
    <row r="751">
      <c r="B751" s="626"/>
      <c r="Z751" s="777"/>
    </row>
    <row r="752">
      <c r="B752" s="626"/>
      <c r="Z752" s="777"/>
    </row>
    <row r="753">
      <c r="B753" s="626"/>
      <c r="Z753" s="777"/>
    </row>
    <row r="754">
      <c r="B754" s="626"/>
      <c r="Z754" s="777"/>
    </row>
    <row r="755">
      <c r="B755" s="626"/>
      <c r="Z755" s="777"/>
    </row>
    <row r="756">
      <c r="B756" s="626"/>
      <c r="Z756" s="777"/>
    </row>
    <row r="757">
      <c r="B757" s="626"/>
      <c r="Z757" s="777"/>
    </row>
    <row r="758">
      <c r="B758" s="626"/>
      <c r="Z758" s="777"/>
    </row>
    <row r="759">
      <c r="B759" s="626"/>
      <c r="Z759" s="777"/>
    </row>
    <row r="760">
      <c r="B760" s="626"/>
      <c r="Z760" s="777"/>
    </row>
    <row r="761">
      <c r="B761" s="626"/>
      <c r="Z761" s="777"/>
    </row>
    <row r="762">
      <c r="B762" s="626"/>
      <c r="Z762" s="777"/>
    </row>
    <row r="763">
      <c r="B763" s="626"/>
      <c r="Z763" s="777"/>
    </row>
    <row r="764">
      <c r="B764" s="626"/>
      <c r="Z764" s="777"/>
    </row>
    <row r="765">
      <c r="B765" s="626"/>
      <c r="Z765" s="777"/>
    </row>
    <row r="766">
      <c r="B766" s="626"/>
      <c r="Z766" s="777"/>
    </row>
    <row r="767">
      <c r="B767" s="626"/>
      <c r="Z767" s="777"/>
    </row>
    <row r="768">
      <c r="B768" s="626"/>
      <c r="Z768" s="777"/>
    </row>
    <row r="769">
      <c r="B769" s="626"/>
      <c r="Z769" s="777"/>
    </row>
    <row r="770">
      <c r="B770" s="626"/>
      <c r="Z770" s="777"/>
    </row>
    <row r="771">
      <c r="B771" s="626"/>
      <c r="Z771" s="777"/>
    </row>
    <row r="772">
      <c r="B772" s="626"/>
      <c r="Z772" s="777"/>
    </row>
    <row r="773">
      <c r="B773" s="626"/>
      <c r="Z773" s="777"/>
    </row>
    <row r="774">
      <c r="B774" s="626"/>
      <c r="Z774" s="777"/>
    </row>
    <row r="775">
      <c r="B775" s="626"/>
      <c r="Z775" s="777"/>
    </row>
    <row r="776">
      <c r="B776" s="626"/>
      <c r="Z776" s="777"/>
    </row>
    <row r="777">
      <c r="B777" s="626"/>
      <c r="Z777" s="777"/>
    </row>
    <row r="778">
      <c r="B778" s="626"/>
      <c r="Z778" s="777"/>
    </row>
    <row r="779">
      <c r="B779" s="626"/>
      <c r="Z779" s="777"/>
    </row>
    <row r="780">
      <c r="B780" s="626"/>
      <c r="Z780" s="777"/>
    </row>
    <row r="781">
      <c r="B781" s="626"/>
      <c r="Z781" s="777"/>
    </row>
    <row r="782">
      <c r="B782" s="626"/>
      <c r="Z782" s="777"/>
    </row>
    <row r="783">
      <c r="B783" s="626"/>
      <c r="Z783" s="777"/>
    </row>
    <row r="784">
      <c r="B784" s="626"/>
      <c r="Z784" s="777"/>
    </row>
    <row r="785">
      <c r="B785" s="626"/>
      <c r="Z785" s="777"/>
    </row>
    <row r="786">
      <c r="B786" s="626"/>
      <c r="Z786" s="777"/>
    </row>
    <row r="787">
      <c r="B787" s="626"/>
      <c r="Z787" s="777"/>
    </row>
    <row r="788">
      <c r="B788" s="626"/>
      <c r="Z788" s="777"/>
    </row>
    <row r="789">
      <c r="B789" s="626"/>
      <c r="Z789" s="777"/>
    </row>
    <row r="790">
      <c r="B790" s="626"/>
      <c r="Z790" s="777"/>
    </row>
    <row r="791">
      <c r="B791" s="626"/>
      <c r="Z791" s="777"/>
    </row>
    <row r="792">
      <c r="B792" s="626"/>
      <c r="Z792" s="777"/>
    </row>
    <row r="793">
      <c r="B793" s="626"/>
      <c r="Z793" s="777"/>
    </row>
    <row r="794">
      <c r="B794" s="626"/>
      <c r="Z794" s="777"/>
    </row>
    <row r="795">
      <c r="B795" s="626"/>
      <c r="Z795" s="777"/>
    </row>
    <row r="796">
      <c r="B796" s="626"/>
      <c r="Z796" s="777"/>
    </row>
    <row r="797">
      <c r="B797" s="626"/>
      <c r="Z797" s="777"/>
    </row>
    <row r="798">
      <c r="B798" s="626"/>
      <c r="Z798" s="777"/>
    </row>
    <row r="799">
      <c r="B799" s="626"/>
      <c r="Z799" s="777"/>
    </row>
    <row r="800">
      <c r="B800" s="626"/>
      <c r="Z800" s="777"/>
    </row>
    <row r="801">
      <c r="B801" s="626"/>
      <c r="Z801" s="777"/>
    </row>
    <row r="802">
      <c r="B802" s="626"/>
      <c r="Z802" s="777"/>
    </row>
    <row r="803">
      <c r="B803" s="626"/>
      <c r="Z803" s="777"/>
    </row>
    <row r="804">
      <c r="B804" s="626"/>
      <c r="Z804" s="777"/>
    </row>
    <row r="805">
      <c r="B805" s="626"/>
      <c r="Z805" s="777"/>
    </row>
    <row r="806">
      <c r="B806" s="626"/>
      <c r="Z806" s="777"/>
    </row>
    <row r="807">
      <c r="B807" s="626"/>
      <c r="Z807" s="777"/>
    </row>
    <row r="808">
      <c r="B808" s="626"/>
      <c r="Z808" s="777"/>
    </row>
    <row r="809">
      <c r="B809" s="626"/>
      <c r="Z809" s="777"/>
    </row>
    <row r="810">
      <c r="B810" s="626"/>
      <c r="Z810" s="777"/>
    </row>
    <row r="811">
      <c r="B811" s="626"/>
      <c r="Z811" s="777"/>
    </row>
    <row r="812">
      <c r="B812" s="626"/>
      <c r="Z812" s="777"/>
    </row>
    <row r="813">
      <c r="B813" s="626"/>
      <c r="Z813" s="777"/>
    </row>
    <row r="814">
      <c r="B814" s="626"/>
      <c r="Z814" s="777"/>
    </row>
    <row r="815">
      <c r="B815" s="626"/>
      <c r="Z815" s="777"/>
    </row>
    <row r="816">
      <c r="B816" s="626"/>
      <c r="Z816" s="777"/>
    </row>
    <row r="817">
      <c r="B817" s="626"/>
      <c r="Z817" s="777"/>
    </row>
    <row r="818">
      <c r="B818" s="626"/>
      <c r="Z818" s="777"/>
    </row>
    <row r="819">
      <c r="B819" s="626"/>
      <c r="Z819" s="777"/>
    </row>
    <row r="820">
      <c r="B820" s="626"/>
      <c r="Z820" s="777"/>
    </row>
    <row r="821">
      <c r="B821" s="626"/>
      <c r="Z821" s="777"/>
    </row>
    <row r="822">
      <c r="B822" s="626"/>
      <c r="Z822" s="777"/>
    </row>
    <row r="823">
      <c r="B823" s="626"/>
      <c r="Z823" s="777"/>
    </row>
    <row r="824">
      <c r="B824" s="626"/>
      <c r="Z824" s="777"/>
    </row>
    <row r="825">
      <c r="B825" s="626"/>
      <c r="Z825" s="777"/>
    </row>
    <row r="826">
      <c r="B826" s="626"/>
      <c r="Z826" s="777"/>
    </row>
    <row r="827">
      <c r="B827" s="626"/>
      <c r="Z827" s="777"/>
    </row>
    <row r="828">
      <c r="B828" s="626"/>
      <c r="Z828" s="777"/>
    </row>
    <row r="829">
      <c r="B829" s="626"/>
      <c r="Z829" s="777"/>
    </row>
    <row r="830">
      <c r="B830" s="626"/>
      <c r="Z830" s="777"/>
    </row>
    <row r="831">
      <c r="B831" s="626"/>
      <c r="Z831" s="777"/>
    </row>
    <row r="832">
      <c r="B832" s="626"/>
      <c r="Z832" s="777"/>
    </row>
    <row r="833">
      <c r="B833" s="626"/>
      <c r="Z833" s="777"/>
    </row>
    <row r="834">
      <c r="B834" s="626"/>
      <c r="Z834" s="777"/>
    </row>
    <row r="835">
      <c r="B835" s="626"/>
      <c r="Z835" s="777"/>
    </row>
    <row r="836">
      <c r="B836" s="626"/>
      <c r="Z836" s="777"/>
    </row>
    <row r="837">
      <c r="B837" s="626"/>
      <c r="Z837" s="777"/>
    </row>
    <row r="838">
      <c r="B838" s="626"/>
      <c r="Z838" s="777"/>
    </row>
    <row r="839">
      <c r="B839" s="626"/>
      <c r="Z839" s="777"/>
    </row>
    <row r="840">
      <c r="B840" s="626"/>
      <c r="Z840" s="777"/>
    </row>
    <row r="841">
      <c r="B841" s="626"/>
      <c r="Z841" s="777"/>
    </row>
    <row r="842">
      <c r="B842" s="626"/>
      <c r="Z842" s="777"/>
    </row>
    <row r="843">
      <c r="B843" s="626"/>
      <c r="Z843" s="777"/>
    </row>
    <row r="844">
      <c r="B844" s="626"/>
      <c r="Z844" s="777"/>
    </row>
    <row r="845">
      <c r="B845" s="626"/>
      <c r="Z845" s="777"/>
    </row>
    <row r="846">
      <c r="B846" s="626"/>
      <c r="Z846" s="777"/>
    </row>
    <row r="847">
      <c r="B847" s="626"/>
      <c r="Z847" s="777"/>
    </row>
    <row r="848">
      <c r="B848" s="626"/>
      <c r="Z848" s="777"/>
    </row>
    <row r="849">
      <c r="B849" s="626"/>
      <c r="Z849" s="777"/>
    </row>
    <row r="850">
      <c r="B850" s="626"/>
      <c r="Z850" s="777"/>
    </row>
    <row r="851">
      <c r="B851" s="626"/>
      <c r="Z851" s="777"/>
    </row>
    <row r="852">
      <c r="B852" s="626"/>
      <c r="Z852" s="777"/>
    </row>
    <row r="853">
      <c r="B853" s="626"/>
      <c r="Z853" s="777"/>
    </row>
    <row r="854">
      <c r="B854" s="626"/>
      <c r="Z854" s="777"/>
    </row>
    <row r="855">
      <c r="B855" s="626"/>
      <c r="Z855" s="777"/>
    </row>
    <row r="856">
      <c r="B856" s="626"/>
      <c r="Z856" s="777"/>
    </row>
    <row r="857">
      <c r="B857" s="626"/>
      <c r="Z857" s="777"/>
    </row>
    <row r="858">
      <c r="B858" s="626"/>
      <c r="Z858" s="777"/>
    </row>
    <row r="859">
      <c r="B859" s="626"/>
      <c r="Z859" s="777"/>
    </row>
    <row r="860">
      <c r="B860" s="626"/>
      <c r="Z860" s="777"/>
    </row>
    <row r="861">
      <c r="B861" s="626"/>
      <c r="Z861" s="777"/>
    </row>
    <row r="862">
      <c r="B862" s="626"/>
      <c r="Z862" s="777"/>
    </row>
    <row r="863">
      <c r="B863" s="626"/>
      <c r="Z863" s="777"/>
    </row>
    <row r="864">
      <c r="B864" s="626"/>
      <c r="Z864" s="777"/>
    </row>
    <row r="865">
      <c r="B865" s="626"/>
      <c r="Z865" s="777"/>
    </row>
    <row r="866">
      <c r="B866" s="626"/>
      <c r="Z866" s="777"/>
    </row>
    <row r="867">
      <c r="B867" s="626"/>
      <c r="Z867" s="777"/>
    </row>
    <row r="868">
      <c r="B868" s="626"/>
      <c r="Z868" s="777"/>
    </row>
    <row r="869">
      <c r="B869" s="626"/>
      <c r="Z869" s="777"/>
    </row>
    <row r="870">
      <c r="B870" s="626"/>
      <c r="Z870" s="777"/>
    </row>
    <row r="871">
      <c r="B871" s="626"/>
      <c r="Z871" s="777"/>
    </row>
    <row r="872">
      <c r="B872" s="626"/>
      <c r="Z872" s="777"/>
    </row>
    <row r="873">
      <c r="B873" s="626"/>
      <c r="Z873" s="777"/>
    </row>
    <row r="874">
      <c r="B874" s="626"/>
      <c r="Z874" s="777"/>
    </row>
    <row r="875">
      <c r="B875" s="626"/>
      <c r="Z875" s="777"/>
    </row>
    <row r="876">
      <c r="B876" s="626"/>
      <c r="Z876" s="777"/>
    </row>
    <row r="877">
      <c r="B877" s="626"/>
      <c r="Z877" s="777"/>
    </row>
    <row r="878">
      <c r="B878" s="626"/>
      <c r="Z878" s="777"/>
    </row>
    <row r="879">
      <c r="B879" s="626"/>
      <c r="Z879" s="777"/>
    </row>
    <row r="880">
      <c r="B880" s="626"/>
      <c r="Z880" s="777"/>
    </row>
    <row r="881">
      <c r="B881" s="626"/>
      <c r="Z881" s="777"/>
    </row>
    <row r="882">
      <c r="B882" s="626"/>
      <c r="Z882" s="777"/>
    </row>
    <row r="883">
      <c r="B883" s="626"/>
      <c r="Z883" s="777"/>
    </row>
    <row r="884">
      <c r="B884" s="626"/>
      <c r="Z884" s="777"/>
    </row>
    <row r="885">
      <c r="B885" s="626"/>
      <c r="Z885" s="777"/>
    </row>
    <row r="886">
      <c r="B886" s="626"/>
      <c r="Z886" s="777"/>
    </row>
    <row r="887">
      <c r="B887" s="626"/>
      <c r="Z887" s="777"/>
    </row>
    <row r="888">
      <c r="B888" s="626"/>
      <c r="Z888" s="777"/>
    </row>
    <row r="889">
      <c r="B889" s="626"/>
      <c r="Z889" s="777"/>
    </row>
    <row r="890">
      <c r="B890" s="626"/>
      <c r="Z890" s="777"/>
    </row>
    <row r="891">
      <c r="B891" s="626"/>
      <c r="Z891" s="777"/>
    </row>
    <row r="892">
      <c r="B892" s="626"/>
      <c r="Z892" s="777"/>
    </row>
    <row r="893">
      <c r="B893" s="626"/>
      <c r="Z893" s="777"/>
    </row>
    <row r="894">
      <c r="B894" s="626"/>
      <c r="Z894" s="777"/>
    </row>
    <row r="895">
      <c r="B895" s="626"/>
      <c r="Z895" s="777"/>
    </row>
    <row r="896">
      <c r="B896" s="626"/>
      <c r="Z896" s="777"/>
    </row>
    <row r="897">
      <c r="B897" s="626"/>
      <c r="Z897" s="777"/>
    </row>
    <row r="898">
      <c r="B898" s="626"/>
      <c r="Z898" s="777"/>
    </row>
    <row r="899">
      <c r="B899" s="626"/>
      <c r="Z899" s="777"/>
    </row>
    <row r="900">
      <c r="B900" s="626"/>
      <c r="Z900" s="777"/>
    </row>
    <row r="901">
      <c r="B901" s="626"/>
      <c r="Z901" s="777"/>
    </row>
    <row r="902">
      <c r="B902" s="626"/>
      <c r="Z902" s="777"/>
    </row>
    <row r="903">
      <c r="B903" s="626"/>
      <c r="Z903" s="777"/>
    </row>
    <row r="904">
      <c r="B904" s="626"/>
      <c r="Z904" s="777"/>
    </row>
    <row r="905">
      <c r="B905" s="626"/>
      <c r="Z905" s="777"/>
    </row>
    <row r="906">
      <c r="B906" s="626"/>
      <c r="Z906" s="777"/>
    </row>
    <row r="907">
      <c r="B907" s="626"/>
      <c r="Z907" s="777"/>
    </row>
    <row r="908">
      <c r="B908" s="626"/>
      <c r="Z908" s="777"/>
    </row>
    <row r="909">
      <c r="B909" s="626"/>
      <c r="Z909" s="777"/>
    </row>
    <row r="910">
      <c r="B910" s="626"/>
      <c r="Z910" s="777"/>
    </row>
    <row r="911">
      <c r="B911" s="626"/>
      <c r="Z911" s="777"/>
    </row>
    <row r="912">
      <c r="B912" s="626"/>
      <c r="Z912" s="777"/>
    </row>
    <row r="913">
      <c r="B913" s="626"/>
      <c r="Z913" s="777"/>
    </row>
    <row r="914">
      <c r="B914" s="626"/>
      <c r="Z914" s="777"/>
    </row>
    <row r="915">
      <c r="B915" s="626"/>
      <c r="Z915" s="777"/>
    </row>
    <row r="916">
      <c r="B916" s="626"/>
      <c r="Z916" s="777"/>
    </row>
    <row r="917">
      <c r="B917" s="626"/>
      <c r="Z917" s="777"/>
    </row>
    <row r="918">
      <c r="B918" s="626"/>
      <c r="Z918" s="777"/>
    </row>
    <row r="919">
      <c r="B919" s="626"/>
      <c r="Z919" s="777"/>
    </row>
    <row r="920">
      <c r="B920" s="626"/>
      <c r="Z920" s="777"/>
    </row>
    <row r="921">
      <c r="B921" s="626"/>
      <c r="Z921" s="777"/>
    </row>
    <row r="922">
      <c r="B922" s="626"/>
      <c r="Z922" s="777"/>
    </row>
    <row r="923">
      <c r="B923" s="626"/>
      <c r="Z923" s="777"/>
    </row>
    <row r="924">
      <c r="B924" s="626"/>
      <c r="Z924" s="777"/>
    </row>
    <row r="925">
      <c r="B925" s="626"/>
      <c r="Z925" s="777"/>
    </row>
    <row r="926">
      <c r="B926" s="626"/>
      <c r="Z926" s="777"/>
    </row>
    <row r="927">
      <c r="B927" s="626"/>
      <c r="Z927" s="777"/>
    </row>
    <row r="928">
      <c r="B928" s="626"/>
      <c r="Z928" s="777"/>
    </row>
    <row r="929">
      <c r="B929" s="626"/>
      <c r="Z929" s="777"/>
    </row>
    <row r="930">
      <c r="B930" s="626"/>
      <c r="Z930" s="777"/>
    </row>
    <row r="931">
      <c r="B931" s="626"/>
      <c r="Z931" s="777"/>
    </row>
    <row r="932">
      <c r="B932" s="626"/>
      <c r="Z932" s="777"/>
    </row>
    <row r="933">
      <c r="B933" s="626"/>
      <c r="Z933" s="777"/>
    </row>
    <row r="934">
      <c r="B934" s="626"/>
      <c r="Z934" s="777"/>
    </row>
    <row r="935">
      <c r="B935" s="626"/>
      <c r="Z935" s="777"/>
    </row>
    <row r="936">
      <c r="B936" s="626"/>
      <c r="Z936" s="777"/>
    </row>
    <row r="937">
      <c r="B937" s="626"/>
      <c r="Z937" s="777"/>
    </row>
    <row r="938">
      <c r="B938" s="626"/>
      <c r="Z938" s="777"/>
    </row>
    <row r="939">
      <c r="B939" s="626"/>
      <c r="Z939" s="777"/>
    </row>
    <row r="940">
      <c r="B940" s="626"/>
      <c r="Z940" s="777"/>
    </row>
    <row r="941">
      <c r="B941" s="626"/>
      <c r="Z941" s="777"/>
    </row>
    <row r="942">
      <c r="B942" s="626"/>
      <c r="Z942" s="777"/>
    </row>
    <row r="943">
      <c r="B943" s="626"/>
      <c r="Z943" s="777"/>
    </row>
    <row r="944">
      <c r="B944" s="626"/>
      <c r="Z944" s="777"/>
    </row>
    <row r="945">
      <c r="B945" s="626"/>
      <c r="Z945" s="777"/>
    </row>
    <row r="946">
      <c r="B946" s="626"/>
      <c r="Z946" s="777"/>
    </row>
    <row r="947">
      <c r="B947" s="626"/>
      <c r="Z947" s="777"/>
    </row>
    <row r="948">
      <c r="B948" s="626"/>
      <c r="Z948" s="777"/>
    </row>
    <row r="949">
      <c r="B949" s="626"/>
      <c r="Z949" s="777"/>
    </row>
    <row r="950">
      <c r="B950" s="626"/>
      <c r="Z950" s="777"/>
    </row>
    <row r="951">
      <c r="B951" s="626"/>
      <c r="Z951" s="777"/>
    </row>
    <row r="952">
      <c r="B952" s="626"/>
      <c r="Z952" s="777"/>
    </row>
    <row r="953">
      <c r="B953" s="626"/>
      <c r="Z953" s="777"/>
    </row>
    <row r="954">
      <c r="B954" s="626"/>
      <c r="Z954" s="777"/>
    </row>
    <row r="955">
      <c r="B955" s="626"/>
      <c r="Z955" s="777"/>
    </row>
    <row r="956">
      <c r="B956" s="626"/>
      <c r="Z956" s="777"/>
    </row>
    <row r="957">
      <c r="B957" s="626"/>
      <c r="Z957" s="777"/>
    </row>
    <row r="958">
      <c r="B958" s="626"/>
      <c r="Z958" s="777"/>
    </row>
    <row r="959">
      <c r="B959" s="626"/>
      <c r="Z959" s="777"/>
    </row>
    <row r="960">
      <c r="B960" s="626"/>
      <c r="Z960" s="777"/>
    </row>
    <row r="961">
      <c r="B961" s="626"/>
      <c r="Z961" s="777"/>
    </row>
    <row r="962">
      <c r="B962" s="626"/>
      <c r="Z962" s="777"/>
    </row>
    <row r="963">
      <c r="B963" s="626"/>
      <c r="Z963" s="777"/>
    </row>
    <row r="964">
      <c r="B964" s="626"/>
      <c r="Z964" s="777"/>
    </row>
    <row r="965">
      <c r="B965" s="626"/>
      <c r="Z965" s="777"/>
    </row>
    <row r="966">
      <c r="B966" s="626"/>
      <c r="Z966" s="777"/>
    </row>
    <row r="967">
      <c r="B967" s="626"/>
      <c r="Z967" s="777"/>
    </row>
    <row r="968">
      <c r="B968" s="626"/>
      <c r="Z968" s="777"/>
    </row>
    <row r="969">
      <c r="B969" s="626"/>
      <c r="Z969" s="777"/>
    </row>
    <row r="970">
      <c r="B970" s="626"/>
      <c r="Z970" s="777"/>
    </row>
    <row r="971">
      <c r="B971" s="626"/>
      <c r="Z971" s="777"/>
    </row>
    <row r="972">
      <c r="B972" s="626"/>
      <c r="Z972" s="777"/>
    </row>
    <row r="973">
      <c r="B973" s="626"/>
      <c r="Z973" s="777"/>
    </row>
    <row r="974">
      <c r="B974" s="626"/>
      <c r="Z974" s="777"/>
    </row>
    <row r="975">
      <c r="B975" s="626"/>
      <c r="Z975" s="777"/>
    </row>
    <row r="976">
      <c r="B976" s="626"/>
      <c r="Z976" s="777"/>
    </row>
    <row r="977">
      <c r="B977" s="626"/>
      <c r="Z977" s="777"/>
    </row>
    <row r="978">
      <c r="B978" s="626"/>
      <c r="Z978" s="777"/>
    </row>
    <row r="979">
      <c r="B979" s="626"/>
      <c r="Z979" s="777"/>
    </row>
    <row r="980">
      <c r="B980" s="626"/>
      <c r="Z980" s="777"/>
    </row>
    <row r="981">
      <c r="B981" s="626"/>
      <c r="Z981" s="777"/>
    </row>
    <row r="982">
      <c r="B982" s="626"/>
      <c r="Z982" s="777"/>
    </row>
    <row r="983">
      <c r="B983" s="626"/>
      <c r="Z983" s="777"/>
    </row>
    <row r="984">
      <c r="B984" s="626"/>
      <c r="Z984" s="777"/>
    </row>
    <row r="985">
      <c r="B985" s="626"/>
      <c r="Z985" s="777"/>
    </row>
    <row r="986">
      <c r="B986" s="626"/>
      <c r="Z986" s="777"/>
    </row>
    <row r="987">
      <c r="B987" s="626"/>
      <c r="Z987" s="777"/>
    </row>
    <row r="988">
      <c r="B988" s="626"/>
      <c r="Z988" s="777"/>
    </row>
    <row r="989">
      <c r="B989" s="626"/>
      <c r="Z989" s="777"/>
    </row>
    <row r="990">
      <c r="B990" s="626"/>
      <c r="Z990" s="777"/>
    </row>
    <row r="991">
      <c r="B991" s="626"/>
      <c r="Z991" s="777"/>
    </row>
    <row r="992">
      <c r="B992" s="626"/>
      <c r="Z992" s="777"/>
    </row>
    <row r="993">
      <c r="B993" s="626"/>
      <c r="Z993" s="777"/>
    </row>
    <row r="994">
      <c r="B994" s="626"/>
      <c r="Z994" s="777"/>
    </row>
    <row r="995">
      <c r="B995" s="626"/>
      <c r="Z995" s="777"/>
    </row>
    <row r="996">
      <c r="B996" s="626"/>
      <c r="Z996" s="777"/>
    </row>
    <row r="997">
      <c r="B997" s="626"/>
      <c r="Z997" s="777"/>
    </row>
    <row r="998">
      <c r="B998" s="626"/>
      <c r="Z998" s="777"/>
    </row>
    <row r="999">
      <c r="B999" s="626"/>
      <c r="Z999" s="777"/>
    </row>
    <row r="1000">
      <c r="B1000" s="626"/>
      <c r="Z1000" s="777"/>
    </row>
    <row r="1001">
      <c r="B1001" s="626"/>
      <c r="Z1001" s="777"/>
    </row>
    <row r="1002">
      <c r="B1002" s="626"/>
      <c r="Z1002" s="777"/>
    </row>
    <row r="1003">
      <c r="B1003" s="626"/>
      <c r="Z1003" s="777"/>
    </row>
    <row r="1004">
      <c r="B1004" s="626"/>
      <c r="Z1004" s="777"/>
    </row>
    <row r="1005">
      <c r="B1005" s="626"/>
      <c r="Z1005" s="777"/>
    </row>
    <row r="1006">
      <c r="B1006" s="626"/>
      <c r="Z1006" s="777"/>
    </row>
    <row r="1007">
      <c r="B1007" s="626"/>
      <c r="Z1007" s="777"/>
    </row>
    <row r="1008">
      <c r="B1008" s="626"/>
      <c r="Z1008" s="777"/>
    </row>
    <row r="1009">
      <c r="B1009" s="626"/>
      <c r="Z1009" s="777"/>
    </row>
    <row r="1010">
      <c r="B1010" s="626"/>
      <c r="Z1010" s="777"/>
    </row>
    <row r="1011">
      <c r="B1011" s="626"/>
      <c r="Z1011" s="777"/>
    </row>
    <row r="1012">
      <c r="B1012" s="626"/>
      <c r="Z1012" s="777"/>
    </row>
    <row r="1013">
      <c r="B1013" s="626"/>
      <c r="Z1013" s="777"/>
    </row>
    <row r="1014">
      <c r="B1014" s="626"/>
      <c r="Z1014" s="777"/>
    </row>
    <row r="1015">
      <c r="B1015" s="626"/>
      <c r="Z1015" s="777"/>
    </row>
    <row r="1016">
      <c r="B1016" s="626"/>
      <c r="Z1016" s="777"/>
    </row>
    <row r="1017">
      <c r="B1017" s="626"/>
      <c r="Z1017" s="777"/>
    </row>
    <row r="1018">
      <c r="B1018" s="626"/>
      <c r="Z1018" s="777"/>
    </row>
    <row r="1019">
      <c r="B1019" s="626"/>
      <c r="Z1019" s="777"/>
    </row>
    <row r="1020">
      <c r="B1020" s="626"/>
      <c r="Z1020" s="777"/>
    </row>
    <row r="1021">
      <c r="B1021" s="626"/>
      <c r="Z1021" s="777"/>
    </row>
    <row r="1022">
      <c r="B1022" s="626"/>
      <c r="Z1022" s="777"/>
    </row>
    <row r="1023">
      <c r="B1023" s="626"/>
      <c r="Z1023" s="777"/>
    </row>
    <row r="1024">
      <c r="B1024" s="626"/>
      <c r="Z1024" s="777"/>
    </row>
    <row r="1025">
      <c r="B1025" s="626"/>
      <c r="Z1025" s="777"/>
    </row>
    <row r="1026">
      <c r="B1026" s="626"/>
      <c r="Z1026" s="777"/>
    </row>
    <row r="1027">
      <c r="B1027" s="626"/>
      <c r="Z1027" s="777"/>
    </row>
    <row r="1028">
      <c r="B1028" s="626"/>
      <c r="Z1028" s="777"/>
    </row>
    <row r="1029">
      <c r="B1029" s="626"/>
      <c r="Z1029" s="777"/>
    </row>
    <row r="1030">
      <c r="B1030" s="626"/>
      <c r="Z1030" s="777"/>
    </row>
    <row r="1031">
      <c r="B1031" s="626"/>
      <c r="Z1031" s="777"/>
    </row>
    <row r="1032">
      <c r="B1032" s="626"/>
      <c r="Z1032" s="777"/>
    </row>
    <row r="1033">
      <c r="B1033" s="626"/>
      <c r="Z1033" s="777"/>
    </row>
    <row r="1034">
      <c r="B1034" s="626"/>
      <c r="Z1034" s="777"/>
    </row>
    <row r="1035">
      <c r="B1035" s="626"/>
      <c r="Z1035" s="777"/>
    </row>
    <row r="1036">
      <c r="B1036" s="626"/>
      <c r="Z1036" s="777"/>
    </row>
    <row r="1037">
      <c r="B1037" s="626"/>
      <c r="Z1037" s="777"/>
    </row>
    <row r="1038">
      <c r="B1038" s="626"/>
      <c r="Z1038" s="77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C78D8"/>
    <outlinePr summaryBelow="0" summaryRight="0"/>
  </sheetPr>
  <sheetViews>
    <sheetView workbookViewId="0"/>
  </sheetViews>
  <sheetFormatPr customHeight="1" defaultColWidth="11.22" defaultRowHeight="15.75"/>
  <cols>
    <col customWidth="1" min="1" max="1" width="15.78"/>
    <col customWidth="1" min="2" max="2" width="19.67"/>
    <col customWidth="1" min="3" max="3" width="14.11"/>
    <col customWidth="1" min="4" max="4" width="2.89"/>
    <col customWidth="1" min="5" max="5" width="2.67"/>
    <col customWidth="1" min="6" max="6" width="2.44"/>
    <col customWidth="1" min="7" max="7" width="2.89"/>
    <col customWidth="1" min="8" max="9" width="14.11"/>
    <col customWidth="1" min="10" max="10" width="3.11"/>
    <col customWidth="1" min="11" max="11" width="14.11"/>
    <col customWidth="1" min="12" max="12" width="17.56"/>
    <col customWidth="1" min="13" max="14" width="14.11"/>
    <col customWidth="1" min="15" max="15" width="16.22"/>
    <col customWidth="1" min="16" max="26" width="14.11"/>
  </cols>
  <sheetData>
    <row r="1">
      <c r="A1" s="810" t="s">
        <v>598</v>
      </c>
      <c r="D1" s="811"/>
      <c r="E1" s="812"/>
      <c r="F1" s="813"/>
      <c r="G1" s="811"/>
      <c r="H1" s="814" t="s">
        <v>9</v>
      </c>
      <c r="I1" s="815">
        <v>1.03495455514548</v>
      </c>
      <c r="J1" s="814"/>
      <c r="K1" s="814"/>
      <c r="L1" s="816"/>
      <c r="M1" s="811"/>
      <c r="N1" s="811"/>
      <c r="O1" s="811"/>
      <c r="P1" s="811"/>
      <c r="Q1" s="811"/>
      <c r="R1" s="811"/>
      <c r="S1" s="811"/>
      <c r="T1" s="811"/>
      <c r="U1" s="811"/>
      <c r="V1" s="811"/>
      <c r="W1" s="811"/>
      <c r="X1" s="811"/>
      <c r="Y1" s="811"/>
      <c r="Z1" s="811"/>
    </row>
    <row r="2">
      <c r="A2" s="817"/>
      <c r="B2" s="818"/>
      <c r="C2" s="819">
        <v>45664.896102638886</v>
      </c>
      <c r="D2" s="820"/>
      <c r="E2" s="812"/>
      <c r="F2" s="813"/>
      <c r="G2" s="811"/>
      <c r="H2" s="817" t="s">
        <v>599</v>
      </c>
      <c r="I2" s="819">
        <v>45664.88906767361</v>
      </c>
      <c r="J2" s="811"/>
      <c r="K2" s="815"/>
      <c r="L2" s="816"/>
      <c r="M2" s="815"/>
      <c r="N2" s="811"/>
      <c r="O2" s="811"/>
      <c r="P2" s="816"/>
      <c r="Q2" s="815"/>
      <c r="R2" s="815"/>
      <c r="S2" s="811"/>
      <c r="T2" s="811"/>
      <c r="U2" s="811"/>
      <c r="V2" s="811"/>
      <c r="W2" s="811"/>
      <c r="X2" s="811"/>
      <c r="Y2" s="811"/>
      <c r="Z2" s="811"/>
    </row>
    <row r="3">
      <c r="A3" s="821"/>
      <c r="B3" s="822" t="s">
        <v>600</v>
      </c>
      <c r="C3" s="823" t="s">
        <v>601</v>
      </c>
      <c r="D3" s="824"/>
      <c r="E3" s="812"/>
      <c r="F3" s="813"/>
      <c r="G3" s="811"/>
      <c r="H3" s="811"/>
      <c r="I3" s="811"/>
      <c r="J3" s="811"/>
      <c r="K3" s="815"/>
      <c r="L3" s="825"/>
      <c r="M3" s="826"/>
      <c r="N3" s="827"/>
      <c r="O3" s="811"/>
      <c r="P3" s="815"/>
      <c r="Q3" s="815"/>
      <c r="R3" s="811"/>
      <c r="S3" s="811"/>
      <c r="T3" s="811"/>
      <c r="U3" s="811"/>
      <c r="V3" s="811"/>
      <c r="W3" s="811"/>
      <c r="X3" s="811"/>
      <c r="Y3" s="811"/>
      <c r="Z3" s="811"/>
    </row>
    <row r="4">
      <c r="A4" s="815"/>
      <c r="B4" s="828" t="s">
        <v>602</v>
      </c>
      <c r="C4" s="829">
        <v>96202.86586674626</v>
      </c>
      <c r="D4" s="811"/>
      <c r="E4" s="812"/>
      <c r="F4" s="813"/>
      <c r="G4" s="811"/>
      <c r="H4" s="811"/>
      <c r="I4" s="811"/>
      <c r="J4" s="811"/>
      <c r="K4" s="815"/>
      <c r="L4" s="813"/>
      <c r="M4" s="830"/>
      <c r="N4" s="831"/>
      <c r="O4" s="832"/>
      <c r="P4" s="816"/>
      <c r="Q4" s="827"/>
      <c r="R4" s="833"/>
      <c r="S4" s="811"/>
      <c r="T4" s="811"/>
      <c r="U4" s="811"/>
      <c r="V4" s="811"/>
      <c r="W4" s="811"/>
      <c r="X4" s="811"/>
      <c r="Y4" s="811"/>
      <c r="Z4" s="811"/>
    </row>
    <row r="5">
      <c r="A5" s="829"/>
      <c r="B5" s="828" t="s">
        <v>603</v>
      </c>
      <c r="C5" s="829">
        <v>3376.7754198503508</v>
      </c>
      <c r="D5" s="811"/>
      <c r="E5" s="812"/>
      <c r="F5" s="813"/>
      <c r="G5" s="811"/>
      <c r="H5" s="811"/>
      <c r="I5" s="811"/>
      <c r="J5" s="811"/>
      <c r="K5" s="815" t="s">
        <v>52</v>
      </c>
      <c r="L5" s="829" t="s">
        <v>604</v>
      </c>
      <c r="M5" s="826">
        <v>52667.0</v>
      </c>
      <c r="N5" s="831">
        <f>M5*C7</f>
        <v>361699.3824</v>
      </c>
      <c r="O5" s="834" t="s">
        <v>605</v>
      </c>
      <c r="P5" s="815" t="s">
        <v>606</v>
      </c>
      <c r="Q5" s="834" t="s">
        <v>607</v>
      </c>
      <c r="R5" s="815">
        <v>10000.0</v>
      </c>
      <c r="S5" s="831">
        <f>R5*Q6</f>
        <v>1500.445937</v>
      </c>
      <c r="T5" s="827" t="s">
        <v>608</v>
      </c>
      <c r="U5" s="811"/>
      <c r="V5" s="811"/>
      <c r="W5" s="811"/>
      <c r="X5" s="811"/>
      <c r="Y5" s="811"/>
      <c r="Z5" s="811"/>
    </row>
    <row r="6">
      <c r="A6" s="829"/>
      <c r="B6" s="828" t="s">
        <v>609</v>
      </c>
      <c r="C6" s="835">
        <v>0.15004459367256265</v>
      </c>
      <c r="D6" s="811"/>
      <c r="E6" s="812"/>
      <c r="F6" s="813"/>
      <c r="G6" s="811"/>
      <c r="H6" s="811"/>
      <c r="I6" s="811"/>
      <c r="J6" s="811"/>
      <c r="K6" s="811"/>
      <c r="L6" s="829" t="s">
        <v>610</v>
      </c>
      <c r="M6" s="816">
        <f>35000*I1</f>
        <v>36223.40943</v>
      </c>
      <c r="N6" s="815" t="s">
        <v>611</v>
      </c>
      <c r="O6" s="836">
        <f>M6/M5</f>
        <v>0.687781902</v>
      </c>
      <c r="P6" s="815" t="s">
        <v>612</v>
      </c>
      <c r="Q6" s="837">
        <f>C6</f>
        <v>0.1500445937</v>
      </c>
      <c r="R6" s="838">
        <f>-(O6-Q6)/O6</f>
        <v>-0.7818427713</v>
      </c>
      <c r="S6" s="815"/>
      <c r="T6" s="839"/>
      <c r="U6" s="811"/>
      <c r="V6" s="811"/>
      <c r="W6" s="811"/>
      <c r="X6" s="811"/>
      <c r="Y6" s="811"/>
      <c r="Z6" s="811"/>
    </row>
    <row r="7">
      <c r="A7" s="829"/>
      <c r="B7" s="840" t="s">
        <v>613</v>
      </c>
      <c r="C7" s="841">
        <v>6.867666325340082</v>
      </c>
      <c r="D7" s="811"/>
      <c r="E7" s="812"/>
      <c r="F7" s="842"/>
      <c r="G7" s="811"/>
      <c r="H7" s="811"/>
      <c r="I7" s="811"/>
      <c r="J7" s="811"/>
      <c r="K7" s="811"/>
      <c r="L7" s="843" t="s">
        <v>614</v>
      </c>
      <c r="M7" s="811"/>
      <c r="N7" s="811"/>
      <c r="O7" s="811"/>
      <c r="P7" s="811"/>
      <c r="Q7" s="811"/>
      <c r="R7" s="811"/>
      <c r="S7" s="811"/>
      <c r="T7" s="811"/>
      <c r="U7" s="811"/>
      <c r="V7" s="811"/>
      <c r="W7" s="811"/>
      <c r="X7" s="811"/>
      <c r="Y7" s="811"/>
      <c r="Z7" s="811"/>
    </row>
    <row r="8">
      <c r="A8" s="829"/>
      <c r="B8" s="828" t="s">
        <v>615</v>
      </c>
      <c r="C8" s="829">
        <v>0.8612142029434038</v>
      </c>
      <c r="D8" s="811"/>
      <c r="E8" s="812"/>
      <c r="F8" s="844"/>
      <c r="G8" s="811"/>
      <c r="H8" s="811"/>
      <c r="I8" s="811"/>
      <c r="J8" s="811"/>
      <c r="K8" s="815"/>
      <c r="L8" s="825"/>
      <c r="M8" s="811"/>
      <c r="N8" s="811"/>
      <c r="O8" s="811"/>
      <c r="P8" s="811"/>
      <c r="Q8" s="811"/>
      <c r="R8" s="811"/>
      <c r="S8" s="811"/>
      <c r="T8" s="811"/>
      <c r="U8" s="811"/>
      <c r="V8" s="811"/>
      <c r="W8" s="811"/>
      <c r="X8" s="811"/>
      <c r="Y8" s="811"/>
      <c r="Z8" s="811"/>
    </row>
    <row r="9">
      <c r="A9" s="829"/>
      <c r="B9" s="828" t="s">
        <v>616</v>
      </c>
      <c r="C9" s="842">
        <v>0.8272361595799523</v>
      </c>
      <c r="D9" s="811"/>
      <c r="E9" s="812"/>
      <c r="F9" s="813"/>
      <c r="G9" s="811"/>
      <c r="H9" s="811"/>
      <c r="I9" s="811"/>
      <c r="J9" s="811"/>
      <c r="K9" s="811"/>
      <c r="L9" s="813"/>
      <c r="M9" s="811"/>
      <c r="N9" s="811"/>
      <c r="O9" s="811"/>
      <c r="P9" s="811"/>
      <c r="Q9" s="811"/>
      <c r="R9" s="811"/>
      <c r="S9" s="811"/>
      <c r="T9" s="811"/>
      <c r="U9" s="811"/>
      <c r="V9" s="811"/>
      <c r="W9" s="811"/>
      <c r="X9" s="811"/>
      <c r="Y9" s="811"/>
      <c r="Z9" s="811"/>
    </row>
    <row r="10">
      <c r="A10" s="829"/>
      <c r="B10" s="845" t="s">
        <v>617</v>
      </c>
      <c r="C10" s="846">
        <v>0.6154255209588159</v>
      </c>
      <c r="D10" s="811"/>
      <c r="E10" s="815"/>
      <c r="F10" s="813"/>
      <c r="G10" s="811"/>
      <c r="H10" s="811"/>
      <c r="I10" s="811"/>
      <c r="J10" s="811"/>
      <c r="K10" s="811"/>
      <c r="L10" s="816"/>
      <c r="M10" s="811"/>
      <c r="N10" s="811"/>
      <c r="O10" s="811"/>
      <c r="P10" s="811"/>
      <c r="Q10" s="811"/>
      <c r="R10" s="811"/>
      <c r="S10" s="811"/>
      <c r="T10" s="811"/>
      <c r="U10" s="811"/>
      <c r="V10" s="811"/>
      <c r="W10" s="811"/>
      <c r="X10" s="811"/>
      <c r="Y10" s="811"/>
      <c r="Z10" s="811"/>
    </row>
    <row r="11">
      <c r="A11" s="811"/>
      <c r="B11" s="847" t="s">
        <v>618</v>
      </c>
      <c r="C11" s="813">
        <v>1.3589909263766236</v>
      </c>
      <c r="D11" s="811"/>
      <c r="E11" s="815"/>
      <c r="F11" s="813"/>
      <c r="G11" s="811"/>
      <c r="H11" s="811"/>
      <c r="I11" s="811"/>
      <c r="J11" s="811"/>
      <c r="K11" s="811"/>
      <c r="L11" s="816"/>
      <c r="M11" s="811"/>
      <c r="N11" s="811"/>
      <c r="O11" s="811"/>
      <c r="P11" s="811"/>
      <c r="Q11" s="811"/>
      <c r="R11" s="811"/>
      <c r="S11" s="811"/>
      <c r="T11" s="811"/>
      <c r="U11" s="811"/>
      <c r="V11" s="811"/>
      <c r="W11" s="811"/>
      <c r="X11" s="811"/>
      <c r="Y11" s="811"/>
      <c r="Z11" s="811"/>
    </row>
    <row r="12">
      <c r="A12" s="811"/>
      <c r="B12" s="834" t="s">
        <v>619</v>
      </c>
      <c r="C12" s="813">
        <v>1.446603499742572</v>
      </c>
      <c r="D12" s="811"/>
      <c r="E12" s="815"/>
      <c r="F12" s="816"/>
      <c r="G12" s="811"/>
      <c r="H12" s="811"/>
      <c r="I12" s="811"/>
      <c r="J12" s="811"/>
      <c r="K12" s="811"/>
      <c r="L12" s="816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</row>
    <row r="13">
      <c r="A13" s="811"/>
      <c r="B13" s="840" t="s">
        <v>620</v>
      </c>
      <c r="C13" s="813">
        <v>0.3592434260075161</v>
      </c>
      <c r="D13" s="811"/>
      <c r="E13" s="811"/>
      <c r="F13" s="816"/>
      <c r="G13" s="811"/>
      <c r="H13" s="811"/>
      <c r="I13" s="811"/>
      <c r="J13" s="811"/>
      <c r="K13" s="811"/>
      <c r="L13" s="816"/>
      <c r="M13" s="811"/>
      <c r="N13" s="811"/>
      <c r="O13" s="811"/>
      <c r="P13" s="811"/>
      <c r="Q13" s="811"/>
      <c r="R13" s="811"/>
      <c r="S13" s="811"/>
      <c r="T13" s="811"/>
      <c r="U13" s="811"/>
      <c r="V13" s="811"/>
      <c r="W13" s="811"/>
      <c r="X13" s="811"/>
      <c r="Y13" s="811"/>
      <c r="Z13" s="811"/>
    </row>
    <row r="14">
      <c r="A14" s="811"/>
      <c r="B14" s="840" t="s">
        <v>621</v>
      </c>
      <c r="C14" s="813">
        <v>4.785409931035573</v>
      </c>
      <c r="D14" s="811"/>
      <c r="E14" s="811"/>
      <c r="F14" s="816"/>
      <c r="G14" s="811"/>
      <c r="H14" s="811"/>
      <c r="I14" s="811"/>
      <c r="J14" s="811"/>
      <c r="K14" s="811"/>
      <c r="L14" s="816"/>
      <c r="M14" s="811"/>
      <c r="N14" s="811"/>
      <c r="O14" s="811"/>
      <c r="P14" s="811"/>
      <c r="Q14" s="811"/>
      <c r="R14" s="811"/>
      <c r="S14" s="811"/>
      <c r="T14" s="811"/>
      <c r="U14" s="811"/>
      <c r="V14" s="811"/>
      <c r="W14" s="811"/>
      <c r="X14" s="811"/>
      <c r="Y14" s="811"/>
      <c r="Z14" s="811"/>
    </row>
    <row r="15">
      <c r="A15" s="811"/>
      <c r="B15" s="840" t="s">
        <v>622</v>
      </c>
      <c r="C15" s="848">
        <v>1.8689171627140224E-5</v>
      </c>
      <c r="D15" s="811"/>
      <c r="E15" s="811"/>
      <c r="F15" s="816"/>
      <c r="G15" s="811"/>
      <c r="H15" s="811"/>
      <c r="I15" s="811"/>
      <c r="J15" s="811"/>
      <c r="K15" s="811"/>
      <c r="L15" s="816"/>
      <c r="M15" s="811"/>
      <c r="N15" s="811"/>
      <c r="O15" s="811"/>
      <c r="P15" s="811"/>
      <c r="Q15" s="811"/>
      <c r="R15" s="811"/>
      <c r="S15" s="811"/>
      <c r="T15" s="811"/>
      <c r="U15" s="811"/>
      <c r="V15" s="811"/>
      <c r="W15" s="811"/>
      <c r="X15" s="811"/>
      <c r="Y15" s="811"/>
      <c r="Z15" s="811"/>
    </row>
    <row r="16">
      <c r="A16" s="815" t="s">
        <v>623</v>
      </c>
      <c r="B16" s="840" t="s">
        <v>624</v>
      </c>
      <c r="C16" s="835">
        <v>0.015154440558714448</v>
      </c>
      <c r="D16" s="811"/>
      <c r="E16" s="811"/>
      <c r="F16" s="816"/>
      <c r="G16" s="811"/>
      <c r="H16" s="811"/>
      <c r="I16" s="815"/>
      <c r="J16" s="811"/>
      <c r="K16" s="811"/>
      <c r="L16" s="816"/>
      <c r="M16" s="811"/>
      <c r="N16" s="811"/>
      <c r="O16" s="811"/>
      <c r="P16" s="811"/>
      <c r="Q16" s="811"/>
      <c r="R16" s="811"/>
      <c r="S16" s="811"/>
      <c r="T16" s="811"/>
      <c r="U16" s="811"/>
      <c r="V16" s="811"/>
      <c r="W16" s="811"/>
      <c r="X16" s="811"/>
      <c r="Y16" s="811"/>
      <c r="Z16" s="811"/>
    </row>
    <row r="17">
      <c r="A17" s="811"/>
      <c r="B17" s="840" t="s">
        <v>625</v>
      </c>
      <c r="C17" s="849">
        <v>3.553180119102436</v>
      </c>
      <c r="D17" s="811"/>
      <c r="E17" s="811"/>
      <c r="F17" s="816"/>
      <c r="G17" s="811"/>
      <c r="H17" s="811"/>
      <c r="I17" s="811"/>
      <c r="J17" s="811"/>
      <c r="K17" s="811"/>
      <c r="L17" s="816"/>
      <c r="M17" s="811"/>
      <c r="N17" s="811"/>
      <c r="O17" s="811"/>
      <c r="P17" s="811"/>
      <c r="Q17" s="811"/>
      <c r="R17" s="811"/>
      <c r="S17" s="811"/>
      <c r="T17" s="811"/>
      <c r="U17" s="811"/>
      <c r="V17" s="811"/>
      <c r="W17" s="811"/>
      <c r="X17" s="811"/>
      <c r="Y17" s="811"/>
      <c r="Z17" s="811"/>
    </row>
    <row r="18">
      <c r="A18" s="815"/>
      <c r="B18" s="828" t="s">
        <v>626</v>
      </c>
      <c r="C18" s="850">
        <v>8.691764709283046E-6</v>
      </c>
      <c r="D18" s="811"/>
      <c r="E18" s="811"/>
      <c r="F18" s="816"/>
      <c r="G18" s="811"/>
      <c r="H18" s="811"/>
      <c r="I18" s="811"/>
      <c r="J18" s="811"/>
      <c r="K18" s="811"/>
      <c r="L18" s="816"/>
      <c r="M18" s="811"/>
      <c r="N18" s="811"/>
      <c r="O18" s="811"/>
      <c r="P18" s="811"/>
      <c r="Q18" s="811"/>
      <c r="R18" s="811"/>
      <c r="S18" s="811"/>
      <c r="T18" s="811"/>
      <c r="U18" s="811"/>
      <c r="V18" s="811"/>
      <c r="W18" s="811"/>
      <c r="X18" s="811"/>
      <c r="Y18" s="811"/>
      <c r="Z18" s="811"/>
    </row>
    <row r="19">
      <c r="A19" s="811"/>
      <c r="B19" s="840" t="s">
        <v>627</v>
      </c>
      <c r="C19" s="813">
        <v>0.4217208957757077</v>
      </c>
      <c r="D19" s="811"/>
      <c r="E19" s="811"/>
      <c r="F19" s="816"/>
      <c r="G19" s="811"/>
      <c r="H19" s="811"/>
      <c r="I19" s="811"/>
      <c r="J19" s="811"/>
      <c r="K19" s="811"/>
      <c r="L19" s="816"/>
      <c r="M19" s="811"/>
      <c r="N19" s="811"/>
      <c r="O19" s="811"/>
      <c r="P19" s="811"/>
      <c r="Q19" s="811"/>
      <c r="R19" s="811"/>
      <c r="S19" s="811"/>
      <c r="T19" s="811"/>
      <c r="U19" s="811"/>
      <c r="V19" s="811"/>
      <c r="W19" s="811"/>
      <c r="X19" s="811"/>
      <c r="Y19" s="811"/>
      <c r="Z19" s="811"/>
    </row>
    <row r="20">
      <c r="A20" s="811"/>
      <c r="B20" s="828" t="s">
        <v>628</v>
      </c>
      <c r="C20" s="829">
        <v>308.2045719037793</v>
      </c>
      <c r="D20" s="811"/>
      <c r="E20" s="811"/>
      <c r="F20" s="816"/>
      <c r="G20" s="811"/>
      <c r="H20" s="811"/>
      <c r="I20" s="811"/>
      <c r="J20" s="811"/>
      <c r="K20" s="811"/>
      <c r="L20" s="816"/>
      <c r="M20" s="811"/>
      <c r="N20" s="811"/>
      <c r="O20" s="811"/>
      <c r="P20" s="811"/>
      <c r="Q20" s="811"/>
      <c r="R20" s="811"/>
      <c r="S20" s="811"/>
      <c r="T20" s="811"/>
      <c r="U20" s="811"/>
      <c r="V20" s="811"/>
      <c r="W20" s="811"/>
      <c r="X20" s="811"/>
      <c r="Y20" s="811"/>
      <c r="Z20" s="811"/>
    </row>
    <row r="21">
      <c r="A21" s="811"/>
      <c r="B21" s="840" t="s">
        <v>629</v>
      </c>
      <c r="C21" s="813">
        <v>0.8969837357818331</v>
      </c>
      <c r="D21" s="811"/>
      <c r="E21" s="811"/>
      <c r="F21" s="816"/>
      <c r="G21" s="811"/>
      <c r="H21" s="811"/>
      <c r="I21" s="811"/>
      <c r="J21" s="811"/>
      <c r="K21" s="811"/>
      <c r="L21" s="816"/>
      <c r="M21" s="811"/>
      <c r="N21" s="811"/>
      <c r="O21" s="811"/>
      <c r="P21" s="811"/>
      <c r="Q21" s="811"/>
      <c r="R21" s="811"/>
      <c r="S21" s="811"/>
      <c r="T21" s="811"/>
      <c r="U21" s="811"/>
      <c r="V21" s="811"/>
      <c r="W21" s="811"/>
      <c r="X21" s="811"/>
      <c r="Y21" s="811"/>
      <c r="Z21" s="811"/>
    </row>
    <row r="22">
      <c r="A22" s="811"/>
      <c r="B22" s="840" t="s">
        <v>630</v>
      </c>
      <c r="C22" s="813">
        <v>0.15677026006479808</v>
      </c>
      <c r="D22" s="811"/>
      <c r="E22" s="811"/>
      <c r="F22" s="816"/>
      <c r="G22" s="811"/>
      <c r="H22" s="811"/>
      <c r="I22" s="811"/>
      <c r="J22" s="811"/>
      <c r="K22" s="811"/>
      <c r="L22" s="816"/>
      <c r="M22" s="811"/>
      <c r="N22" s="811"/>
      <c r="O22" s="811"/>
      <c r="P22" s="811"/>
      <c r="Q22" s="811"/>
      <c r="R22" s="811"/>
      <c r="S22" s="811"/>
      <c r="T22" s="811"/>
      <c r="U22" s="811"/>
      <c r="V22" s="811"/>
      <c r="W22" s="811"/>
      <c r="X22" s="811"/>
      <c r="Y22" s="811"/>
      <c r="Z22" s="811"/>
    </row>
    <row r="23">
      <c r="A23" s="815"/>
      <c r="B23" s="828" t="s">
        <v>631</v>
      </c>
      <c r="C23" s="813">
        <v>1.951658128703792</v>
      </c>
      <c r="D23" s="811"/>
      <c r="E23" s="811"/>
      <c r="F23" s="816"/>
      <c r="G23" s="811"/>
      <c r="H23" s="811"/>
      <c r="I23" s="811"/>
      <c r="J23" s="811"/>
      <c r="K23" s="811"/>
      <c r="L23" s="816"/>
      <c r="M23" s="811"/>
      <c r="N23" s="811"/>
      <c r="O23" s="811"/>
      <c r="P23" s="811"/>
      <c r="Q23" s="811"/>
      <c r="R23" s="811"/>
      <c r="S23" s="811"/>
      <c r="T23" s="811"/>
      <c r="U23" s="811"/>
      <c r="V23" s="811"/>
      <c r="W23" s="811"/>
      <c r="X23" s="811"/>
      <c r="Y23" s="811"/>
      <c r="Z23" s="811"/>
    </row>
    <row r="24">
      <c r="A24" s="815"/>
      <c r="B24" s="828" t="s">
        <v>632</v>
      </c>
      <c r="C24" s="813">
        <v>1.3516922159020759</v>
      </c>
      <c r="D24" s="811"/>
      <c r="E24" s="811"/>
      <c r="F24" s="816"/>
      <c r="G24" s="811"/>
      <c r="H24" s="811"/>
      <c r="I24" s="811"/>
      <c r="J24" s="811"/>
      <c r="K24" s="811"/>
      <c r="L24" s="816"/>
      <c r="M24" s="811"/>
      <c r="N24" s="811"/>
      <c r="O24" s="811"/>
      <c r="P24" s="811"/>
      <c r="Q24" s="811"/>
      <c r="R24" s="811"/>
      <c r="S24" s="811"/>
      <c r="T24" s="811"/>
      <c r="U24" s="811"/>
      <c r="V24" s="811"/>
      <c r="W24" s="811"/>
      <c r="X24" s="811"/>
      <c r="Y24" s="811"/>
      <c r="Z24" s="811"/>
    </row>
    <row r="25">
      <c r="A25" s="811"/>
      <c r="B25" s="851" t="s">
        <v>633</v>
      </c>
      <c r="C25" s="813">
        <v>1.8683962426711003</v>
      </c>
      <c r="D25" s="811"/>
      <c r="E25" s="811"/>
      <c r="F25" s="816"/>
      <c r="G25" s="811"/>
      <c r="H25" s="811"/>
      <c r="I25" s="811"/>
      <c r="J25" s="811"/>
      <c r="K25" s="811"/>
      <c r="L25" s="816"/>
      <c r="M25" s="811"/>
      <c r="N25" s="811"/>
      <c r="O25" s="811"/>
      <c r="P25" s="811"/>
      <c r="Q25" s="811"/>
      <c r="R25" s="811"/>
      <c r="S25" s="811"/>
      <c r="T25" s="811"/>
      <c r="U25" s="811"/>
      <c r="V25" s="811"/>
      <c r="W25" s="811"/>
      <c r="X25" s="811"/>
      <c r="Y25" s="811"/>
      <c r="Z25" s="811"/>
    </row>
    <row r="26">
      <c r="A26" s="811"/>
      <c r="B26" s="851" t="s">
        <v>634</v>
      </c>
      <c r="C26" s="850">
        <v>1.8119432340403627E-4</v>
      </c>
      <c r="D26" s="811"/>
      <c r="E26" s="811"/>
      <c r="F26" s="816"/>
      <c r="G26" s="811"/>
      <c r="H26" s="811"/>
      <c r="I26" s="811"/>
      <c r="J26" s="811"/>
      <c r="K26" s="811"/>
      <c r="L26" s="816"/>
      <c r="M26" s="811"/>
      <c r="N26" s="811"/>
      <c r="O26" s="811"/>
      <c r="P26" s="811"/>
      <c r="Q26" s="811"/>
      <c r="R26" s="811"/>
      <c r="S26" s="811"/>
      <c r="T26" s="811"/>
      <c r="U26" s="811"/>
      <c r="V26" s="811"/>
      <c r="W26" s="811"/>
      <c r="X26" s="811"/>
      <c r="Y26" s="811"/>
      <c r="Z26" s="811"/>
    </row>
    <row r="27">
      <c r="A27" s="811"/>
      <c r="B27" s="840" t="s">
        <v>635</v>
      </c>
      <c r="C27" s="813">
        <v>3.4618552633914366</v>
      </c>
      <c r="D27" s="811"/>
      <c r="E27" s="811"/>
      <c r="F27" s="816"/>
      <c r="G27" s="811"/>
      <c r="H27" s="811"/>
      <c r="I27" s="811"/>
      <c r="J27" s="811"/>
      <c r="K27" s="811"/>
      <c r="L27" s="816"/>
      <c r="M27" s="811"/>
      <c r="N27" s="811"/>
      <c r="O27" s="811"/>
      <c r="P27" s="811"/>
      <c r="Q27" s="811"/>
      <c r="R27" s="811"/>
      <c r="S27" s="811"/>
      <c r="T27" s="811"/>
      <c r="U27" s="811"/>
      <c r="V27" s="811"/>
      <c r="W27" s="811"/>
      <c r="X27" s="811"/>
      <c r="Y27" s="811"/>
      <c r="Z27" s="811"/>
    </row>
    <row r="28">
      <c r="A28" s="811"/>
      <c r="B28" s="840" t="s">
        <v>636</v>
      </c>
      <c r="C28" s="835">
        <v>0.20374797883382653</v>
      </c>
      <c r="D28" s="811"/>
      <c r="E28" s="811"/>
      <c r="F28" s="816"/>
      <c r="G28" s="811"/>
      <c r="H28" s="811"/>
      <c r="I28" s="811"/>
      <c r="J28" s="811"/>
      <c r="K28" s="811"/>
      <c r="L28" s="816"/>
      <c r="M28" s="811"/>
      <c r="N28" s="811"/>
      <c r="O28" s="811"/>
      <c r="P28" s="811"/>
      <c r="Q28" s="811"/>
      <c r="R28" s="811"/>
      <c r="S28" s="811"/>
      <c r="T28" s="811"/>
      <c r="U28" s="811"/>
      <c r="V28" s="811"/>
      <c r="W28" s="811"/>
      <c r="X28" s="811"/>
      <c r="Y28" s="811"/>
      <c r="Z28" s="811"/>
    </row>
    <row r="29">
      <c r="A29" s="811"/>
      <c r="B29" s="840" t="s">
        <v>637</v>
      </c>
      <c r="C29" s="813">
        <v>13.611138659517556</v>
      </c>
      <c r="D29" s="811"/>
      <c r="E29" s="811"/>
      <c r="F29" s="816"/>
      <c r="G29" s="811"/>
      <c r="H29" s="811"/>
      <c r="I29" s="811"/>
      <c r="J29" s="811"/>
      <c r="K29" s="811"/>
      <c r="L29" s="816"/>
      <c r="M29" s="811"/>
      <c r="N29" s="811"/>
      <c r="O29" s="811"/>
      <c r="P29" s="811"/>
      <c r="Q29" s="811"/>
      <c r="R29" s="811"/>
      <c r="S29" s="811"/>
      <c r="T29" s="811"/>
      <c r="U29" s="811"/>
      <c r="V29" s="811"/>
      <c r="W29" s="811"/>
      <c r="X29" s="811"/>
      <c r="Y29" s="811"/>
      <c r="Z29" s="811"/>
    </row>
    <row r="30">
      <c r="A30" s="811"/>
      <c r="B30" s="840" t="s">
        <v>638</v>
      </c>
      <c r="C30" s="852">
        <v>4.469314244570997</v>
      </c>
      <c r="D30" s="811"/>
      <c r="E30" s="811"/>
      <c r="F30" s="816"/>
      <c r="G30" s="811"/>
      <c r="H30" s="811"/>
      <c r="I30" s="811"/>
      <c r="J30" s="811"/>
      <c r="K30" s="811"/>
      <c r="L30" s="816"/>
      <c r="M30" s="811"/>
      <c r="N30" s="811"/>
      <c r="O30" s="811"/>
      <c r="P30" s="811"/>
      <c r="Q30" s="811"/>
      <c r="R30" s="811"/>
      <c r="S30" s="811"/>
      <c r="T30" s="811"/>
      <c r="U30" s="811"/>
      <c r="V30" s="811"/>
      <c r="W30" s="811"/>
      <c r="X30" s="811"/>
      <c r="Y30" s="811"/>
      <c r="Z30" s="811"/>
    </row>
    <row r="31">
      <c r="A31" s="811"/>
      <c r="B31" s="840" t="s">
        <v>574</v>
      </c>
      <c r="C31" s="813">
        <v>23.35779127053971</v>
      </c>
      <c r="D31" s="811"/>
      <c r="E31" s="811"/>
      <c r="F31" s="816"/>
      <c r="G31" s="811"/>
      <c r="H31" s="811"/>
      <c r="I31" s="811"/>
      <c r="J31" s="811"/>
      <c r="K31" s="811"/>
      <c r="L31" s="816"/>
      <c r="M31" s="811"/>
      <c r="N31" s="811"/>
      <c r="O31" s="811"/>
      <c r="P31" s="811"/>
      <c r="Q31" s="811"/>
      <c r="R31" s="811"/>
      <c r="S31" s="811"/>
      <c r="T31" s="811"/>
      <c r="U31" s="811"/>
      <c r="V31" s="811"/>
      <c r="W31" s="811"/>
      <c r="X31" s="811"/>
      <c r="Y31" s="811"/>
      <c r="Z31" s="811"/>
    </row>
    <row r="32">
      <c r="A32" s="811"/>
      <c r="B32" s="840" t="s">
        <v>639</v>
      </c>
      <c r="C32" s="813">
        <v>203.76849778374824</v>
      </c>
      <c r="D32" s="811"/>
      <c r="E32" s="811"/>
      <c r="F32" s="816"/>
      <c r="G32" s="811"/>
      <c r="H32" s="811"/>
      <c r="I32" s="811"/>
      <c r="J32" s="811"/>
      <c r="K32" s="811"/>
      <c r="L32" s="816"/>
      <c r="M32" s="811"/>
      <c r="N32" s="811"/>
      <c r="O32" s="811"/>
      <c r="P32" s="811"/>
      <c r="Q32" s="811"/>
      <c r="R32" s="811"/>
      <c r="S32" s="811"/>
      <c r="T32" s="811"/>
      <c r="U32" s="811"/>
      <c r="V32" s="811"/>
      <c r="W32" s="811"/>
      <c r="X32" s="811"/>
      <c r="Y32" s="811"/>
      <c r="Z32" s="811"/>
    </row>
    <row r="33">
      <c r="A33" s="811"/>
      <c r="B33" s="840" t="s">
        <v>640</v>
      </c>
      <c r="C33" s="813">
        <v>26.044741886258617</v>
      </c>
      <c r="D33" s="811"/>
      <c r="E33" s="811"/>
      <c r="F33" s="816"/>
      <c r="G33" s="811"/>
      <c r="H33" s="811"/>
      <c r="I33" s="811"/>
      <c r="J33" s="811"/>
      <c r="K33" s="811"/>
      <c r="L33" s="816"/>
      <c r="M33" s="811"/>
      <c r="N33" s="811"/>
      <c r="O33" s="811"/>
      <c r="P33" s="811"/>
      <c r="Q33" s="811"/>
      <c r="R33" s="811"/>
      <c r="S33" s="811"/>
      <c r="T33" s="811"/>
      <c r="U33" s="811"/>
      <c r="V33" s="811"/>
      <c r="W33" s="811"/>
      <c r="X33" s="811"/>
      <c r="Y33" s="811"/>
      <c r="Z33" s="811"/>
    </row>
    <row r="34">
      <c r="A34" s="811"/>
      <c r="B34" s="853"/>
      <c r="C34" s="816"/>
      <c r="D34" s="811"/>
      <c r="E34" s="811"/>
      <c r="F34" s="816"/>
      <c r="G34" s="811"/>
      <c r="H34" s="811"/>
      <c r="I34" s="811"/>
      <c r="J34" s="811"/>
      <c r="K34" s="811"/>
      <c r="L34" s="816"/>
      <c r="M34" s="811"/>
      <c r="N34" s="811"/>
      <c r="O34" s="811"/>
      <c r="P34" s="811"/>
      <c r="Q34" s="811"/>
      <c r="R34" s="811"/>
      <c r="S34" s="811"/>
      <c r="T34" s="811"/>
      <c r="U34" s="811"/>
      <c r="V34" s="811"/>
      <c r="W34" s="811"/>
      <c r="X34" s="811"/>
      <c r="Y34" s="811"/>
      <c r="Z34" s="811"/>
    </row>
    <row r="35">
      <c r="A35" s="811"/>
      <c r="B35" s="853"/>
      <c r="C35" s="816"/>
      <c r="D35" s="811"/>
      <c r="E35" s="811"/>
      <c r="F35" s="816"/>
      <c r="G35" s="811"/>
      <c r="H35" s="811"/>
      <c r="I35" s="811"/>
      <c r="J35" s="811"/>
      <c r="K35" s="811"/>
      <c r="L35" s="816"/>
      <c r="M35" s="811"/>
      <c r="N35" s="811"/>
      <c r="O35" s="811"/>
      <c r="P35" s="811"/>
      <c r="Q35" s="811"/>
      <c r="R35" s="811"/>
      <c r="S35" s="811"/>
      <c r="T35" s="811"/>
      <c r="U35" s="811"/>
      <c r="V35" s="811"/>
      <c r="W35" s="811"/>
      <c r="X35" s="811"/>
      <c r="Y35" s="811"/>
      <c r="Z35" s="811"/>
    </row>
    <row r="36">
      <c r="A36" s="811"/>
      <c r="B36" s="853"/>
      <c r="C36" s="816"/>
      <c r="D36" s="811"/>
      <c r="E36" s="811"/>
      <c r="F36" s="816"/>
      <c r="G36" s="811"/>
      <c r="H36" s="811"/>
      <c r="I36" s="811"/>
      <c r="J36" s="811"/>
      <c r="K36" s="811"/>
      <c r="L36" s="816"/>
      <c r="M36" s="811"/>
      <c r="N36" s="811"/>
      <c r="O36" s="811"/>
      <c r="P36" s="811"/>
      <c r="Q36" s="811"/>
      <c r="R36" s="811"/>
      <c r="S36" s="811"/>
      <c r="T36" s="811"/>
      <c r="U36" s="811"/>
      <c r="V36" s="811"/>
      <c r="W36" s="811"/>
      <c r="X36" s="811"/>
      <c r="Y36" s="811"/>
      <c r="Z36" s="811"/>
    </row>
    <row r="37">
      <c r="A37" s="811"/>
      <c r="B37" s="853"/>
      <c r="C37" s="816"/>
      <c r="D37" s="811"/>
      <c r="E37" s="811"/>
      <c r="F37" s="816"/>
      <c r="G37" s="811"/>
      <c r="H37" s="811"/>
      <c r="I37" s="811"/>
      <c r="J37" s="811"/>
      <c r="K37" s="811"/>
      <c r="L37" s="816"/>
      <c r="M37" s="811"/>
      <c r="N37" s="811"/>
      <c r="O37" s="811"/>
      <c r="P37" s="811"/>
      <c r="Q37" s="811"/>
      <c r="R37" s="811"/>
      <c r="S37" s="811"/>
      <c r="T37" s="811"/>
      <c r="U37" s="811"/>
      <c r="V37" s="811"/>
      <c r="W37" s="811"/>
      <c r="X37" s="811"/>
      <c r="Y37" s="811"/>
      <c r="Z37" s="811"/>
    </row>
    <row r="38">
      <c r="A38" s="811"/>
      <c r="B38" s="853"/>
      <c r="C38" s="816"/>
      <c r="D38" s="811"/>
      <c r="E38" s="811"/>
      <c r="F38" s="816"/>
      <c r="G38" s="811"/>
      <c r="H38" s="811"/>
      <c r="I38" s="811"/>
      <c r="J38" s="811"/>
      <c r="K38" s="811"/>
      <c r="L38" s="816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</row>
    <row r="39">
      <c r="A39" s="811"/>
      <c r="B39" s="853"/>
      <c r="C39" s="816"/>
      <c r="D39" s="811"/>
      <c r="E39" s="811"/>
      <c r="F39" s="816"/>
      <c r="G39" s="811"/>
      <c r="H39" s="811"/>
      <c r="I39" s="811"/>
      <c r="J39" s="811"/>
      <c r="K39" s="811"/>
      <c r="L39" s="816"/>
      <c r="M39" s="811"/>
      <c r="N39" s="811"/>
      <c r="O39" s="811"/>
      <c r="P39" s="811"/>
      <c r="Q39" s="811"/>
      <c r="R39" s="811"/>
      <c r="S39" s="811"/>
      <c r="T39" s="811"/>
      <c r="U39" s="811"/>
      <c r="V39" s="811"/>
      <c r="W39" s="811"/>
      <c r="X39" s="811"/>
      <c r="Y39" s="811"/>
      <c r="Z39" s="811"/>
    </row>
    <row r="40">
      <c r="A40" s="811"/>
      <c r="B40" s="853"/>
      <c r="C40" s="816"/>
      <c r="D40" s="811"/>
      <c r="E40" s="811"/>
      <c r="F40" s="816"/>
      <c r="G40" s="811"/>
      <c r="H40" s="811"/>
      <c r="I40" s="811"/>
      <c r="J40" s="811"/>
      <c r="K40" s="811"/>
      <c r="L40" s="816"/>
      <c r="M40" s="811"/>
      <c r="N40" s="811"/>
      <c r="O40" s="811"/>
      <c r="P40" s="811"/>
      <c r="Q40" s="811"/>
      <c r="R40" s="811"/>
      <c r="S40" s="811"/>
      <c r="T40" s="811"/>
      <c r="U40" s="811"/>
      <c r="V40" s="811"/>
      <c r="W40" s="811"/>
      <c r="X40" s="811"/>
      <c r="Y40" s="811"/>
      <c r="Z40" s="811"/>
    </row>
    <row r="41">
      <c r="A41" s="811"/>
      <c r="B41" s="853"/>
      <c r="C41" s="816"/>
      <c r="D41" s="811"/>
      <c r="E41" s="811"/>
      <c r="F41" s="816"/>
      <c r="G41" s="811"/>
      <c r="H41" s="811"/>
      <c r="I41" s="811"/>
      <c r="J41" s="811"/>
      <c r="K41" s="811"/>
      <c r="L41" s="816"/>
      <c r="M41" s="811"/>
      <c r="N41" s="811"/>
      <c r="O41" s="811"/>
      <c r="P41" s="811"/>
      <c r="Q41" s="811"/>
      <c r="R41" s="811"/>
      <c r="S41" s="811"/>
      <c r="T41" s="811"/>
      <c r="U41" s="811"/>
      <c r="V41" s="811"/>
      <c r="W41" s="811"/>
      <c r="X41" s="811"/>
      <c r="Y41" s="811"/>
      <c r="Z41" s="811"/>
    </row>
    <row r="42">
      <c r="A42" s="811"/>
      <c r="B42" s="853"/>
      <c r="C42" s="816"/>
      <c r="D42" s="811"/>
      <c r="E42" s="811"/>
      <c r="F42" s="816"/>
      <c r="G42" s="811"/>
      <c r="H42" s="811"/>
      <c r="I42" s="811"/>
      <c r="J42" s="811"/>
      <c r="K42" s="811"/>
      <c r="L42" s="816"/>
      <c r="M42" s="811"/>
      <c r="N42" s="811"/>
      <c r="O42" s="811"/>
      <c r="P42" s="811"/>
      <c r="Q42" s="811"/>
      <c r="R42" s="811"/>
      <c r="S42" s="811"/>
      <c r="T42" s="811"/>
      <c r="U42" s="811"/>
      <c r="V42" s="811"/>
      <c r="W42" s="811"/>
      <c r="X42" s="811"/>
      <c r="Y42" s="811"/>
      <c r="Z42" s="811"/>
    </row>
    <row r="43">
      <c r="A43" s="811"/>
      <c r="B43" s="853"/>
      <c r="C43" s="816"/>
      <c r="D43" s="811"/>
      <c r="E43" s="811"/>
      <c r="F43" s="816"/>
      <c r="G43" s="811"/>
      <c r="H43" s="811"/>
      <c r="I43" s="811"/>
      <c r="J43" s="811"/>
      <c r="K43" s="811"/>
      <c r="L43" s="816"/>
      <c r="M43" s="811"/>
      <c r="N43" s="811"/>
      <c r="O43" s="811"/>
      <c r="P43" s="811"/>
      <c r="Q43" s="811"/>
      <c r="R43" s="811"/>
      <c r="S43" s="811"/>
      <c r="T43" s="811"/>
      <c r="U43" s="811"/>
      <c r="V43" s="811"/>
      <c r="W43" s="811"/>
      <c r="X43" s="811"/>
      <c r="Y43" s="811"/>
      <c r="Z43" s="811"/>
    </row>
    <row r="44">
      <c r="A44" s="811"/>
      <c r="B44" s="853"/>
      <c r="C44" s="816"/>
      <c r="D44" s="811"/>
      <c r="E44" s="811"/>
      <c r="F44" s="816"/>
      <c r="G44" s="811"/>
      <c r="H44" s="811"/>
      <c r="I44" s="811"/>
      <c r="J44" s="811"/>
      <c r="K44" s="811"/>
      <c r="L44" s="816"/>
      <c r="M44" s="811"/>
      <c r="N44" s="811"/>
      <c r="O44" s="811"/>
      <c r="P44" s="811"/>
      <c r="Q44" s="811"/>
      <c r="R44" s="811"/>
      <c r="S44" s="811"/>
      <c r="T44" s="811"/>
      <c r="U44" s="811"/>
      <c r="V44" s="811"/>
      <c r="W44" s="811"/>
      <c r="X44" s="811"/>
      <c r="Y44" s="811"/>
      <c r="Z44" s="811"/>
    </row>
    <row r="45">
      <c r="A45" s="811"/>
      <c r="B45" s="853"/>
      <c r="C45" s="816"/>
      <c r="D45" s="811"/>
      <c r="E45" s="811"/>
      <c r="F45" s="816"/>
      <c r="G45" s="811"/>
      <c r="H45" s="811"/>
      <c r="I45" s="811"/>
      <c r="J45" s="811"/>
      <c r="K45" s="811"/>
      <c r="L45" s="816"/>
      <c r="M45" s="811"/>
      <c r="N45" s="811"/>
      <c r="O45" s="811"/>
      <c r="P45" s="811"/>
      <c r="Q45" s="811"/>
      <c r="R45" s="811"/>
      <c r="S45" s="811"/>
      <c r="T45" s="811"/>
      <c r="U45" s="811"/>
      <c r="V45" s="811"/>
      <c r="W45" s="811"/>
      <c r="X45" s="811"/>
      <c r="Y45" s="811"/>
      <c r="Z45" s="811"/>
    </row>
    <row r="46">
      <c r="A46" s="811"/>
      <c r="B46" s="853"/>
      <c r="C46" s="816"/>
      <c r="D46" s="811"/>
      <c r="E46" s="811"/>
      <c r="F46" s="816"/>
      <c r="G46" s="811"/>
      <c r="H46" s="811"/>
      <c r="I46" s="811"/>
      <c r="J46" s="811"/>
      <c r="K46" s="811"/>
      <c r="L46" s="816"/>
      <c r="M46" s="811"/>
      <c r="N46" s="811"/>
      <c r="O46" s="811"/>
      <c r="P46" s="811"/>
      <c r="Q46" s="811"/>
      <c r="R46" s="811"/>
      <c r="S46" s="811"/>
      <c r="T46" s="811"/>
      <c r="U46" s="811"/>
      <c r="V46" s="811"/>
      <c r="W46" s="811"/>
      <c r="X46" s="811"/>
      <c r="Y46" s="811"/>
      <c r="Z46" s="811"/>
    </row>
    <row r="47">
      <c r="A47" s="811"/>
      <c r="B47" s="853"/>
      <c r="C47" s="816"/>
      <c r="D47" s="811"/>
      <c r="E47" s="811"/>
      <c r="F47" s="816"/>
      <c r="G47" s="811"/>
      <c r="H47" s="811"/>
      <c r="I47" s="811"/>
      <c r="J47" s="811"/>
      <c r="K47" s="811"/>
      <c r="L47" s="816"/>
      <c r="M47" s="811"/>
      <c r="N47" s="811"/>
      <c r="O47" s="811"/>
      <c r="P47" s="811"/>
      <c r="Q47" s="811"/>
      <c r="R47" s="811"/>
      <c r="S47" s="811"/>
      <c r="T47" s="811"/>
      <c r="U47" s="811"/>
      <c r="V47" s="811"/>
      <c r="W47" s="811"/>
      <c r="X47" s="811"/>
      <c r="Y47" s="811"/>
      <c r="Z47" s="811"/>
    </row>
    <row r="48">
      <c r="A48" s="811"/>
      <c r="B48" s="853"/>
      <c r="C48" s="816"/>
      <c r="D48" s="811"/>
      <c r="E48" s="811"/>
      <c r="F48" s="816"/>
      <c r="G48" s="811"/>
      <c r="H48" s="811"/>
      <c r="I48" s="811"/>
      <c r="J48" s="811"/>
      <c r="K48" s="811"/>
      <c r="L48" s="816"/>
      <c r="M48" s="811"/>
      <c r="N48" s="811"/>
      <c r="O48" s="811"/>
      <c r="P48" s="811"/>
      <c r="Q48" s="811"/>
      <c r="R48" s="811"/>
      <c r="S48" s="811"/>
      <c r="T48" s="811"/>
      <c r="U48" s="811"/>
      <c r="V48" s="811"/>
      <c r="W48" s="811"/>
      <c r="X48" s="811"/>
      <c r="Y48" s="811"/>
      <c r="Z48" s="811"/>
    </row>
    <row r="49">
      <c r="A49" s="811"/>
      <c r="B49" s="853"/>
      <c r="C49" s="816"/>
      <c r="D49" s="811"/>
      <c r="E49" s="811"/>
      <c r="F49" s="816"/>
      <c r="G49" s="811"/>
      <c r="H49" s="811"/>
      <c r="I49" s="811"/>
      <c r="J49" s="811"/>
      <c r="K49" s="811"/>
      <c r="L49" s="816"/>
      <c r="M49" s="811"/>
      <c r="N49" s="811"/>
      <c r="O49" s="811"/>
      <c r="P49" s="811"/>
      <c r="Q49" s="811"/>
      <c r="R49" s="811"/>
      <c r="S49" s="811"/>
      <c r="T49" s="811"/>
      <c r="U49" s="811"/>
      <c r="V49" s="811"/>
      <c r="W49" s="811"/>
      <c r="X49" s="811"/>
      <c r="Y49" s="811"/>
      <c r="Z49" s="811"/>
    </row>
    <row r="50">
      <c r="A50" s="811"/>
      <c r="B50" s="853"/>
      <c r="C50" s="816"/>
      <c r="D50" s="811"/>
      <c r="E50" s="811"/>
      <c r="F50" s="816"/>
      <c r="G50" s="811"/>
      <c r="H50" s="811"/>
      <c r="I50" s="811"/>
      <c r="J50" s="811"/>
      <c r="K50" s="811"/>
      <c r="L50" s="816"/>
      <c r="M50" s="811"/>
      <c r="N50" s="811"/>
      <c r="O50" s="811"/>
      <c r="P50" s="811"/>
      <c r="Q50" s="811"/>
      <c r="R50" s="811"/>
      <c r="S50" s="811"/>
      <c r="T50" s="811"/>
      <c r="U50" s="811"/>
      <c r="V50" s="811"/>
      <c r="W50" s="811"/>
      <c r="X50" s="811"/>
      <c r="Y50" s="811"/>
      <c r="Z50" s="811"/>
    </row>
    <row r="51">
      <c r="A51" s="811"/>
      <c r="B51" s="853"/>
      <c r="C51" s="816"/>
      <c r="D51" s="811"/>
      <c r="E51" s="811"/>
      <c r="F51" s="816"/>
      <c r="G51" s="811"/>
      <c r="H51" s="811"/>
      <c r="I51" s="811"/>
      <c r="J51" s="811"/>
      <c r="K51" s="811"/>
      <c r="L51" s="816"/>
      <c r="M51" s="811"/>
      <c r="N51" s="811"/>
      <c r="O51" s="811"/>
      <c r="P51" s="811"/>
      <c r="Q51" s="811"/>
      <c r="R51" s="811"/>
      <c r="S51" s="811"/>
      <c r="T51" s="811"/>
      <c r="U51" s="811"/>
      <c r="V51" s="811"/>
      <c r="W51" s="811"/>
      <c r="X51" s="811"/>
      <c r="Y51" s="811"/>
      <c r="Z51" s="811"/>
    </row>
    <row r="52">
      <c r="A52" s="811"/>
      <c r="B52" s="853"/>
      <c r="C52" s="816"/>
      <c r="D52" s="811"/>
      <c r="E52" s="811"/>
      <c r="F52" s="816"/>
      <c r="G52" s="811"/>
      <c r="H52" s="811"/>
      <c r="I52" s="811"/>
      <c r="J52" s="811"/>
      <c r="K52" s="811"/>
      <c r="L52" s="816"/>
      <c r="M52" s="811"/>
      <c r="N52" s="811"/>
      <c r="O52" s="811"/>
      <c r="P52" s="811"/>
      <c r="Q52" s="811"/>
      <c r="R52" s="811"/>
      <c r="S52" s="811"/>
      <c r="T52" s="811"/>
      <c r="U52" s="811"/>
      <c r="V52" s="811"/>
      <c r="W52" s="811"/>
      <c r="X52" s="811"/>
      <c r="Y52" s="811"/>
      <c r="Z52" s="811"/>
    </row>
    <row r="53">
      <c r="A53" s="811"/>
      <c r="B53" s="853"/>
      <c r="C53" s="816"/>
      <c r="D53" s="811"/>
      <c r="E53" s="811"/>
      <c r="F53" s="816"/>
      <c r="G53" s="811"/>
      <c r="H53" s="811"/>
      <c r="I53" s="811"/>
      <c r="J53" s="811"/>
      <c r="K53" s="811"/>
      <c r="L53" s="816"/>
      <c r="M53" s="811"/>
      <c r="N53" s="811"/>
      <c r="O53" s="811"/>
      <c r="P53" s="811"/>
      <c r="Q53" s="811"/>
      <c r="R53" s="811"/>
      <c r="S53" s="811"/>
      <c r="T53" s="811"/>
      <c r="U53" s="811"/>
      <c r="V53" s="811"/>
      <c r="W53" s="811"/>
      <c r="X53" s="811"/>
      <c r="Y53" s="811"/>
      <c r="Z53" s="811"/>
    </row>
    <row r="54">
      <c r="A54" s="811"/>
      <c r="B54" s="853"/>
      <c r="C54" s="816"/>
      <c r="D54" s="811"/>
      <c r="E54" s="811"/>
      <c r="F54" s="816"/>
      <c r="G54" s="811"/>
      <c r="H54" s="811"/>
      <c r="I54" s="811"/>
      <c r="J54" s="811"/>
      <c r="K54" s="811"/>
      <c r="L54" s="816"/>
      <c r="M54" s="811"/>
      <c r="N54" s="811"/>
      <c r="O54" s="811"/>
      <c r="P54" s="811"/>
      <c r="Q54" s="811"/>
      <c r="R54" s="811"/>
      <c r="S54" s="811"/>
      <c r="T54" s="811"/>
      <c r="U54" s="811"/>
      <c r="V54" s="811"/>
      <c r="W54" s="811"/>
      <c r="X54" s="811"/>
      <c r="Y54" s="811"/>
      <c r="Z54" s="811"/>
    </row>
    <row r="55">
      <c r="A55" s="811"/>
      <c r="B55" s="853"/>
      <c r="C55" s="816"/>
      <c r="D55" s="811"/>
      <c r="E55" s="811"/>
      <c r="F55" s="816"/>
      <c r="G55" s="811"/>
      <c r="H55" s="811"/>
      <c r="I55" s="811"/>
      <c r="J55" s="811"/>
      <c r="K55" s="811"/>
      <c r="L55" s="816"/>
      <c r="M55" s="811"/>
      <c r="N55" s="811"/>
      <c r="O55" s="811"/>
      <c r="P55" s="811"/>
      <c r="Q55" s="811"/>
      <c r="R55" s="811"/>
      <c r="S55" s="811"/>
      <c r="T55" s="811"/>
      <c r="U55" s="811"/>
      <c r="V55" s="811"/>
      <c r="W55" s="811"/>
      <c r="X55" s="811"/>
      <c r="Y55" s="811"/>
      <c r="Z55" s="811"/>
    </row>
    <row r="56">
      <c r="A56" s="811"/>
      <c r="B56" s="853"/>
      <c r="C56" s="816"/>
      <c r="D56" s="811"/>
      <c r="E56" s="811"/>
      <c r="F56" s="816"/>
      <c r="G56" s="811"/>
      <c r="H56" s="811"/>
      <c r="I56" s="811"/>
      <c r="J56" s="811"/>
      <c r="K56" s="811"/>
      <c r="L56" s="816"/>
      <c r="M56" s="811"/>
      <c r="N56" s="811"/>
      <c r="O56" s="811"/>
      <c r="P56" s="811"/>
      <c r="Q56" s="811"/>
      <c r="R56" s="811"/>
      <c r="S56" s="811"/>
      <c r="T56" s="811"/>
      <c r="U56" s="811"/>
      <c r="V56" s="811"/>
      <c r="W56" s="811"/>
      <c r="X56" s="811"/>
      <c r="Y56" s="811"/>
      <c r="Z56" s="811"/>
    </row>
    <row r="57">
      <c r="A57" s="811"/>
      <c r="B57" s="853"/>
      <c r="C57" s="816"/>
      <c r="D57" s="811"/>
      <c r="E57" s="811"/>
      <c r="F57" s="816"/>
      <c r="G57" s="811"/>
      <c r="H57" s="811"/>
      <c r="I57" s="811"/>
      <c r="J57" s="811"/>
      <c r="K57" s="811"/>
      <c r="L57" s="816"/>
      <c r="M57" s="811"/>
      <c r="N57" s="811"/>
      <c r="O57" s="811"/>
      <c r="P57" s="811"/>
      <c r="Q57" s="811"/>
      <c r="R57" s="811"/>
      <c r="S57" s="811"/>
      <c r="T57" s="811"/>
      <c r="U57" s="811"/>
      <c r="V57" s="811"/>
      <c r="W57" s="811"/>
      <c r="X57" s="811"/>
      <c r="Y57" s="811"/>
      <c r="Z57" s="811"/>
    </row>
    <row r="58">
      <c r="A58" s="811"/>
      <c r="B58" s="853"/>
      <c r="C58" s="816"/>
      <c r="D58" s="811"/>
      <c r="E58" s="811"/>
      <c r="F58" s="816"/>
      <c r="G58" s="811"/>
      <c r="H58" s="811"/>
      <c r="I58" s="811"/>
      <c r="J58" s="811"/>
      <c r="K58" s="811"/>
      <c r="L58" s="816"/>
      <c r="M58" s="811"/>
      <c r="N58" s="811"/>
      <c r="O58" s="811"/>
      <c r="P58" s="811"/>
      <c r="Q58" s="811"/>
      <c r="R58" s="811"/>
      <c r="S58" s="811"/>
      <c r="T58" s="811"/>
      <c r="U58" s="811"/>
      <c r="V58" s="811"/>
      <c r="W58" s="811"/>
      <c r="X58" s="811"/>
      <c r="Y58" s="811"/>
      <c r="Z58" s="811"/>
    </row>
    <row r="59">
      <c r="A59" s="811"/>
      <c r="B59" s="853"/>
      <c r="C59" s="816"/>
      <c r="D59" s="811"/>
      <c r="E59" s="811"/>
      <c r="F59" s="816"/>
      <c r="G59" s="811"/>
      <c r="H59" s="811"/>
      <c r="I59" s="811"/>
      <c r="J59" s="811"/>
      <c r="K59" s="811"/>
      <c r="L59" s="816"/>
      <c r="M59" s="811"/>
      <c r="N59" s="811"/>
      <c r="O59" s="811"/>
      <c r="P59" s="811"/>
      <c r="Q59" s="811"/>
      <c r="R59" s="811"/>
      <c r="S59" s="811"/>
      <c r="T59" s="811"/>
      <c r="U59" s="811"/>
      <c r="V59" s="811"/>
      <c r="W59" s="811"/>
      <c r="X59" s="811"/>
      <c r="Y59" s="811"/>
      <c r="Z59" s="811"/>
    </row>
    <row r="60">
      <c r="A60" s="811"/>
      <c r="B60" s="853"/>
      <c r="C60" s="816"/>
      <c r="D60" s="811"/>
      <c r="E60" s="811"/>
      <c r="F60" s="816"/>
      <c r="G60" s="811"/>
      <c r="H60" s="811"/>
      <c r="I60" s="811"/>
      <c r="J60" s="811"/>
      <c r="K60" s="811"/>
      <c r="L60" s="816"/>
      <c r="M60" s="811"/>
      <c r="N60" s="811"/>
      <c r="O60" s="811"/>
      <c r="P60" s="811"/>
      <c r="Q60" s="811"/>
      <c r="R60" s="811"/>
      <c r="S60" s="811"/>
      <c r="T60" s="811"/>
      <c r="U60" s="811"/>
      <c r="V60" s="811"/>
      <c r="W60" s="811"/>
      <c r="X60" s="811"/>
      <c r="Y60" s="811"/>
      <c r="Z60" s="811"/>
    </row>
    <row r="61">
      <c r="A61" s="811"/>
      <c r="B61" s="853"/>
      <c r="C61" s="816"/>
      <c r="D61" s="811"/>
      <c r="E61" s="811"/>
      <c r="F61" s="816"/>
      <c r="G61" s="811"/>
      <c r="H61" s="811"/>
      <c r="I61" s="811"/>
      <c r="J61" s="811"/>
      <c r="K61" s="811"/>
      <c r="L61" s="816"/>
      <c r="M61" s="811"/>
      <c r="N61" s="811"/>
      <c r="O61" s="811"/>
      <c r="P61" s="811"/>
      <c r="Q61" s="811"/>
      <c r="R61" s="811"/>
      <c r="S61" s="811"/>
      <c r="T61" s="811"/>
      <c r="U61" s="811"/>
      <c r="V61" s="811"/>
      <c r="W61" s="811"/>
      <c r="X61" s="811"/>
      <c r="Y61" s="811"/>
      <c r="Z61" s="811"/>
    </row>
    <row r="62">
      <c r="A62" s="811"/>
      <c r="B62" s="853"/>
      <c r="C62" s="816"/>
      <c r="D62" s="811"/>
      <c r="E62" s="811"/>
      <c r="F62" s="816"/>
      <c r="G62" s="811"/>
      <c r="H62" s="811"/>
      <c r="I62" s="811"/>
      <c r="J62" s="811"/>
      <c r="K62" s="811"/>
      <c r="L62" s="816"/>
      <c r="M62" s="811"/>
      <c r="N62" s="811"/>
      <c r="O62" s="811"/>
      <c r="P62" s="811"/>
      <c r="Q62" s="811"/>
      <c r="R62" s="811"/>
      <c r="S62" s="811"/>
      <c r="T62" s="811"/>
      <c r="U62" s="811"/>
      <c r="V62" s="811"/>
      <c r="W62" s="811"/>
      <c r="X62" s="811"/>
      <c r="Y62" s="811"/>
      <c r="Z62" s="811"/>
    </row>
    <row r="63">
      <c r="A63" s="811"/>
      <c r="B63" s="853"/>
      <c r="C63" s="816"/>
      <c r="D63" s="811"/>
      <c r="E63" s="811"/>
      <c r="F63" s="816"/>
      <c r="G63" s="811"/>
      <c r="H63" s="811"/>
      <c r="I63" s="811"/>
      <c r="J63" s="811"/>
      <c r="K63" s="811"/>
      <c r="L63" s="816"/>
      <c r="M63" s="811"/>
      <c r="N63" s="811"/>
      <c r="O63" s="811"/>
      <c r="P63" s="811"/>
      <c r="Q63" s="811"/>
      <c r="R63" s="811"/>
      <c r="S63" s="811"/>
      <c r="T63" s="811"/>
      <c r="U63" s="811"/>
      <c r="V63" s="811"/>
      <c r="W63" s="811"/>
      <c r="X63" s="811"/>
      <c r="Y63" s="811"/>
      <c r="Z63" s="811"/>
    </row>
    <row r="64">
      <c r="A64" s="811"/>
      <c r="B64" s="853"/>
      <c r="C64" s="816"/>
      <c r="D64" s="811"/>
      <c r="E64" s="811"/>
      <c r="F64" s="816"/>
      <c r="G64" s="811"/>
      <c r="H64" s="811"/>
      <c r="I64" s="811"/>
      <c r="J64" s="811"/>
      <c r="K64" s="811"/>
      <c r="L64" s="816"/>
      <c r="M64" s="811"/>
      <c r="N64" s="811"/>
      <c r="O64" s="811"/>
      <c r="P64" s="811"/>
      <c r="Q64" s="811"/>
      <c r="R64" s="811"/>
      <c r="S64" s="811"/>
      <c r="T64" s="811"/>
      <c r="U64" s="811"/>
      <c r="V64" s="811"/>
      <c r="W64" s="811"/>
      <c r="X64" s="811"/>
      <c r="Y64" s="811"/>
      <c r="Z64" s="811"/>
    </row>
    <row r="65">
      <c r="A65" s="811"/>
      <c r="B65" s="853"/>
      <c r="C65" s="816"/>
      <c r="D65" s="811"/>
      <c r="E65" s="811"/>
      <c r="F65" s="816"/>
      <c r="G65" s="811"/>
      <c r="H65" s="811"/>
      <c r="I65" s="811"/>
      <c r="J65" s="811"/>
      <c r="K65" s="811"/>
      <c r="L65" s="816"/>
      <c r="M65" s="811"/>
      <c r="N65" s="811"/>
      <c r="O65" s="811"/>
      <c r="P65" s="811"/>
      <c r="Q65" s="811"/>
      <c r="R65" s="811"/>
      <c r="S65" s="811"/>
      <c r="T65" s="811"/>
      <c r="U65" s="811"/>
      <c r="V65" s="811"/>
      <c r="W65" s="811"/>
      <c r="X65" s="811"/>
      <c r="Y65" s="811"/>
      <c r="Z65" s="811"/>
    </row>
    <row r="66">
      <c r="A66" s="811"/>
      <c r="B66" s="853"/>
      <c r="C66" s="816"/>
      <c r="D66" s="811"/>
      <c r="E66" s="811"/>
      <c r="F66" s="816"/>
      <c r="G66" s="811"/>
      <c r="H66" s="811"/>
      <c r="I66" s="811"/>
      <c r="J66" s="811"/>
      <c r="K66" s="811"/>
      <c r="L66" s="816"/>
      <c r="M66" s="811"/>
      <c r="N66" s="811"/>
      <c r="O66" s="811"/>
      <c r="P66" s="811"/>
      <c r="Q66" s="811"/>
      <c r="R66" s="811"/>
      <c r="S66" s="811"/>
      <c r="T66" s="811"/>
      <c r="U66" s="811"/>
      <c r="V66" s="811"/>
      <c r="W66" s="811"/>
      <c r="X66" s="811"/>
      <c r="Y66" s="811"/>
      <c r="Z66" s="811"/>
    </row>
    <row r="67">
      <c r="A67" s="811"/>
      <c r="B67" s="853"/>
      <c r="C67" s="816"/>
      <c r="D67" s="811"/>
      <c r="E67" s="811"/>
      <c r="F67" s="816"/>
      <c r="G67" s="811"/>
      <c r="H67" s="811"/>
      <c r="I67" s="811"/>
      <c r="J67" s="811"/>
      <c r="K67" s="811"/>
      <c r="L67" s="816"/>
      <c r="M67" s="811"/>
      <c r="N67" s="811"/>
      <c r="O67" s="811"/>
      <c r="P67" s="811"/>
      <c r="Q67" s="811"/>
      <c r="R67" s="811"/>
      <c r="S67" s="811"/>
      <c r="T67" s="811"/>
      <c r="U67" s="811"/>
      <c r="V67" s="811"/>
      <c r="W67" s="811"/>
      <c r="X67" s="811"/>
      <c r="Y67" s="811"/>
      <c r="Z67" s="811"/>
    </row>
    <row r="68">
      <c r="A68" s="811"/>
      <c r="B68" s="853"/>
      <c r="C68" s="816"/>
      <c r="D68" s="811"/>
      <c r="E68" s="811"/>
      <c r="F68" s="816"/>
      <c r="G68" s="811"/>
      <c r="H68" s="811"/>
      <c r="I68" s="811"/>
      <c r="J68" s="811"/>
      <c r="K68" s="811"/>
      <c r="L68" s="816"/>
      <c r="M68" s="811"/>
      <c r="N68" s="811"/>
      <c r="O68" s="811"/>
      <c r="P68" s="811"/>
      <c r="Q68" s="811"/>
      <c r="R68" s="811"/>
      <c r="S68" s="811"/>
      <c r="T68" s="811"/>
      <c r="U68" s="811"/>
      <c r="V68" s="811"/>
      <c r="W68" s="811"/>
      <c r="X68" s="811"/>
      <c r="Y68" s="811"/>
      <c r="Z68" s="811"/>
    </row>
    <row r="69">
      <c r="A69" s="811"/>
      <c r="B69" s="853"/>
      <c r="C69" s="816"/>
      <c r="D69" s="811"/>
      <c r="E69" s="811"/>
      <c r="F69" s="816"/>
      <c r="G69" s="811"/>
      <c r="H69" s="811"/>
      <c r="I69" s="811"/>
      <c r="J69" s="811"/>
      <c r="K69" s="811"/>
      <c r="L69" s="816"/>
      <c r="M69" s="811"/>
      <c r="N69" s="811"/>
      <c r="O69" s="811"/>
      <c r="P69" s="811"/>
      <c r="Q69" s="811"/>
      <c r="R69" s="811"/>
      <c r="S69" s="811"/>
      <c r="T69" s="811"/>
      <c r="U69" s="811"/>
      <c r="V69" s="811"/>
      <c r="W69" s="811"/>
      <c r="X69" s="811"/>
      <c r="Y69" s="811"/>
      <c r="Z69" s="811"/>
    </row>
    <row r="70">
      <c r="A70" s="811"/>
      <c r="B70" s="853"/>
      <c r="C70" s="816"/>
      <c r="D70" s="811"/>
      <c r="E70" s="811"/>
      <c r="F70" s="816"/>
      <c r="G70" s="811"/>
      <c r="H70" s="811"/>
      <c r="I70" s="811"/>
      <c r="J70" s="811"/>
      <c r="K70" s="811"/>
      <c r="L70" s="816"/>
      <c r="M70" s="811"/>
      <c r="N70" s="811"/>
      <c r="O70" s="811"/>
      <c r="P70" s="811"/>
      <c r="Q70" s="811"/>
      <c r="R70" s="811"/>
      <c r="S70" s="811"/>
      <c r="T70" s="811"/>
      <c r="U70" s="811"/>
      <c r="V70" s="811"/>
      <c r="W70" s="811"/>
      <c r="X70" s="811"/>
      <c r="Y70" s="811"/>
      <c r="Z70" s="811"/>
    </row>
    <row r="71">
      <c r="A71" s="811"/>
      <c r="B71" s="853"/>
      <c r="C71" s="816"/>
      <c r="D71" s="811"/>
      <c r="E71" s="811"/>
      <c r="F71" s="816"/>
      <c r="G71" s="811"/>
      <c r="H71" s="811"/>
      <c r="I71" s="811"/>
      <c r="J71" s="811"/>
      <c r="K71" s="811"/>
      <c r="L71" s="816"/>
      <c r="M71" s="811"/>
      <c r="N71" s="811"/>
      <c r="O71" s="811"/>
      <c r="P71" s="811"/>
      <c r="Q71" s="811"/>
      <c r="R71" s="811"/>
      <c r="S71" s="811"/>
      <c r="T71" s="811"/>
      <c r="U71" s="811"/>
      <c r="V71" s="811"/>
      <c r="W71" s="811"/>
      <c r="X71" s="811"/>
      <c r="Y71" s="811"/>
      <c r="Z71" s="811"/>
    </row>
    <row r="72">
      <c r="A72" s="811"/>
      <c r="B72" s="854"/>
      <c r="C72" s="855"/>
      <c r="D72" s="811"/>
      <c r="E72" s="811"/>
      <c r="F72" s="816"/>
      <c r="G72" s="811"/>
      <c r="H72" s="811"/>
      <c r="I72" s="811"/>
      <c r="J72" s="811"/>
      <c r="K72" s="811"/>
      <c r="L72" s="816"/>
      <c r="M72" s="811"/>
      <c r="N72" s="811"/>
      <c r="O72" s="811"/>
      <c r="P72" s="811"/>
      <c r="Q72" s="811"/>
      <c r="R72" s="811"/>
      <c r="S72" s="811"/>
      <c r="T72" s="811"/>
      <c r="U72" s="811"/>
      <c r="V72" s="811"/>
      <c r="W72" s="811"/>
      <c r="X72" s="811"/>
      <c r="Y72" s="811"/>
      <c r="Z72" s="811"/>
    </row>
    <row r="73">
      <c r="A73" s="811"/>
      <c r="B73" s="854"/>
      <c r="C73" s="855"/>
      <c r="D73" s="811"/>
      <c r="E73" s="811"/>
      <c r="F73" s="816"/>
      <c r="G73" s="811"/>
      <c r="H73" s="811"/>
      <c r="I73" s="811"/>
      <c r="J73" s="811"/>
      <c r="K73" s="811"/>
      <c r="L73" s="816"/>
      <c r="M73" s="811"/>
      <c r="N73" s="811"/>
      <c r="O73" s="811"/>
      <c r="P73" s="811"/>
      <c r="Q73" s="811"/>
      <c r="R73" s="811"/>
      <c r="S73" s="811"/>
      <c r="T73" s="811"/>
      <c r="U73" s="811"/>
      <c r="V73" s="811"/>
      <c r="W73" s="811"/>
      <c r="X73" s="811"/>
      <c r="Y73" s="811"/>
      <c r="Z73" s="811"/>
    </row>
    <row r="74">
      <c r="A74" s="811"/>
      <c r="B74" s="854"/>
      <c r="C74" s="855"/>
      <c r="D74" s="811"/>
      <c r="E74" s="811"/>
      <c r="F74" s="816"/>
      <c r="G74" s="811"/>
      <c r="H74" s="811"/>
      <c r="I74" s="811"/>
      <c r="J74" s="811"/>
      <c r="K74" s="811"/>
      <c r="L74" s="816"/>
      <c r="M74" s="811"/>
      <c r="N74" s="811"/>
      <c r="O74" s="811"/>
      <c r="P74" s="811"/>
      <c r="Q74" s="811"/>
      <c r="R74" s="811"/>
      <c r="S74" s="811"/>
      <c r="T74" s="811"/>
      <c r="U74" s="811"/>
      <c r="V74" s="811"/>
      <c r="W74" s="811"/>
      <c r="X74" s="811"/>
      <c r="Y74" s="811"/>
      <c r="Z74" s="811"/>
    </row>
    <row r="75">
      <c r="A75" s="811"/>
      <c r="B75" s="854"/>
      <c r="C75" s="855"/>
      <c r="D75" s="811"/>
      <c r="E75" s="811"/>
      <c r="F75" s="816"/>
      <c r="G75" s="811"/>
      <c r="H75" s="811"/>
      <c r="I75" s="811"/>
      <c r="J75" s="811"/>
      <c r="K75" s="811"/>
      <c r="L75" s="816"/>
      <c r="M75" s="811"/>
      <c r="N75" s="811"/>
      <c r="O75" s="811"/>
      <c r="P75" s="811"/>
      <c r="Q75" s="811"/>
      <c r="R75" s="811"/>
      <c r="S75" s="811"/>
      <c r="T75" s="811"/>
      <c r="U75" s="811"/>
      <c r="V75" s="811"/>
      <c r="W75" s="811"/>
      <c r="X75" s="811"/>
      <c r="Y75" s="811"/>
      <c r="Z75" s="811"/>
    </row>
    <row r="76">
      <c r="A76" s="811"/>
      <c r="B76" s="854"/>
      <c r="C76" s="855"/>
      <c r="D76" s="811"/>
      <c r="E76" s="811"/>
      <c r="F76" s="816"/>
      <c r="G76" s="811"/>
      <c r="H76" s="811"/>
      <c r="I76" s="811"/>
      <c r="J76" s="811"/>
      <c r="K76" s="811"/>
      <c r="L76" s="816"/>
      <c r="M76" s="811"/>
      <c r="N76" s="811"/>
      <c r="O76" s="811"/>
      <c r="P76" s="811"/>
      <c r="Q76" s="811"/>
      <c r="R76" s="811"/>
      <c r="S76" s="811"/>
      <c r="T76" s="811"/>
      <c r="U76" s="811"/>
      <c r="V76" s="811"/>
      <c r="W76" s="811"/>
      <c r="X76" s="811"/>
      <c r="Y76" s="811"/>
      <c r="Z76" s="811"/>
    </row>
    <row r="77">
      <c r="A77" s="811"/>
      <c r="B77" s="854"/>
      <c r="C77" s="855"/>
      <c r="D77" s="811"/>
      <c r="E77" s="811"/>
      <c r="F77" s="816"/>
      <c r="G77" s="811"/>
      <c r="H77" s="811"/>
      <c r="I77" s="811"/>
      <c r="J77" s="811"/>
      <c r="K77" s="811"/>
      <c r="L77" s="816"/>
      <c r="M77" s="811"/>
      <c r="N77" s="811"/>
      <c r="O77" s="811"/>
      <c r="P77" s="811"/>
      <c r="Q77" s="811"/>
      <c r="R77" s="811"/>
      <c r="S77" s="811"/>
      <c r="T77" s="811"/>
      <c r="U77" s="811"/>
      <c r="V77" s="811"/>
      <c r="W77" s="811"/>
      <c r="X77" s="811"/>
      <c r="Y77" s="811"/>
      <c r="Z77" s="811"/>
    </row>
    <row r="78">
      <c r="A78" s="811"/>
      <c r="B78" s="854"/>
      <c r="C78" s="855"/>
      <c r="D78" s="811"/>
      <c r="E78" s="811"/>
      <c r="F78" s="816"/>
      <c r="G78" s="811"/>
      <c r="H78" s="811"/>
      <c r="I78" s="811"/>
      <c r="J78" s="811"/>
      <c r="K78" s="811"/>
      <c r="L78" s="816"/>
      <c r="M78" s="811"/>
      <c r="N78" s="811"/>
      <c r="O78" s="811"/>
      <c r="P78" s="811"/>
      <c r="Q78" s="811"/>
      <c r="R78" s="811"/>
      <c r="S78" s="811"/>
      <c r="T78" s="811"/>
      <c r="U78" s="811"/>
      <c r="V78" s="811"/>
      <c r="W78" s="811"/>
      <c r="X78" s="811"/>
      <c r="Y78" s="811"/>
      <c r="Z78" s="811"/>
    </row>
    <row r="79">
      <c r="A79" s="811"/>
      <c r="B79" s="854"/>
      <c r="C79" s="855"/>
      <c r="D79" s="811"/>
      <c r="E79" s="811"/>
      <c r="F79" s="816"/>
      <c r="G79" s="811"/>
      <c r="H79" s="811"/>
      <c r="I79" s="811"/>
      <c r="J79" s="811"/>
      <c r="K79" s="811"/>
      <c r="L79" s="816"/>
      <c r="M79" s="811"/>
      <c r="N79" s="811"/>
      <c r="O79" s="811"/>
      <c r="P79" s="811"/>
      <c r="Q79" s="811"/>
      <c r="R79" s="811"/>
      <c r="S79" s="811"/>
      <c r="T79" s="811"/>
      <c r="U79" s="811"/>
      <c r="V79" s="811"/>
      <c r="W79" s="811"/>
      <c r="X79" s="811"/>
      <c r="Y79" s="811"/>
      <c r="Z79" s="811"/>
    </row>
    <row r="80">
      <c r="A80" s="811"/>
      <c r="B80" s="854"/>
      <c r="C80" s="855"/>
      <c r="D80" s="811"/>
      <c r="E80" s="811"/>
      <c r="F80" s="816"/>
      <c r="G80" s="811"/>
      <c r="H80" s="811"/>
      <c r="I80" s="811"/>
      <c r="J80" s="811"/>
      <c r="K80" s="811"/>
      <c r="L80" s="816"/>
      <c r="M80" s="811"/>
      <c r="N80" s="811"/>
      <c r="O80" s="811"/>
      <c r="P80" s="811"/>
      <c r="Q80" s="811"/>
      <c r="R80" s="811"/>
      <c r="S80" s="811"/>
      <c r="T80" s="811"/>
      <c r="U80" s="811"/>
      <c r="V80" s="811"/>
      <c r="W80" s="811"/>
      <c r="X80" s="811"/>
      <c r="Y80" s="811"/>
      <c r="Z80" s="811"/>
    </row>
    <row r="81">
      <c r="A81" s="811"/>
      <c r="B81" s="854"/>
      <c r="C81" s="855"/>
      <c r="D81" s="811"/>
      <c r="E81" s="811"/>
      <c r="F81" s="816"/>
      <c r="G81" s="811"/>
      <c r="H81" s="811"/>
      <c r="I81" s="811"/>
      <c r="J81" s="811"/>
      <c r="K81" s="811"/>
      <c r="L81" s="816"/>
      <c r="M81" s="811"/>
      <c r="N81" s="811"/>
      <c r="O81" s="811"/>
      <c r="P81" s="811"/>
      <c r="Q81" s="811"/>
      <c r="R81" s="811"/>
      <c r="S81" s="811"/>
      <c r="T81" s="811"/>
      <c r="U81" s="811"/>
      <c r="V81" s="811"/>
      <c r="W81" s="811"/>
      <c r="X81" s="811"/>
      <c r="Y81" s="811"/>
      <c r="Z81" s="811"/>
    </row>
    <row r="82">
      <c r="A82" s="811"/>
      <c r="B82" s="854"/>
      <c r="C82" s="855"/>
      <c r="D82" s="811"/>
      <c r="E82" s="811"/>
      <c r="F82" s="816"/>
      <c r="G82" s="811"/>
      <c r="H82" s="811"/>
      <c r="I82" s="811"/>
      <c r="J82" s="811"/>
      <c r="K82" s="811"/>
      <c r="L82" s="816"/>
      <c r="M82" s="811"/>
      <c r="N82" s="811"/>
      <c r="O82" s="811"/>
      <c r="P82" s="811"/>
      <c r="Q82" s="811"/>
      <c r="R82" s="811"/>
      <c r="S82" s="811"/>
      <c r="T82" s="811"/>
      <c r="U82" s="811"/>
      <c r="V82" s="811"/>
      <c r="W82" s="811"/>
      <c r="X82" s="811"/>
      <c r="Y82" s="811"/>
      <c r="Z82" s="811"/>
    </row>
    <row r="83">
      <c r="A83" s="811"/>
      <c r="B83" s="854"/>
      <c r="C83" s="855"/>
      <c r="D83" s="811"/>
      <c r="E83" s="811"/>
      <c r="F83" s="816"/>
      <c r="G83" s="811"/>
      <c r="H83" s="811"/>
      <c r="I83" s="811"/>
      <c r="J83" s="811"/>
      <c r="K83" s="811"/>
      <c r="L83" s="816"/>
      <c r="M83" s="811"/>
      <c r="N83" s="811"/>
      <c r="O83" s="811"/>
      <c r="P83" s="811"/>
      <c r="Q83" s="811"/>
      <c r="R83" s="811"/>
      <c r="S83" s="811"/>
      <c r="T83" s="811"/>
      <c r="U83" s="811"/>
      <c r="V83" s="811"/>
      <c r="W83" s="811"/>
      <c r="X83" s="811"/>
      <c r="Y83" s="811"/>
      <c r="Z83" s="811"/>
    </row>
    <row r="84">
      <c r="A84" s="811"/>
      <c r="B84" s="854"/>
      <c r="C84" s="855"/>
      <c r="D84" s="811"/>
      <c r="E84" s="811"/>
      <c r="F84" s="816"/>
      <c r="G84" s="811"/>
      <c r="H84" s="811"/>
      <c r="I84" s="811"/>
      <c r="J84" s="811"/>
      <c r="K84" s="811"/>
      <c r="L84" s="816"/>
      <c r="M84" s="811"/>
      <c r="N84" s="811"/>
      <c r="O84" s="811"/>
      <c r="P84" s="811"/>
      <c r="Q84" s="811"/>
      <c r="R84" s="811"/>
      <c r="S84" s="811"/>
      <c r="T84" s="811"/>
      <c r="U84" s="811"/>
      <c r="V84" s="811"/>
      <c r="W84" s="811"/>
      <c r="X84" s="811"/>
      <c r="Y84" s="811"/>
      <c r="Z84" s="811"/>
    </row>
    <row r="85">
      <c r="A85" s="811"/>
      <c r="B85" s="854"/>
      <c r="C85" s="855"/>
      <c r="D85" s="811"/>
      <c r="E85" s="811"/>
      <c r="F85" s="816"/>
      <c r="G85" s="811"/>
      <c r="H85" s="811"/>
      <c r="I85" s="811"/>
      <c r="J85" s="811"/>
      <c r="K85" s="811"/>
      <c r="L85" s="816"/>
      <c r="M85" s="811"/>
      <c r="N85" s="811"/>
      <c r="O85" s="811"/>
      <c r="P85" s="811"/>
      <c r="Q85" s="811"/>
      <c r="R85" s="811"/>
      <c r="S85" s="811"/>
      <c r="T85" s="811"/>
      <c r="U85" s="811"/>
      <c r="V85" s="811"/>
      <c r="W85" s="811"/>
      <c r="X85" s="811"/>
      <c r="Y85" s="811"/>
      <c r="Z85" s="811"/>
    </row>
    <row r="86">
      <c r="A86" s="811"/>
      <c r="B86" s="854"/>
      <c r="C86" s="855"/>
      <c r="D86" s="811"/>
      <c r="E86" s="811"/>
      <c r="F86" s="816"/>
      <c r="G86" s="811"/>
      <c r="H86" s="811"/>
      <c r="I86" s="811"/>
      <c r="J86" s="811"/>
      <c r="K86" s="811"/>
      <c r="L86" s="816"/>
      <c r="M86" s="811"/>
      <c r="N86" s="811"/>
      <c r="O86" s="811"/>
      <c r="P86" s="811"/>
      <c r="Q86" s="811"/>
      <c r="R86" s="811"/>
      <c r="S86" s="811"/>
      <c r="T86" s="811"/>
      <c r="U86" s="811"/>
      <c r="V86" s="811"/>
      <c r="W86" s="811"/>
      <c r="X86" s="811"/>
      <c r="Y86" s="811"/>
      <c r="Z86" s="811"/>
    </row>
    <row r="87">
      <c r="A87" s="811"/>
      <c r="B87" s="854"/>
      <c r="C87" s="855"/>
      <c r="D87" s="811"/>
      <c r="E87" s="811"/>
      <c r="F87" s="816"/>
      <c r="G87" s="811"/>
      <c r="H87" s="811"/>
      <c r="I87" s="811"/>
      <c r="J87" s="811"/>
      <c r="K87" s="811"/>
      <c r="L87" s="816"/>
      <c r="M87" s="811"/>
      <c r="N87" s="811"/>
      <c r="O87" s="811"/>
      <c r="P87" s="811"/>
      <c r="Q87" s="811"/>
      <c r="R87" s="811"/>
      <c r="S87" s="811"/>
      <c r="T87" s="811"/>
      <c r="U87" s="811"/>
      <c r="V87" s="811"/>
      <c r="W87" s="811"/>
      <c r="X87" s="811"/>
      <c r="Y87" s="811"/>
      <c r="Z87" s="811"/>
    </row>
    <row r="88">
      <c r="A88" s="811"/>
      <c r="B88" s="854"/>
      <c r="C88" s="855"/>
      <c r="D88" s="811"/>
      <c r="E88" s="811"/>
      <c r="F88" s="816"/>
      <c r="G88" s="811"/>
      <c r="H88" s="811"/>
      <c r="I88" s="811"/>
      <c r="J88" s="811"/>
      <c r="K88" s="811"/>
      <c r="L88" s="816"/>
      <c r="M88" s="811"/>
      <c r="N88" s="811"/>
      <c r="O88" s="811"/>
      <c r="P88" s="811"/>
      <c r="Q88" s="811"/>
      <c r="R88" s="811"/>
      <c r="S88" s="811"/>
      <c r="T88" s="811"/>
      <c r="U88" s="811"/>
      <c r="V88" s="811"/>
      <c r="W88" s="811"/>
      <c r="X88" s="811"/>
      <c r="Y88" s="811"/>
      <c r="Z88" s="811"/>
    </row>
    <row r="89">
      <c r="A89" s="811"/>
      <c r="B89" s="854"/>
      <c r="C89" s="855"/>
      <c r="D89" s="811"/>
      <c r="E89" s="811"/>
      <c r="F89" s="816"/>
      <c r="G89" s="811"/>
      <c r="H89" s="811"/>
      <c r="I89" s="811"/>
      <c r="J89" s="811"/>
      <c r="K89" s="811"/>
      <c r="L89" s="816"/>
      <c r="M89" s="811"/>
      <c r="N89" s="811"/>
      <c r="O89" s="811"/>
      <c r="P89" s="811"/>
      <c r="Q89" s="811"/>
      <c r="R89" s="811"/>
      <c r="S89" s="811"/>
      <c r="T89" s="811"/>
      <c r="U89" s="811"/>
      <c r="V89" s="811"/>
      <c r="W89" s="811"/>
      <c r="X89" s="811"/>
      <c r="Y89" s="811"/>
      <c r="Z89" s="811"/>
    </row>
    <row r="90">
      <c r="A90" s="811"/>
      <c r="B90" s="854"/>
      <c r="C90" s="855"/>
      <c r="D90" s="811"/>
      <c r="E90" s="811"/>
      <c r="F90" s="816"/>
      <c r="G90" s="811"/>
      <c r="H90" s="811"/>
      <c r="I90" s="811"/>
      <c r="J90" s="811"/>
      <c r="K90" s="811"/>
      <c r="L90" s="816"/>
      <c r="M90" s="811"/>
      <c r="N90" s="811"/>
      <c r="O90" s="811"/>
      <c r="P90" s="811"/>
      <c r="Q90" s="811"/>
      <c r="R90" s="811"/>
      <c r="S90" s="811"/>
      <c r="T90" s="811"/>
      <c r="U90" s="811"/>
      <c r="V90" s="811"/>
      <c r="W90" s="811"/>
      <c r="X90" s="811"/>
      <c r="Y90" s="811"/>
      <c r="Z90" s="811"/>
    </row>
    <row r="91">
      <c r="A91" s="811"/>
      <c r="B91" s="854"/>
      <c r="C91" s="855"/>
      <c r="D91" s="811"/>
      <c r="E91" s="811"/>
      <c r="F91" s="816"/>
      <c r="G91" s="811"/>
      <c r="H91" s="811"/>
      <c r="I91" s="811"/>
      <c r="J91" s="811"/>
      <c r="K91" s="811"/>
      <c r="L91" s="816"/>
      <c r="M91" s="811"/>
      <c r="N91" s="811"/>
      <c r="O91" s="811"/>
      <c r="P91" s="811"/>
      <c r="Q91" s="811"/>
      <c r="R91" s="811"/>
      <c r="S91" s="811"/>
      <c r="T91" s="811"/>
      <c r="U91" s="811"/>
      <c r="V91" s="811"/>
      <c r="W91" s="811"/>
      <c r="X91" s="811"/>
      <c r="Y91" s="811"/>
      <c r="Z91" s="811"/>
    </row>
    <row r="92">
      <c r="A92" s="811"/>
      <c r="B92" s="854"/>
      <c r="C92" s="855"/>
      <c r="D92" s="811"/>
      <c r="E92" s="811"/>
      <c r="F92" s="816"/>
      <c r="G92" s="811"/>
      <c r="H92" s="811"/>
      <c r="I92" s="811"/>
      <c r="J92" s="811"/>
      <c r="K92" s="811"/>
      <c r="L92" s="816"/>
      <c r="M92" s="811"/>
      <c r="N92" s="811"/>
      <c r="O92" s="811"/>
      <c r="P92" s="811"/>
      <c r="Q92" s="811"/>
      <c r="R92" s="811"/>
      <c r="S92" s="811"/>
      <c r="T92" s="811"/>
      <c r="U92" s="811"/>
      <c r="V92" s="811"/>
      <c r="W92" s="811"/>
      <c r="X92" s="811"/>
      <c r="Y92" s="811"/>
      <c r="Z92" s="811"/>
    </row>
    <row r="93">
      <c r="A93" s="811"/>
      <c r="B93" s="854"/>
      <c r="C93" s="855"/>
      <c r="D93" s="811"/>
      <c r="E93" s="811"/>
      <c r="F93" s="816"/>
      <c r="G93" s="811"/>
      <c r="H93" s="811"/>
      <c r="I93" s="811"/>
      <c r="J93" s="811"/>
      <c r="K93" s="811"/>
      <c r="L93" s="816"/>
      <c r="M93" s="811"/>
      <c r="N93" s="811"/>
      <c r="O93" s="811"/>
      <c r="P93" s="811"/>
      <c r="Q93" s="811"/>
      <c r="R93" s="811"/>
      <c r="S93" s="811"/>
      <c r="T93" s="811"/>
      <c r="U93" s="811"/>
      <c r="V93" s="811"/>
      <c r="W93" s="811"/>
      <c r="X93" s="811"/>
      <c r="Y93" s="811"/>
      <c r="Z93" s="811"/>
    </row>
    <row r="94">
      <c r="A94" s="811"/>
      <c r="B94" s="854"/>
      <c r="C94" s="855"/>
      <c r="D94" s="811"/>
      <c r="E94" s="811"/>
      <c r="F94" s="816"/>
      <c r="G94" s="811"/>
      <c r="H94" s="811"/>
      <c r="I94" s="811"/>
      <c r="J94" s="811"/>
      <c r="K94" s="811"/>
      <c r="L94" s="816"/>
      <c r="M94" s="811"/>
      <c r="N94" s="811"/>
      <c r="O94" s="811"/>
      <c r="P94" s="811"/>
      <c r="Q94" s="811"/>
      <c r="R94" s="811"/>
      <c r="S94" s="811"/>
      <c r="T94" s="811"/>
      <c r="U94" s="811"/>
      <c r="V94" s="811"/>
      <c r="W94" s="811"/>
      <c r="X94" s="811"/>
      <c r="Y94" s="811"/>
      <c r="Z94" s="811"/>
    </row>
    <row r="95">
      <c r="A95" s="811"/>
      <c r="B95" s="854"/>
      <c r="C95" s="855"/>
      <c r="D95" s="811"/>
      <c r="E95" s="811"/>
      <c r="F95" s="816"/>
      <c r="G95" s="811"/>
      <c r="H95" s="811"/>
      <c r="I95" s="811"/>
      <c r="J95" s="811"/>
      <c r="K95" s="811"/>
      <c r="L95" s="816"/>
      <c r="M95" s="811"/>
      <c r="N95" s="811"/>
      <c r="O95" s="811"/>
      <c r="P95" s="811"/>
      <c r="Q95" s="811"/>
      <c r="R95" s="811"/>
      <c r="S95" s="811"/>
      <c r="T95" s="811"/>
      <c r="U95" s="811"/>
      <c r="V95" s="811"/>
      <c r="W95" s="811"/>
      <c r="X95" s="811"/>
      <c r="Y95" s="811"/>
      <c r="Z95" s="811"/>
    </row>
    <row r="96">
      <c r="A96" s="811"/>
      <c r="B96" s="854"/>
      <c r="C96" s="855"/>
      <c r="D96" s="811"/>
      <c r="E96" s="811"/>
      <c r="F96" s="816"/>
      <c r="G96" s="811"/>
      <c r="H96" s="811"/>
      <c r="I96" s="811"/>
      <c r="J96" s="811"/>
      <c r="K96" s="811"/>
      <c r="L96" s="816"/>
      <c r="M96" s="811"/>
      <c r="N96" s="811"/>
      <c r="O96" s="811"/>
      <c r="P96" s="811"/>
      <c r="Q96" s="811"/>
      <c r="R96" s="811"/>
      <c r="S96" s="811"/>
      <c r="T96" s="811"/>
      <c r="U96" s="811"/>
      <c r="V96" s="811"/>
      <c r="W96" s="811"/>
      <c r="X96" s="811"/>
      <c r="Y96" s="811"/>
      <c r="Z96" s="811"/>
    </row>
    <row r="97">
      <c r="A97" s="811"/>
      <c r="B97" s="854"/>
      <c r="C97" s="855"/>
      <c r="D97" s="811"/>
      <c r="E97" s="811"/>
      <c r="F97" s="816"/>
      <c r="G97" s="811"/>
      <c r="H97" s="811"/>
      <c r="I97" s="811"/>
      <c r="J97" s="811"/>
      <c r="K97" s="811"/>
      <c r="L97" s="816"/>
      <c r="M97" s="811"/>
      <c r="N97" s="811"/>
      <c r="O97" s="811"/>
      <c r="P97" s="811"/>
      <c r="Q97" s="811"/>
      <c r="R97" s="811"/>
      <c r="S97" s="811"/>
      <c r="T97" s="811"/>
      <c r="U97" s="811"/>
      <c r="V97" s="811"/>
      <c r="W97" s="811"/>
      <c r="X97" s="811"/>
      <c r="Y97" s="811"/>
      <c r="Z97" s="811"/>
    </row>
    <row r="98">
      <c r="A98" s="811"/>
      <c r="B98" s="854"/>
      <c r="C98" s="855"/>
      <c r="D98" s="811"/>
      <c r="E98" s="811"/>
      <c r="F98" s="816"/>
      <c r="G98" s="811"/>
      <c r="H98" s="811"/>
      <c r="I98" s="811"/>
      <c r="J98" s="811"/>
      <c r="K98" s="811"/>
      <c r="L98" s="816"/>
      <c r="M98" s="811"/>
      <c r="N98" s="811"/>
      <c r="O98" s="811"/>
      <c r="P98" s="811"/>
      <c r="Q98" s="811"/>
      <c r="R98" s="811"/>
      <c r="S98" s="811"/>
      <c r="T98" s="811"/>
      <c r="U98" s="811"/>
      <c r="V98" s="811"/>
      <c r="W98" s="811"/>
      <c r="X98" s="811"/>
      <c r="Y98" s="811"/>
      <c r="Z98" s="811"/>
    </row>
    <row r="99">
      <c r="A99" s="811"/>
      <c r="B99" s="854"/>
      <c r="C99" s="855"/>
      <c r="D99" s="811"/>
      <c r="E99" s="811"/>
      <c r="F99" s="816"/>
      <c r="G99" s="811"/>
      <c r="H99" s="811"/>
      <c r="I99" s="811"/>
      <c r="J99" s="811"/>
      <c r="K99" s="811"/>
      <c r="L99" s="816"/>
      <c r="M99" s="811"/>
      <c r="N99" s="811"/>
      <c r="O99" s="811"/>
      <c r="P99" s="811"/>
      <c r="Q99" s="811"/>
      <c r="R99" s="811"/>
      <c r="S99" s="811"/>
      <c r="T99" s="811"/>
      <c r="U99" s="811"/>
      <c r="V99" s="811"/>
      <c r="W99" s="811"/>
      <c r="X99" s="811"/>
      <c r="Y99" s="811"/>
      <c r="Z99" s="811"/>
    </row>
    <row r="100">
      <c r="A100" s="811"/>
      <c r="B100" s="854"/>
      <c r="C100" s="855"/>
      <c r="D100" s="811"/>
      <c r="E100" s="811"/>
      <c r="F100" s="816"/>
      <c r="G100" s="811"/>
      <c r="H100" s="811"/>
      <c r="I100" s="811"/>
      <c r="J100" s="811"/>
      <c r="K100" s="811"/>
      <c r="L100" s="816"/>
      <c r="M100" s="811"/>
      <c r="N100" s="811"/>
      <c r="O100" s="811"/>
      <c r="P100" s="811"/>
      <c r="Q100" s="811"/>
      <c r="R100" s="811"/>
      <c r="S100" s="811"/>
      <c r="T100" s="811"/>
      <c r="U100" s="811"/>
      <c r="V100" s="811"/>
      <c r="W100" s="811"/>
      <c r="X100" s="811"/>
      <c r="Y100" s="811"/>
      <c r="Z100" s="811"/>
    </row>
    <row r="101">
      <c r="A101" s="811"/>
      <c r="B101" s="854"/>
      <c r="C101" s="855"/>
      <c r="D101" s="811"/>
      <c r="E101" s="811"/>
      <c r="F101" s="816"/>
      <c r="G101" s="811"/>
      <c r="H101" s="811"/>
      <c r="I101" s="811"/>
      <c r="J101" s="811"/>
      <c r="K101" s="811"/>
      <c r="L101" s="816"/>
      <c r="M101" s="811"/>
      <c r="N101" s="811"/>
      <c r="O101" s="811"/>
      <c r="P101" s="811"/>
      <c r="Q101" s="811"/>
      <c r="R101" s="811"/>
      <c r="S101" s="811"/>
      <c r="T101" s="811"/>
      <c r="U101" s="811"/>
      <c r="V101" s="811"/>
      <c r="W101" s="811"/>
      <c r="X101" s="811"/>
      <c r="Y101" s="811"/>
      <c r="Z101" s="811"/>
    </row>
    <row r="102">
      <c r="A102" s="811"/>
      <c r="B102" s="854"/>
      <c r="C102" s="855"/>
      <c r="D102" s="811"/>
      <c r="E102" s="811"/>
      <c r="F102" s="816"/>
      <c r="G102" s="811"/>
      <c r="H102" s="811"/>
      <c r="I102" s="811"/>
      <c r="J102" s="811"/>
      <c r="K102" s="811"/>
      <c r="L102" s="816"/>
      <c r="M102" s="811"/>
      <c r="N102" s="811"/>
      <c r="O102" s="811"/>
      <c r="P102" s="811"/>
      <c r="Q102" s="811"/>
      <c r="R102" s="811"/>
      <c r="S102" s="811"/>
      <c r="T102" s="811"/>
      <c r="U102" s="811"/>
      <c r="V102" s="811"/>
      <c r="W102" s="811"/>
      <c r="X102" s="811"/>
      <c r="Y102" s="811"/>
      <c r="Z102" s="811"/>
    </row>
    <row r="103">
      <c r="A103" s="811"/>
      <c r="B103" s="854"/>
      <c r="C103" s="855"/>
      <c r="D103" s="811"/>
      <c r="E103" s="811"/>
      <c r="F103" s="816"/>
      <c r="G103" s="811"/>
      <c r="H103" s="811"/>
      <c r="I103" s="811"/>
      <c r="J103" s="811"/>
      <c r="K103" s="811"/>
      <c r="L103" s="816"/>
      <c r="M103" s="811"/>
      <c r="N103" s="811"/>
      <c r="O103" s="811"/>
      <c r="P103" s="811"/>
      <c r="Q103" s="811"/>
      <c r="R103" s="811"/>
      <c r="S103" s="811"/>
      <c r="T103" s="811"/>
      <c r="U103" s="811"/>
      <c r="V103" s="811"/>
      <c r="W103" s="811"/>
      <c r="X103" s="811"/>
      <c r="Y103" s="811"/>
      <c r="Z103" s="811"/>
    </row>
    <row r="104">
      <c r="A104" s="811"/>
      <c r="B104" s="854"/>
      <c r="C104" s="855"/>
      <c r="D104" s="811"/>
      <c r="E104" s="811"/>
      <c r="F104" s="816"/>
      <c r="G104" s="811"/>
      <c r="H104" s="811"/>
      <c r="I104" s="811"/>
      <c r="J104" s="811"/>
      <c r="K104" s="811"/>
      <c r="L104" s="816"/>
      <c r="M104" s="811"/>
      <c r="N104" s="811"/>
      <c r="O104" s="811"/>
      <c r="P104" s="811"/>
      <c r="Q104" s="811"/>
      <c r="R104" s="811"/>
      <c r="S104" s="811"/>
      <c r="T104" s="811"/>
      <c r="U104" s="811"/>
      <c r="V104" s="811"/>
      <c r="W104" s="811"/>
      <c r="X104" s="811"/>
      <c r="Y104" s="811"/>
      <c r="Z104" s="811"/>
    </row>
    <row r="105">
      <c r="A105" s="811"/>
      <c r="B105" s="854"/>
      <c r="C105" s="855"/>
      <c r="D105" s="811"/>
      <c r="E105" s="811"/>
      <c r="F105" s="816"/>
      <c r="G105" s="811"/>
      <c r="H105" s="811"/>
      <c r="I105" s="811"/>
      <c r="J105" s="811"/>
      <c r="K105" s="811"/>
      <c r="L105" s="816"/>
      <c r="M105" s="811"/>
      <c r="N105" s="811"/>
      <c r="O105" s="811"/>
      <c r="P105" s="811"/>
      <c r="Q105" s="811"/>
      <c r="R105" s="811"/>
      <c r="S105" s="811"/>
      <c r="T105" s="811"/>
      <c r="U105" s="811"/>
      <c r="V105" s="811"/>
      <c r="W105" s="811"/>
      <c r="X105" s="811"/>
      <c r="Y105" s="811"/>
      <c r="Z105" s="811"/>
    </row>
    <row r="106">
      <c r="A106" s="811"/>
      <c r="B106" s="854"/>
      <c r="C106" s="855"/>
      <c r="D106" s="811"/>
      <c r="E106" s="811"/>
      <c r="F106" s="816"/>
      <c r="G106" s="811"/>
      <c r="H106" s="811"/>
      <c r="I106" s="811"/>
      <c r="J106" s="811"/>
      <c r="K106" s="811"/>
      <c r="L106" s="816"/>
      <c r="M106" s="811"/>
      <c r="N106" s="811"/>
      <c r="O106" s="811"/>
      <c r="P106" s="811"/>
      <c r="Q106" s="811"/>
      <c r="R106" s="811"/>
      <c r="S106" s="811"/>
      <c r="T106" s="811"/>
      <c r="U106" s="811"/>
      <c r="V106" s="811"/>
      <c r="W106" s="811"/>
      <c r="X106" s="811"/>
      <c r="Y106" s="811"/>
      <c r="Z106" s="811"/>
    </row>
    <row r="107">
      <c r="A107" s="811"/>
      <c r="B107" s="854"/>
      <c r="C107" s="855"/>
      <c r="D107" s="811"/>
      <c r="E107" s="811"/>
      <c r="F107" s="816"/>
      <c r="G107" s="811"/>
      <c r="H107" s="811"/>
      <c r="I107" s="811"/>
      <c r="J107" s="811"/>
      <c r="K107" s="811"/>
      <c r="L107" s="816"/>
      <c r="M107" s="811"/>
      <c r="N107" s="811"/>
      <c r="O107" s="811"/>
      <c r="P107" s="811"/>
      <c r="Q107" s="811"/>
      <c r="R107" s="811"/>
      <c r="S107" s="811"/>
      <c r="T107" s="811"/>
      <c r="U107" s="811"/>
      <c r="V107" s="811"/>
      <c r="W107" s="811"/>
      <c r="X107" s="811"/>
      <c r="Y107" s="811"/>
      <c r="Z107" s="811"/>
    </row>
    <row r="108">
      <c r="A108" s="811"/>
      <c r="B108" s="854"/>
      <c r="C108" s="855"/>
      <c r="D108" s="811"/>
      <c r="E108" s="811"/>
      <c r="F108" s="816"/>
      <c r="G108" s="811"/>
      <c r="H108" s="811"/>
      <c r="I108" s="811"/>
      <c r="J108" s="811"/>
      <c r="K108" s="811"/>
      <c r="L108" s="816"/>
      <c r="M108" s="811"/>
      <c r="N108" s="811"/>
      <c r="O108" s="811"/>
      <c r="P108" s="811"/>
      <c r="Q108" s="811"/>
      <c r="R108" s="811"/>
      <c r="S108" s="811"/>
      <c r="T108" s="811"/>
      <c r="U108" s="811"/>
      <c r="V108" s="811"/>
      <c r="W108" s="811"/>
      <c r="X108" s="811"/>
      <c r="Y108" s="811"/>
      <c r="Z108" s="811"/>
    </row>
    <row r="109">
      <c r="A109" s="811"/>
      <c r="B109" s="854"/>
      <c r="C109" s="855"/>
      <c r="D109" s="811"/>
      <c r="E109" s="811"/>
      <c r="F109" s="816"/>
      <c r="G109" s="811"/>
      <c r="H109" s="811"/>
      <c r="I109" s="811"/>
      <c r="J109" s="811"/>
      <c r="K109" s="811"/>
      <c r="L109" s="816"/>
      <c r="M109" s="811"/>
      <c r="N109" s="811"/>
      <c r="O109" s="811"/>
      <c r="P109" s="811"/>
      <c r="Q109" s="811"/>
      <c r="R109" s="811"/>
      <c r="S109" s="811"/>
      <c r="T109" s="811"/>
      <c r="U109" s="811"/>
      <c r="V109" s="811"/>
      <c r="W109" s="811"/>
      <c r="X109" s="811"/>
      <c r="Y109" s="811"/>
      <c r="Z109" s="811"/>
    </row>
    <row r="110">
      <c r="A110" s="811"/>
      <c r="B110" s="854"/>
      <c r="C110" s="855"/>
      <c r="D110" s="811"/>
      <c r="E110" s="811"/>
      <c r="F110" s="816"/>
      <c r="G110" s="811"/>
      <c r="H110" s="811"/>
      <c r="I110" s="811"/>
      <c r="J110" s="811"/>
      <c r="K110" s="811"/>
      <c r="L110" s="816"/>
      <c r="M110" s="811"/>
      <c r="N110" s="811"/>
      <c r="O110" s="811"/>
      <c r="P110" s="811"/>
      <c r="Q110" s="811"/>
      <c r="R110" s="811"/>
      <c r="S110" s="811"/>
      <c r="T110" s="811"/>
      <c r="U110" s="811"/>
      <c r="V110" s="811"/>
      <c r="W110" s="811"/>
      <c r="X110" s="811"/>
      <c r="Y110" s="811"/>
      <c r="Z110" s="811"/>
    </row>
    <row r="111">
      <c r="A111" s="811"/>
      <c r="B111" s="854"/>
      <c r="C111" s="855"/>
      <c r="D111" s="811"/>
      <c r="E111" s="811"/>
      <c r="F111" s="816"/>
      <c r="G111" s="811"/>
      <c r="H111" s="811"/>
      <c r="I111" s="811"/>
      <c r="J111" s="811"/>
      <c r="K111" s="811"/>
      <c r="L111" s="816"/>
      <c r="M111" s="811"/>
      <c r="N111" s="811"/>
      <c r="O111" s="811"/>
      <c r="P111" s="811"/>
      <c r="Q111" s="811"/>
      <c r="R111" s="811"/>
      <c r="S111" s="811"/>
      <c r="T111" s="811"/>
      <c r="U111" s="811"/>
      <c r="V111" s="811"/>
      <c r="W111" s="811"/>
      <c r="X111" s="811"/>
      <c r="Y111" s="811"/>
      <c r="Z111" s="811"/>
    </row>
    <row r="112">
      <c r="A112" s="811"/>
      <c r="B112" s="854"/>
      <c r="C112" s="855"/>
      <c r="D112" s="811"/>
      <c r="E112" s="811"/>
      <c r="F112" s="816"/>
      <c r="G112" s="811"/>
      <c r="H112" s="811"/>
      <c r="I112" s="811"/>
      <c r="J112" s="811"/>
      <c r="K112" s="811"/>
      <c r="L112" s="816"/>
      <c r="M112" s="811"/>
      <c r="N112" s="811"/>
      <c r="O112" s="811"/>
      <c r="P112" s="811"/>
      <c r="Q112" s="811"/>
      <c r="R112" s="811"/>
      <c r="S112" s="811"/>
      <c r="T112" s="811"/>
      <c r="U112" s="811"/>
      <c r="V112" s="811"/>
      <c r="W112" s="811"/>
      <c r="X112" s="811"/>
      <c r="Y112" s="811"/>
      <c r="Z112" s="811"/>
    </row>
    <row r="113">
      <c r="A113" s="811"/>
      <c r="B113" s="854"/>
      <c r="C113" s="855"/>
      <c r="D113" s="811"/>
      <c r="E113" s="811"/>
      <c r="F113" s="816"/>
      <c r="G113" s="811"/>
      <c r="H113" s="811"/>
      <c r="I113" s="811"/>
      <c r="J113" s="811"/>
      <c r="K113" s="811"/>
      <c r="L113" s="816"/>
      <c r="M113" s="811"/>
      <c r="N113" s="811"/>
      <c r="O113" s="811"/>
      <c r="P113" s="811"/>
      <c r="Q113" s="811"/>
      <c r="R113" s="811"/>
      <c r="S113" s="811"/>
      <c r="T113" s="811"/>
      <c r="U113" s="811"/>
      <c r="V113" s="811"/>
      <c r="W113" s="811"/>
      <c r="X113" s="811"/>
      <c r="Y113" s="811"/>
      <c r="Z113" s="811"/>
    </row>
    <row r="114">
      <c r="A114" s="811"/>
      <c r="B114" s="854"/>
      <c r="C114" s="855"/>
      <c r="D114" s="811"/>
      <c r="E114" s="811"/>
      <c r="F114" s="816"/>
      <c r="G114" s="811"/>
      <c r="H114" s="811"/>
      <c r="I114" s="811"/>
      <c r="J114" s="811"/>
      <c r="K114" s="811"/>
      <c r="L114" s="816"/>
      <c r="M114" s="811"/>
      <c r="N114" s="811"/>
      <c r="O114" s="811"/>
      <c r="P114" s="811"/>
      <c r="Q114" s="811"/>
      <c r="R114" s="811"/>
      <c r="S114" s="811"/>
      <c r="T114" s="811"/>
      <c r="U114" s="811"/>
      <c r="V114" s="811"/>
      <c r="W114" s="811"/>
      <c r="X114" s="811"/>
      <c r="Y114" s="811"/>
      <c r="Z114" s="811"/>
    </row>
    <row r="115">
      <c r="A115" s="811"/>
      <c r="B115" s="854"/>
      <c r="C115" s="855"/>
      <c r="D115" s="811"/>
      <c r="E115" s="811"/>
      <c r="F115" s="816"/>
      <c r="G115" s="811"/>
      <c r="H115" s="811"/>
      <c r="I115" s="811"/>
      <c r="J115" s="811"/>
      <c r="K115" s="811"/>
      <c r="L115" s="816"/>
      <c r="M115" s="811"/>
      <c r="N115" s="811"/>
      <c r="O115" s="811"/>
      <c r="P115" s="811"/>
      <c r="Q115" s="811"/>
      <c r="R115" s="811"/>
      <c r="S115" s="811"/>
      <c r="T115" s="811"/>
      <c r="U115" s="811"/>
      <c r="V115" s="811"/>
      <c r="W115" s="811"/>
      <c r="X115" s="811"/>
      <c r="Y115" s="811"/>
      <c r="Z115" s="811"/>
    </row>
    <row r="116">
      <c r="A116" s="811"/>
      <c r="B116" s="854"/>
      <c r="C116" s="855"/>
      <c r="D116" s="811"/>
      <c r="E116" s="811"/>
      <c r="F116" s="816"/>
      <c r="G116" s="811"/>
      <c r="H116" s="811"/>
      <c r="I116" s="811"/>
      <c r="J116" s="811"/>
      <c r="K116" s="811"/>
      <c r="L116" s="816"/>
      <c r="M116" s="811"/>
      <c r="N116" s="811"/>
      <c r="O116" s="811"/>
      <c r="P116" s="811"/>
      <c r="Q116" s="811"/>
      <c r="R116" s="811"/>
      <c r="S116" s="811"/>
      <c r="T116" s="811"/>
      <c r="U116" s="811"/>
      <c r="V116" s="811"/>
      <c r="W116" s="811"/>
      <c r="X116" s="811"/>
      <c r="Y116" s="811"/>
      <c r="Z116" s="811"/>
    </row>
    <row r="117">
      <c r="A117" s="811"/>
      <c r="B117" s="854"/>
      <c r="C117" s="855"/>
      <c r="D117" s="811"/>
      <c r="E117" s="811"/>
      <c r="F117" s="816"/>
      <c r="G117" s="811"/>
      <c r="H117" s="811"/>
      <c r="I117" s="811"/>
      <c r="J117" s="811"/>
      <c r="K117" s="811"/>
      <c r="L117" s="816"/>
      <c r="M117" s="811"/>
      <c r="N117" s="811"/>
      <c r="O117" s="811"/>
      <c r="P117" s="811"/>
      <c r="Q117" s="811"/>
      <c r="R117" s="811"/>
      <c r="S117" s="811"/>
      <c r="T117" s="811"/>
      <c r="U117" s="811"/>
      <c r="V117" s="811"/>
      <c r="W117" s="811"/>
      <c r="X117" s="811"/>
      <c r="Y117" s="811"/>
      <c r="Z117" s="811"/>
    </row>
    <row r="118">
      <c r="A118" s="811"/>
      <c r="B118" s="854"/>
      <c r="C118" s="855"/>
      <c r="D118" s="811"/>
      <c r="E118" s="811"/>
      <c r="F118" s="816"/>
      <c r="G118" s="811"/>
      <c r="H118" s="811"/>
      <c r="I118" s="811"/>
      <c r="J118" s="811"/>
      <c r="K118" s="811"/>
      <c r="L118" s="816"/>
      <c r="M118" s="811"/>
      <c r="N118" s="811"/>
      <c r="O118" s="811"/>
      <c r="P118" s="811"/>
      <c r="Q118" s="811"/>
      <c r="R118" s="811"/>
      <c r="S118" s="811"/>
      <c r="T118" s="811"/>
      <c r="U118" s="811"/>
      <c r="V118" s="811"/>
      <c r="W118" s="811"/>
      <c r="X118" s="811"/>
      <c r="Y118" s="811"/>
      <c r="Z118" s="811"/>
    </row>
    <row r="119">
      <c r="A119" s="811"/>
      <c r="B119" s="854"/>
      <c r="C119" s="855"/>
      <c r="D119" s="811"/>
      <c r="E119" s="811"/>
      <c r="F119" s="816"/>
      <c r="G119" s="811"/>
      <c r="H119" s="811"/>
      <c r="I119" s="811"/>
      <c r="J119" s="811"/>
      <c r="K119" s="811"/>
      <c r="L119" s="816"/>
      <c r="M119" s="811"/>
      <c r="N119" s="811"/>
      <c r="O119" s="811"/>
      <c r="P119" s="811"/>
      <c r="Q119" s="811"/>
      <c r="R119" s="811"/>
      <c r="S119" s="811"/>
      <c r="T119" s="811"/>
      <c r="U119" s="811"/>
      <c r="V119" s="811"/>
      <c r="W119" s="811"/>
      <c r="X119" s="811"/>
      <c r="Y119" s="811"/>
      <c r="Z119" s="811"/>
    </row>
    <row r="120">
      <c r="A120" s="811"/>
      <c r="B120" s="854"/>
      <c r="C120" s="855"/>
      <c r="D120" s="811"/>
      <c r="E120" s="811"/>
      <c r="F120" s="816"/>
      <c r="G120" s="811"/>
      <c r="H120" s="811"/>
      <c r="I120" s="811"/>
      <c r="J120" s="811"/>
      <c r="K120" s="811"/>
      <c r="L120" s="816"/>
      <c r="M120" s="811"/>
      <c r="N120" s="811"/>
      <c r="O120" s="811"/>
      <c r="P120" s="811"/>
      <c r="Q120" s="811"/>
      <c r="R120" s="811"/>
      <c r="S120" s="811"/>
      <c r="T120" s="811"/>
      <c r="U120" s="811"/>
      <c r="V120" s="811"/>
      <c r="W120" s="811"/>
      <c r="X120" s="811"/>
      <c r="Y120" s="811"/>
      <c r="Z120" s="811"/>
    </row>
    <row r="121">
      <c r="A121" s="811"/>
      <c r="B121" s="854"/>
      <c r="C121" s="855"/>
      <c r="D121" s="811"/>
      <c r="E121" s="811"/>
      <c r="F121" s="816"/>
      <c r="G121" s="811"/>
      <c r="H121" s="811"/>
      <c r="I121" s="811"/>
      <c r="J121" s="811"/>
      <c r="K121" s="811"/>
      <c r="L121" s="816"/>
      <c r="M121" s="811"/>
      <c r="N121" s="811"/>
      <c r="O121" s="811"/>
      <c r="P121" s="811"/>
      <c r="Q121" s="811"/>
      <c r="R121" s="811"/>
      <c r="S121" s="811"/>
      <c r="T121" s="811"/>
      <c r="U121" s="811"/>
      <c r="V121" s="811"/>
      <c r="W121" s="811"/>
      <c r="X121" s="811"/>
      <c r="Y121" s="811"/>
      <c r="Z121" s="811"/>
    </row>
    <row r="122">
      <c r="A122" s="811"/>
      <c r="B122" s="854"/>
      <c r="C122" s="855"/>
      <c r="D122" s="811"/>
      <c r="E122" s="811"/>
      <c r="F122" s="816"/>
      <c r="G122" s="811"/>
      <c r="H122" s="811"/>
      <c r="I122" s="811"/>
      <c r="J122" s="811"/>
      <c r="K122" s="811"/>
      <c r="L122" s="816"/>
      <c r="M122" s="811"/>
      <c r="N122" s="811"/>
      <c r="O122" s="811"/>
      <c r="P122" s="811"/>
      <c r="Q122" s="811"/>
      <c r="R122" s="811"/>
      <c r="S122" s="811"/>
      <c r="T122" s="811"/>
      <c r="U122" s="811"/>
      <c r="V122" s="811"/>
      <c r="W122" s="811"/>
      <c r="X122" s="811"/>
      <c r="Y122" s="811"/>
      <c r="Z122" s="811"/>
    </row>
    <row r="123">
      <c r="A123" s="811"/>
      <c r="B123" s="854"/>
      <c r="C123" s="855"/>
      <c r="D123" s="811"/>
      <c r="E123" s="811"/>
      <c r="F123" s="816"/>
      <c r="G123" s="811"/>
      <c r="H123" s="811"/>
      <c r="I123" s="811"/>
      <c r="J123" s="811"/>
      <c r="K123" s="811"/>
      <c r="L123" s="816"/>
      <c r="M123" s="811"/>
      <c r="N123" s="811"/>
      <c r="O123" s="811"/>
      <c r="P123" s="811"/>
      <c r="Q123" s="811"/>
      <c r="R123" s="811"/>
      <c r="S123" s="811"/>
      <c r="T123" s="811"/>
      <c r="U123" s="811"/>
      <c r="V123" s="811"/>
      <c r="W123" s="811"/>
      <c r="X123" s="811"/>
      <c r="Y123" s="811"/>
      <c r="Z123" s="811"/>
    </row>
    <row r="124">
      <c r="A124" s="811"/>
      <c r="B124" s="854"/>
      <c r="C124" s="855"/>
      <c r="D124" s="811"/>
      <c r="E124" s="811"/>
      <c r="F124" s="816"/>
      <c r="G124" s="811"/>
      <c r="H124" s="811"/>
      <c r="I124" s="811"/>
      <c r="J124" s="811"/>
      <c r="K124" s="811"/>
      <c r="L124" s="816"/>
      <c r="M124" s="811"/>
      <c r="N124" s="811"/>
      <c r="O124" s="811"/>
      <c r="P124" s="811"/>
      <c r="Q124" s="811"/>
      <c r="R124" s="811"/>
      <c r="S124" s="811"/>
      <c r="T124" s="811"/>
      <c r="U124" s="811"/>
      <c r="V124" s="811"/>
      <c r="W124" s="811"/>
      <c r="X124" s="811"/>
      <c r="Y124" s="811"/>
      <c r="Z124" s="811"/>
    </row>
    <row r="125">
      <c r="A125" s="811"/>
      <c r="B125" s="854"/>
      <c r="C125" s="855"/>
      <c r="D125" s="811"/>
      <c r="E125" s="811"/>
      <c r="F125" s="816"/>
      <c r="G125" s="811"/>
      <c r="H125" s="811"/>
      <c r="I125" s="811"/>
      <c r="J125" s="811"/>
      <c r="K125" s="811"/>
      <c r="L125" s="816"/>
      <c r="M125" s="811"/>
      <c r="N125" s="811"/>
      <c r="O125" s="811"/>
      <c r="P125" s="811"/>
      <c r="Q125" s="811"/>
      <c r="R125" s="811"/>
      <c r="S125" s="811"/>
      <c r="T125" s="811"/>
      <c r="U125" s="811"/>
      <c r="V125" s="811"/>
      <c r="W125" s="811"/>
      <c r="X125" s="811"/>
      <c r="Y125" s="811"/>
      <c r="Z125" s="811"/>
    </row>
    <row r="126">
      <c r="A126" s="811"/>
      <c r="B126" s="854"/>
      <c r="C126" s="855"/>
      <c r="D126" s="811"/>
      <c r="E126" s="811"/>
      <c r="F126" s="816"/>
      <c r="G126" s="811"/>
      <c r="H126" s="811"/>
      <c r="I126" s="811"/>
      <c r="J126" s="811"/>
      <c r="K126" s="811"/>
      <c r="L126" s="816"/>
      <c r="M126" s="811"/>
      <c r="N126" s="811"/>
      <c r="O126" s="811"/>
      <c r="P126" s="811"/>
      <c r="Q126" s="811"/>
      <c r="R126" s="811"/>
      <c r="S126" s="811"/>
      <c r="T126" s="811"/>
      <c r="U126" s="811"/>
      <c r="V126" s="811"/>
      <c r="W126" s="811"/>
      <c r="X126" s="811"/>
      <c r="Y126" s="811"/>
      <c r="Z126" s="811"/>
    </row>
    <row r="127">
      <c r="A127" s="811"/>
      <c r="B127" s="854"/>
      <c r="C127" s="855"/>
      <c r="D127" s="811"/>
      <c r="E127" s="811"/>
      <c r="F127" s="816"/>
      <c r="G127" s="811"/>
      <c r="H127" s="811"/>
      <c r="I127" s="811"/>
      <c r="J127" s="811"/>
      <c r="K127" s="811"/>
      <c r="L127" s="816"/>
      <c r="M127" s="811"/>
      <c r="N127" s="811"/>
      <c r="O127" s="811"/>
      <c r="P127" s="811"/>
      <c r="Q127" s="811"/>
      <c r="R127" s="811"/>
      <c r="S127" s="811"/>
      <c r="T127" s="811"/>
      <c r="U127" s="811"/>
      <c r="V127" s="811"/>
      <c r="W127" s="811"/>
      <c r="X127" s="811"/>
      <c r="Y127" s="811"/>
      <c r="Z127" s="811"/>
    </row>
    <row r="128">
      <c r="A128" s="811"/>
      <c r="B128" s="854"/>
      <c r="C128" s="855"/>
      <c r="D128" s="811"/>
      <c r="E128" s="811"/>
      <c r="F128" s="816"/>
      <c r="G128" s="811"/>
      <c r="H128" s="811"/>
      <c r="I128" s="811"/>
      <c r="J128" s="811"/>
      <c r="K128" s="811"/>
      <c r="L128" s="816"/>
      <c r="M128" s="811"/>
      <c r="N128" s="811"/>
      <c r="O128" s="811"/>
      <c r="P128" s="811"/>
      <c r="Q128" s="811"/>
      <c r="R128" s="811"/>
      <c r="S128" s="811"/>
      <c r="T128" s="811"/>
      <c r="U128" s="811"/>
      <c r="V128" s="811"/>
      <c r="W128" s="811"/>
      <c r="X128" s="811"/>
      <c r="Y128" s="811"/>
      <c r="Z128" s="811"/>
    </row>
    <row r="129">
      <c r="A129" s="811"/>
      <c r="B129" s="854"/>
      <c r="C129" s="855"/>
      <c r="D129" s="811"/>
      <c r="E129" s="811"/>
      <c r="F129" s="816"/>
      <c r="G129" s="811"/>
      <c r="H129" s="811"/>
      <c r="I129" s="811"/>
      <c r="J129" s="811"/>
      <c r="K129" s="811"/>
      <c r="L129" s="816"/>
      <c r="M129" s="811"/>
      <c r="N129" s="811"/>
      <c r="O129" s="811"/>
      <c r="P129" s="811"/>
      <c r="Q129" s="811"/>
      <c r="R129" s="811"/>
      <c r="S129" s="811"/>
      <c r="T129" s="811"/>
      <c r="U129" s="811"/>
      <c r="V129" s="811"/>
      <c r="W129" s="811"/>
      <c r="X129" s="811"/>
      <c r="Y129" s="811"/>
      <c r="Z129" s="811"/>
    </row>
    <row r="130">
      <c r="A130" s="811"/>
      <c r="B130" s="854"/>
      <c r="C130" s="855"/>
      <c r="D130" s="811"/>
      <c r="E130" s="811"/>
      <c r="F130" s="816"/>
      <c r="G130" s="811"/>
      <c r="H130" s="811"/>
      <c r="I130" s="811"/>
      <c r="J130" s="811"/>
      <c r="K130" s="811"/>
      <c r="L130" s="816"/>
      <c r="M130" s="811"/>
      <c r="N130" s="811"/>
      <c r="O130" s="811"/>
      <c r="P130" s="811"/>
      <c r="Q130" s="811"/>
      <c r="R130" s="811"/>
      <c r="S130" s="811"/>
      <c r="T130" s="811"/>
      <c r="U130" s="811"/>
      <c r="V130" s="811"/>
      <c r="W130" s="811"/>
      <c r="X130" s="811"/>
      <c r="Y130" s="811"/>
      <c r="Z130" s="811"/>
    </row>
    <row r="131">
      <c r="A131" s="811"/>
      <c r="B131" s="854"/>
      <c r="C131" s="855"/>
      <c r="D131" s="811"/>
      <c r="E131" s="811"/>
      <c r="F131" s="816"/>
      <c r="G131" s="811"/>
      <c r="H131" s="811"/>
      <c r="I131" s="811"/>
      <c r="J131" s="811"/>
      <c r="K131" s="811"/>
      <c r="L131" s="816"/>
      <c r="M131" s="811"/>
      <c r="N131" s="811"/>
      <c r="O131" s="811"/>
      <c r="P131" s="811"/>
      <c r="Q131" s="811"/>
      <c r="R131" s="811"/>
      <c r="S131" s="811"/>
      <c r="T131" s="811"/>
      <c r="U131" s="811"/>
      <c r="V131" s="811"/>
      <c r="W131" s="811"/>
      <c r="X131" s="811"/>
      <c r="Y131" s="811"/>
      <c r="Z131" s="811"/>
    </row>
    <row r="132">
      <c r="A132" s="811"/>
      <c r="B132" s="854"/>
      <c r="C132" s="855"/>
      <c r="D132" s="811"/>
      <c r="E132" s="811"/>
      <c r="F132" s="816"/>
      <c r="G132" s="811"/>
      <c r="H132" s="811"/>
      <c r="I132" s="811"/>
      <c r="J132" s="811"/>
      <c r="K132" s="811"/>
      <c r="L132" s="816"/>
      <c r="M132" s="811"/>
      <c r="N132" s="811"/>
      <c r="O132" s="811"/>
      <c r="P132" s="811"/>
      <c r="Q132" s="811"/>
      <c r="R132" s="811"/>
      <c r="S132" s="811"/>
      <c r="T132" s="811"/>
      <c r="U132" s="811"/>
      <c r="V132" s="811"/>
      <c r="W132" s="811"/>
      <c r="X132" s="811"/>
      <c r="Y132" s="811"/>
      <c r="Z132" s="811"/>
    </row>
    <row r="133">
      <c r="A133" s="811"/>
      <c r="B133" s="854"/>
      <c r="C133" s="855"/>
      <c r="D133" s="811"/>
      <c r="E133" s="811"/>
      <c r="F133" s="816"/>
      <c r="G133" s="811"/>
      <c r="H133" s="811"/>
      <c r="I133" s="811"/>
      <c r="J133" s="811"/>
      <c r="K133" s="811"/>
      <c r="L133" s="816"/>
      <c r="M133" s="811"/>
      <c r="N133" s="811"/>
      <c r="O133" s="811"/>
      <c r="P133" s="811"/>
      <c r="Q133" s="811"/>
      <c r="R133" s="811"/>
      <c r="S133" s="811"/>
      <c r="T133" s="811"/>
      <c r="U133" s="811"/>
      <c r="V133" s="811"/>
      <c r="W133" s="811"/>
      <c r="X133" s="811"/>
      <c r="Y133" s="811"/>
      <c r="Z133" s="811"/>
    </row>
    <row r="134">
      <c r="A134" s="811"/>
      <c r="B134" s="854"/>
      <c r="C134" s="855"/>
      <c r="D134" s="811"/>
      <c r="E134" s="811"/>
      <c r="F134" s="816"/>
      <c r="G134" s="811"/>
      <c r="H134" s="811"/>
      <c r="I134" s="811"/>
      <c r="J134" s="811"/>
      <c r="K134" s="811"/>
      <c r="L134" s="816"/>
      <c r="M134" s="811"/>
      <c r="N134" s="811"/>
      <c r="O134" s="811"/>
      <c r="P134" s="811"/>
      <c r="Q134" s="811"/>
      <c r="R134" s="811"/>
      <c r="S134" s="811"/>
      <c r="T134" s="811"/>
      <c r="U134" s="811"/>
      <c r="V134" s="811"/>
      <c r="W134" s="811"/>
      <c r="X134" s="811"/>
      <c r="Y134" s="811"/>
      <c r="Z134" s="811"/>
    </row>
    <row r="135">
      <c r="A135" s="811"/>
      <c r="B135" s="854"/>
      <c r="C135" s="855"/>
      <c r="D135" s="811"/>
      <c r="E135" s="811"/>
      <c r="F135" s="816"/>
      <c r="G135" s="811"/>
      <c r="H135" s="811"/>
      <c r="I135" s="811"/>
      <c r="J135" s="811"/>
      <c r="K135" s="811"/>
      <c r="L135" s="816"/>
      <c r="M135" s="811"/>
      <c r="N135" s="811"/>
      <c r="O135" s="811"/>
      <c r="P135" s="811"/>
      <c r="Q135" s="811"/>
      <c r="R135" s="811"/>
      <c r="S135" s="811"/>
      <c r="T135" s="811"/>
      <c r="U135" s="811"/>
      <c r="V135" s="811"/>
      <c r="W135" s="811"/>
      <c r="X135" s="811"/>
      <c r="Y135" s="811"/>
      <c r="Z135" s="811"/>
    </row>
    <row r="136">
      <c r="A136" s="811"/>
      <c r="B136" s="854"/>
      <c r="C136" s="855"/>
      <c r="D136" s="811"/>
      <c r="E136" s="811"/>
      <c r="F136" s="816"/>
      <c r="G136" s="811"/>
      <c r="H136" s="811"/>
      <c r="I136" s="811"/>
      <c r="J136" s="811"/>
      <c r="K136" s="811"/>
      <c r="L136" s="816"/>
      <c r="M136" s="811"/>
      <c r="N136" s="811"/>
      <c r="O136" s="811"/>
      <c r="P136" s="811"/>
      <c r="Q136" s="811"/>
      <c r="R136" s="811"/>
      <c r="S136" s="811"/>
      <c r="T136" s="811"/>
      <c r="U136" s="811"/>
      <c r="V136" s="811"/>
      <c r="W136" s="811"/>
      <c r="X136" s="811"/>
      <c r="Y136" s="811"/>
      <c r="Z136" s="811"/>
    </row>
    <row r="137">
      <c r="A137" s="811"/>
      <c r="B137" s="854"/>
      <c r="C137" s="855"/>
      <c r="D137" s="811"/>
      <c r="E137" s="811"/>
      <c r="F137" s="816"/>
      <c r="G137" s="811"/>
      <c r="H137" s="811"/>
      <c r="I137" s="811"/>
      <c r="J137" s="811"/>
      <c r="K137" s="811"/>
      <c r="L137" s="816"/>
      <c r="M137" s="811"/>
      <c r="N137" s="811"/>
      <c r="O137" s="811"/>
      <c r="P137" s="811"/>
      <c r="Q137" s="811"/>
      <c r="R137" s="811"/>
      <c r="S137" s="811"/>
      <c r="T137" s="811"/>
      <c r="U137" s="811"/>
      <c r="V137" s="811"/>
      <c r="W137" s="811"/>
      <c r="X137" s="811"/>
      <c r="Y137" s="811"/>
      <c r="Z137" s="811"/>
    </row>
    <row r="138">
      <c r="A138" s="811"/>
      <c r="B138" s="854"/>
      <c r="C138" s="855"/>
      <c r="D138" s="811"/>
      <c r="E138" s="811"/>
      <c r="F138" s="816"/>
      <c r="G138" s="811"/>
      <c r="H138" s="811"/>
      <c r="I138" s="811"/>
      <c r="J138" s="811"/>
      <c r="K138" s="811"/>
      <c r="L138" s="816"/>
      <c r="M138" s="811"/>
      <c r="N138" s="811"/>
      <c r="O138" s="811"/>
      <c r="P138" s="811"/>
      <c r="Q138" s="811"/>
      <c r="R138" s="811"/>
      <c r="S138" s="811"/>
      <c r="T138" s="811"/>
      <c r="U138" s="811"/>
      <c r="V138" s="811"/>
      <c r="W138" s="811"/>
      <c r="X138" s="811"/>
      <c r="Y138" s="811"/>
      <c r="Z138" s="811"/>
    </row>
    <row r="139">
      <c r="A139" s="811"/>
      <c r="B139" s="854"/>
      <c r="C139" s="855"/>
      <c r="D139" s="811"/>
      <c r="E139" s="811"/>
      <c r="F139" s="816"/>
      <c r="G139" s="811"/>
      <c r="H139" s="811"/>
      <c r="I139" s="811"/>
      <c r="J139" s="811"/>
      <c r="K139" s="811"/>
      <c r="L139" s="816"/>
      <c r="M139" s="811"/>
      <c r="N139" s="811"/>
      <c r="O139" s="811"/>
      <c r="P139" s="811"/>
      <c r="Q139" s="811"/>
      <c r="R139" s="811"/>
      <c r="S139" s="811"/>
      <c r="T139" s="811"/>
      <c r="U139" s="811"/>
      <c r="V139" s="811"/>
      <c r="W139" s="811"/>
      <c r="X139" s="811"/>
      <c r="Y139" s="811"/>
      <c r="Z139" s="811"/>
    </row>
    <row r="140">
      <c r="A140" s="811"/>
      <c r="B140" s="854"/>
      <c r="C140" s="855"/>
      <c r="D140" s="811"/>
      <c r="E140" s="811"/>
      <c r="F140" s="816"/>
      <c r="G140" s="811"/>
      <c r="H140" s="811"/>
      <c r="I140" s="811"/>
      <c r="J140" s="811"/>
      <c r="K140" s="811"/>
      <c r="L140" s="816"/>
      <c r="M140" s="811"/>
      <c r="N140" s="811"/>
      <c r="O140" s="811"/>
      <c r="P140" s="811"/>
      <c r="Q140" s="811"/>
      <c r="R140" s="811"/>
      <c r="S140" s="811"/>
      <c r="T140" s="811"/>
      <c r="U140" s="811"/>
      <c r="V140" s="811"/>
      <c r="W140" s="811"/>
      <c r="X140" s="811"/>
      <c r="Y140" s="811"/>
      <c r="Z140" s="811"/>
    </row>
    <row r="141">
      <c r="A141" s="811"/>
      <c r="B141" s="854"/>
      <c r="C141" s="855"/>
      <c r="D141" s="811"/>
      <c r="E141" s="811"/>
      <c r="F141" s="816"/>
      <c r="G141" s="811"/>
      <c r="H141" s="811"/>
      <c r="I141" s="811"/>
      <c r="J141" s="811"/>
      <c r="K141" s="811"/>
      <c r="L141" s="816"/>
      <c r="M141" s="811"/>
      <c r="N141" s="811"/>
      <c r="O141" s="811"/>
      <c r="P141" s="811"/>
      <c r="Q141" s="811"/>
      <c r="R141" s="811"/>
      <c r="S141" s="811"/>
      <c r="T141" s="811"/>
      <c r="U141" s="811"/>
      <c r="V141" s="811"/>
      <c r="W141" s="811"/>
      <c r="X141" s="811"/>
      <c r="Y141" s="811"/>
      <c r="Z141" s="811"/>
    </row>
    <row r="142">
      <c r="A142" s="811"/>
      <c r="B142" s="854"/>
      <c r="C142" s="855"/>
      <c r="D142" s="811"/>
      <c r="E142" s="811"/>
      <c r="F142" s="816"/>
      <c r="G142" s="811"/>
      <c r="H142" s="811"/>
      <c r="I142" s="811"/>
      <c r="J142" s="811"/>
      <c r="K142" s="811"/>
      <c r="L142" s="816"/>
      <c r="M142" s="811"/>
      <c r="N142" s="811"/>
      <c r="O142" s="811"/>
      <c r="P142" s="811"/>
      <c r="Q142" s="811"/>
      <c r="R142" s="811"/>
      <c r="S142" s="811"/>
      <c r="T142" s="811"/>
      <c r="U142" s="811"/>
      <c r="V142" s="811"/>
      <c r="W142" s="811"/>
      <c r="X142" s="811"/>
      <c r="Y142" s="811"/>
      <c r="Z142" s="811"/>
    </row>
    <row r="143">
      <c r="A143" s="811"/>
      <c r="B143" s="854"/>
      <c r="C143" s="855"/>
      <c r="D143" s="811"/>
      <c r="E143" s="811"/>
      <c r="F143" s="816"/>
      <c r="G143" s="811"/>
      <c r="H143" s="811"/>
      <c r="I143" s="811"/>
      <c r="J143" s="811"/>
      <c r="K143" s="811"/>
      <c r="L143" s="816"/>
      <c r="M143" s="811"/>
      <c r="N143" s="811"/>
      <c r="O143" s="811"/>
      <c r="P143" s="811"/>
      <c r="Q143" s="811"/>
      <c r="R143" s="811"/>
      <c r="S143" s="811"/>
      <c r="T143" s="811"/>
      <c r="U143" s="811"/>
      <c r="V143" s="811"/>
      <c r="W143" s="811"/>
      <c r="X143" s="811"/>
      <c r="Y143" s="811"/>
      <c r="Z143" s="811"/>
    </row>
    <row r="144">
      <c r="A144" s="811"/>
      <c r="B144" s="854"/>
      <c r="C144" s="855"/>
      <c r="D144" s="811"/>
      <c r="E144" s="811"/>
      <c r="F144" s="816"/>
      <c r="G144" s="811"/>
      <c r="H144" s="811"/>
      <c r="I144" s="811"/>
      <c r="J144" s="811"/>
      <c r="K144" s="811"/>
      <c r="L144" s="816"/>
      <c r="M144" s="811"/>
      <c r="N144" s="811"/>
      <c r="O144" s="811"/>
      <c r="P144" s="811"/>
      <c r="Q144" s="811"/>
      <c r="R144" s="811"/>
      <c r="S144" s="811"/>
      <c r="T144" s="811"/>
      <c r="U144" s="811"/>
      <c r="V144" s="811"/>
      <c r="W144" s="811"/>
      <c r="X144" s="811"/>
      <c r="Y144" s="811"/>
      <c r="Z144" s="811"/>
    </row>
    <row r="145">
      <c r="A145" s="811"/>
      <c r="B145" s="854"/>
      <c r="C145" s="855"/>
      <c r="D145" s="811"/>
      <c r="E145" s="811"/>
      <c r="F145" s="816"/>
      <c r="G145" s="811"/>
      <c r="H145" s="811"/>
      <c r="I145" s="811"/>
      <c r="J145" s="811"/>
      <c r="K145" s="811"/>
      <c r="L145" s="816"/>
      <c r="M145" s="811"/>
      <c r="N145" s="811"/>
      <c r="O145" s="811"/>
      <c r="P145" s="811"/>
      <c r="Q145" s="811"/>
      <c r="R145" s="811"/>
      <c r="S145" s="811"/>
      <c r="T145" s="811"/>
      <c r="U145" s="811"/>
      <c r="V145" s="811"/>
      <c r="W145" s="811"/>
      <c r="X145" s="811"/>
      <c r="Y145" s="811"/>
      <c r="Z145" s="811"/>
    </row>
    <row r="146">
      <c r="A146" s="811"/>
      <c r="B146" s="854"/>
      <c r="C146" s="855"/>
      <c r="D146" s="811"/>
      <c r="E146" s="811"/>
      <c r="F146" s="816"/>
      <c r="G146" s="811"/>
      <c r="H146" s="811"/>
      <c r="I146" s="811"/>
      <c r="J146" s="811"/>
      <c r="K146" s="811"/>
      <c r="L146" s="816"/>
      <c r="M146" s="811"/>
      <c r="N146" s="811"/>
      <c r="O146" s="811"/>
      <c r="P146" s="811"/>
      <c r="Q146" s="811"/>
      <c r="R146" s="811"/>
      <c r="S146" s="811"/>
      <c r="T146" s="811"/>
      <c r="U146" s="811"/>
      <c r="V146" s="811"/>
      <c r="W146" s="811"/>
      <c r="X146" s="811"/>
      <c r="Y146" s="811"/>
      <c r="Z146" s="811"/>
    </row>
    <row r="147">
      <c r="A147" s="811"/>
      <c r="B147" s="854"/>
      <c r="C147" s="855"/>
      <c r="D147" s="811"/>
      <c r="E147" s="811"/>
      <c r="F147" s="816"/>
      <c r="G147" s="811"/>
      <c r="H147" s="811"/>
      <c r="I147" s="811"/>
      <c r="J147" s="811"/>
      <c r="K147" s="811"/>
      <c r="L147" s="816"/>
      <c r="M147" s="811"/>
      <c r="N147" s="811"/>
      <c r="O147" s="811"/>
      <c r="P147" s="811"/>
      <c r="Q147" s="811"/>
      <c r="R147" s="811"/>
      <c r="S147" s="811"/>
      <c r="T147" s="811"/>
      <c r="U147" s="811"/>
      <c r="V147" s="811"/>
      <c r="W147" s="811"/>
      <c r="X147" s="811"/>
      <c r="Y147" s="811"/>
      <c r="Z147" s="811"/>
    </row>
    <row r="148">
      <c r="A148" s="811"/>
      <c r="B148" s="854"/>
      <c r="C148" s="855"/>
      <c r="D148" s="811"/>
      <c r="E148" s="811"/>
      <c r="F148" s="816"/>
      <c r="G148" s="811"/>
      <c r="H148" s="811"/>
      <c r="I148" s="811"/>
      <c r="J148" s="811"/>
      <c r="K148" s="811"/>
      <c r="L148" s="816"/>
      <c r="M148" s="811"/>
      <c r="N148" s="811"/>
      <c r="O148" s="811"/>
      <c r="P148" s="811"/>
      <c r="Q148" s="811"/>
      <c r="R148" s="811"/>
      <c r="S148" s="811"/>
      <c r="T148" s="811"/>
      <c r="U148" s="811"/>
      <c r="V148" s="811"/>
      <c r="W148" s="811"/>
      <c r="X148" s="811"/>
      <c r="Y148" s="811"/>
      <c r="Z148" s="811"/>
    </row>
    <row r="149">
      <c r="A149" s="811"/>
      <c r="B149" s="854"/>
      <c r="C149" s="855"/>
      <c r="D149" s="811"/>
      <c r="E149" s="811"/>
      <c r="F149" s="816"/>
      <c r="G149" s="811"/>
      <c r="H149" s="811"/>
      <c r="I149" s="811"/>
      <c r="J149" s="811"/>
      <c r="K149" s="811"/>
      <c r="L149" s="816"/>
      <c r="M149" s="811"/>
      <c r="N149" s="811"/>
      <c r="O149" s="811"/>
      <c r="P149" s="811"/>
      <c r="Q149" s="811"/>
      <c r="R149" s="811"/>
      <c r="S149" s="811"/>
      <c r="T149" s="811"/>
      <c r="U149" s="811"/>
      <c r="V149" s="811"/>
      <c r="W149" s="811"/>
      <c r="X149" s="811"/>
      <c r="Y149" s="811"/>
      <c r="Z149" s="811"/>
    </row>
    <row r="150">
      <c r="A150" s="811"/>
      <c r="B150" s="854"/>
      <c r="C150" s="855"/>
      <c r="D150" s="811"/>
      <c r="E150" s="811"/>
      <c r="F150" s="816"/>
      <c r="G150" s="811"/>
      <c r="H150" s="811"/>
      <c r="I150" s="811"/>
      <c r="J150" s="811"/>
      <c r="K150" s="811"/>
      <c r="L150" s="816"/>
      <c r="M150" s="811"/>
      <c r="N150" s="811"/>
      <c r="O150" s="811"/>
      <c r="P150" s="811"/>
      <c r="Q150" s="811"/>
      <c r="R150" s="811"/>
      <c r="S150" s="811"/>
      <c r="T150" s="811"/>
      <c r="U150" s="811"/>
      <c r="V150" s="811"/>
      <c r="W150" s="811"/>
      <c r="X150" s="811"/>
      <c r="Y150" s="811"/>
      <c r="Z150" s="811"/>
    </row>
    <row r="151">
      <c r="A151" s="811"/>
      <c r="B151" s="854"/>
      <c r="C151" s="855"/>
      <c r="D151" s="811"/>
      <c r="E151" s="811"/>
      <c r="F151" s="816"/>
      <c r="G151" s="811"/>
      <c r="H151" s="811"/>
      <c r="I151" s="811"/>
      <c r="J151" s="811"/>
      <c r="K151" s="811"/>
      <c r="L151" s="816"/>
      <c r="M151" s="811"/>
      <c r="N151" s="811"/>
      <c r="O151" s="811"/>
      <c r="P151" s="811"/>
      <c r="Q151" s="811"/>
      <c r="R151" s="811"/>
      <c r="S151" s="811"/>
      <c r="T151" s="811"/>
      <c r="U151" s="811"/>
      <c r="V151" s="811"/>
      <c r="W151" s="811"/>
      <c r="X151" s="811"/>
      <c r="Y151" s="811"/>
      <c r="Z151" s="811"/>
    </row>
    <row r="152">
      <c r="A152" s="811"/>
      <c r="B152" s="854"/>
      <c r="C152" s="855"/>
      <c r="D152" s="811"/>
      <c r="E152" s="811"/>
      <c r="F152" s="816"/>
      <c r="G152" s="811"/>
      <c r="H152" s="811"/>
      <c r="I152" s="811"/>
      <c r="J152" s="811"/>
      <c r="K152" s="811"/>
      <c r="L152" s="816"/>
      <c r="M152" s="811"/>
      <c r="N152" s="811"/>
      <c r="O152" s="811"/>
      <c r="P152" s="811"/>
      <c r="Q152" s="811"/>
      <c r="R152" s="811"/>
      <c r="S152" s="811"/>
      <c r="T152" s="811"/>
      <c r="U152" s="811"/>
      <c r="V152" s="811"/>
      <c r="W152" s="811"/>
      <c r="X152" s="811"/>
      <c r="Y152" s="811"/>
      <c r="Z152" s="811"/>
    </row>
    <row r="153">
      <c r="A153" s="811"/>
      <c r="B153" s="854"/>
      <c r="C153" s="855"/>
      <c r="D153" s="811"/>
      <c r="E153" s="811"/>
      <c r="F153" s="816"/>
      <c r="G153" s="811"/>
      <c r="H153" s="811"/>
      <c r="I153" s="811"/>
      <c r="J153" s="811"/>
      <c r="K153" s="811"/>
      <c r="L153" s="816"/>
      <c r="M153" s="811"/>
      <c r="N153" s="811"/>
      <c r="O153" s="811"/>
      <c r="P153" s="811"/>
      <c r="Q153" s="811"/>
      <c r="R153" s="811"/>
      <c r="S153" s="811"/>
      <c r="T153" s="811"/>
      <c r="U153" s="811"/>
      <c r="V153" s="811"/>
      <c r="W153" s="811"/>
      <c r="X153" s="811"/>
      <c r="Y153" s="811"/>
      <c r="Z153" s="811"/>
    </row>
    <row r="154">
      <c r="A154" s="811"/>
      <c r="B154" s="854"/>
      <c r="C154" s="855"/>
      <c r="D154" s="811"/>
      <c r="E154" s="811"/>
      <c r="F154" s="816"/>
      <c r="G154" s="811"/>
      <c r="H154" s="811"/>
      <c r="I154" s="811"/>
      <c r="J154" s="811"/>
      <c r="K154" s="811"/>
      <c r="L154" s="816"/>
      <c r="M154" s="811"/>
      <c r="N154" s="811"/>
      <c r="O154" s="811"/>
      <c r="P154" s="811"/>
      <c r="Q154" s="811"/>
      <c r="R154" s="811"/>
      <c r="S154" s="811"/>
      <c r="T154" s="811"/>
      <c r="U154" s="811"/>
      <c r="V154" s="811"/>
      <c r="W154" s="811"/>
      <c r="X154" s="811"/>
      <c r="Y154" s="811"/>
      <c r="Z154" s="811"/>
    </row>
    <row r="155">
      <c r="A155" s="811"/>
      <c r="B155" s="854"/>
      <c r="C155" s="855"/>
      <c r="D155" s="811"/>
      <c r="E155" s="811"/>
      <c r="F155" s="816"/>
      <c r="G155" s="811"/>
      <c r="H155" s="811"/>
      <c r="I155" s="811"/>
      <c r="J155" s="811"/>
      <c r="K155" s="811"/>
      <c r="L155" s="816"/>
      <c r="M155" s="811"/>
      <c r="N155" s="811"/>
      <c r="O155" s="811"/>
      <c r="P155" s="811"/>
      <c r="Q155" s="811"/>
      <c r="R155" s="811"/>
      <c r="S155" s="811"/>
      <c r="T155" s="811"/>
      <c r="U155" s="811"/>
      <c r="V155" s="811"/>
      <c r="W155" s="811"/>
      <c r="X155" s="811"/>
      <c r="Y155" s="811"/>
      <c r="Z155" s="811"/>
    </row>
    <row r="156">
      <c r="A156" s="811"/>
      <c r="B156" s="854"/>
      <c r="C156" s="855"/>
      <c r="D156" s="811"/>
      <c r="E156" s="811"/>
      <c r="F156" s="816"/>
      <c r="G156" s="811"/>
      <c r="H156" s="811"/>
      <c r="I156" s="811"/>
      <c r="J156" s="811"/>
      <c r="K156" s="811"/>
      <c r="L156" s="816"/>
      <c r="M156" s="811"/>
      <c r="N156" s="811"/>
      <c r="O156" s="811"/>
      <c r="P156" s="811"/>
      <c r="Q156" s="811"/>
      <c r="R156" s="811"/>
      <c r="S156" s="811"/>
      <c r="T156" s="811"/>
      <c r="U156" s="811"/>
      <c r="V156" s="811"/>
      <c r="W156" s="811"/>
      <c r="X156" s="811"/>
      <c r="Y156" s="811"/>
      <c r="Z156" s="811"/>
    </row>
    <row r="157">
      <c r="A157" s="811"/>
      <c r="B157" s="854"/>
      <c r="C157" s="855"/>
      <c r="D157" s="811"/>
      <c r="E157" s="811"/>
      <c r="F157" s="816"/>
      <c r="G157" s="811"/>
      <c r="H157" s="811"/>
      <c r="I157" s="811"/>
      <c r="J157" s="811"/>
      <c r="K157" s="811"/>
      <c r="L157" s="816"/>
      <c r="M157" s="811"/>
      <c r="N157" s="811"/>
      <c r="O157" s="811"/>
      <c r="P157" s="811"/>
      <c r="Q157" s="811"/>
      <c r="R157" s="811"/>
      <c r="S157" s="811"/>
      <c r="T157" s="811"/>
      <c r="U157" s="811"/>
      <c r="V157" s="811"/>
      <c r="W157" s="811"/>
      <c r="X157" s="811"/>
      <c r="Y157" s="811"/>
      <c r="Z157" s="811"/>
    </row>
    <row r="158">
      <c r="A158" s="811"/>
      <c r="B158" s="854"/>
      <c r="C158" s="855"/>
      <c r="D158" s="811"/>
      <c r="E158" s="811"/>
      <c r="F158" s="816"/>
      <c r="G158" s="811"/>
      <c r="H158" s="811"/>
      <c r="I158" s="811"/>
      <c r="J158" s="811"/>
      <c r="K158" s="811"/>
      <c r="L158" s="816"/>
      <c r="M158" s="811"/>
      <c r="N158" s="811"/>
      <c r="O158" s="811"/>
      <c r="P158" s="811"/>
      <c r="Q158" s="811"/>
      <c r="R158" s="811"/>
      <c r="S158" s="811"/>
      <c r="T158" s="811"/>
      <c r="U158" s="811"/>
      <c r="V158" s="811"/>
      <c r="W158" s="811"/>
      <c r="X158" s="811"/>
      <c r="Y158" s="811"/>
      <c r="Z158" s="811"/>
    </row>
    <row r="159">
      <c r="A159" s="811"/>
      <c r="B159" s="854"/>
      <c r="C159" s="855"/>
      <c r="D159" s="811"/>
      <c r="E159" s="811"/>
      <c r="F159" s="816"/>
      <c r="G159" s="811"/>
      <c r="H159" s="811"/>
      <c r="I159" s="811"/>
      <c r="J159" s="811"/>
      <c r="K159" s="811"/>
      <c r="L159" s="816"/>
      <c r="M159" s="811"/>
      <c r="N159" s="811"/>
      <c r="O159" s="811"/>
      <c r="P159" s="811"/>
      <c r="Q159" s="811"/>
      <c r="R159" s="811"/>
      <c r="S159" s="811"/>
      <c r="T159" s="811"/>
      <c r="U159" s="811"/>
      <c r="V159" s="811"/>
      <c r="W159" s="811"/>
      <c r="X159" s="811"/>
      <c r="Y159" s="811"/>
      <c r="Z159" s="811"/>
    </row>
    <row r="160">
      <c r="A160" s="811"/>
      <c r="B160" s="854"/>
      <c r="C160" s="855"/>
      <c r="D160" s="811"/>
      <c r="E160" s="811"/>
      <c r="F160" s="816"/>
      <c r="G160" s="811"/>
      <c r="H160" s="811"/>
      <c r="I160" s="811"/>
      <c r="J160" s="811"/>
      <c r="K160" s="811"/>
      <c r="L160" s="816"/>
      <c r="M160" s="811"/>
      <c r="N160" s="811"/>
      <c r="O160" s="811"/>
      <c r="P160" s="811"/>
      <c r="Q160" s="811"/>
      <c r="R160" s="811"/>
      <c r="S160" s="811"/>
      <c r="T160" s="811"/>
      <c r="U160" s="811"/>
      <c r="V160" s="811"/>
      <c r="W160" s="811"/>
      <c r="X160" s="811"/>
      <c r="Y160" s="811"/>
      <c r="Z160" s="811"/>
    </row>
    <row r="161">
      <c r="A161" s="811"/>
      <c r="B161" s="854"/>
      <c r="C161" s="855"/>
      <c r="D161" s="811"/>
      <c r="E161" s="811"/>
      <c r="F161" s="816"/>
      <c r="G161" s="811"/>
      <c r="H161" s="811"/>
      <c r="I161" s="811"/>
      <c r="J161" s="811"/>
      <c r="K161" s="811"/>
      <c r="L161" s="816"/>
      <c r="M161" s="811"/>
      <c r="N161" s="811"/>
      <c r="O161" s="811"/>
      <c r="P161" s="811"/>
      <c r="Q161" s="811"/>
      <c r="R161" s="811"/>
      <c r="S161" s="811"/>
      <c r="T161" s="811"/>
      <c r="U161" s="811"/>
      <c r="V161" s="811"/>
      <c r="W161" s="811"/>
      <c r="X161" s="811"/>
      <c r="Y161" s="811"/>
      <c r="Z161" s="811"/>
    </row>
    <row r="162">
      <c r="A162" s="811"/>
      <c r="B162" s="854"/>
      <c r="C162" s="855"/>
      <c r="D162" s="811"/>
      <c r="E162" s="811"/>
      <c r="F162" s="816"/>
      <c r="G162" s="811"/>
      <c r="H162" s="811"/>
      <c r="I162" s="811"/>
      <c r="J162" s="811"/>
      <c r="K162" s="811"/>
      <c r="L162" s="816"/>
      <c r="M162" s="811"/>
      <c r="N162" s="811"/>
      <c r="O162" s="811"/>
      <c r="P162" s="811"/>
      <c r="Q162" s="811"/>
      <c r="R162" s="811"/>
      <c r="S162" s="811"/>
      <c r="T162" s="811"/>
      <c r="U162" s="811"/>
      <c r="V162" s="811"/>
      <c r="W162" s="811"/>
      <c r="X162" s="811"/>
      <c r="Y162" s="811"/>
      <c r="Z162" s="811"/>
    </row>
    <row r="163">
      <c r="A163" s="811"/>
      <c r="B163" s="854"/>
      <c r="C163" s="855"/>
      <c r="D163" s="811"/>
      <c r="E163" s="811"/>
      <c r="F163" s="816"/>
      <c r="G163" s="811"/>
      <c r="H163" s="811"/>
      <c r="I163" s="811"/>
      <c r="J163" s="811"/>
      <c r="K163" s="811"/>
      <c r="L163" s="816"/>
      <c r="M163" s="811"/>
      <c r="N163" s="811"/>
      <c r="O163" s="811"/>
      <c r="P163" s="811"/>
      <c r="Q163" s="811"/>
      <c r="R163" s="811"/>
      <c r="S163" s="811"/>
      <c r="T163" s="811"/>
      <c r="U163" s="811"/>
      <c r="V163" s="811"/>
      <c r="W163" s="811"/>
      <c r="X163" s="811"/>
      <c r="Y163" s="811"/>
      <c r="Z163" s="811"/>
    </row>
    <row r="164">
      <c r="A164" s="811"/>
      <c r="B164" s="854"/>
      <c r="C164" s="855"/>
      <c r="D164" s="811"/>
      <c r="E164" s="811"/>
      <c r="F164" s="816"/>
      <c r="G164" s="811"/>
      <c r="H164" s="811"/>
      <c r="I164" s="811"/>
      <c r="J164" s="811"/>
      <c r="K164" s="811"/>
      <c r="L164" s="816"/>
      <c r="M164" s="811"/>
      <c r="N164" s="811"/>
      <c r="O164" s="811"/>
      <c r="P164" s="811"/>
      <c r="Q164" s="811"/>
      <c r="R164" s="811"/>
      <c r="S164" s="811"/>
      <c r="T164" s="811"/>
      <c r="U164" s="811"/>
      <c r="V164" s="811"/>
      <c r="W164" s="811"/>
      <c r="X164" s="811"/>
      <c r="Y164" s="811"/>
      <c r="Z164" s="811"/>
    </row>
    <row r="165">
      <c r="A165" s="811"/>
      <c r="B165" s="854"/>
      <c r="C165" s="855"/>
      <c r="D165" s="811"/>
      <c r="E165" s="811"/>
      <c r="F165" s="816"/>
      <c r="G165" s="811"/>
      <c r="H165" s="811"/>
      <c r="I165" s="811"/>
      <c r="J165" s="811"/>
      <c r="K165" s="811"/>
      <c r="L165" s="816"/>
      <c r="M165" s="811"/>
      <c r="N165" s="811"/>
      <c r="O165" s="811"/>
      <c r="P165" s="811"/>
      <c r="Q165" s="811"/>
      <c r="R165" s="811"/>
      <c r="S165" s="811"/>
      <c r="T165" s="811"/>
      <c r="U165" s="811"/>
      <c r="V165" s="811"/>
      <c r="W165" s="811"/>
      <c r="X165" s="811"/>
      <c r="Y165" s="811"/>
      <c r="Z165" s="811"/>
    </row>
    <row r="166">
      <c r="A166" s="811"/>
      <c r="B166" s="854"/>
      <c r="C166" s="855"/>
      <c r="D166" s="811"/>
      <c r="E166" s="811"/>
      <c r="F166" s="816"/>
      <c r="G166" s="811"/>
      <c r="H166" s="811"/>
      <c r="I166" s="811"/>
      <c r="J166" s="811"/>
      <c r="K166" s="811"/>
      <c r="L166" s="816"/>
      <c r="M166" s="811"/>
      <c r="N166" s="811"/>
      <c r="O166" s="811"/>
      <c r="P166" s="811"/>
      <c r="Q166" s="811"/>
      <c r="R166" s="811"/>
      <c r="S166" s="811"/>
      <c r="T166" s="811"/>
      <c r="U166" s="811"/>
      <c r="V166" s="811"/>
      <c r="W166" s="811"/>
      <c r="X166" s="811"/>
      <c r="Y166" s="811"/>
      <c r="Z166" s="811"/>
    </row>
    <row r="167">
      <c r="A167" s="811"/>
      <c r="B167" s="854"/>
      <c r="C167" s="855"/>
      <c r="D167" s="811"/>
      <c r="E167" s="811"/>
      <c r="F167" s="816"/>
      <c r="G167" s="811"/>
      <c r="H167" s="811"/>
      <c r="I167" s="811"/>
      <c r="J167" s="811"/>
      <c r="K167" s="811"/>
      <c r="L167" s="816"/>
      <c r="M167" s="811"/>
      <c r="N167" s="811"/>
      <c r="O167" s="811"/>
      <c r="P167" s="811"/>
      <c r="Q167" s="811"/>
      <c r="R167" s="811"/>
      <c r="S167" s="811"/>
      <c r="T167" s="811"/>
      <c r="U167" s="811"/>
      <c r="V167" s="811"/>
      <c r="W167" s="811"/>
      <c r="X167" s="811"/>
      <c r="Y167" s="811"/>
      <c r="Z167" s="811"/>
    </row>
    <row r="168">
      <c r="A168" s="811"/>
      <c r="B168" s="854"/>
      <c r="C168" s="855"/>
      <c r="D168" s="811"/>
      <c r="E168" s="811"/>
      <c r="F168" s="816"/>
      <c r="G168" s="811"/>
      <c r="H168" s="811"/>
      <c r="I168" s="811"/>
      <c r="J168" s="811"/>
      <c r="K168" s="811"/>
      <c r="L168" s="816"/>
      <c r="M168" s="811"/>
      <c r="N168" s="811"/>
      <c r="O168" s="811"/>
      <c r="P168" s="811"/>
      <c r="Q168" s="811"/>
      <c r="R168" s="811"/>
      <c r="S168" s="811"/>
      <c r="T168" s="811"/>
      <c r="U168" s="811"/>
      <c r="V168" s="811"/>
      <c r="W168" s="811"/>
      <c r="X168" s="811"/>
      <c r="Y168" s="811"/>
      <c r="Z168" s="811"/>
    </row>
    <row r="169">
      <c r="A169" s="811"/>
      <c r="B169" s="854"/>
      <c r="C169" s="855"/>
      <c r="D169" s="811"/>
      <c r="E169" s="811"/>
      <c r="F169" s="816"/>
      <c r="G169" s="811"/>
      <c r="H169" s="811"/>
      <c r="I169" s="811"/>
      <c r="J169" s="811"/>
      <c r="K169" s="811"/>
      <c r="L169" s="816"/>
      <c r="M169" s="811"/>
      <c r="N169" s="811"/>
      <c r="O169" s="811"/>
      <c r="P169" s="811"/>
      <c r="Q169" s="811"/>
      <c r="R169" s="811"/>
      <c r="S169" s="811"/>
      <c r="T169" s="811"/>
      <c r="U169" s="811"/>
      <c r="V169" s="811"/>
      <c r="W169" s="811"/>
      <c r="X169" s="811"/>
      <c r="Y169" s="811"/>
      <c r="Z169" s="811"/>
    </row>
    <row r="170">
      <c r="A170" s="811"/>
      <c r="B170" s="854"/>
      <c r="C170" s="855"/>
      <c r="D170" s="811"/>
      <c r="E170" s="811"/>
      <c r="F170" s="816"/>
      <c r="G170" s="811"/>
      <c r="H170" s="811"/>
      <c r="I170" s="811"/>
      <c r="J170" s="811"/>
      <c r="K170" s="811"/>
      <c r="L170" s="816"/>
      <c r="M170" s="811"/>
      <c r="N170" s="811"/>
      <c r="O170" s="811"/>
      <c r="P170" s="811"/>
      <c r="Q170" s="811"/>
      <c r="R170" s="811"/>
      <c r="S170" s="811"/>
      <c r="T170" s="811"/>
      <c r="U170" s="811"/>
      <c r="V170" s="811"/>
      <c r="W170" s="811"/>
      <c r="X170" s="811"/>
      <c r="Y170" s="811"/>
      <c r="Z170" s="811"/>
    </row>
    <row r="171">
      <c r="A171" s="811"/>
      <c r="B171" s="854"/>
      <c r="C171" s="855"/>
      <c r="D171" s="811"/>
      <c r="E171" s="811"/>
      <c r="F171" s="816"/>
      <c r="G171" s="811"/>
      <c r="H171" s="811"/>
      <c r="I171" s="811"/>
      <c r="J171" s="811"/>
      <c r="K171" s="811"/>
      <c r="L171" s="816"/>
      <c r="M171" s="811"/>
      <c r="N171" s="811"/>
      <c r="O171" s="811"/>
      <c r="P171" s="811"/>
      <c r="Q171" s="811"/>
      <c r="R171" s="811"/>
      <c r="S171" s="811"/>
      <c r="T171" s="811"/>
      <c r="U171" s="811"/>
      <c r="V171" s="811"/>
      <c r="W171" s="811"/>
      <c r="X171" s="811"/>
      <c r="Y171" s="811"/>
      <c r="Z171" s="811"/>
    </row>
    <row r="172">
      <c r="A172" s="811"/>
      <c r="B172" s="854"/>
      <c r="C172" s="855"/>
      <c r="D172" s="811"/>
      <c r="E172" s="811"/>
      <c r="F172" s="816"/>
      <c r="G172" s="811"/>
      <c r="H172" s="811"/>
      <c r="I172" s="811"/>
      <c r="J172" s="811"/>
      <c r="K172" s="811"/>
      <c r="L172" s="816"/>
      <c r="M172" s="811"/>
      <c r="N172" s="811"/>
      <c r="O172" s="811"/>
      <c r="P172" s="811"/>
      <c r="Q172" s="811"/>
      <c r="R172" s="811"/>
      <c r="S172" s="811"/>
      <c r="T172" s="811"/>
      <c r="U172" s="811"/>
      <c r="V172" s="811"/>
      <c r="W172" s="811"/>
      <c r="X172" s="811"/>
      <c r="Y172" s="811"/>
      <c r="Z172" s="811"/>
    </row>
    <row r="173">
      <c r="A173" s="811"/>
      <c r="B173" s="854"/>
      <c r="C173" s="855"/>
      <c r="D173" s="811"/>
      <c r="E173" s="811"/>
      <c r="F173" s="816"/>
      <c r="G173" s="811"/>
      <c r="H173" s="811"/>
      <c r="I173" s="811"/>
      <c r="J173" s="811"/>
      <c r="K173" s="811"/>
      <c r="L173" s="816"/>
      <c r="M173" s="811"/>
      <c r="N173" s="811"/>
      <c r="O173" s="811"/>
      <c r="P173" s="811"/>
      <c r="Q173" s="811"/>
      <c r="R173" s="811"/>
      <c r="S173" s="811"/>
      <c r="T173" s="811"/>
      <c r="U173" s="811"/>
      <c r="V173" s="811"/>
      <c r="W173" s="811"/>
      <c r="X173" s="811"/>
      <c r="Y173" s="811"/>
      <c r="Z173" s="811"/>
    </row>
    <row r="174">
      <c r="A174" s="811"/>
      <c r="B174" s="854"/>
      <c r="C174" s="855"/>
      <c r="D174" s="811"/>
      <c r="E174" s="811"/>
      <c r="F174" s="816"/>
      <c r="G174" s="811"/>
      <c r="H174" s="811"/>
      <c r="I174" s="811"/>
      <c r="J174" s="811"/>
      <c r="K174" s="811"/>
      <c r="L174" s="816"/>
      <c r="M174" s="811"/>
      <c r="N174" s="811"/>
      <c r="O174" s="811"/>
      <c r="P174" s="811"/>
      <c r="Q174" s="811"/>
      <c r="R174" s="811"/>
      <c r="S174" s="811"/>
      <c r="T174" s="811"/>
      <c r="U174" s="811"/>
      <c r="V174" s="811"/>
      <c r="W174" s="811"/>
      <c r="X174" s="811"/>
      <c r="Y174" s="811"/>
      <c r="Z174" s="811"/>
    </row>
    <row r="175">
      <c r="A175" s="811"/>
      <c r="B175" s="854"/>
      <c r="C175" s="855"/>
      <c r="D175" s="811"/>
      <c r="E175" s="811"/>
      <c r="F175" s="816"/>
      <c r="G175" s="811"/>
      <c r="H175" s="811"/>
      <c r="I175" s="811"/>
      <c r="J175" s="811"/>
      <c r="K175" s="811"/>
      <c r="L175" s="816"/>
      <c r="M175" s="811"/>
      <c r="N175" s="811"/>
      <c r="O175" s="811"/>
      <c r="P175" s="811"/>
      <c r="Q175" s="811"/>
      <c r="R175" s="811"/>
      <c r="S175" s="811"/>
      <c r="T175" s="811"/>
      <c r="U175" s="811"/>
      <c r="V175" s="811"/>
      <c r="W175" s="811"/>
      <c r="X175" s="811"/>
      <c r="Y175" s="811"/>
      <c r="Z175" s="811"/>
    </row>
    <row r="176">
      <c r="A176" s="811"/>
      <c r="B176" s="854"/>
      <c r="C176" s="855"/>
      <c r="D176" s="811"/>
      <c r="E176" s="811"/>
      <c r="F176" s="816"/>
      <c r="G176" s="811"/>
      <c r="H176" s="811"/>
      <c r="I176" s="811"/>
      <c r="J176" s="811"/>
      <c r="K176" s="811"/>
      <c r="L176" s="816"/>
      <c r="M176" s="811"/>
      <c r="N176" s="811"/>
      <c r="O176" s="811"/>
      <c r="P176" s="811"/>
      <c r="Q176" s="811"/>
      <c r="R176" s="811"/>
      <c r="S176" s="811"/>
      <c r="T176" s="811"/>
      <c r="U176" s="811"/>
      <c r="V176" s="811"/>
      <c r="W176" s="811"/>
      <c r="X176" s="811"/>
      <c r="Y176" s="811"/>
      <c r="Z176" s="811"/>
    </row>
    <row r="177">
      <c r="A177" s="811"/>
      <c r="B177" s="854"/>
      <c r="C177" s="855"/>
      <c r="D177" s="811"/>
      <c r="E177" s="811"/>
      <c r="F177" s="816"/>
      <c r="G177" s="811"/>
      <c r="H177" s="811"/>
      <c r="I177" s="811"/>
      <c r="J177" s="811"/>
      <c r="K177" s="811"/>
      <c r="L177" s="816"/>
      <c r="M177" s="811"/>
      <c r="N177" s="811"/>
      <c r="O177" s="811"/>
      <c r="P177" s="811"/>
      <c r="Q177" s="811"/>
      <c r="R177" s="811"/>
      <c r="S177" s="811"/>
      <c r="T177" s="811"/>
      <c r="U177" s="811"/>
      <c r="V177" s="811"/>
      <c r="W177" s="811"/>
      <c r="X177" s="811"/>
      <c r="Y177" s="811"/>
      <c r="Z177" s="811"/>
    </row>
    <row r="178">
      <c r="A178" s="811"/>
      <c r="B178" s="854"/>
      <c r="C178" s="855"/>
      <c r="D178" s="811"/>
      <c r="E178" s="811"/>
      <c r="F178" s="816"/>
      <c r="G178" s="811"/>
      <c r="H178" s="811"/>
      <c r="I178" s="811"/>
      <c r="J178" s="811"/>
      <c r="K178" s="811"/>
      <c r="L178" s="816"/>
      <c r="M178" s="811"/>
      <c r="N178" s="811"/>
      <c r="O178" s="811"/>
      <c r="P178" s="811"/>
      <c r="Q178" s="811"/>
      <c r="R178" s="811"/>
      <c r="S178" s="811"/>
      <c r="T178" s="811"/>
      <c r="U178" s="811"/>
      <c r="V178" s="811"/>
      <c r="W178" s="811"/>
      <c r="X178" s="811"/>
      <c r="Y178" s="811"/>
      <c r="Z178" s="811"/>
    </row>
    <row r="179">
      <c r="A179" s="811"/>
      <c r="B179" s="854"/>
      <c r="C179" s="855"/>
      <c r="D179" s="811"/>
      <c r="E179" s="811"/>
      <c r="F179" s="816"/>
      <c r="G179" s="811"/>
      <c r="H179" s="811"/>
      <c r="I179" s="811"/>
      <c r="J179" s="811"/>
      <c r="K179" s="811"/>
      <c r="L179" s="816"/>
      <c r="M179" s="811"/>
      <c r="N179" s="811"/>
      <c r="O179" s="811"/>
      <c r="P179" s="811"/>
      <c r="Q179" s="811"/>
      <c r="R179" s="811"/>
      <c r="S179" s="811"/>
      <c r="T179" s="811"/>
      <c r="U179" s="811"/>
      <c r="V179" s="811"/>
      <c r="W179" s="811"/>
      <c r="X179" s="811"/>
      <c r="Y179" s="811"/>
      <c r="Z179" s="811"/>
    </row>
    <row r="180">
      <c r="A180" s="811"/>
      <c r="B180" s="854"/>
      <c r="C180" s="855"/>
      <c r="D180" s="811"/>
      <c r="E180" s="811"/>
      <c r="F180" s="816"/>
      <c r="G180" s="811"/>
      <c r="H180" s="811"/>
      <c r="I180" s="811"/>
      <c r="J180" s="811"/>
      <c r="K180" s="811"/>
      <c r="L180" s="816"/>
      <c r="M180" s="811"/>
      <c r="N180" s="811"/>
      <c r="O180" s="811"/>
      <c r="P180" s="811"/>
      <c r="Q180" s="811"/>
      <c r="R180" s="811"/>
      <c r="S180" s="811"/>
      <c r="T180" s="811"/>
      <c r="U180" s="811"/>
      <c r="V180" s="811"/>
      <c r="W180" s="811"/>
      <c r="X180" s="811"/>
      <c r="Y180" s="811"/>
      <c r="Z180" s="811"/>
    </row>
    <row r="181">
      <c r="A181" s="811"/>
      <c r="B181" s="854"/>
      <c r="C181" s="855"/>
      <c r="D181" s="811"/>
      <c r="E181" s="811"/>
      <c r="F181" s="816"/>
      <c r="G181" s="811"/>
      <c r="H181" s="811"/>
      <c r="I181" s="811"/>
      <c r="J181" s="811"/>
      <c r="K181" s="811"/>
      <c r="L181" s="816"/>
      <c r="M181" s="811"/>
      <c r="N181" s="811"/>
      <c r="O181" s="811"/>
      <c r="P181" s="811"/>
      <c r="Q181" s="811"/>
      <c r="R181" s="811"/>
      <c r="S181" s="811"/>
      <c r="T181" s="811"/>
      <c r="U181" s="811"/>
      <c r="V181" s="811"/>
      <c r="W181" s="811"/>
      <c r="X181" s="811"/>
      <c r="Y181" s="811"/>
      <c r="Z181" s="811"/>
    </row>
    <row r="182">
      <c r="A182" s="811"/>
      <c r="B182" s="854"/>
      <c r="C182" s="855"/>
      <c r="D182" s="811"/>
      <c r="E182" s="811"/>
      <c r="F182" s="816"/>
      <c r="G182" s="811"/>
      <c r="H182" s="811"/>
      <c r="I182" s="811"/>
      <c r="J182" s="811"/>
      <c r="K182" s="811"/>
      <c r="L182" s="816"/>
      <c r="M182" s="811"/>
      <c r="N182" s="811"/>
      <c r="O182" s="811"/>
      <c r="P182" s="811"/>
      <c r="Q182" s="811"/>
      <c r="R182" s="811"/>
      <c r="S182" s="811"/>
      <c r="T182" s="811"/>
      <c r="U182" s="811"/>
      <c r="V182" s="811"/>
      <c r="W182" s="811"/>
      <c r="X182" s="811"/>
      <c r="Y182" s="811"/>
      <c r="Z182" s="811"/>
    </row>
    <row r="183">
      <c r="A183" s="811"/>
      <c r="B183" s="854"/>
      <c r="C183" s="855"/>
      <c r="D183" s="811"/>
      <c r="E183" s="811"/>
      <c r="F183" s="816"/>
      <c r="G183" s="811"/>
      <c r="H183" s="811"/>
      <c r="I183" s="811"/>
      <c r="J183" s="811"/>
      <c r="K183" s="811"/>
      <c r="L183" s="816"/>
      <c r="M183" s="811"/>
      <c r="N183" s="811"/>
      <c r="O183" s="811"/>
      <c r="P183" s="811"/>
      <c r="Q183" s="811"/>
      <c r="R183" s="811"/>
      <c r="S183" s="811"/>
      <c r="T183" s="811"/>
      <c r="U183" s="811"/>
      <c r="V183" s="811"/>
      <c r="W183" s="811"/>
      <c r="X183" s="811"/>
      <c r="Y183" s="811"/>
      <c r="Z183" s="811"/>
    </row>
    <row r="184">
      <c r="A184" s="811"/>
      <c r="B184" s="854"/>
      <c r="C184" s="855"/>
      <c r="D184" s="811"/>
      <c r="E184" s="811"/>
      <c r="F184" s="816"/>
      <c r="G184" s="811"/>
      <c r="H184" s="811"/>
      <c r="I184" s="811"/>
      <c r="J184" s="811"/>
      <c r="K184" s="811"/>
      <c r="L184" s="816"/>
      <c r="M184" s="811"/>
      <c r="N184" s="811"/>
      <c r="O184" s="811"/>
      <c r="P184" s="811"/>
      <c r="Q184" s="811"/>
      <c r="R184" s="811"/>
      <c r="S184" s="811"/>
      <c r="T184" s="811"/>
      <c r="U184" s="811"/>
      <c r="V184" s="811"/>
      <c r="W184" s="811"/>
      <c r="X184" s="811"/>
      <c r="Y184" s="811"/>
      <c r="Z184" s="811"/>
    </row>
    <row r="185">
      <c r="A185" s="811"/>
      <c r="B185" s="854"/>
      <c r="C185" s="855"/>
      <c r="D185" s="811"/>
      <c r="E185" s="811"/>
      <c r="F185" s="816"/>
      <c r="G185" s="811"/>
      <c r="H185" s="811"/>
      <c r="I185" s="811"/>
      <c r="J185" s="811"/>
      <c r="K185" s="811"/>
      <c r="L185" s="816"/>
      <c r="M185" s="811"/>
      <c r="N185" s="811"/>
      <c r="O185" s="811"/>
      <c r="P185" s="811"/>
      <c r="Q185" s="811"/>
      <c r="R185" s="811"/>
      <c r="S185" s="811"/>
      <c r="T185" s="811"/>
      <c r="U185" s="811"/>
      <c r="V185" s="811"/>
      <c r="W185" s="811"/>
      <c r="X185" s="811"/>
      <c r="Y185" s="811"/>
      <c r="Z185" s="811"/>
    </row>
    <row r="186">
      <c r="A186" s="811"/>
      <c r="B186" s="854"/>
      <c r="C186" s="855"/>
      <c r="D186" s="811"/>
      <c r="E186" s="811"/>
      <c r="F186" s="816"/>
      <c r="G186" s="811"/>
      <c r="H186" s="811"/>
      <c r="I186" s="811"/>
      <c r="J186" s="811"/>
      <c r="K186" s="811"/>
      <c r="L186" s="816"/>
      <c r="M186" s="811"/>
      <c r="N186" s="811"/>
      <c r="O186" s="811"/>
      <c r="P186" s="811"/>
      <c r="Q186" s="811"/>
      <c r="R186" s="811"/>
      <c r="S186" s="811"/>
      <c r="T186" s="811"/>
      <c r="U186" s="811"/>
      <c r="V186" s="811"/>
      <c r="W186" s="811"/>
      <c r="X186" s="811"/>
      <c r="Y186" s="811"/>
      <c r="Z186" s="811"/>
    </row>
    <row r="187">
      <c r="A187" s="811"/>
      <c r="B187" s="854"/>
      <c r="C187" s="855"/>
      <c r="D187" s="811"/>
      <c r="E187" s="811"/>
      <c r="F187" s="816"/>
      <c r="G187" s="811"/>
      <c r="H187" s="811"/>
      <c r="I187" s="811"/>
      <c r="J187" s="811"/>
      <c r="K187" s="811"/>
      <c r="L187" s="816"/>
      <c r="M187" s="811"/>
      <c r="N187" s="811"/>
      <c r="O187" s="811"/>
      <c r="P187" s="811"/>
      <c r="Q187" s="811"/>
      <c r="R187" s="811"/>
      <c r="S187" s="811"/>
      <c r="T187" s="811"/>
      <c r="U187" s="811"/>
      <c r="V187" s="811"/>
      <c r="W187" s="811"/>
      <c r="X187" s="811"/>
      <c r="Y187" s="811"/>
      <c r="Z187" s="811"/>
    </row>
    <row r="188">
      <c r="A188" s="811"/>
      <c r="B188" s="854"/>
      <c r="C188" s="855"/>
      <c r="D188" s="811"/>
      <c r="E188" s="811"/>
      <c r="F188" s="816"/>
      <c r="G188" s="811"/>
      <c r="H188" s="811"/>
      <c r="I188" s="811"/>
      <c r="J188" s="811"/>
      <c r="K188" s="811"/>
      <c r="L188" s="816"/>
      <c r="M188" s="811"/>
      <c r="N188" s="811"/>
      <c r="O188" s="811"/>
      <c r="P188" s="811"/>
      <c r="Q188" s="811"/>
      <c r="R188" s="811"/>
      <c r="S188" s="811"/>
      <c r="T188" s="811"/>
      <c r="U188" s="811"/>
      <c r="V188" s="811"/>
      <c r="W188" s="811"/>
      <c r="X188" s="811"/>
      <c r="Y188" s="811"/>
      <c r="Z188" s="811"/>
    </row>
    <row r="189">
      <c r="A189" s="811"/>
      <c r="B189" s="854"/>
      <c r="C189" s="855"/>
      <c r="D189" s="811"/>
      <c r="E189" s="811"/>
      <c r="F189" s="816"/>
      <c r="G189" s="811"/>
      <c r="H189" s="811"/>
      <c r="I189" s="811"/>
      <c r="J189" s="811"/>
      <c r="K189" s="811"/>
      <c r="L189" s="816"/>
      <c r="M189" s="811"/>
      <c r="N189" s="811"/>
      <c r="O189" s="811"/>
      <c r="P189" s="811"/>
      <c r="Q189" s="811"/>
      <c r="R189" s="811"/>
      <c r="S189" s="811"/>
      <c r="T189" s="811"/>
      <c r="U189" s="811"/>
      <c r="V189" s="811"/>
      <c r="W189" s="811"/>
      <c r="X189" s="811"/>
      <c r="Y189" s="811"/>
      <c r="Z189" s="811"/>
    </row>
    <row r="190">
      <c r="A190" s="811"/>
      <c r="B190" s="854"/>
      <c r="C190" s="855"/>
      <c r="D190" s="811"/>
      <c r="E190" s="811"/>
      <c r="F190" s="816"/>
      <c r="G190" s="811"/>
      <c r="H190" s="811"/>
      <c r="I190" s="811"/>
      <c r="J190" s="811"/>
      <c r="K190" s="811"/>
      <c r="L190" s="816"/>
      <c r="M190" s="811"/>
      <c r="N190" s="811"/>
      <c r="O190" s="811"/>
      <c r="P190" s="811"/>
      <c r="Q190" s="811"/>
      <c r="R190" s="811"/>
      <c r="S190" s="811"/>
      <c r="T190" s="811"/>
      <c r="U190" s="811"/>
      <c r="V190" s="811"/>
      <c r="W190" s="811"/>
      <c r="X190" s="811"/>
      <c r="Y190" s="811"/>
      <c r="Z190" s="811"/>
    </row>
    <row r="191">
      <c r="A191" s="811"/>
      <c r="B191" s="854"/>
      <c r="C191" s="855"/>
      <c r="D191" s="811"/>
      <c r="E191" s="811"/>
      <c r="F191" s="816"/>
      <c r="G191" s="811"/>
      <c r="H191" s="811"/>
      <c r="I191" s="811"/>
      <c r="J191" s="811"/>
      <c r="K191" s="811"/>
      <c r="L191" s="816"/>
      <c r="M191" s="811"/>
      <c r="N191" s="811"/>
      <c r="O191" s="811"/>
      <c r="P191" s="811"/>
      <c r="Q191" s="811"/>
      <c r="R191" s="811"/>
      <c r="S191" s="811"/>
      <c r="T191" s="811"/>
      <c r="U191" s="811"/>
      <c r="V191" s="811"/>
      <c r="W191" s="811"/>
      <c r="X191" s="811"/>
      <c r="Y191" s="811"/>
      <c r="Z191" s="811"/>
    </row>
    <row r="192">
      <c r="A192" s="811"/>
      <c r="B192" s="854"/>
      <c r="C192" s="855"/>
      <c r="D192" s="811"/>
      <c r="E192" s="811"/>
      <c r="F192" s="816"/>
      <c r="G192" s="811"/>
      <c r="H192" s="811"/>
      <c r="I192" s="811"/>
      <c r="J192" s="811"/>
      <c r="K192" s="811"/>
      <c r="L192" s="816"/>
      <c r="M192" s="811"/>
      <c r="N192" s="811"/>
      <c r="O192" s="811"/>
      <c r="P192" s="811"/>
      <c r="Q192" s="811"/>
      <c r="R192" s="811"/>
      <c r="S192" s="811"/>
      <c r="T192" s="811"/>
      <c r="U192" s="811"/>
      <c r="V192" s="811"/>
      <c r="W192" s="811"/>
      <c r="X192" s="811"/>
      <c r="Y192" s="811"/>
      <c r="Z192" s="811"/>
    </row>
    <row r="193">
      <c r="A193" s="811"/>
      <c r="B193" s="854"/>
      <c r="C193" s="855"/>
      <c r="D193" s="811"/>
      <c r="E193" s="811"/>
      <c r="F193" s="816"/>
      <c r="G193" s="811"/>
      <c r="H193" s="811"/>
      <c r="I193" s="811"/>
      <c r="J193" s="811"/>
      <c r="K193" s="811"/>
      <c r="L193" s="816"/>
      <c r="M193" s="811"/>
      <c r="N193" s="811"/>
      <c r="O193" s="811"/>
      <c r="P193" s="811"/>
      <c r="Q193" s="811"/>
      <c r="R193" s="811"/>
      <c r="S193" s="811"/>
      <c r="T193" s="811"/>
      <c r="U193" s="811"/>
      <c r="V193" s="811"/>
      <c r="W193" s="811"/>
      <c r="X193" s="811"/>
      <c r="Y193" s="811"/>
      <c r="Z193" s="811"/>
    </row>
    <row r="194">
      <c r="A194" s="811"/>
      <c r="B194" s="854"/>
      <c r="C194" s="855"/>
      <c r="D194" s="811"/>
      <c r="E194" s="811"/>
      <c r="F194" s="816"/>
      <c r="G194" s="811"/>
      <c r="H194" s="811"/>
      <c r="I194" s="811"/>
      <c r="J194" s="811"/>
      <c r="K194" s="811"/>
      <c r="L194" s="816"/>
      <c r="M194" s="811"/>
      <c r="N194" s="811"/>
      <c r="O194" s="811"/>
      <c r="P194" s="811"/>
      <c r="Q194" s="811"/>
      <c r="R194" s="811"/>
      <c r="S194" s="811"/>
      <c r="T194" s="811"/>
      <c r="U194" s="811"/>
      <c r="V194" s="811"/>
      <c r="W194" s="811"/>
      <c r="X194" s="811"/>
      <c r="Y194" s="811"/>
      <c r="Z194" s="811"/>
    </row>
    <row r="195">
      <c r="A195" s="811"/>
      <c r="B195" s="854"/>
      <c r="C195" s="855"/>
      <c r="D195" s="811"/>
      <c r="E195" s="811"/>
      <c r="F195" s="816"/>
      <c r="G195" s="811"/>
      <c r="H195" s="811"/>
      <c r="I195" s="811"/>
      <c r="J195" s="811"/>
      <c r="K195" s="811"/>
      <c r="L195" s="816"/>
      <c r="M195" s="811"/>
      <c r="N195" s="811"/>
      <c r="O195" s="811"/>
      <c r="P195" s="811"/>
      <c r="Q195" s="811"/>
      <c r="R195" s="811"/>
      <c r="S195" s="811"/>
      <c r="T195" s="811"/>
      <c r="U195" s="811"/>
      <c r="V195" s="811"/>
      <c r="W195" s="811"/>
      <c r="X195" s="811"/>
      <c r="Y195" s="811"/>
      <c r="Z195" s="811"/>
    </row>
    <row r="196">
      <c r="A196" s="811"/>
      <c r="B196" s="854"/>
      <c r="C196" s="855"/>
      <c r="D196" s="811"/>
      <c r="E196" s="811"/>
      <c r="F196" s="816"/>
      <c r="G196" s="811"/>
      <c r="H196" s="811"/>
      <c r="I196" s="811"/>
      <c r="J196" s="811"/>
      <c r="K196" s="811"/>
      <c r="L196" s="816"/>
      <c r="M196" s="811"/>
      <c r="N196" s="811"/>
      <c r="O196" s="811"/>
      <c r="P196" s="811"/>
      <c r="Q196" s="811"/>
      <c r="R196" s="811"/>
      <c r="S196" s="811"/>
      <c r="T196" s="811"/>
      <c r="U196" s="811"/>
      <c r="V196" s="811"/>
      <c r="W196" s="811"/>
      <c r="X196" s="811"/>
      <c r="Y196" s="811"/>
      <c r="Z196" s="811"/>
    </row>
    <row r="197">
      <c r="A197" s="811"/>
      <c r="B197" s="854"/>
      <c r="C197" s="855"/>
      <c r="D197" s="811"/>
      <c r="E197" s="811"/>
      <c r="F197" s="816"/>
      <c r="G197" s="811"/>
      <c r="H197" s="811"/>
      <c r="I197" s="811"/>
      <c r="J197" s="811"/>
      <c r="K197" s="811"/>
      <c r="L197" s="816"/>
      <c r="M197" s="811"/>
      <c r="N197" s="811"/>
      <c r="O197" s="811"/>
      <c r="P197" s="811"/>
      <c r="Q197" s="811"/>
      <c r="R197" s="811"/>
      <c r="S197" s="811"/>
      <c r="T197" s="811"/>
      <c r="U197" s="811"/>
      <c r="V197" s="811"/>
      <c r="W197" s="811"/>
      <c r="X197" s="811"/>
      <c r="Y197" s="811"/>
      <c r="Z197" s="811"/>
    </row>
    <row r="198">
      <c r="A198" s="811"/>
      <c r="B198" s="854"/>
      <c r="C198" s="855"/>
      <c r="D198" s="811"/>
      <c r="E198" s="811"/>
      <c r="F198" s="816"/>
      <c r="G198" s="811"/>
      <c r="H198" s="811"/>
      <c r="I198" s="811"/>
      <c r="J198" s="811"/>
      <c r="K198" s="811"/>
      <c r="L198" s="816"/>
      <c r="M198" s="811"/>
      <c r="N198" s="811"/>
      <c r="O198" s="811"/>
      <c r="P198" s="811"/>
      <c r="Q198" s="811"/>
      <c r="R198" s="811"/>
      <c r="S198" s="811"/>
      <c r="T198" s="811"/>
      <c r="U198" s="811"/>
      <c r="V198" s="811"/>
      <c r="W198" s="811"/>
      <c r="X198" s="811"/>
      <c r="Y198" s="811"/>
      <c r="Z198" s="811"/>
    </row>
    <row r="199">
      <c r="A199" s="811"/>
      <c r="B199" s="854"/>
      <c r="C199" s="855"/>
      <c r="D199" s="811"/>
      <c r="E199" s="811"/>
      <c r="F199" s="816"/>
      <c r="G199" s="811"/>
      <c r="H199" s="811"/>
      <c r="I199" s="811"/>
      <c r="J199" s="811"/>
      <c r="K199" s="811"/>
      <c r="L199" s="816"/>
      <c r="M199" s="811"/>
      <c r="N199" s="811"/>
      <c r="O199" s="811"/>
      <c r="P199" s="811"/>
      <c r="Q199" s="811"/>
      <c r="R199" s="811"/>
      <c r="S199" s="811"/>
      <c r="T199" s="811"/>
      <c r="U199" s="811"/>
      <c r="V199" s="811"/>
      <c r="W199" s="811"/>
      <c r="X199" s="811"/>
      <c r="Y199" s="811"/>
      <c r="Z199" s="811"/>
    </row>
    <row r="200">
      <c r="A200" s="811"/>
      <c r="B200" s="854"/>
      <c r="C200" s="855"/>
      <c r="D200" s="811"/>
      <c r="E200" s="811"/>
      <c r="F200" s="816"/>
      <c r="G200" s="811"/>
      <c r="H200" s="811"/>
      <c r="I200" s="811"/>
      <c r="J200" s="811"/>
      <c r="K200" s="811"/>
      <c r="L200" s="816"/>
      <c r="M200" s="811"/>
      <c r="N200" s="811"/>
      <c r="O200" s="811"/>
      <c r="P200" s="811"/>
      <c r="Q200" s="811"/>
      <c r="R200" s="811"/>
      <c r="S200" s="811"/>
      <c r="T200" s="811"/>
      <c r="U200" s="811"/>
      <c r="V200" s="811"/>
      <c r="W200" s="811"/>
      <c r="X200" s="811"/>
      <c r="Y200" s="811"/>
      <c r="Z200" s="811"/>
    </row>
    <row r="201">
      <c r="A201" s="811"/>
      <c r="B201" s="854"/>
      <c r="C201" s="855"/>
      <c r="D201" s="811"/>
      <c r="E201" s="811"/>
      <c r="F201" s="816"/>
      <c r="G201" s="811"/>
      <c r="H201" s="811"/>
      <c r="I201" s="811"/>
      <c r="J201" s="811"/>
      <c r="K201" s="811"/>
      <c r="L201" s="816"/>
      <c r="M201" s="811"/>
      <c r="N201" s="811"/>
      <c r="O201" s="811"/>
      <c r="P201" s="811"/>
      <c r="Q201" s="811"/>
      <c r="R201" s="811"/>
      <c r="S201" s="811"/>
      <c r="T201" s="811"/>
      <c r="U201" s="811"/>
      <c r="V201" s="811"/>
      <c r="W201" s="811"/>
      <c r="X201" s="811"/>
      <c r="Y201" s="811"/>
      <c r="Z201" s="811"/>
    </row>
    <row r="202">
      <c r="A202" s="811"/>
      <c r="B202" s="854"/>
      <c r="C202" s="855"/>
      <c r="D202" s="811"/>
      <c r="E202" s="811"/>
      <c r="F202" s="816"/>
      <c r="G202" s="811"/>
      <c r="H202" s="811"/>
      <c r="I202" s="811"/>
      <c r="J202" s="811"/>
      <c r="K202" s="811"/>
      <c r="L202" s="816"/>
      <c r="M202" s="811"/>
      <c r="N202" s="811"/>
      <c r="O202" s="811"/>
      <c r="P202" s="811"/>
      <c r="Q202" s="811"/>
      <c r="R202" s="811"/>
      <c r="S202" s="811"/>
      <c r="T202" s="811"/>
      <c r="U202" s="811"/>
      <c r="V202" s="811"/>
      <c r="W202" s="811"/>
      <c r="X202" s="811"/>
      <c r="Y202" s="811"/>
      <c r="Z202" s="811"/>
    </row>
    <row r="203">
      <c r="A203" s="811"/>
      <c r="B203" s="854"/>
      <c r="C203" s="855"/>
      <c r="D203" s="811"/>
      <c r="E203" s="811"/>
      <c r="F203" s="816"/>
      <c r="G203" s="811"/>
      <c r="H203" s="811"/>
      <c r="I203" s="811"/>
      <c r="J203" s="811"/>
      <c r="K203" s="811"/>
      <c r="L203" s="816"/>
      <c r="M203" s="811"/>
      <c r="N203" s="811"/>
      <c r="O203" s="811"/>
      <c r="P203" s="811"/>
      <c r="Q203" s="811"/>
      <c r="R203" s="811"/>
      <c r="S203" s="811"/>
      <c r="T203" s="811"/>
      <c r="U203" s="811"/>
      <c r="V203" s="811"/>
      <c r="W203" s="811"/>
      <c r="X203" s="811"/>
      <c r="Y203" s="811"/>
      <c r="Z203" s="811"/>
    </row>
    <row r="204">
      <c r="A204" s="811"/>
      <c r="B204" s="854"/>
      <c r="C204" s="855"/>
      <c r="D204" s="811"/>
      <c r="E204" s="811"/>
      <c r="F204" s="816"/>
      <c r="G204" s="811"/>
      <c r="H204" s="811"/>
      <c r="I204" s="811"/>
      <c r="J204" s="811"/>
      <c r="K204" s="811"/>
      <c r="L204" s="816"/>
      <c r="M204" s="811"/>
      <c r="N204" s="811"/>
      <c r="O204" s="811"/>
      <c r="P204" s="811"/>
      <c r="Q204" s="811"/>
      <c r="R204" s="811"/>
      <c r="S204" s="811"/>
      <c r="T204" s="811"/>
      <c r="U204" s="811"/>
      <c r="V204" s="811"/>
      <c r="W204" s="811"/>
      <c r="X204" s="811"/>
      <c r="Y204" s="811"/>
      <c r="Z204" s="811"/>
    </row>
    <row r="205">
      <c r="A205" s="811"/>
      <c r="B205" s="854"/>
      <c r="C205" s="855"/>
      <c r="D205" s="811"/>
      <c r="E205" s="811"/>
      <c r="F205" s="816"/>
      <c r="G205" s="811"/>
      <c r="H205" s="811"/>
      <c r="I205" s="811"/>
      <c r="J205" s="811"/>
      <c r="K205" s="811"/>
      <c r="L205" s="816"/>
      <c r="M205" s="811"/>
      <c r="N205" s="811"/>
      <c r="O205" s="811"/>
      <c r="P205" s="811"/>
      <c r="Q205" s="811"/>
      <c r="R205" s="811"/>
      <c r="S205" s="811"/>
      <c r="T205" s="811"/>
      <c r="U205" s="811"/>
      <c r="V205" s="811"/>
      <c r="W205" s="811"/>
      <c r="X205" s="811"/>
      <c r="Y205" s="811"/>
      <c r="Z205" s="811"/>
    </row>
    <row r="206">
      <c r="A206" s="811"/>
      <c r="B206" s="854"/>
      <c r="C206" s="855"/>
      <c r="D206" s="811"/>
      <c r="E206" s="811"/>
      <c r="F206" s="816"/>
      <c r="G206" s="811"/>
      <c r="H206" s="811"/>
      <c r="I206" s="811"/>
      <c r="J206" s="811"/>
      <c r="K206" s="811"/>
      <c r="L206" s="816"/>
      <c r="M206" s="811"/>
      <c r="N206" s="811"/>
      <c r="O206" s="811"/>
      <c r="P206" s="811"/>
      <c r="Q206" s="811"/>
      <c r="R206" s="811"/>
      <c r="S206" s="811"/>
      <c r="T206" s="811"/>
      <c r="U206" s="811"/>
      <c r="V206" s="811"/>
      <c r="W206" s="811"/>
      <c r="X206" s="811"/>
      <c r="Y206" s="811"/>
      <c r="Z206" s="811"/>
    </row>
    <row r="207">
      <c r="A207" s="811"/>
      <c r="B207" s="854"/>
      <c r="C207" s="855"/>
      <c r="D207" s="811"/>
      <c r="E207" s="811"/>
      <c r="F207" s="816"/>
      <c r="G207" s="811"/>
      <c r="H207" s="811"/>
      <c r="I207" s="811"/>
      <c r="J207" s="811"/>
      <c r="K207" s="811"/>
      <c r="L207" s="816"/>
      <c r="M207" s="811"/>
      <c r="N207" s="811"/>
      <c r="O207" s="811"/>
      <c r="P207" s="811"/>
      <c r="Q207" s="811"/>
      <c r="R207" s="811"/>
      <c r="S207" s="811"/>
      <c r="T207" s="811"/>
      <c r="U207" s="811"/>
      <c r="V207" s="811"/>
      <c r="W207" s="811"/>
      <c r="X207" s="811"/>
      <c r="Y207" s="811"/>
      <c r="Z207" s="811"/>
    </row>
    <row r="208">
      <c r="A208" s="811"/>
      <c r="B208" s="854"/>
      <c r="C208" s="855"/>
      <c r="D208" s="811"/>
      <c r="E208" s="811"/>
      <c r="F208" s="816"/>
      <c r="G208" s="811"/>
      <c r="H208" s="811"/>
      <c r="I208" s="811"/>
      <c r="J208" s="811"/>
      <c r="K208" s="811"/>
      <c r="L208" s="816"/>
      <c r="M208" s="811"/>
      <c r="N208" s="811"/>
      <c r="O208" s="811"/>
      <c r="P208" s="811"/>
      <c r="Q208" s="811"/>
      <c r="R208" s="811"/>
      <c r="S208" s="811"/>
      <c r="T208" s="811"/>
      <c r="U208" s="811"/>
      <c r="V208" s="811"/>
      <c r="W208" s="811"/>
      <c r="X208" s="811"/>
      <c r="Y208" s="811"/>
      <c r="Z208" s="811"/>
    </row>
    <row r="209">
      <c r="A209" s="811"/>
      <c r="B209" s="854"/>
      <c r="C209" s="855"/>
      <c r="D209" s="811"/>
      <c r="E209" s="811"/>
      <c r="F209" s="816"/>
      <c r="G209" s="811"/>
      <c r="H209" s="811"/>
      <c r="I209" s="811"/>
      <c r="J209" s="811"/>
      <c r="K209" s="811"/>
      <c r="L209" s="816"/>
      <c r="M209" s="811"/>
      <c r="N209" s="811"/>
      <c r="O209" s="811"/>
      <c r="P209" s="811"/>
      <c r="Q209" s="811"/>
      <c r="R209" s="811"/>
      <c r="S209" s="811"/>
      <c r="T209" s="811"/>
      <c r="U209" s="811"/>
      <c r="V209" s="811"/>
      <c r="W209" s="811"/>
      <c r="X209" s="811"/>
      <c r="Y209" s="811"/>
      <c r="Z209" s="811"/>
    </row>
    <row r="210">
      <c r="A210" s="811"/>
      <c r="B210" s="854"/>
      <c r="C210" s="855"/>
      <c r="D210" s="811"/>
      <c r="E210" s="811"/>
      <c r="F210" s="816"/>
      <c r="G210" s="811"/>
      <c r="H210" s="811"/>
      <c r="I210" s="811"/>
      <c r="J210" s="811"/>
      <c r="K210" s="811"/>
      <c r="L210" s="816"/>
      <c r="M210" s="811"/>
      <c r="N210" s="811"/>
      <c r="O210" s="811"/>
      <c r="P210" s="811"/>
      <c r="Q210" s="811"/>
      <c r="R210" s="811"/>
      <c r="S210" s="811"/>
      <c r="T210" s="811"/>
      <c r="U210" s="811"/>
      <c r="V210" s="811"/>
      <c r="W210" s="811"/>
      <c r="X210" s="811"/>
      <c r="Y210" s="811"/>
      <c r="Z210" s="811"/>
    </row>
    <row r="211">
      <c r="A211" s="811"/>
      <c r="B211" s="854"/>
      <c r="C211" s="855"/>
      <c r="D211" s="811"/>
      <c r="E211" s="811"/>
      <c r="F211" s="816"/>
      <c r="G211" s="811"/>
      <c r="H211" s="811"/>
      <c r="I211" s="811"/>
      <c r="J211" s="811"/>
      <c r="K211" s="811"/>
      <c r="L211" s="816"/>
      <c r="M211" s="811"/>
      <c r="N211" s="811"/>
      <c r="O211" s="811"/>
      <c r="P211" s="811"/>
      <c r="Q211" s="811"/>
      <c r="R211" s="811"/>
      <c r="S211" s="811"/>
      <c r="T211" s="811"/>
      <c r="U211" s="811"/>
      <c r="V211" s="811"/>
      <c r="W211" s="811"/>
      <c r="X211" s="811"/>
      <c r="Y211" s="811"/>
      <c r="Z211" s="811"/>
    </row>
    <row r="212">
      <c r="A212" s="811"/>
      <c r="B212" s="854"/>
      <c r="C212" s="855"/>
      <c r="D212" s="811"/>
      <c r="E212" s="811"/>
      <c r="F212" s="816"/>
      <c r="G212" s="811"/>
      <c r="H212" s="811"/>
      <c r="I212" s="811"/>
      <c r="J212" s="811"/>
      <c r="K212" s="811"/>
      <c r="L212" s="816"/>
      <c r="M212" s="811"/>
      <c r="N212" s="811"/>
      <c r="O212" s="811"/>
      <c r="P212" s="811"/>
      <c r="Q212" s="811"/>
      <c r="R212" s="811"/>
      <c r="S212" s="811"/>
      <c r="T212" s="811"/>
      <c r="U212" s="811"/>
      <c r="V212" s="811"/>
      <c r="W212" s="811"/>
      <c r="X212" s="811"/>
      <c r="Y212" s="811"/>
      <c r="Z212" s="811"/>
    </row>
    <row r="213">
      <c r="A213" s="811"/>
      <c r="B213" s="854"/>
      <c r="C213" s="855"/>
      <c r="D213" s="811"/>
      <c r="E213" s="811"/>
      <c r="F213" s="816"/>
      <c r="G213" s="811"/>
      <c r="H213" s="811"/>
      <c r="I213" s="811"/>
      <c r="J213" s="811"/>
      <c r="K213" s="811"/>
      <c r="L213" s="816"/>
      <c r="M213" s="811"/>
      <c r="N213" s="811"/>
      <c r="O213" s="811"/>
      <c r="P213" s="811"/>
      <c r="Q213" s="811"/>
      <c r="R213" s="811"/>
      <c r="S213" s="811"/>
      <c r="T213" s="811"/>
      <c r="U213" s="811"/>
      <c r="V213" s="811"/>
      <c r="W213" s="811"/>
      <c r="X213" s="811"/>
      <c r="Y213" s="811"/>
      <c r="Z213" s="811"/>
    </row>
    <row r="214">
      <c r="A214" s="811"/>
      <c r="B214" s="854"/>
      <c r="C214" s="855"/>
      <c r="D214" s="811"/>
      <c r="E214" s="811"/>
      <c r="F214" s="816"/>
      <c r="G214" s="811"/>
      <c r="H214" s="811"/>
      <c r="I214" s="811"/>
      <c r="J214" s="811"/>
      <c r="K214" s="811"/>
      <c r="L214" s="816"/>
      <c r="M214" s="811"/>
      <c r="N214" s="811"/>
      <c r="O214" s="811"/>
      <c r="P214" s="811"/>
      <c r="Q214" s="811"/>
      <c r="R214" s="811"/>
      <c r="S214" s="811"/>
      <c r="T214" s="811"/>
      <c r="U214" s="811"/>
      <c r="V214" s="811"/>
      <c r="W214" s="811"/>
      <c r="X214" s="811"/>
      <c r="Y214" s="811"/>
      <c r="Z214" s="811"/>
    </row>
    <row r="215">
      <c r="A215" s="811"/>
      <c r="B215" s="854"/>
      <c r="C215" s="855"/>
      <c r="D215" s="811"/>
      <c r="E215" s="811"/>
      <c r="F215" s="816"/>
      <c r="G215" s="811"/>
      <c r="H215" s="811"/>
      <c r="I215" s="811"/>
      <c r="J215" s="811"/>
      <c r="K215" s="811"/>
      <c r="L215" s="816"/>
      <c r="M215" s="811"/>
      <c r="N215" s="811"/>
      <c r="O215" s="811"/>
      <c r="P215" s="811"/>
      <c r="Q215" s="811"/>
      <c r="R215" s="811"/>
      <c r="S215" s="811"/>
      <c r="T215" s="811"/>
      <c r="U215" s="811"/>
      <c r="V215" s="811"/>
      <c r="W215" s="811"/>
      <c r="X215" s="811"/>
      <c r="Y215" s="811"/>
      <c r="Z215" s="811"/>
    </row>
    <row r="216">
      <c r="A216" s="811"/>
      <c r="B216" s="854"/>
      <c r="C216" s="855"/>
      <c r="D216" s="811"/>
      <c r="E216" s="811"/>
      <c r="F216" s="816"/>
      <c r="G216" s="811"/>
      <c r="H216" s="811"/>
      <c r="I216" s="811"/>
      <c r="J216" s="811"/>
      <c r="K216" s="811"/>
      <c r="L216" s="816"/>
      <c r="M216" s="811"/>
      <c r="N216" s="811"/>
      <c r="O216" s="811"/>
      <c r="P216" s="811"/>
      <c r="Q216" s="811"/>
      <c r="R216" s="811"/>
      <c r="S216" s="811"/>
      <c r="T216" s="811"/>
      <c r="U216" s="811"/>
      <c r="V216" s="811"/>
      <c r="W216" s="811"/>
      <c r="X216" s="811"/>
      <c r="Y216" s="811"/>
      <c r="Z216" s="811"/>
    </row>
    <row r="217">
      <c r="A217" s="811"/>
      <c r="B217" s="854"/>
      <c r="C217" s="855"/>
      <c r="D217" s="811"/>
      <c r="E217" s="811"/>
      <c r="F217" s="816"/>
      <c r="G217" s="811"/>
      <c r="H217" s="811"/>
      <c r="I217" s="811"/>
      <c r="J217" s="811"/>
      <c r="K217" s="811"/>
      <c r="L217" s="816"/>
      <c r="M217" s="811"/>
      <c r="N217" s="811"/>
      <c r="O217" s="811"/>
      <c r="P217" s="811"/>
      <c r="Q217" s="811"/>
      <c r="R217" s="811"/>
      <c r="S217" s="811"/>
      <c r="T217" s="811"/>
      <c r="U217" s="811"/>
      <c r="V217" s="811"/>
      <c r="W217" s="811"/>
      <c r="X217" s="811"/>
      <c r="Y217" s="811"/>
      <c r="Z217" s="811"/>
    </row>
    <row r="218">
      <c r="A218" s="811"/>
      <c r="B218" s="854"/>
      <c r="C218" s="855"/>
      <c r="D218" s="811"/>
      <c r="E218" s="811"/>
      <c r="F218" s="816"/>
      <c r="G218" s="811"/>
      <c r="H218" s="811"/>
      <c r="I218" s="811"/>
      <c r="J218" s="811"/>
      <c r="K218" s="811"/>
      <c r="L218" s="816"/>
      <c r="M218" s="811"/>
      <c r="N218" s="811"/>
      <c r="O218" s="811"/>
      <c r="P218" s="811"/>
      <c r="Q218" s="811"/>
      <c r="R218" s="811"/>
      <c r="S218" s="811"/>
      <c r="T218" s="811"/>
      <c r="U218" s="811"/>
      <c r="V218" s="811"/>
      <c r="W218" s="811"/>
      <c r="X218" s="811"/>
      <c r="Y218" s="811"/>
      <c r="Z218" s="811"/>
    </row>
    <row r="219">
      <c r="A219" s="811"/>
      <c r="B219" s="854"/>
      <c r="C219" s="855"/>
      <c r="D219" s="811"/>
      <c r="E219" s="811"/>
      <c r="F219" s="816"/>
      <c r="G219" s="811"/>
      <c r="H219" s="811"/>
      <c r="I219" s="811"/>
      <c r="J219" s="811"/>
      <c r="K219" s="811"/>
      <c r="L219" s="816"/>
      <c r="M219" s="811"/>
      <c r="N219" s="811"/>
      <c r="O219" s="811"/>
      <c r="P219" s="811"/>
      <c r="Q219" s="811"/>
      <c r="R219" s="811"/>
      <c r="S219" s="811"/>
      <c r="T219" s="811"/>
      <c r="U219" s="811"/>
      <c r="V219" s="811"/>
      <c r="W219" s="811"/>
      <c r="X219" s="811"/>
      <c r="Y219" s="811"/>
      <c r="Z219" s="811"/>
    </row>
    <row r="220">
      <c r="A220" s="811"/>
      <c r="B220" s="854"/>
      <c r="C220" s="855"/>
      <c r="D220" s="811"/>
      <c r="E220" s="811"/>
      <c r="F220" s="816"/>
      <c r="G220" s="811"/>
      <c r="H220" s="811"/>
      <c r="I220" s="811"/>
      <c r="J220" s="811"/>
      <c r="K220" s="811"/>
      <c r="L220" s="816"/>
      <c r="M220" s="811"/>
      <c r="N220" s="811"/>
      <c r="O220" s="811"/>
      <c r="P220" s="811"/>
      <c r="Q220" s="811"/>
      <c r="R220" s="811"/>
      <c r="S220" s="811"/>
      <c r="T220" s="811"/>
      <c r="U220" s="811"/>
      <c r="V220" s="811"/>
      <c r="W220" s="811"/>
      <c r="X220" s="811"/>
      <c r="Y220" s="811"/>
      <c r="Z220" s="811"/>
    </row>
    <row r="221">
      <c r="A221" s="811"/>
      <c r="B221" s="854"/>
      <c r="C221" s="855"/>
      <c r="D221" s="811"/>
      <c r="E221" s="811"/>
      <c r="F221" s="816"/>
      <c r="G221" s="811"/>
      <c r="H221" s="811"/>
      <c r="I221" s="811"/>
      <c r="J221" s="811"/>
      <c r="K221" s="811"/>
      <c r="L221" s="816"/>
      <c r="M221" s="811"/>
      <c r="N221" s="811"/>
      <c r="O221" s="811"/>
      <c r="P221" s="811"/>
      <c r="Q221" s="811"/>
      <c r="R221" s="811"/>
      <c r="S221" s="811"/>
      <c r="T221" s="811"/>
      <c r="U221" s="811"/>
      <c r="V221" s="811"/>
      <c r="W221" s="811"/>
      <c r="X221" s="811"/>
      <c r="Y221" s="811"/>
      <c r="Z221" s="811"/>
    </row>
    <row r="222">
      <c r="A222" s="811"/>
      <c r="B222" s="854"/>
      <c r="C222" s="855"/>
      <c r="D222" s="811"/>
      <c r="E222" s="811"/>
      <c r="F222" s="816"/>
      <c r="G222" s="811"/>
      <c r="H222" s="811"/>
      <c r="I222" s="811"/>
      <c r="J222" s="811"/>
      <c r="K222" s="811"/>
      <c r="L222" s="816"/>
      <c r="M222" s="811"/>
      <c r="N222" s="811"/>
      <c r="O222" s="811"/>
      <c r="P222" s="811"/>
      <c r="Q222" s="811"/>
      <c r="R222" s="811"/>
      <c r="S222" s="811"/>
      <c r="T222" s="811"/>
      <c r="U222" s="811"/>
      <c r="V222" s="811"/>
      <c r="W222" s="811"/>
      <c r="X222" s="811"/>
      <c r="Y222" s="811"/>
      <c r="Z222" s="811"/>
    </row>
    <row r="223">
      <c r="A223" s="811"/>
      <c r="B223" s="854"/>
      <c r="C223" s="855"/>
      <c r="D223" s="811"/>
      <c r="E223" s="811"/>
      <c r="F223" s="816"/>
      <c r="G223" s="811"/>
      <c r="H223" s="811"/>
      <c r="I223" s="811"/>
      <c r="J223" s="811"/>
      <c r="K223" s="811"/>
      <c r="L223" s="816"/>
      <c r="M223" s="811"/>
      <c r="N223" s="811"/>
      <c r="O223" s="811"/>
      <c r="P223" s="811"/>
      <c r="Q223" s="811"/>
      <c r="R223" s="811"/>
      <c r="S223" s="811"/>
      <c r="T223" s="811"/>
      <c r="U223" s="811"/>
      <c r="V223" s="811"/>
      <c r="W223" s="811"/>
      <c r="X223" s="811"/>
      <c r="Y223" s="811"/>
      <c r="Z223" s="811"/>
    </row>
    <row r="224">
      <c r="A224" s="811"/>
      <c r="B224" s="854"/>
      <c r="C224" s="855"/>
      <c r="D224" s="811"/>
      <c r="E224" s="811"/>
      <c r="F224" s="816"/>
      <c r="G224" s="811"/>
      <c r="H224" s="811"/>
      <c r="I224" s="811"/>
      <c r="J224" s="811"/>
      <c r="K224" s="811"/>
      <c r="L224" s="816"/>
      <c r="M224" s="811"/>
      <c r="N224" s="811"/>
      <c r="O224" s="811"/>
      <c r="P224" s="811"/>
      <c r="Q224" s="811"/>
      <c r="R224" s="811"/>
      <c r="S224" s="811"/>
      <c r="T224" s="811"/>
      <c r="U224" s="811"/>
      <c r="V224" s="811"/>
      <c r="W224" s="811"/>
      <c r="X224" s="811"/>
      <c r="Y224" s="811"/>
      <c r="Z224" s="811"/>
    </row>
    <row r="225">
      <c r="A225" s="811"/>
      <c r="B225" s="854"/>
      <c r="C225" s="855"/>
      <c r="D225" s="811"/>
      <c r="E225" s="811"/>
      <c r="F225" s="816"/>
      <c r="G225" s="811"/>
      <c r="H225" s="811"/>
      <c r="I225" s="811"/>
      <c r="J225" s="811"/>
      <c r="K225" s="811"/>
      <c r="L225" s="816"/>
      <c r="M225" s="811"/>
      <c r="N225" s="811"/>
      <c r="O225" s="811"/>
      <c r="P225" s="811"/>
      <c r="Q225" s="811"/>
      <c r="R225" s="811"/>
      <c r="S225" s="811"/>
      <c r="T225" s="811"/>
      <c r="U225" s="811"/>
      <c r="V225" s="811"/>
      <c r="W225" s="811"/>
      <c r="X225" s="811"/>
      <c r="Y225" s="811"/>
      <c r="Z225" s="811"/>
    </row>
    <row r="226">
      <c r="A226" s="811"/>
      <c r="B226" s="854"/>
      <c r="C226" s="855"/>
      <c r="D226" s="811"/>
      <c r="E226" s="811"/>
      <c r="F226" s="816"/>
      <c r="G226" s="811"/>
      <c r="H226" s="811"/>
      <c r="I226" s="811"/>
      <c r="J226" s="811"/>
      <c r="K226" s="811"/>
      <c r="L226" s="816"/>
      <c r="M226" s="811"/>
      <c r="N226" s="811"/>
      <c r="O226" s="811"/>
      <c r="P226" s="811"/>
      <c r="Q226" s="811"/>
      <c r="R226" s="811"/>
      <c r="S226" s="811"/>
      <c r="T226" s="811"/>
      <c r="U226" s="811"/>
      <c r="V226" s="811"/>
      <c r="W226" s="811"/>
      <c r="X226" s="811"/>
      <c r="Y226" s="811"/>
      <c r="Z226" s="811"/>
    </row>
    <row r="227">
      <c r="A227" s="811"/>
      <c r="B227" s="854"/>
      <c r="C227" s="855"/>
      <c r="D227" s="811"/>
      <c r="E227" s="811"/>
      <c r="F227" s="816"/>
      <c r="G227" s="811"/>
      <c r="H227" s="811"/>
      <c r="I227" s="811"/>
      <c r="J227" s="811"/>
      <c r="K227" s="811"/>
      <c r="L227" s="816"/>
      <c r="M227" s="811"/>
      <c r="N227" s="811"/>
      <c r="O227" s="811"/>
      <c r="P227" s="811"/>
      <c r="Q227" s="811"/>
      <c r="R227" s="811"/>
      <c r="S227" s="811"/>
      <c r="T227" s="811"/>
      <c r="U227" s="811"/>
      <c r="V227" s="811"/>
      <c r="W227" s="811"/>
      <c r="X227" s="811"/>
      <c r="Y227" s="811"/>
      <c r="Z227" s="811"/>
    </row>
    <row r="228">
      <c r="A228" s="811"/>
      <c r="B228" s="854"/>
      <c r="C228" s="855"/>
      <c r="D228" s="811"/>
      <c r="E228" s="811"/>
      <c r="F228" s="816"/>
      <c r="G228" s="811"/>
      <c r="H228" s="811"/>
      <c r="I228" s="811"/>
      <c r="J228" s="811"/>
      <c r="K228" s="811"/>
      <c r="L228" s="816"/>
      <c r="M228" s="811"/>
      <c r="N228" s="811"/>
      <c r="O228" s="811"/>
      <c r="P228" s="811"/>
      <c r="Q228" s="811"/>
      <c r="R228" s="811"/>
      <c r="S228" s="811"/>
      <c r="T228" s="811"/>
      <c r="U228" s="811"/>
      <c r="V228" s="811"/>
      <c r="W228" s="811"/>
      <c r="X228" s="811"/>
      <c r="Y228" s="811"/>
      <c r="Z228" s="811"/>
    </row>
    <row r="229">
      <c r="A229" s="811"/>
      <c r="B229" s="854"/>
      <c r="C229" s="855"/>
      <c r="D229" s="811"/>
      <c r="E229" s="811"/>
      <c r="F229" s="816"/>
      <c r="G229" s="811"/>
      <c r="H229" s="811"/>
      <c r="I229" s="811"/>
      <c r="J229" s="811"/>
      <c r="K229" s="811"/>
      <c r="L229" s="816"/>
      <c r="M229" s="811"/>
      <c r="N229" s="811"/>
      <c r="O229" s="811"/>
      <c r="P229" s="811"/>
      <c r="Q229" s="811"/>
      <c r="R229" s="811"/>
      <c r="S229" s="811"/>
      <c r="T229" s="811"/>
      <c r="U229" s="811"/>
      <c r="V229" s="811"/>
      <c r="W229" s="811"/>
      <c r="X229" s="811"/>
      <c r="Y229" s="811"/>
      <c r="Z229" s="811"/>
    </row>
    <row r="230">
      <c r="A230" s="811"/>
      <c r="B230" s="854"/>
      <c r="C230" s="855"/>
      <c r="D230" s="811"/>
      <c r="E230" s="811"/>
      <c r="F230" s="816"/>
      <c r="G230" s="811"/>
      <c r="H230" s="811"/>
      <c r="I230" s="811"/>
      <c r="J230" s="811"/>
      <c r="K230" s="811"/>
      <c r="L230" s="816"/>
      <c r="M230" s="811"/>
      <c r="N230" s="811"/>
      <c r="O230" s="811"/>
      <c r="P230" s="811"/>
      <c r="Q230" s="811"/>
      <c r="R230" s="811"/>
      <c r="S230" s="811"/>
      <c r="T230" s="811"/>
      <c r="U230" s="811"/>
      <c r="V230" s="811"/>
      <c r="W230" s="811"/>
      <c r="X230" s="811"/>
      <c r="Y230" s="811"/>
      <c r="Z230" s="811"/>
    </row>
    <row r="231">
      <c r="A231" s="811"/>
      <c r="B231" s="854"/>
      <c r="C231" s="855"/>
      <c r="D231" s="811"/>
      <c r="E231" s="811"/>
      <c r="F231" s="816"/>
      <c r="G231" s="811"/>
      <c r="H231" s="811"/>
      <c r="I231" s="811"/>
      <c r="J231" s="811"/>
      <c r="K231" s="811"/>
      <c r="L231" s="816"/>
      <c r="M231" s="811"/>
      <c r="N231" s="811"/>
      <c r="O231" s="811"/>
      <c r="P231" s="811"/>
      <c r="Q231" s="811"/>
      <c r="R231" s="811"/>
      <c r="S231" s="811"/>
      <c r="T231" s="811"/>
      <c r="U231" s="811"/>
      <c r="V231" s="811"/>
      <c r="W231" s="811"/>
      <c r="X231" s="811"/>
      <c r="Y231" s="811"/>
      <c r="Z231" s="811"/>
    </row>
    <row r="232">
      <c r="A232" s="811"/>
      <c r="B232" s="854"/>
      <c r="C232" s="855"/>
      <c r="D232" s="811"/>
      <c r="E232" s="811"/>
      <c r="F232" s="816"/>
      <c r="G232" s="811"/>
      <c r="H232" s="811"/>
      <c r="I232" s="811"/>
      <c r="J232" s="811"/>
      <c r="K232" s="811"/>
      <c r="L232" s="816"/>
      <c r="M232" s="811"/>
      <c r="N232" s="811"/>
      <c r="O232" s="811"/>
      <c r="P232" s="811"/>
      <c r="Q232" s="811"/>
      <c r="R232" s="811"/>
      <c r="S232" s="811"/>
      <c r="T232" s="811"/>
      <c r="U232" s="811"/>
      <c r="V232" s="811"/>
      <c r="W232" s="811"/>
      <c r="X232" s="811"/>
      <c r="Y232" s="811"/>
      <c r="Z232" s="811"/>
    </row>
    <row r="233">
      <c r="A233" s="811"/>
      <c r="B233" s="854"/>
      <c r="C233" s="855"/>
      <c r="D233" s="811"/>
      <c r="E233" s="811"/>
      <c r="F233" s="816"/>
      <c r="G233" s="811"/>
      <c r="H233" s="811"/>
      <c r="I233" s="811"/>
      <c r="J233" s="811"/>
      <c r="K233" s="811"/>
      <c r="L233" s="816"/>
      <c r="M233" s="811"/>
      <c r="N233" s="811"/>
      <c r="O233" s="811"/>
      <c r="P233" s="811"/>
      <c r="Q233" s="811"/>
      <c r="R233" s="811"/>
      <c r="S233" s="811"/>
      <c r="T233" s="811"/>
      <c r="U233" s="811"/>
      <c r="V233" s="811"/>
      <c r="W233" s="811"/>
      <c r="X233" s="811"/>
      <c r="Y233" s="811"/>
      <c r="Z233" s="811"/>
    </row>
    <row r="234">
      <c r="A234" s="811"/>
      <c r="B234" s="854"/>
      <c r="C234" s="855"/>
      <c r="D234" s="811"/>
      <c r="E234" s="811"/>
      <c r="F234" s="816"/>
      <c r="G234" s="811"/>
      <c r="H234" s="811"/>
      <c r="I234" s="811"/>
      <c r="J234" s="811"/>
      <c r="K234" s="811"/>
      <c r="L234" s="816"/>
      <c r="M234" s="811"/>
      <c r="N234" s="811"/>
      <c r="O234" s="811"/>
      <c r="P234" s="811"/>
      <c r="Q234" s="811"/>
      <c r="R234" s="811"/>
      <c r="S234" s="811"/>
      <c r="T234" s="811"/>
      <c r="U234" s="811"/>
      <c r="V234" s="811"/>
      <c r="W234" s="811"/>
      <c r="X234" s="811"/>
      <c r="Y234" s="811"/>
      <c r="Z234" s="811"/>
    </row>
    <row r="235">
      <c r="A235" s="811"/>
      <c r="B235" s="854"/>
      <c r="C235" s="855"/>
      <c r="D235" s="811"/>
      <c r="E235" s="811"/>
      <c r="F235" s="816"/>
      <c r="G235" s="811"/>
      <c r="H235" s="811"/>
      <c r="I235" s="811"/>
      <c r="J235" s="811"/>
      <c r="K235" s="811"/>
      <c r="L235" s="816"/>
      <c r="M235" s="811"/>
      <c r="N235" s="811"/>
      <c r="O235" s="811"/>
      <c r="P235" s="811"/>
      <c r="Q235" s="811"/>
      <c r="R235" s="811"/>
      <c r="S235" s="811"/>
      <c r="T235" s="811"/>
      <c r="U235" s="811"/>
      <c r="V235" s="811"/>
      <c r="W235" s="811"/>
      <c r="X235" s="811"/>
      <c r="Y235" s="811"/>
      <c r="Z235" s="811"/>
    </row>
    <row r="236">
      <c r="A236" s="811"/>
      <c r="B236" s="854"/>
      <c r="C236" s="855"/>
      <c r="D236" s="811"/>
      <c r="E236" s="811"/>
      <c r="F236" s="816"/>
      <c r="G236" s="811"/>
      <c r="H236" s="811"/>
      <c r="I236" s="811"/>
      <c r="J236" s="811"/>
      <c r="K236" s="811"/>
      <c r="L236" s="816"/>
      <c r="M236" s="811"/>
      <c r="N236" s="811"/>
      <c r="O236" s="811"/>
      <c r="P236" s="811"/>
      <c r="Q236" s="811"/>
      <c r="R236" s="811"/>
      <c r="S236" s="811"/>
      <c r="T236" s="811"/>
      <c r="U236" s="811"/>
      <c r="V236" s="811"/>
      <c r="W236" s="811"/>
      <c r="X236" s="811"/>
      <c r="Y236" s="811"/>
      <c r="Z236" s="811"/>
    </row>
    <row r="237">
      <c r="A237" s="811"/>
      <c r="B237" s="854"/>
      <c r="C237" s="855"/>
      <c r="D237" s="811"/>
      <c r="E237" s="811"/>
      <c r="F237" s="816"/>
      <c r="G237" s="811"/>
      <c r="H237" s="811"/>
      <c r="I237" s="811"/>
      <c r="J237" s="811"/>
      <c r="K237" s="811"/>
      <c r="L237" s="816"/>
      <c r="M237" s="811"/>
      <c r="N237" s="811"/>
      <c r="O237" s="811"/>
      <c r="P237" s="811"/>
      <c r="Q237" s="811"/>
      <c r="R237" s="811"/>
      <c r="S237" s="811"/>
      <c r="T237" s="811"/>
      <c r="U237" s="811"/>
      <c r="V237" s="811"/>
      <c r="W237" s="811"/>
      <c r="X237" s="811"/>
      <c r="Y237" s="811"/>
      <c r="Z237" s="811"/>
    </row>
    <row r="238">
      <c r="A238" s="811"/>
      <c r="B238" s="854"/>
      <c r="C238" s="855"/>
      <c r="D238" s="811"/>
      <c r="E238" s="811"/>
      <c r="F238" s="816"/>
      <c r="G238" s="811"/>
      <c r="H238" s="811"/>
      <c r="I238" s="811"/>
      <c r="J238" s="811"/>
      <c r="K238" s="811"/>
      <c r="L238" s="816"/>
      <c r="M238" s="811"/>
      <c r="N238" s="811"/>
      <c r="O238" s="811"/>
      <c r="P238" s="811"/>
      <c r="Q238" s="811"/>
      <c r="R238" s="811"/>
      <c r="S238" s="811"/>
      <c r="T238" s="811"/>
      <c r="U238" s="811"/>
      <c r="V238" s="811"/>
      <c r="W238" s="811"/>
      <c r="X238" s="811"/>
      <c r="Y238" s="811"/>
      <c r="Z238" s="811"/>
    </row>
    <row r="239">
      <c r="A239" s="811"/>
      <c r="B239" s="854"/>
      <c r="C239" s="855"/>
      <c r="D239" s="811"/>
      <c r="E239" s="811"/>
      <c r="F239" s="816"/>
      <c r="G239" s="811"/>
      <c r="H239" s="811"/>
      <c r="I239" s="811"/>
      <c r="J239" s="811"/>
      <c r="K239" s="811"/>
      <c r="L239" s="816"/>
      <c r="M239" s="811"/>
      <c r="N239" s="811"/>
      <c r="O239" s="811"/>
      <c r="P239" s="811"/>
      <c r="Q239" s="811"/>
      <c r="R239" s="811"/>
      <c r="S239" s="811"/>
      <c r="T239" s="811"/>
      <c r="U239" s="811"/>
      <c r="V239" s="811"/>
      <c r="W239" s="811"/>
      <c r="X239" s="811"/>
      <c r="Y239" s="811"/>
      <c r="Z239" s="811"/>
    </row>
    <row r="240">
      <c r="A240" s="811"/>
      <c r="B240" s="854"/>
      <c r="C240" s="855"/>
      <c r="D240" s="811"/>
      <c r="E240" s="811"/>
      <c r="F240" s="816"/>
      <c r="G240" s="811"/>
      <c r="H240" s="811"/>
      <c r="I240" s="811"/>
      <c r="J240" s="811"/>
      <c r="K240" s="811"/>
      <c r="L240" s="816"/>
      <c r="M240" s="811"/>
      <c r="N240" s="811"/>
      <c r="O240" s="811"/>
      <c r="P240" s="811"/>
      <c r="Q240" s="811"/>
      <c r="R240" s="811"/>
      <c r="S240" s="811"/>
      <c r="T240" s="811"/>
      <c r="U240" s="811"/>
      <c r="V240" s="811"/>
      <c r="W240" s="811"/>
      <c r="X240" s="811"/>
      <c r="Y240" s="811"/>
      <c r="Z240" s="811"/>
    </row>
    <row r="241">
      <c r="A241" s="811"/>
      <c r="B241" s="854"/>
      <c r="C241" s="855"/>
      <c r="D241" s="811"/>
      <c r="E241" s="811"/>
      <c r="F241" s="816"/>
      <c r="G241" s="811"/>
      <c r="H241" s="811"/>
      <c r="I241" s="811"/>
      <c r="J241" s="811"/>
      <c r="K241" s="811"/>
      <c r="L241" s="816"/>
      <c r="M241" s="811"/>
      <c r="N241" s="811"/>
      <c r="O241" s="811"/>
      <c r="P241" s="811"/>
      <c r="Q241" s="811"/>
      <c r="R241" s="811"/>
      <c r="S241" s="811"/>
      <c r="T241" s="811"/>
      <c r="U241" s="811"/>
      <c r="V241" s="811"/>
      <c r="W241" s="811"/>
      <c r="X241" s="811"/>
      <c r="Y241" s="811"/>
      <c r="Z241" s="811"/>
    </row>
    <row r="242">
      <c r="A242" s="811"/>
      <c r="B242" s="854"/>
      <c r="C242" s="855"/>
      <c r="D242" s="811"/>
      <c r="E242" s="811"/>
      <c r="F242" s="816"/>
      <c r="G242" s="811"/>
      <c r="H242" s="811"/>
      <c r="I242" s="811"/>
      <c r="J242" s="811"/>
      <c r="K242" s="811"/>
      <c r="L242" s="816"/>
      <c r="M242" s="811"/>
      <c r="N242" s="811"/>
      <c r="O242" s="811"/>
      <c r="P242" s="811"/>
      <c r="Q242" s="811"/>
      <c r="R242" s="811"/>
      <c r="S242" s="811"/>
      <c r="T242" s="811"/>
      <c r="U242" s="811"/>
      <c r="V242" s="811"/>
      <c r="W242" s="811"/>
      <c r="X242" s="811"/>
      <c r="Y242" s="811"/>
      <c r="Z242" s="811"/>
    </row>
    <row r="243">
      <c r="A243" s="811"/>
      <c r="B243" s="854"/>
      <c r="C243" s="855"/>
      <c r="D243" s="811"/>
      <c r="E243" s="811"/>
      <c r="F243" s="816"/>
      <c r="G243" s="811"/>
      <c r="H243" s="811"/>
      <c r="I243" s="811"/>
      <c r="J243" s="811"/>
      <c r="K243" s="811"/>
      <c r="L243" s="816"/>
      <c r="M243" s="811"/>
      <c r="N243" s="811"/>
      <c r="O243" s="811"/>
      <c r="P243" s="811"/>
      <c r="Q243" s="811"/>
      <c r="R243" s="811"/>
      <c r="S243" s="811"/>
      <c r="T243" s="811"/>
      <c r="U243" s="811"/>
      <c r="V243" s="811"/>
      <c r="W243" s="811"/>
      <c r="X243" s="811"/>
      <c r="Y243" s="811"/>
      <c r="Z243" s="811"/>
    </row>
    <row r="244">
      <c r="A244" s="811"/>
      <c r="B244" s="854"/>
      <c r="C244" s="855"/>
      <c r="D244" s="811"/>
      <c r="E244" s="811"/>
      <c r="F244" s="816"/>
      <c r="G244" s="811"/>
      <c r="H244" s="811"/>
      <c r="I244" s="811"/>
      <c r="J244" s="811"/>
      <c r="K244" s="811"/>
      <c r="L244" s="816"/>
      <c r="M244" s="811"/>
      <c r="N244" s="811"/>
      <c r="O244" s="811"/>
      <c r="P244" s="811"/>
      <c r="Q244" s="811"/>
      <c r="R244" s="811"/>
      <c r="S244" s="811"/>
      <c r="T244" s="811"/>
      <c r="U244" s="811"/>
      <c r="V244" s="811"/>
      <c r="W244" s="811"/>
      <c r="X244" s="811"/>
      <c r="Y244" s="811"/>
      <c r="Z244" s="811"/>
    </row>
    <row r="245">
      <c r="A245" s="811"/>
      <c r="B245" s="854"/>
      <c r="C245" s="855"/>
      <c r="D245" s="811"/>
      <c r="E245" s="811"/>
      <c r="F245" s="816"/>
      <c r="G245" s="811"/>
      <c r="H245" s="811"/>
      <c r="I245" s="811"/>
      <c r="J245" s="811"/>
      <c r="K245" s="811"/>
      <c r="L245" s="816"/>
      <c r="M245" s="811"/>
      <c r="N245" s="811"/>
      <c r="O245" s="811"/>
      <c r="P245" s="811"/>
      <c r="Q245" s="811"/>
      <c r="R245" s="811"/>
      <c r="S245" s="811"/>
      <c r="T245" s="811"/>
      <c r="U245" s="811"/>
      <c r="V245" s="811"/>
      <c r="W245" s="811"/>
      <c r="X245" s="811"/>
      <c r="Y245" s="811"/>
      <c r="Z245" s="811"/>
    </row>
    <row r="246">
      <c r="A246" s="811"/>
      <c r="B246" s="854"/>
      <c r="C246" s="855"/>
      <c r="D246" s="811"/>
      <c r="E246" s="811"/>
      <c r="F246" s="816"/>
      <c r="G246" s="811"/>
      <c r="H246" s="811"/>
      <c r="I246" s="811"/>
      <c r="J246" s="811"/>
      <c r="K246" s="811"/>
      <c r="L246" s="816"/>
      <c r="M246" s="811"/>
      <c r="N246" s="811"/>
      <c r="O246" s="811"/>
      <c r="P246" s="811"/>
      <c r="Q246" s="811"/>
      <c r="R246" s="811"/>
      <c r="S246" s="811"/>
      <c r="T246" s="811"/>
      <c r="U246" s="811"/>
      <c r="V246" s="811"/>
      <c r="W246" s="811"/>
      <c r="X246" s="811"/>
      <c r="Y246" s="811"/>
      <c r="Z246" s="811"/>
    </row>
    <row r="247">
      <c r="A247" s="811"/>
      <c r="B247" s="854"/>
      <c r="C247" s="855"/>
      <c r="D247" s="811"/>
      <c r="E247" s="811"/>
      <c r="F247" s="816"/>
      <c r="G247" s="811"/>
      <c r="H247" s="811"/>
      <c r="I247" s="811"/>
      <c r="J247" s="811"/>
      <c r="K247" s="811"/>
      <c r="L247" s="816"/>
      <c r="M247" s="811"/>
      <c r="N247" s="811"/>
      <c r="O247" s="811"/>
      <c r="P247" s="811"/>
      <c r="Q247" s="811"/>
      <c r="R247" s="811"/>
      <c r="S247" s="811"/>
      <c r="T247" s="811"/>
      <c r="U247" s="811"/>
      <c r="V247" s="811"/>
      <c r="W247" s="811"/>
      <c r="X247" s="811"/>
      <c r="Y247" s="811"/>
      <c r="Z247" s="811"/>
    </row>
    <row r="248">
      <c r="A248" s="811"/>
      <c r="B248" s="854"/>
      <c r="C248" s="855"/>
      <c r="D248" s="811"/>
      <c r="E248" s="811"/>
      <c r="F248" s="816"/>
      <c r="G248" s="811"/>
      <c r="H248" s="811"/>
      <c r="I248" s="811"/>
      <c r="J248" s="811"/>
      <c r="K248" s="811"/>
      <c r="L248" s="816"/>
      <c r="M248" s="811"/>
      <c r="N248" s="811"/>
      <c r="O248" s="811"/>
      <c r="P248" s="811"/>
      <c r="Q248" s="811"/>
      <c r="R248" s="811"/>
      <c r="S248" s="811"/>
      <c r="T248" s="811"/>
      <c r="U248" s="811"/>
      <c r="V248" s="811"/>
      <c r="W248" s="811"/>
      <c r="X248" s="811"/>
      <c r="Y248" s="811"/>
      <c r="Z248" s="811"/>
    </row>
    <row r="249">
      <c r="A249" s="811"/>
      <c r="B249" s="854"/>
      <c r="C249" s="855"/>
      <c r="D249" s="811"/>
      <c r="E249" s="811"/>
      <c r="F249" s="816"/>
      <c r="G249" s="811"/>
      <c r="H249" s="811"/>
      <c r="I249" s="811"/>
      <c r="J249" s="811"/>
      <c r="K249" s="811"/>
      <c r="L249" s="816"/>
      <c r="M249" s="811"/>
      <c r="N249" s="811"/>
      <c r="O249" s="811"/>
      <c r="P249" s="811"/>
      <c r="Q249" s="811"/>
      <c r="R249" s="811"/>
      <c r="S249" s="811"/>
      <c r="T249" s="811"/>
      <c r="U249" s="811"/>
      <c r="V249" s="811"/>
      <c r="W249" s="811"/>
      <c r="X249" s="811"/>
      <c r="Y249" s="811"/>
      <c r="Z249" s="811"/>
    </row>
    <row r="250">
      <c r="A250" s="811"/>
      <c r="B250" s="854"/>
      <c r="C250" s="855"/>
      <c r="D250" s="811"/>
      <c r="E250" s="811"/>
      <c r="F250" s="816"/>
      <c r="G250" s="811"/>
      <c r="H250" s="811"/>
      <c r="I250" s="811"/>
      <c r="J250" s="811"/>
      <c r="K250" s="811"/>
      <c r="L250" s="816"/>
      <c r="M250" s="811"/>
      <c r="N250" s="811"/>
      <c r="O250" s="811"/>
      <c r="P250" s="811"/>
      <c r="Q250" s="811"/>
      <c r="R250" s="811"/>
      <c r="S250" s="811"/>
      <c r="T250" s="811"/>
      <c r="U250" s="811"/>
      <c r="V250" s="811"/>
      <c r="W250" s="811"/>
      <c r="X250" s="811"/>
      <c r="Y250" s="811"/>
      <c r="Z250" s="811"/>
    </row>
    <row r="251">
      <c r="A251" s="811"/>
      <c r="B251" s="854"/>
      <c r="C251" s="855"/>
      <c r="D251" s="811"/>
      <c r="E251" s="811"/>
      <c r="F251" s="816"/>
      <c r="G251" s="811"/>
      <c r="H251" s="811"/>
      <c r="I251" s="811"/>
      <c r="J251" s="811"/>
      <c r="K251" s="811"/>
      <c r="L251" s="816"/>
      <c r="M251" s="811"/>
      <c r="N251" s="811"/>
      <c r="O251" s="811"/>
      <c r="P251" s="811"/>
      <c r="Q251" s="811"/>
      <c r="R251" s="811"/>
      <c r="S251" s="811"/>
      <c r="T251" s="811"/>
      <c r="U251" s="811"/>
      <c r="V251" s="811"/>
      <c r="W251" s="811"/>
      <c r="X251" s="811"/>
      <c r="Y251" s="811"/>
      <c r="Z251" s="811"/>
    </row>
    <row r="252">
      <c r="A252" s="811"/>
      <c r="B252" s="854"/>
      <c r="C252" s="855"/>
      <c r="D252" s="811"/>
      <c r="E252" s="811"/>
      <c r="F252" s="816"/>
      <c r="G252" s="811"/>
      <c r="H252" s="811"/>
      <c r="I252" s="811"/>
      <c r="J252" s="811"/>
      <c r="K252" s="811"/>
      <c r="L252" s="816"/>
      <c r="M252" s="811"/>
      <c r="N252" s="811"/>
      <c r="O252" s="811"/>
      <c r="P252" s="811"/>
      <c r="Q252" s="811"/>
      <c r="R252" s="811"/>
      <c r="S252" s="811"/>
      <c r="T252" s="811"/>
      <c r="U252" s="811"/>
      <c r="V252" s="811"/>
      <c r="W252" s="811"/>
      <c r="X252" s="811"/>
      <c r="Y252" s="811"/>
      <c r="Z252" s="811"/>
    </row>
    <row r="253">
      <c r="A253" s="811"/>
      <c r="B253" s="854"/>
      <c r="C253" s="855"/>
      <c r="D253" s="811"/>
      <c r="E253" s="811"/>
      <c r="F253" s="816"/>
      <c r="G253" s="811"/>
      <c r="H253" s="811"/>
      <c r="I253" s="811"/>
      <c r="J253" s="811"/>
      <c r="K253" s="811"/>
      <c r="L253" s="816"/>
      <c r="M253" s="811"/>
      <c r="N253" s="811"/>
      <c r="O253" s="811"/>
      <c r="P253" s="811"/>
      <c r="Q253" s="811"/>
      <c r="R253" s="811"/>
      <c r="S253" s="811"/>
      <c r="T253" s="811"/>
      <c r="U253" s="811"/>
      <c r="V253" s="811"/>
      <c r="W253" s="811"/>
      <c r="X253" s="811"/>
      <c r="Y253" s="811"/>
      <c r="Z253" s="811"/>
    </row>
    <row r="254">
      <c r="A254" s="811"/>
      <c r="B254" s="854"/>
      <c r="C254" s="855"/>
      <c r="D254" s="811"/>
      <c r="E254" s="811"/>
      <c r="F254" s="816"/>
      <c r="G254" s="811"/>
      <c r="H254" s="811"/>
      <c r="I254" s="811"/>
      <c r="J254" s="811"/>
      <c r="K254" s="811"/>
      <c r="L254" s="816"/>
      <c r="M254" s="811"/>
      <c r="N254" s="811"/>
      <c r="O254" s="811"/>
      <c r="P254" s="811"/>
      <c r="Q254" s="811"/>
      <c r="R254" s="811"/>
      <c r="S254" s="811"/>
      <c r="T254" s="811"/>
      <c r="U254" s="811"/>
      <c r="V254" s="811"/>
      <c r="W254" s="811"/>
      <c r="X254" s="811"/>
      <c r="Y254" s="811"/>
      <c r="Z254" s="811"/>
    </row>
    <row r="255">
      <c r="A255" s="811"/>
      <c r="B255" s="854"/>
      <c r="C255" s="855"/>
      <c r="D255" s="811"/>
      <c r="E255" s="811"/>
      <c r="F255" s="816"/>
      <c r="G255" s="811"/>
      <c r="H255" s="811"/>
      <c r="I255" s="811"/>
      <c r="J255" s="811"/>
      <c r="K255" s="811"/>
      <c r="L255" s="816"/>
      <c r="M255" s="811"/>
      <c r="N255" s="811"/>
      <c r="O255" s="811"/>
      <c r="P255" s="811"/>
      <c r="Q255" s="811"/>
      <c r="R255" s="811"/>
      <c r="S255" s="811"/>
      <c r="T255" s="811"/>
      <c r="U255" s="811"/>
      <c r="V255" s="811"/>
      <c r="W255" s="811"/>
      <c r="X255" s="811"/>
      <c r="Y255" s="811"/>
      <c r="Z255" s="811"/>
    </row>
    <row r="256">
      <c r="A256" s="811"/>
      <c r="B256" s="854"/>
      <c r="C256" s="855"/>
      <c r="D256" s="811"/>
      <c r="E256" s="811"/>
      <c r="F256" s="816"/>
      <c r="G256" s="811"/>
      <c r="H256" s="811"/>
      <c r="I256" s="811"/>
      <c r="J256" s="811"/>
      <c r="K256" s="811"/>
      <c r="L256" s="816"/>
      <c r="M256" s="811"/>
      <c r="N256" s="811"/>
      <c r="O256" s="811"/>
      <c r="P256" s="811"/>
      <c r="Q256" s="811"/>
      <c r="R256" s="811"/>
      <c r="S256" s="811"/>
      <c r="T256" s="811"/>
      <c r="U256" s="811"/>
      <c r="V256" s="811"/>
      <c r="W256" s="811"/>
      <c r="X256" s="811"/>
      <c r="Y256" s="811"/>
      <c r="Z256" s="811"/>
    </row>
    <row r="257">
      <c r="A257" s="811"/>
      <c r="B257" s="854"/>
      <c r="C257" s="855"/>
      <c r="D257" s="811"/>
      <c r="E257" s="811"/>
      <c r="F257" s="816"/>
      <c r="G257" s="811"/>
      <c r="H257" s="811"/>
      <c r="I257" s="811"/>
      <c r="J257" s="811"/>
      <c r="K257" s="811"/>
      <c r="L257" s="816"/>
      <c r="M257" s="811"/>
      <c r="N257" s="811"/>
      <c r="O257" s="811"/>
      <c r="P257" s="811"/>
      <c r="Q257" s="811"/>
      <c r="R257" s="811"/>
      <c r="S257" s="811"/>
      <c r="T257" s="811"/>
      <c r="U257" s="811"/>
      <c r="V257" s="811"/>
      <c r="W257" s="811"/>
      <c r="X257" s="811"/>
      <c r="Y257" s="811"/>
      <c r="Z257" s="811"/>
    </row>
    <row r="258">
      <c r="A258" s="811"/>
      <c r="B258" s="854"/>
      <c r="C258" s="855"/>
      <c r="D258" s="811"/>
      <c r="E258" s="811"/>
      <c r="F258" s="816"/>
      <c r="G258" s="811"/>
      <c r="H258" s="811"/>
      <c r="I258" s="811"/>
      <c r="J258" s="811"/>
      <c r="K258" s="811"/>
      <c r="L258" s="816"/>
      <c r="M258" s="811"/>
      <c r="N258" s="811"/>
      <c r="O258" s="811"/>
      <c r="P258" s="811"/>
      <c r="Q258" s="811"/>
      <c r="R258" s="811"/>
      <c r="S258" s="811"/>
      <c r="T258" s="811"/>
      <c r="U258" s="811"/>
      <c r="V258" s="811"/>
      <c r="W258" s="811"/>
      <c r="X258" s="811"/>
      <c r="Y258" s="811"/>
      <c r="Z258" s="811"/>
    </row>
    <row r="259">
      <c r="A259" s="811"/>
      <c r="B259" s="854"/>
      <c r="C259" s="855"/>
      <c r="D259" s="811"/>
      <c r="E259" s="811"/>
      <c r="F259" s="816"/>
      <c r="G259" s="811"/>
      <c r="H259" s="811"/>
      <c r="I259" s="811"/>
      <c r="J259" s="811"/>
      <c r="K259" s="811"/>
      <c r="L259" s="816"/>
      <c r="M259" s="811"/>
      <c r="N259" s="811"/>
      <c r="O259" s="811"/>
      <c r="P259" s="811"/>
      <c r="Q259" s="811"/>
      <c r="R259" s="811"/>
      <c r="S259" s="811"/>
      <c r="T259" s="811"/>
      <c r="U259" s="811"/>
      <c r="V259" s="811"/>
      <c r="W259" s="811"/>
      <c r="X259" s="811"/>
      <c r="Y259" s="811"/>
      <c r="Z259" s="811"/>
    </row>
    <row r="260">
      <c r="A260" s="811"/>
      <c r="B260" s="854"/>
      <c r="C260" s="855"/>
      <c r="D260" s="811"/>
      <c r="E260" s="811"/>
      <c r="F260" s="816"/>
      <c r="G260" s="811"/>
      <c r="H260" s="811"/>
      <c r="I260" s="811"/>
      <c r="J260" s="811"/>
      <c r="K260" s="811"/>
      <c r="L260" s="816"/>
      <c r="M260" s="811"/>
      <c r="N260" s="811"/>
      <c r="O260" s="811"/>
      <c r="P260" s="811"/>
      <c r="Q260" s="811"/>
      <c r="R260" s="811"/>
      <c r="S260" s="811"/>
      <c r="T260" s="811"/>
      <c r="U260" s="811"/>
      <c r="V260" s="811"/>
      <c r="W260" s="811"/>
      <c r="X260" s="811"/>
      <c r="Y260" s="811"/>
      <c r="Z260" s="811"/>
    </row>
    <row r="261">
      <c r="A261" s="811"/>
      <c r="B261" s="854"/>
      <c r="C261" s="855"/>
      <c r="D261" s="811"/>
      <c r="E261" s="811"/>
      <c r="F261" s="816"/>
      <c r="G261" s="811"/>
      <c r="H261" s="811"/>
      <c r="I261" s="811"/>
      <c r="J261" s="811"/>
      <c r="K261" s="811"/>
      <c r="L261" s="816"/>
      <c r="M261" s="811"/>
      <c r="N261" s="811"/>
      <c r="O261" s="811"/>
      <c r="P261" s="811"/>
      <c r="Q261" s="811"/>
      <c r="R261" s="811"/>
      <c r="S261" s="811"/>
      <c r="T261" s="811"/>
      <c r="U261" s="811"/>
      <c r="V261" s="811"/>
      <c r="W261" s="811"/>
      <c r="X261" s="811"/>
      <c r="Y261" s="811"/>
      <c r="Z261" s="811"/>
    </row>
    <row r="262">
      <c r="A262" s="811"/>
      <c r="B262" s="854"/>
      <c r="C262" s="855"/>
      <c r="D262" s="811"/>
      <c r="E262" s="811"/>
      <c r="F262" s="816"/>
      <c r="G262" s="811"/>
      <c r="H262" s="811"/>
      <c r="I262" s="811"/>
      <c r="J262" s="811"/>
      <c r="K262" s="811"/>
      <c r="L262" s="816"/>
      <c r="M262" s="811"/>
      <c r="N262" s="811"/>
      <c r="O262" s="811"/>
      <c r="P262" s="811"/>
      <c r="Q262" s="811"/>
      <c r="R262" s="811"/>
      <c r="S262" s="811"/>
      <c r="T262" s="811"/>
      <c r="U262" s="811"/>
      <c r="V262" s="811"/>
      <c r="W262" s="811"/>
      <c r="X262" s="811"/>
      <c r="Y262" s="811"/>
      <c r="Z262" s="811"/>
    </row>
    <row r="263">
      <c r="A263" s="811"/>
      <c r="B263" s="854"/>
      <c r="C263" s="855"/>
      <c r="D263" s="811"/>
      <c r="E263" s="811"/>
      <c r="F263" s="816"/>
      <c r="G263" s="811"/>
      <c r="H263" s="811"/>
      <c r="I263" s="811"/>
      <c r="J263" s="811"/>
      <c r="K263" s="811"/>
      <c r="L263" s="816"/>
      <c r="M263" s="811"/>
      <c r="N263" s="811"/>
      <c r="O263" s="811"/>
      <c r="P263" s="811"/>
      <c r="Q263" s="811"/>
      <c r="R263" s="811"/>
      <c r="S263" s="811"/>
      <c r="T263" s="811"/>
      <c r="U263" s="811"/>
      <c r="V263" s="811"/>
      <c r="W263" s="811"/>
      <c r="X263" s="811"/>
      <c r="Y263" s="811"/>
      <c r="Z263" s="811"/>
    </row>
    <row r="264">
      <c r="A264" s="811"/>
      <c r="B264" s="854"/>
      <c r="C264" s="855"/>
      <c r="D264" s="811"/>
      <c r="E264" s="811"/>
      <c r="F264" s="816"/>
      <c r="G264" s="811"/>
      <c r="H264" s="811"/>
      <c r="I264" s="811"/>
      <c r="J264" s="811"/>
      <c r="K264" s="811"/>
      <c r="L264" s="816"/>
      <c r="M264" s="811"/>
      <c r="N264" s="811"/>
      <c r="O264" s="811"/>
      <c r="P264" s="811"/>
      <c r="Q264" s="811"/>
      <c r="R264" s="811"/>
      <c r="S264" s="811"/>
      <c r="T264" s="811"/>
      <c r="U264" s="811"/>
      <c r="V264" s="811"/>
      <c r="W264" s="811"/>
      <c r="X264" s="811"/>
      <c r="Y264" s="811"/>
      <c r="Z264" s="811"/>
    </row>
    <row r="265">
      <c r="A265" s="811"/>
      <c r="B265" s="854"/>
      <c r="C265" s="855"/>
      <c r="D265" s="811"/>
      <c r="E265" s="811"/>
      <c r="F265" s="816"/>
      <c r="G265" s="811"/>
      <c r="H265" s="811"/>
      <c r="I265" s="811"/>
      <c r="J265" s="811"/>
      <c r="K265" s="811"/>
      <c r="L265" s="816"/>
      <c r="M265" s="811"/>
      <c r="N265" s="811"/>
      <c r="O265" s="811"/>
      <c r="P265" s="811"/>
      <c r="Q265" s="811"/>
      <c r="R265" s="811"/>
      <c r="S265" s="811"/>
      <c r="T265" s="811"/>
      <c r="U265" s="811"/>
      <c r="V265" s="811"/>
      <c r="W265" s="811"/>
      <c r="X265" s="811"/>
      <c r="Y265" s="811"/>
      <c r="Z265" s="811"/>
    </row>
    <row r="266">
      <c r="A266" s="811"/>
      <c r="B266" s="854"/>
      <c r="C266" s="855"/>
      <c r="D266" s="811"/>
      <c r="E266" s="811"/>
      <c r="F266" s="816"/>
      <c r="G266" s="811"/>
      <c r="H266" s="811"/>
      <c r="I266" s="811"/>
      <c r="J266" s="811"/>
      <c r="K266" s="811"/>
      <c r="L266" s="816"/>
      <c r="M266" s="811"/>
      <c r="N266" s="811"/>
      <c r="O266" s="811"/>
      <c r="P266" s="811"/>
      <c r="Q266" s="811"/>
      <c r="R266" s="811"/>
      <c r="S266" s="811"/>
      <c r="T266" s="811"/>
      <c r="U266" s="811"/>
      <c r="V266" s="811"/>
      <c r="W266" s="811"/>
      <c r="X266" s="811"/>
      <c r="Y266" s="811"/>
      <c r="Z266" s="811"/>
    </row>
    <row r="267">
      <c r="A267" s="811"/>
      <c r="B267" s="854"/>
      <c r="C267" s="855"/>
      <c r="D267" s="811"/>
      <c r="E267" s="811"/>
      <c r="F267" s="816"/>
      <c r="G267" s="811"/>
      <c r="H267" s="811"/>
      <c r="I267" s="811"/>
      <c r="J267" s="811"/>
      <c r="K267" s="811"/>
      <c r="L267" s="816"/>
      <c r="M267" s="811"/>
      <c r="N267" s="811"/>
      <c r="O267" s="811"/>
      <c r="P267" s="811"/>
      <c r="Q267" s="811"/>
      <c r="R267" s="811"/>
      <c r="S267" s="811"/>
      <c r="T267" s="811"/>
      <c r="U267" s="811"/>
      <c r="V267" s="811"/>
      <c r="W267" s="811"/>
      <c r="X267" s="811"/>
      <c r="Y267" s="811"/>
      <c r="Z267" s="811"/>
    </row>
    <row r="268">
      <c r="A268" s="811"/>
      <c r="B268" s="854"/>
      <c r="C268" s="855"/>
      <c r="D268" s="811"/>
      <c r="E268" s="811"/>
      <c r="F268" s="816"/>
      <c r="G268" s="811"/>
      <c r="H268" s="811"/>
      <c r="I268" s="811"/>
      <c r="J268" s="811"/>
      <c r="K268" s="811"/>
      <c r="L268" s="816"/>
      <c r="M268" s="811"/>
      <c r="N268" s="811"/>
      <c r="O268" s="811"/>
      <c r="P268" s="811"/>
      <c r="Q268" s="811"/>
      <c r="R268" s="811"/>
      <c r="S268" s="811"/>
      <c r="T268" s="811"/>
      <c r="U268" s="811"/>
      <c r="V268" s="811"/>
      <c r="W268" s="811"/>
      <c r="X268" s="811"/>
      <c r="Y268" s="811"/>
      <c r="Z268" s="811"/>
    </row>
    <row r="269">
      <c r="A269" s="811"/>
      <c r="B269" s="854"/>
      <c r="C269" s="855"/>
      <c r="D269" s="811"/>
      <c r="E269" s="811"/>
      <c r="F269" s="816"/>
      <c r="G269" s="811"/>
      <c r="H269" s="811"/>
      <c r="I269" s="811"/>
      <c r="J269" s="811"/>
      <c r="K269" s="811"/>
      <c r="L269" s="816"/>
      <c r="M269" s="811"/>
      <c r="N269" s="811"/>
      <c r="O269" s="811"/>
      <c r="P269" s="811"/>
      <c r="Q269" s="811"/>
      <c r="R269" s="811"/>
      <c r="S269" s="811"/>
      <c r="T269" s="811"/>
      <c r="U269" s="811"/>
      <c r="V269" s="811"/>
      <c r="W269" s="811"/>
      <c r="X269" s="811"/>
      <c r="Y269" s="811"/>
      <c r="Z269" s="811"/>
    </row>
    <row r="270">
      <c r="A270" s="811"/>
      <c r="B270" s="854"/>
      <c r="C270" s="855"/>
      <c r="D270" s="811"/>
      <c r="E270" s="811"/>
      <c r="F270" s="816"/>
      <c r="G270" s="811"/>
      <c r="H270" s="811"/>
      <c r="I270" s="811"/>
      <c r="J270" s="811"/>
      <c r="K270" s="811"/>
      <c r="L270" s="816"/>
      <c r="M270" s="811"/>
      <c r="N270" s="811"/>
      <c r="O270" s="811"/>
      <c r="P270" s="811"/>
      <c r="Q270" s="811"/>
      <c r="R270" s="811"/>
      <c r="S270" s="811"/>
      <c r="T270" s="811"/>
      <c r="U270" s="811"/>
      <c r="V270" s="811"/>
      <c r="W270" s="811"/>
      <c r="X270" s="811"/>
      <c r="Y270" s="811"/>
      <c r="Z270" s="811"/>
    </row>
    <row r="271">
      <c r="A271" s="811"/>
      <c r="B271" s="854"/>
      <c r="C271" s="855"/>
      <c r="D271" s="811"/>
      <c r="E271" s="811"/>
      <c r="F271" s="816"/>
      <c r="G271" s="811"/>
      <c r="H271" s="811"/>
      <c r="I271" s="811"/>
      <c r="J271" s="811"/>
      <c r="K271" s="811"/>
      <c r="L271" s="816"/>
      <c r="M271" s="811"/>
      <c r="N271" s="811"/>
      <c r="O271" s="811"/>
      <c r="P271" s="811"/>
      <c r="Q271" s="811"/>
      <c r="R271" s="811"/>
      <c r="S271" s="811"/>
      <c r="T271" s="811"/>
      <c r="U271" s="811"/>
      <c r="V271" s="811"/>
      <c r="W271" s="811"/>
      <c r="X271" s="811"/>
      <c r="Y271" s="811"/>
      <c r="Z271" s="811"/>
    </row>
    <row r="272">
      <c r="A272" s="811"/>
      <c r="B272" s="854"/>
      <c r="C272" s="855"/>
      <c r="D272" s="811"/>
      <c r="E272" s="811"/>
      <c r="F272" s="816"/>
      <c r="G272" s="811"/>
      <c r="H272" s="811"/>
      <c r="I272" s="811"/>
      <c r="J272" s="811"/>
      <c r="K272" s="811"/>
      <c r="L272" s="816"/>
      <c r="M272" s="811"/>
      <c r="N272" s="811"/>
      <c r="O272" s="811"/>
      <c r="P272" s="811"/>
      <c r="Q272" s="811"/>
      <c r="R272" s="811"/>
      <c r="S272" s="811"/>
      <c r="T272" s="811"/>
      <c r="U272" s="811"/>
      <c r="V272" s="811"/>
      <c r="W272" s="811"/>
      <c r="X272" s="811"/>
      <c r="Y272" s="811"/>
      <c r="Z272" s="811"/>
    </row>
    <row r="273">
      <c r="A273" s="811"/>
      <c r="B273" s="854"/>
      <c r="C273" s="855"/>
      <c r="D273" s="811"/>
      <c r="E273" s="811"/>
      <c r="F273" s="816"/>
      <c r="G273" s="811"/>
      <c r="H273" s="811"/>
      <c r="I273" s="811"/>
      <c r="J273" s="811"/>
      <c r="K273" s="811"/>
      <c r="L273" s="816"/>
      <c r="M273" s="811"/>
      <c r="N273" s="811"/>
      <c r="O273" s="811"/>
      <c r="P273" s="811"/>
      <c r="Q273" s="811"/>
      <c r="R273" s="811"/>
      <c r="S273" s="811"/>
      <c r="T273" s="811"/>
      <c r="U273" s="811"/>
      <c r="V273" s="811"/>
      <c r="W273" s="811"/>
      <c r="X273" s="811"/>
      <c r="Y273" s="811"/>
      <c r="Z273" s="811"/>
    </row>
    <row r="274">
      <c r="A274" s="811"/>
      <c r="B274" s="854"/>
      <c r="C274" s="855"/>
      <c r="D274" s="811"/>
      <c r="E274" s="811"/>
      <c r="F274" s="816"/>
      <c r="G274" s="811"/>
      <c r="H274" s="811"/>
      <c r="I274" s="811"/>
      <c r="J274" s="811"/>
      <c r="K274" s="811"/>
      <c r="L274" s="816"/>
      <c r="M274" s="811"/>
      <c r="N274" s="811"/>
      <c r="O274" s="811"/>
      <c r="P274" s="811"/>
      <c r="Q274" s="811"/>
      <c r="R274" s="811"/>
      <c r="S274" s="811"/>
      <c r="T274" s="811"/>
      <c r="U274" s="811"/>
      <c r="V274" s="811"/>
      <c r="W274" s="811"/>
      <c r="X274" s="811"/>
      <c r="Y274" s="811"/>
      <c r="Z274" s="811"/>
    </row>
    <row r="275">
      <c r="A275" s="811"/>
      <c r="B275" s="854"/>
      <c r="C275" s="855"/>
      <c r="D275" s="811"/>
      <c r="E275" s="811"/>
      <c r="F275" s="816"/>
      <c r="G275" s="811"/>
      <c r="H275" s="811"/>
      <c r="I275" s="811"/>
      <c r="J275" s="811"/>
      <c r="K275" s="811"/>
      <c r="L275" s="816"/>
      <c r="M275" s="811"/>
      <c r="N275" s="811"/>
      <c r="O275" s="811"/>
      <c r="P275" s="811"/>
      <c r="Q275" s="811"/>
      <c r="R275" s="811"/>
      <c r="S275" s="811"/>
      <c r="T275" s="811"/>
      <c r="U275" s="811"/>
      <c r="V275" s="811"/>
      <c r="W275" s="811"/>
      <c r="X275" s="811"/>
      <c r="Y275" s="811"/>
      <c r="Z275" s="811"/>
    </row>
    <row r="276">
      <c r="A276" s="811"/>
      <c r="B276" s="854"/>
      <c r="C276" s="855"/>
      <c r="D276" s="811"/>
      <c r="E276" s="811"/>
      <c r="F276" s="816"/>
      <c r="G276" s="811"/>
      <c r="H276" s="811"/>
      <c r="I276" s="811"/>
      <c r="J276" s="811"/>
      <c r="K276" s="811"/>
      <c r="L276" s="816"/>
      <c r="M276" s="811"/>
      <c r="N276" s="811"/>
      <c r="O276" s="811"/>
      <c r="P276" s="811"/>
      <c r="Q276" s="811"/>
      <c r="R276" s="811"/>
      <c r="S276" s="811"/>
      <c r="T276" s="811"/>
      <c r="U276" s="811"/>
      <c r="V276" s="811"/>
      <c r="W276" s="811"/>
      <c r="X276" s="811"/>
      <c r="Y276" s="811"/>
      <c r="Z276" s="811"/>
    </row>
    <row r="277">
      <c r="A277" s="811"/>
      <c r="B277" s="854"/>
      <c r="C277" s="855"/>
      <c r="D277" s="811"/>
      <c r="E277" s="811"/>
      <c r="F277" s="816"/>
      <c r="G277" s="811"/>
      <c r="H277" s="811"/>
      <c r="I277" s="811"/>
      <c r="J277" s="811"/>
      <c r="K277" s="811"/>
      <c r="L277" s="816"/>
      <c r="M277" s="811"/>
      <c r="N277" s="811"/>
      <c r="O277" s="811"/>
      <c r="P277" s="811"/>
      <c r="Q277" s="811"/>
      <c r="R277" s="811"/>
      <c r="S277" s="811"/>
      <c r="T277" s="811"/>
      <c r="U277" s="811"/>
      <c r="V277" s="811"/>
      <c r="W277" s="811"/>
      <c r="X277" s="811"/>
      <c r="Y277" s="811"/>
      <c r="Z277" s="811"/>
    </row>
    <row r="278">
      <c r="A278" s="811"/>
      <c r="B278" s="854"/>
      <c r="C278" s="855"/>
      <c r="D278" s="811"/>
      <c r="E278" s="811"/>
      <c r="F278" s="816"/>
      <c r="G278" s="811"/>
      <c r="H278" s="811"/>
      <c r="I278" s="811"/>
      <c r="J278" s="811"/>
      <c r="K278" s="811"/>
      <c r="L278" s="816"/>
      <c r="M278" s="811"/>
      <c r="N278" s="811"/>
      <c r="O278" s="811"/>
      <c r="P278" s="811"/>
      <c r="Q278" s="811"/>
      <c r="R278" s="811"/>
      <c r="S278" s="811"/>
      <c r="T278" s="811"/>
      <c r="U278" s="811"/>
      <c r="V278" s="811"/>
      <c r="W278" s="811"/>
      <c r="X278" s="811"/>
      <c r="Y278" s="811"/>
      <c r="Z278" s="811"/>
    </row>
    <row r="279">
      <c r="A279" s="811"/>
      <c r="B279" s="854"/>
      <c r="C279" s="855"/>
      <c r="D279" s="811"/>
      <c r="E279" s="811"/>
      <c r="F279" s="816"/>
      <c r="G279" s="811"/>
      <c r="H279" s="811"/>
      <c r="I279" s="811"/>
      <c r="J279" s="811"/>
      <c r="K279" s="811"/>
      <c r="L279" s="816"/>
      <c r="M279" s="811"/>
      <c r="N279" s="811"/>
      <c r="O279" s="811"/>
      <c r="P279" s="811"/>
      <c r="Q279" s="811"/>
      <c r="R279" s="811"/>
      <c r="S279" s="811"/>
      <c r="T279" s="811"/>
      <c r="U279" s="811"/>
      <c r="V279" s="811"/>
      <c r="W279" s="811"/>
      <c r="X279" s="811"/>
      <c r="Y279" s="811"/>
      <c r="Z279" s="811"/>
    </row>
    <row r="280">
      <c r="A280" s="811"/>
      <c r="B280" s="854"/>
      <c r="C280" s="855"/>
      <c r="D280" s="811"/>
      <c r="E280" s="811"/>
      <c r="F280" s="816"/>
      <c r="G280" s="811"/>
      <c r="H280" s="811"/>
      <c r="I280" s="811"/>
      <c r="J280" s="811"/>
      <c r="K280" s="811"/>
      <c r="L280" s="816"/>
      <c r="M280" s="811"/>
      <c r="N280" s="811"/>
      <c r="O280" s="811"/>
      <c r="P280" s="811"/>
      <c r="Q280" s="811"/>
      <c r="R280" s="811"/>
      <c r="S280" s="811"/>
      <c r="T280" s="811"/>
      <c r="U280" s="811"/>
      <c r="V280" s="811"/>
      <c r="W280" s="811"/>
      <c r="X280" s="811"/>
      <c r="Y280" s="811"/>
      <c r="Z280" s="811"/>
    </row>
    <row r="281">
      <c r="A281" s="811"/>
      <c r="B281" s="854"/>
      <c r="C281" s="855"/>
      <c r="D281" s="811"/>
      <c r="E281" s="811"/>
      <c r="F281" s="816"/>
      <c r="G281" s="811"/>
      <c r="H281" s="811"/>
      <c r="I281" s="811"/>
      <c r="J281" s="811"/>
      <c r="K281" s="811"/>
      <c r="L281" s="816"/>
      <c r="M281" s="811"/>
      <c r="N281" s="811"/>
      <c r="O281" s="811"/>
      <c r="P281" s="811"/>
      <c r="Q281" s="811"/>
      <c r="R281" s="811"/>
      <c r="S281" s="811"/>
      <c r="T281" s="811"/>
      <c r="U281" s="811"/>
      <c r="V281" s="811"/>
      <c r="W281" s="811"/>
      <c r="X281" s="811"/>
      <c r="Y281" s="811"/>
      <c r="Z281" s="811"/>
    </row>
    <row r="282">
      <c r="A282" s="811"/>
      <c r="B282" s="854"/>
      <c r="C282" s="855"/>
      <c r="D282" s="811"/>
      <c r="E282" s="811"/>
      <c r="F282" s="816"/>
      <c r="G282" s="811"/>
      <c r="H282" s="811"/>
      <c r="I282" s="811"/>
      <c r="J282" s="811"/>
      <c r="K282" s="811"/>
      <c r="L282" s="816"/>
      <c r="M282" s="811"/>
      <c r="N282" s="811"/>
      <c r="O282" s="811"/>
      <c r="P282" s="811"/>
      <c r="Q282" s="811"/>
      <c r="R282" s="811"/>
      <c r="S282" s="811"/>
      <c r="T282" s="811"/>
      <c r="U282" s="811"/>
      <c r="V282" s="811"/>
      <c r="W282" s="811"/>
      <c r="X282" s="811"/>
      <c r="Y282" s="811"/>
      <c r="Z282" s="811"/>
    </row>
    <row r="283">
      <c r="A283" s="811"/>
      <c r="B283" s="854"/>
      <c r="C283" s="855"/>
      <c r="D283" s="811"/>
      <c r="E283" s="811"/>
      <c r="F283" s="816"/>
      <c r="G283" s="811"/>
      <c r="H283" s="811"/>
      <c r="I283" s="811"/>
      <c r="J283" s="811"/>
      <c r="K283" s="811"/>
      <c r="L283" s="816"/>
      <c r="M283" s="811"/>
      <c r="N283" s="811"/>
      <c r="O283" s="811"/>
      <c r="P283" s="811"/>
      <c r="Q283" s="811"/>
      <c r="R283" s="811"/>
      <c r="S283" s="811"/>
      <c r="T283" s="811"/>
      <c r="U283" s="811"/>
      <c r="V283" s="811"/>
      <c r="W283" s="811"/>
      <c r="X283" s="811"/>
      <c r="Y283" s="811"/>
      <c r="Z283" s="811"/>
    </row>
    <row r="284">
      <c r="A284" s="811"/>
      <c r="B284" s="854"/>
      <c r="C284" s="855"/>
      <c r="D284" s="811"/>
      <c r="E284" s="811"/>
      <c r="F284" s="816"/>
      <c r="G284" s="811"/>
      <c r="H284" s="811"/>
      <c r="I284" s="811"/>
      <c r="J284" s="811"/>
      <c r="K284" s="811"/>
      <c r="L284" s="816"/>
      <c r="M284" s="811"/>
      <c r="N284" s="811"/>
      <c r="O284" s="811"/>
      <c r="P284" s="811"/>
      <c r="Q284" s="811"/>
      <c r="R284" s="811"/>
      <c r="S284" s="811"/>
      <c r="T284" s="811"/>
      <c r="U284" s="811"/>
      <c r="V284" s="811"/>
      <c r="W284" s="811"/>
      <c r="X284" s="811"/>
      <c r="Y284" s="811"/>
      <c r="Z284" s="811"/>
    </row>
    <row r="285">
      <c r="A285" s="811"/>
      <c r="B285" s="854"/>
      <c r="C285" s="855"/>
      <c r="D285" s="811"/>
      <c r="E285" s="811"/>
      <c r="F285" s="816"/>
      <c r="G285" s="811"/>
      <c r="H285" s="811"/>
      <c r="I285" s="811"/>
      <c r="J285" s="811"/>
      <c r="K285" s="811"/>
      <c r="L285" s="816"/>
      <c r="M285" s="811"/>
      <c r="N285" s="811"/>
      <c r="O285" s="811"/>
      <c r="P285" s="811"/>
      <c r="Q285" s="811"/>
      <c r="R285" s="811"/>
      <c r="S285" s="811"/>
      <c r="T285" s="811"/>
      <c r="U285" s="811"/>
      <c r="V285" s="811"/>
      <c r="W285" s="811"/>
      <c r="X285" s="811"/>
      <c r="Y285" s="811"/>
      <c r="Z285" s="811"/>
    </row>
    <row r="286">
      <c r="A286" s="811"/>
      <c r="B286" s="854"/>
      <c r="C286" s="855"/>
      <c r="D286" s="811"/>
      <c r="E286" s="811"/>
      <c r="F286" s="816"/>
      <c r="G286" s="811"/>
      <c r="H286" s="811"/>
      <c r="I286" s="811"/>
      <c r="J286" s="811"/>
      <c r="K286" s="811"/>
      <c r="L286" s="816"/>
      <c r="M286" s="811"/>
      <c r="N286" s="811"/>
      <c r="O286" s="811"/>
      <c r="P286" s="811"/>
      <c r="Q286" s="811"/>
      <c r="R286" s="811"/>
      <c r="S286" s="811"/>
      <c r="T286" s="811"/>
      <c r="U286" s="811"/>
      <c r="V286" s="811"/>
      <c r="W286" s="811"/>
      <c r="X286" s="811"/>
      <c r="Y286" s="811"/>
      <c r="Z286" s="811"/>
    </row>
    <row r="287">
      <c r="A287" s="811"/>
      <c r="B287" s="854"/>
      <c r="C287" s="855"/>
      <c r="D287" s="811"/>
      <c r="E287" s="811"/>
      <c r="F287" s="816"/>
      <c r="G287" s="811"/>
      <c r="H287" s="811"/>
      <c r="I287" s="811"/>
      <c r="J287" s="811"/>
      <c r="K287" s="811"/>
      <c r="L287" s="816"/>
      <c r="M287" s="811"/>
      <c r="N287" s="811"/>
      <c r="O287" s="811"/>
      <c r="P287" s="811"/>
      <c r="Q287" s="811"/>
      <c r="R287" s="811"/>
      <c r="S287" s="811"/>
      <c r="T287" s="811"/>
      <c r="U287" s="811"/>
      <c r="V287" s="811"/>
      <c r="W287" s="811"/>
      <c r="X287" s="811"/>
      <c r="Y287" s="811"/>
      <c r="Z287" s="811"/>
    </row>
    <row r="288">
      <c r="A288" s="811"/>
      <c r="B288" s="854"/>
      <c r="C288" s="855"/>
      <c r="D288" s="811"/>
      <c r="E288" s="811"/>
      <c r="F288" s="816"/>
      <c r="G288" s="811"/>
      <c r="H288" s="811"/>
      <c r="I288" s="811"/>
      <c r="J288" s="811"/>
      <c r="K288" s="811"/>
      <c r="L288" s="816"/>
      <c r="M288" s="811"/>
      <c r="N288" s="811"/>
      <c r="O288" s="811"/>
      <c r="P288" s="811"/>
      <c r="Q288" s="811"/>
      <c r="R288" s="811"/>
      <c r="S288" s="811"/>
      <c r="T288" s="811"/>
      <c r="U288" s="811"/>
      <c r="V288" s="811"/>
      <c r="W288" s="811"/>
      <c r="X288" s="811"/>
      <c r="Y288" s="811"/>
      <c r="Z288" s="811"/>
    </row>
    <row r="289">
      <c r="A289" s="811"/>
      <c r="B289" s="854"/>
      <c r="C289" s="855"/>
      <c r="D289" s="811"/>
      <c r="E289" s="811"/>
      <c r="F289" s="816"/>
      <c r="G289" s="811"/>
      <c r="H289" s="811"/>
      <c r="I289" s="811"/>
      <c r="J289" s="811"/>
      <c r="K289" s="811"/>
      <c r="L289" s="816"/>
      <c r="M289" s="811"/>
      <c r="N289" s="811"/>
      <c r="O289" s="811"/>
      <c r="P289" s="811"/>
      <c r="Q289" s="811"/>
      <c r="R289" s="811"/>
      <c r="S289" s="811"/>
      <c r="T289" s="811"/>
      <c r="U289" s="811"/>
      <c r="V289" s="811"/>
      <c r="W289" s="811"/>
      <c r="X289" s="811"/>
      <c r="Y289" s="811"/>
      <c r="Z289" s="811"/>
    </row>
    <row r="290">
      <c r="A290" s="811"/>
      <c r="B290" s="854"/>
      <c r="C290" s="855"/>
      <c r="D290" s="811"/>
      <c r="E290" s="811"/>
      <c r="F290" s="816"/>
      <c r="G290" s="811"/>
      <c r="H290" s="811"/>
      <c r="I290" s="811"/>
      <c r="J290" s="811"/>
      <c r="K290" s="811"/>
      <c r="L290" s="816"/>
      <c r="M290" s="811"/>
      <c r="N290" s="811"/>
      <c r="O290" s="811"/>
      <c r="P290" s="811"/>
      <c r="Q290" s="811"/>
      <c r="R290" s="811"/>
      <c r="S290" s="811"/>
      <c r="T290" s="811"/>
      <c r="U290" s="811"/>
      <c r="V290" s="811"/>
      <c r="W290" s="811"/>
      <c r="X290" s="811"/>
      <c r="Y290" s="811"/>
      <c r="Z290" s="811"/>
    </row>
    <row r="291">
      <c r="A291" s="811"/>
      <c r="B291" s="854"/>
      <c r="C291" s="855"/>
      <c r="D291" s="811"/>
      <c r="E291" s="811"/>
      <c r="F291" s="816"/>
      <c r="G291" s="811"/>
      <c r="H291" s="811"/>
      <c r="I291" s="811"/>
      <c r="J291" s="811"/>
      <c r="K291" s="811"/>
      <c r="L291" s="816"/>
      <c r="M291" s="811"/>
      <c r="N291" s="811"/>
      <c r="O291" s="811"/>
      <c r="P291" s="811"/>
      <c r="Q291" s="811"/>
      <c r="R291" s="811"/>
      <c r="S291" s="811"/>
      <c r="T291" s="811"/>
      <c r="U291" s="811"/>
      <c r="V291" s="811"/>
      <c r="W291" s="811"/>
      <c r="X291" s="811"/>
      <c r="Y291" s="811"/>
      <c r="Z291" s="811"/>
    </row>
    <row r="292">
      <c r="A292" s="811"/>
      <c r="B292" s="854"/>
      <c r="C292" s="855"/>
      <c r="D292" s="811"/>
      <c r="E292" s="811"/>
      <c r="F292" s="816"/>
      <c r="G292" s="811"/>
      <c r="H292" s="811"/>
      <c r="I292" s="811"/>
      <c r="J292" s="811"/>
      <c r="K292" s="811"/>
      <c r="L292" s="816"/>
      <c r="M292" s="811"/>
      <c r="N292" s="811"/>
      <c r="O292" s="811"/>
      <c r="P292" s="811"/>
      <c r="Q292" s="811"/>
      <c r="R292" s="811"/>
      <c r="S292" s="811"/>
      <c r="T292" s="811"/>
      <c r="U292" s="811"/>
      <c r="V292" s="811"/>
      <c r="W292" s="811"/>
      <c r="X292" s="811"/>
      <c r="Y292" s="811"/>
      <c r="Z292" s="811"/>
    </row>
    <row r="293">
      <c r="A293" s="811"/>
      <c r="B293" s="854"/>
      <c r="C293" s="855"/>
      <c r="D293" s="811"/>
      <c r="E293" s="811"/>
      <c r="F293" s="816"/>
      <c r="G293" s="811"/>
      <c r="H293" s="811"/>
      <c r="I293" s="811"/>
      <c r="J293" s="811"/>
      <c r="K293" s="811"/>
      <c r="L293" s="816"/>
      <c r="M293" s="811"/>
      <c r="N293" s="811"/>
      <c r="O293" s="811"/>
      <c r="P293" s="811"/>
      <c r="Q293" s="811"/>
      <c r="R293" s="811"/>
      <c r="S293" s="811"/>
      <c r="T293" s="811"/>
      <c r="U293" s="811"/>
      <c r="V293" s="811"/>
      <c r="W293" s="811"/>
      <c r="X293" s="811"/>
      <c r="Y293" s="811"/>
      <c r="Z293" s="811"/>
    </row>
    <row r="294">
      <c r="A294" s="811"/>
      <c r="B294" s="854"/>
      <c r="C294" s="855"/>
      <c r="D294" s="811"/>
      <c r="E294" s="811"/>
      <c r="F294" s="816"/>
      <c r="G294" s="811"/>
      <c r="H294" s="811"/>
      <c r="I294" s="811"/>
      <c r="J294" s="811"/>
      <c r="K294" s="811"/>
      <c r="L294" s="816"/>
      <c r="M294" s="811"/>
      <c r="N294" s="811"/>
      <c r="O294" s="811"/>
      <c r="P294" s="811"/>
      <c r="Q294" s="811"/>
      <c r="R294" s="811"/>
      <c r="S294" s="811"/>
      <c r="T294" s="811"/>
      <c r="U294" s="811"/>
      <c r="V294" s="811"/>
      <c r="W294" s="811"/>
      <c r="X294" s="811"/>
      <c r="Y294" s="811"/>
      <c r="Z294" s="811"/>
    </row>
    <row r="295">
      <c r="A295" s="811"/>
      <c r="B295" s="854"/>
      <c r="C295" s="855"/>
      <c r="D295" s="811"/>
      <c r="E295" s="811"/>
      <c r="F295" s="816"/>
      <c r="G295" s="811"/>
      <c r="H295" s="811"/>
      <c r="I295" s="811"/>
      <c r="J295" s="811"/>
      <c r="K295" s="811"/>
      <c r="L295" s="816"/>
      <c r="M295" s="811"/>
      <c r="N295" s="811"/>
      <c r="O295" s="811"/>
      <c r="P295" s="811"/>
      <c r="Q295" s="811"/>
      <c r="R295" s="811"/>
      <c r="S295" s="811"/>
      <c r="T295" s="811"/>
      <c r="U295" s="811"/>
      <c r="V295" s="811"/>
      <c r="W295" s="811"/>
      <c r="X295" s="811"/>
      <c r="Y295" s="811"/>
      <c r="Z295" s="811"/>
    </row>
    <row r="296">
      <c r="A296" s="811"/>
      <c r="B296" s="854"/>
      <c r="C296" s="855"/>
      <c r="D296" s="811"/>
      <c r="E296" s="811"/>
      <c r="F296" s="816"/>
      <c r="G296" s="811"/>
      <c r="H296" s="811"/>
      <c r="I296" s="811"/>
      <c r="J296" s="811"/>
      <c r="K296" s="811"/>
      <c r="L296" s="816"/>
      <c r="M296" s="811"/>
      <c r="N296" s="811"/>
      <c r="O296" s="811"/>
      <c r="P296" s="811"/>
      <c r="Q296" s="811"/>
      <c r="R296" s="811"/>
      <c r="S296" s="811"/>
      <c r="T296" s="811"/>
      <c r="U296" s="811"/>
      <c r="V296" s="811"/>
      <c r="W296" s="811"/>
      <c r="X296" s="811"/>
      <c r="Y296" s="811"/>
      <c r="Z296" s="811"/>
    </row>
    <row r="297">
      <c r="A297" s="811"/>
      <c r="B297" s="854"/>
      <c r="C297" s="855"/>
      <c r="D297" s="811"/>
      <c r="E297" s="811"/>
      <c r="F297" s="816"/>
      <c r="G297" s="811"/>
      <c r="H297" s="811"/>
      <c r="I297" s="811"/>
      <c r="J297" s="811"/>
      <c r="K297" s="811"/>
      <c r="L297" s="816"/>
      <c r="M297" s="811"/>
      <c r="N297" s="811"/>
      <c r="O297" s="811"/>
      <c r="P297" s="811"/>
      <c r="Q297" s="811"/>
      <c r="R297" s="811"/>
      <c r="S297" s="811"/>
      <c r="T297" s="811"/>
      <c r="U297" s="811"/>
      <c r="V297" s="811"/>
      <c r="W297" s="811"/>
      <c r="X297" s="811"/>
      <c r="Y297" s="811"/>
      <c r="Z297" s="811"/>
    </row>
    <row r="298">
      <c r="A298" s="811"/>
      <c r="B298" s="854"/>
      <c r="C298" s="855"/>
      <c r="D298" s="811"/>
      <c r="E298" s="811"/>
      <c r="F298" s="816"/>
      <c r="G298" s="811"/>
      <c r="H298" s="811"/>
      <c r="I298" s="811"/>
      <c r="J298" s="811"/>
      <c r="K298" s="811"/>
      <c r="L298" s="816"/>
      <c r="M298" s="811"/>
      <c r="N298" s="811"/>
      <c r="O298" s="811"/>
      <c r="P298" s="811"/>
      <c r="Q298" s="811"/>
      <c r="R298" s="811"/>
      <c r="S298" s="811"/>
      <c r="T298" s="811"/>
      <c r="U298" s="811"/>
      <c r="V298" s="811"/>
      <c r="W298" s="811"/>
      <c r="X298" s="811"/>
      <c r="Y298" s="811"/>
      <c r="Z298" s="811"/>
    </row>
    <row r="299">
      <c r="A299" s="811"/>
      <c r="B299" s="854"/>
      <c r="C299" s="855"/>
      <c r="D299" s="811"/>
      <c r="E299" s="811"/>
      <c r="F299" s="816"/>
      <c r="G299" s="811"/>
      <c r="H299" s="811"/>
      <c r="I299" s="811"/>
      <c r="J299" s="811"/>
      <c r="K299" s="811"/>
      <c r="L299" s="816"/>
      <c r="M299" s="811"/>
      <c r="N299" s="811"/>
      <c r="O299" s="811"/>
      <c r="P299" s="811"/>
      <c r="Q299" s="811"/>
      <c r="R299" s="811"/>
      <c r="S299" s="811"/>
      <c r="T299" s="811"/>
      <c r="U299" s="811"/>
      <c r="V299" s="811"/>
      <c r="W299" s="811"/>
      <c r="X299" s="811"/>
      <c r="Y299" s="811"/>
      <c r="Z299" s="811"/>
    </row>
    <row r="300">
      <c r="A300" s="811"/>
      <c r="B300" s="854"/>
      <c r="C300" s="855"/>
      <c r="D300" s="811"/>
      <c r="E300" s="811"/>
      <c r="F300" s="816"/>
      <c r="G300" s="811"/>
      <c r="H300" s="811"/>
      <c r="I300" s="811"/>
      <c r="J300" s="811"/>
      <c r="K300" s="811"/>
      <c r="L300" s="816"/>
      <c r="M300" s="811"/>
      <c r="N300" s="811"/>
      <c r="O300" s="811"/>
      <c r="P300" s="811"/>
      <c r="Q300" s="811"/>
      <c r="R300" s="811"/>
      <c r="S300" s="811"/>
      <c r="T300" s="811"/>
      <c r="U300" s="811"/>
      <c r="V300" s="811"/>
      <c r="W300" s="811"/>
      <c r="X300" s="811"/>
      <c r="Y300" s="811"/>
      <c r="Z300" s="811"/>
    </row>
    <row r="301">
      <c r="A301" s="811"/>
      <c r="B301" s="854"/>
      <c r="C301" s="855"/>
      <c r="D301" s="811"/>
      <c r="E301" s="811"/>
      <c r="F301" s="816"/>
      <c r="G301" s="811"/>
      <c r="H301" s="811"/>
      <c r="I301" s="811"/>
      <c r="J301" s="811"/>
      <c r="K301" s="811"/>
      <c r="L301" s="816"/>
      <c r="M301" s="811"/>
      <c r="N301" s="811"/>
      <c r="O301" s="811"/>
      <c r="P301" s="811"/>
      <c r="Q301" s="811"/>
      <c r="R301" s="811"/>
      <c r="S301" s="811"/>
      <c r="T301" s="811"/>
      <c r="U301" s="811"/>
      <c r="V301" s="811"/>
      <c r="W301" s="811"/>
      <c r="X301" s="811"/>
      <c r="Y301" s="811"/>
      <c r="Z301" s="811"/>
    </row>
    <row r="302">
      <c r="A302" s="811"/>
      <c r="B302" s="854"/>
      <c r="C302" s="855"/>
      <c r="D302" s="811"/>
      <c r="E302" s="811"/>
      <c r="F302" s="816"/>
      <c r="G302" s="811"/>
      <c r="H302" s="811"/>
      <c r="I302" s="811"/>
      <c r="J302" s="811"/>
      <c r="K302" s="811"/>
      <c r="L302" s="816"/>
      <c r="M302" s="811"/>
      <c r="N302" s="811"/>
      <c r="O302" s="811"/>
      <c r="P302" s="811"/>
      <c r="Q302" s="811"/>
      <c r="R302" s="811"/>
      <c r="S302" s="811"/>
      <c r="T302" s="811"/>
      <c r="U302" s="811"/>
      <c r="V302" s="811"/>
      <c r="W302" s="811"/>
      <c r="X302" s="811"/>
      <c r="Y302" s="811"/>
      <c r="Z302" s="811"/>
    </row>
    <row r="303">
      <c r="A303" s="811"/>
      <c r="B303" s="854"/>
      <c r="C303" s="855"/>
      <c r="D303" s="811"/>
      <c r="E303" s="811"/>
      <c r="F303" s="816"/>
      <c r="G303" s="811"/>
      <c r="H303" s="811"/>
      <c r="I303" s="811"/>
      <c r="J303" s="811"/>
      <c r="K303" s="811"/>
      <c r="L303" s="816"/>
      <c r="M303" s="811"/>
      <c r="N303" s="811"/>
      <c r="O303" s="811"/>
      <c r="P303" s="811"/>
      <c r="Q303" s="811"/>
      <c r="R303" s="811"/>
      <c r="S303" s="811"/>
      <c r="T303" s="811"/>
      <c r="U303" s="811"/>
      <c r="V303" s="811"/>
      <c r="W303" s="811"/>
      <c r="X303" s="811"/>
      <c r="Y303" s="811"/>
      <c r="Z303" s="811"/>
    </row>
    <row r="304">
      <c r="A304" s="811"/>
      <c r="B304" s="854"/>
      <c r="C304" s="855"/>
      <c r="D304" s="811"/>
      <c r="E304" s="811"/>
      <c r="F304" s="816"/>
      <c r="G304" s="811"/>
      <c r="H304" s="811"/>
      <c r="I304" s="811"/>
      <c r="J304" s="811"/>
      <c r="K304" s="811"/>
      <c r="L304" s="816"/>
      <c r="M304" s="811"/>
      <c r="N304" s="811"/>
      <c r="O304" s="811"/>
      <c r="P304" s="811"/>
      <c r="Q304" s="811"/>
      <c r="R304" s="811"/>
      <c r="S304" s="811"/>
      <c r="T304" s="811"/>
      <c r="U304" s="811"/>
      <c r="V304" s="811"/>
      <c r="W304" s="811"/>
      <c r="X304" s="811"/>
      <c r="Y304" s="811"/>
      <c r="Z304" s="811"/>
    </row>
    <row r="305">
      <c r="A305" s="811"/>
      <c r="B305" s="854"/>
      <c r="C305" s="855"/>
      <c r="D305" s="811"/>
      <c r="E305" s="811"/>
      <c r="F305" s="816"/>
      <c r="G305" s="811"/>
      <c r="H305" s="811"/>
      <c r="I305" s="811"/>
      <c r="J305" s="811"/>
      <c r="K305" s="811"/>
      <c r="L305" s="816"/>
      <c r="M305" s="811"/>
      <c r="N305" s="811"/>
      <c r="O305" s="811"/>
      <c r="P305" s="811"/>
      <c r="Q305" s="811"/>
      <c r="R305" s="811"/>
      <c r="S305" s="811"/>
      <c r="T305" s="811"/>
      <c r="U305" s="811"/>
      <c r="V305" s="811"/>
      <c r="W305" s="811"/>
      <c r="X305" s="811"/>
      <c r="Y305" s="811"/>
      <c r="Z305" s="811"/>
    </row>
    <row r="306">
      <c r="A306" s="811"/>
      <c r="B306" s="854"/>
      <c r="C306" s="855"/>
      <c r="D306" s="811"/>
      <c r="E306" s="811"/>
      <c r="F306" s="816"/>
      <c r="G306" s="811"/>
      <c r="H306" s="811"/>
      <c r="I306" s="811"/>
      <c r="J306" s="811"/>
      <c r="K306" s="811"/>
      <c r="L306" s="816"/>
      <c r="M306" s="811"/>
      <c r="N306" s="811"/>
      <c r="O306" s="811"/>
      <c r="P306" s="811"/>
      <c r="Q306" s="811"/>
      <c r="R306" s="811"/>
      <c r="S306" s="811"/>
      <c r="T306" s="811"/>
      <c r="U306" s="811"/>
      <c r="V306" s="811"/>
      <c r="W306" s="811"/>
      <c r="X306" s="811"/>
      <c r="Y306" s="811"/>
      <c r="Z306" s="811"/>
    </row>
    <row r="307">
      <c r="A307" s="811"/>
      <c r="B307" s="854"/>
      <c r="C307" s="855"/>
      <c r="D307" s="811"/>
      <c r="E307" s="811"/>
      <c r="F307" s="816"/>
      <c r="G307" s="811"/>
      <c r="H307" s="811"/>
      <c r="I307" s="811"/>
      <c r="J307" s="811"/>
      <c r="K307" s="811"/>
      <c r="L307" s="816"/>
      <c r="M307" s="811"/>
      <c r="N307" s="811"/>
      <c r="O307" s="811"/>
      <c r="P307" s="811"/>
      <c r="Q307" s="811"/>
      <c r="R307" s="811"/>
      <c r="S307" s="811"/>
      <c r="T307" s="811"/>
      <c r="U307" s="811"/>
      <c r="V307" s="811"/>
      <c r="W307" s="811"/>
      <c r="X307" s="811"/>
      <c r="Y307" s="811"/>
      <c r="Z307" s="811"/>
    </row>
    <row r="308">
      <c r="A308" s="811"/>
      <c r="B308" s="854"/>
      <c r="C308" s="855"/>
      <c r="D308" s="811"/>
      <c r="E308" s="811"/>
      <c r="F308" s="816"/>
      <c r="G308" s="811"/>
      <c r="H308" s="811"/>
      <c r="I308" s="811"/>
      <c r="J308" s="811"/>
      <c r="K308" s="811"/>
      <c r="L308" s="816"/>
      <c r="M308" s="811"/>
      <c r="N308" s="811"/>
      <c r="O308" s="811"/>
      <c r="P308" s="811"/>
      <c r="Q308" s="811"/>
      <c r="R308" s="811"/>
      <c r="S308" s="811"/>
      <c r="T308" s="811"/>
      <c r="U308" s="811"/>
      <c r="V308" s="811"/>
      <c r="W308" s="811"/>
      <c r="X308" s="811"/>
      <c r="Y308" s="811"/>
      <c r="Z308" s="811"/>
    </row>
    <row r="309">
      <c r="A309" s="811"/>
      <c r="B309" s="854"/>
      <c r="C309" s="855"/>
      <c r="D309" s="811"/>
      <c r="E309" s="811"/>
      <c r="F309" s="816"/>
      <c r="G309" s="811"/>
      <c r="H309" s="811"/>
      <c r="I309" s="811"/>
      <c r="J309" s="811"/>
      <c r="K309" s="811"/>
      <c r="L309" s="816"/>
      <c r="M309" s="811"/>
      <c r="N309" s="811"/>
      <c r="O309" s="811"/>
      <c r="P309" s="811"/>
      <c r="Q309" s="811"/>
      <c r="R309" s="811"/>
      <c r="S309" s="811"/>
      <c r="T309" s="811"/>
      <c r="U309" s="811"/>
      <c r="V309" s="811"/>
      <c r="W309" s="811"/>
      <c r="X309" s="811"/>
      <c r="Y309" s="811"/>
      <c r="Z309" s="811"/>
    </row>
    <row r="310">
      <c r="A310" s="811"/>
      <c r="B310" s="854"/>
      <c r="C310" s="855"/>
      <c r="D310" s="811"/>
      <c r="E310" s="811"/>
      <c r="F310" s="816"/>
      <c r="G310" s="811"/>
      <c r="H310" s="811"/>
      <c r="I310" s="811"/>
      <c r="J310" s="811"/>
      <c r="K310" s="811"/>
      <c r="L310" s="816"/>
      <c r="M310" s="811"/>
      <c r="N310" s="811"/>
      <c r="O310" s="811"/>
      <c r="P310" s="811"/>
      <c r="Q310" s="811"/>
      <c r="R310" s="811"/>
      <c r="S310" s="811"/>
      <c r="T310" s="811"/>
      <c r="U310" s="811"/>
      <c r="V310" s="811"/>
      <c r="W310" s="811"/>
      <c r="X310" s="811"/>
      <c r="Y310" s="811"/>
      <c r="Z310" s="811"/>
    </row>
    <row r="311">
      <c r="A311" s="811"/>
      <c r="B311" s="854"/>
      <c r="C311" s="855"/>
      <c r="D311" s="811"/>
      <c r="E311" s="811"/>
      <c r="F311" s="816"/>
      <c r="G311" s="811"/>
      <c r="H311" s="811"/>
      <c r="I311" s="811"/>
      <c r="J311" s="811"/>
      <c r="K311" s="811"/>
      <c r="L311" s="816"/>
      <c r="M311" s="811"/>
      <c r="N311" s="811"/>
      <c r="O311" s="811"/>
      <c r="P311" s="811"/>
      <c r="Q311" s="811"/>
      <c r="R311" s="811"/>
      <c r="S311" s="811"/>
      <c r="T311" s="811"/>
      <c r="U311" s="811"/>
      <c r="V311" s="811"/>
      <c r="W311" s="811"/>
      <c r="X311" s="811"/>
      <c r="Y311" s="811"/>
      <c r="Z311" s="811"/>
    </row>
    <row r="312">
      <c r="A312" s="811"/>
      <c r="B312" s="854"/>
      <c r="C312" s="855"/>
      <c r="D312" s="811"/>
      <c r="E312" s="811"/>
      <c r="F312" s="816"/>
      <c r="G312" s="811"/>
      <c r="H312" s="811"/>
      <c r="I312" s="811"/>
      <c r="J312" s="811"/>
      <c r="K312" s="811"/>
      <c r="L312" s="816"/>
      <c r="M312" s="811"/>
      <c r="N312" s="811"/>
      <c r="O312" s="811"/>
      <c r="P312" s="811"/>
      <c r="Q312" s="811"/>
      <c r="R312" s="811"/>
      <c r="S312" s="811"/>
      <c r="T312" s="811"/>
      <c r="U312" s="811"/>
      <c r="V312" s="811"/>
      <c r="W312" s="811"/>
      <c r="X312" s="811"/>
      <c r="Y312" s="811"/>
      <c r="Z312" s="811"/>
    </row>
    <row r="313">
      <c r="A313" s="811"/>
      <c r="B313" s="854"/>
      <c r="C313" s="855"/>
      <c r="D313" s="811"/>
      <c r="E313" s="811"/>
      <c r="F313" s="816"/>
      <c r="G313" s="811"/>
      <c r="H313" s="811"/>
      <c r="I313" s="811"/>
      <c r="J313" s="811"/>
      <c r="K313" s="811"/>
      <c r="L313" s="816"/>
      <c r="M313" s="811"/>
      <c r="N313" s="811"/>
      <c r="O313" s="811"/>
      <c r="P313" s="811"/>
      <c r="Q313" s="811"/>
      <c r="R313" s="811"/>
      <c r="S313" s="811"/>
      <c r="T313" s="811"/>
      <c r="U313" s="811"/>
      <c r="V313" s="811"/>
      <c r="W313" s="811"/>
      <c r="X313" s="811"/>
      <c r="Y313" s="811"/>
      <c r="Z313" s="811"/>
    </row>
    <row r="314">
      <c r="A314" s="811"/>
      <c r="B314" s="854"/>
      <c r="C314" s="855"/>
      <c r="D314" s="811"/>
      <c r="E314" s="811"/>
      <c r="F314" s="816"/>
      <c r="G314" s="811"/>
      <c r="H314" s="811"/>
      <c r="I314" s="811"/>
      <c r="J314" s="811"/>
      <c r="K314" s="811"/>
      <c r="L314" s="816"/>
      <c r="M314" s="811"/>
      <c r="N314" s="811"/>
      <c r="O314" s="811"/>
      <c r="P314" s="811"/>
      <c r="Q314" s="811"/>
      <c r="R314" s="811"/>
      <c r="S314" s="811"/>
      <c r="T314" s="811"/>
      <c r="U314" s="811"/>
      <c r="V314" s="811"/>
      <c r="W314" s="811"/>
      <c r="X314" s="811"/>
      <c r="Y314" s="811"/>
      <c r="Z314" s="811"/>
    </row>
    <row r="315">
      <c r="A315" s="811"/>
      <c r="B315" s="854"/>
      <c r="C315" s="855"/>
      <c r="D315" s="811"/>
      <c r="E315" s="811"/>
      <c r="F315" s="816"/>
      <c r="G315" s="811"/>
      <c r="H315" s="811"/>
      <c r="I315" s="811"/>
      <c r="J315" s="811"/>
      <c r="K315" s="811"/>
      <c r="L315" s="816"/>
      <c r="M315" s="811"/>
      <c r="N315" s="811"/>
      <c r="O315" s="811"/>
      <c r="P315" s="811"/>
      <c r="Q315" s="811"/>
      <c r="R315" s="811"/>
      <c r="S315" s="811"/>
      <c r="T315" s="811"/>
      <c r="U315" s="811"/>
      <c r="V315" s="811"/>
      <c r="W315" s="811"/>
      <c r="X315" s="811"/>
      <c r="Y315" s="811"/>
      <c r="Z315" s="811"/>
    </row>
    <row r="316">
      <c r="A316" s="811"/>
      <c r="B316" s="854"/>
      <c r="C316" s="855"/>
      <c r="D316" s="811"/>
      <c r="E316" s="811"/>
      <c r="F316" s="816"/>
      <c r="G316" s="811"/>
      <c r="H316" s="811"/>
      <c r="I316" s="811"/>
      <c r="J316" s="811"/>
      <c r="K316" s="811"/>
      <c r="L316" s="816"/>
      <c r="M316" s="811"/>
      <c r="N316" s="811"/>
      <c r="O316" s="811"/>
      <c r="P316" s="811"/>
      <c r="Q316" s="811"/>
      <c r="R316" s="811"/>
      <c r="S316" s="811"/>
      <c r="T316" s="811"/>
      <c r="U316" s="811"/>
      <c r="V316" s="811"/>
      <c r="W316" s="811"/>
      <c r="X316" s="811"/>
      <c r="Y316" s="811"/>
      <c r="Z316" s="811"/>
    </row>
    <row r="317">
      <c r="A317" s="811"/>
      <c r="B317" s="854"/>
      <c r="C317" s="855"/>
      <c r="D317" s="811"/>
      <c r="E317" s="811"/>
      <c r="F317" s="816"/>
      <c r="G317" s="811"/>
      <c r="H317" s="811"/>
      <c r="I317" s="811"/>
      <c r="J317" s="811"/>
      <c r="K317" s="811"/>
      <c r="L317" s="816"/>
      <c r="M317" s="811"/>
      <c r="N317" s="811"/>
      <c r="O317" s="811"/>
      <c r="P317" s="811"/>
      <c r="Q317" s="811"/>
      <c r="R317" s="811"/>
      <c r="S317" s="811"/>
      <c r="T317" s="811"/>
      <c r="U317" s="811"/>
      <c r="V317" s="811"/>
      <c r="W317" s="811"/>
      <c r="X317" s="811"/>
      <c r="Y317" s="811"/>
      <c r="Z317" s="811"/>
    </row>
    <row r="318">
      <c r="A318" s="811"/>
      <c r="B318" s="854"/>
      <c r="C318" s="855"/>
      <c r="D318" s="811"/>
      <c r="E318" s="811"/>
      <c r="F318" s="816"/>
      <c r="G318" s="811"/>
      <c r="H318" s="811"/>
      <c r="I318" s="811"/>
      <c r="J318" s="811"/>
      <c r="K318" s="811"/>
      <c r="L318" s="816"/>
      <c r="M318" s="811"/>
      <c r="N318" s="811"/>
      <c r="O318" s="811"/>
      <c r="P318" s="811"/>
      <c r="Q318" s="811"/>
      <c r="R318" s="811"/>
      <c r="S318" s="811"/>
      <c r="T318" s="811"/>
      <c r="U318" s="811"/>
      <c r="V318" s="811"/>
      <c r="W318" s="811"/>
      <c r="X318" s="811"/>
      <c r="Y318" s="811"/>
      <c r="Z318" s="811"/>
    </row>
    <row r="319">
      <c r="A319" s="811"/>
      <c r="B319" s="854"/>
      <c r="C319" s="855"/>
      <c r="D319" s="811"/>
      <c r="E319" s="811"/>
      <c r="F319" s="816"/>
      <c r="G319" s="811"/>
      <c r="H319" s="811"/>
      <c r="I319" s="811"/>
      <c r="J319" s="811"/>
      <c r="K319" s="811"/>
      <c r="L319" s="816"/>
      <c r="M319" s="811"/>
      <c r="N319" s="811"/>
      <c r="O319" s="811"/>
      <c r="P319" s="811"/>
      <c r="Q319" s="811"/>
      <c r="R319" s="811"/>
      <c r="S319" s="811"/>
      <c r="T319" s="811"/>
      <c r="U319" s="811"/>
      <c r="V319" s="811"/>
      <c r="W319" s="811"/>
      <c r="X319" s="811"/>
      <c r="Y319" s="811"/>
      <c r="Z319" s="811"/>
    </row>
    <row r="320">
      <c r="A320" s="811"/>
      <c r="B320" s="854"/>
      <c r="C320" s="855"/>
      <c r="D320" s="811"/>
      <c r="E320" s="811"/>
      <c r="F320" s="816"/>
      <c r="G320" s="811"/>
      <c r="H320" s="811"/>
      <c r="I320" s="811"/>
      <c r="J320" s="811"/>
      <c r="K320" s="811"/>
      <c r="L320" s="816"/>
      <c r="M320" s="811"/>
      <c r="N320" s="811"/>
      <c r="O320" s="811"/>
      <c r="P320" s="811"/>
      <c r="Q320" s="811"/>
      <c r="R320" s="811"/>
      <c r="S320" s="811"/>
      <c r="T320" s="811"/>
      <c r="U320" s="811"/>
      <c r="V320" s="811"/>
      <c r="W320" s="811"/>
      <c r="X320" s="811"/>
      <c r="Y320" s="811"/>
      <c r="Z320" s="811"/>
    </row>
    <row r="321">
      <c r="A321" s="811"/>
      <c r="B321" s="854"/>
      <c r="C321" s="855"/>
      <c r="D321" s="811"/>
      <c r="E321" s="811"/>
      <c r="F321" s="816"/>
      <c r="G321" s="811"/>
      <c r="H321" s="811"/>
      <c r="I321" s="811"/>
      <c r="J321" s="811"/>
      <c r="K321" s="811"/>
      <c r="L321" s="816"/>
      <c r="M321" s="811"/>
      <c r="N321" s="811"/>
      <c r="O321" s="811"/>
      <c r="P321" s="811"/>
      <c r="Q321" s="811"/>
      <c r="R321" s="811"/>
      <c r="S321" s="811"/>
      <c r="T321" s="811"/>
      <c r="U321" s="811"/>
      <c r="V321" s="811"/>
      <c r="W321" s="811"/>
      <c r="X321" s="811"/>
      <c r="Y321" s="811"/>
      <c r="Z321" s="811"/>
    </row>
    <row r="322">
      <c r="A322" s="811"/>
      <c r="B322" s="854"/>
      <c r="C322" s="855"/>
      <c r="D322" s="811"/>
      <c r="E322" s="811"/>
      <c r="F322" s="816"/>
      <c r="G322" s="811"/>
      <c r="H322" s="811"/>
      <c r="I322" s="811"/>
      <c r="J322" s="811"/>
      <c r="K322" s="811"/>
      <c r="L322" s="816"/>
      <c r="M322" s="811"/>
      <c r="N322" s="811"/>
      <c r="O322" s="811"/>
      <c r="P322" s="811"/>
      <c r="Q322" s="811"/>
      <c r="R322" s="811"/>
      <c r="S322" s="811"/>
      <c r="T322" s="811"/>
      <c r="U322" s="811"/>
      <c r="V322" s="811"/>
      <c r="W322" s="811"/>
      <c r="X322" s="811"/>
      <c r="Y322" s="811"/>
      <c r="Z322" s="811"/>
    </row>
    <row r="323">
      <c r="A323" s="811"/>
      <c r="B323" s="854"/>
      <c r="C323" s="855"/>
      <c r="D323" s="811"/>
      <c r="E323" s="811"/>
      <c r="F323" s="816"/>
      <c r="G323" s="811"/>
      <c r="H323" s="811"/>
      <c r="I323" s="811"/>
      <c r="J323" s="811"/>
      <c r="K323" s="811"/>
      <c r="L323" s="816"/>
      <c r="M323" s="811"/>
      <c r="N323" s="811"/>
      <c r="O323" s="811"/>
      <c r="P323" s="811"/>
      <c r="Q323" s="811"/>
      <c r="R323" s="811"/>
      <c r="S323" s="811"/>
      <c r="T323" s="811"/>
      <c r="U323" s="811"/>
      <c r="V323" s="811"/>
      <c r="W323" s="811"/>
      <c r="X323" s="811"/>
      <c r="Y323" s="811"/>
      <c r="Z323" s="811"/>
    </row>
    <row r="324">
      <c r="A324" s="811"/>
      <c r="B324" s="854"/>
      <c r="C324" s="855"/>
      <c r="D324" s="811"/>
      <c r="E324" s="811"/>
      <c r="F324" s="816"/>
      <c r="G324" s="811"/>
      <c r="H324" s="811"/>
      <c r="I324" s="811"/>
      <c r="J324" s="811"/>
      <c r="K324" s="811"/>
      <c r="L324" s="816"/>
      <c r="M324" s="811"/>
      <c r="N324" s="811"/>
      <c r="O324" s="811"/>
      <c r="P324" s="811"/>
      <c r="Q324" s="811"/>
      <c r="R324" s="811"/>
      <c r="S324" s="811"/>
      <c r="T324" s="811"/>
      <c r="U324" s="811"/>
      <c r="V324" s="811"/>
      <c r="W324" s="811"/>
      <c r="X324" s="811"/>
      <c r="Y324" s="811"/>
      <c r="Z324" s="811"/>
    </row>
    <row r="325">
      <c r="A325" s="811"/>
      <c r="B325" s="854"/>
      <c r="C325" s="855"/>
      <c r="D325" s="811"/>
      <c r="E325" s="811"/>
      <c r="F325" s="816"/>
      <c r="G325" s="811"/>
      <c r="H325" s="811"/>
      <c r="I325" s="811"/>
      <c r="J325" s="811"/>
      <c r="K325" s="811"/>
      <c r="L325" s="816"/>
      <c r="M325" s="811"/>
      <c r="N325" s="811"/>
      <c r="O325" s="811"/>
      <c r="P325" s="811"/>
      <c r="Q325" s="811"/>
      <c r="R325" s="811"/>
      <c r="S325" s="811"/>
      <c r="T325" s="811"/>
      <c r="U325" s="811"/>
      <c r="V325" s="811"/>
      <c r="W325" s="811"/>
      <c r="X325" s="811"/>
      <c r="Y325" s="811"/>
      <c r="Z325" s="811"/>
    </row>
    <row r="326">
      <c r="A326" s="811"/>
      <c r="B326" s="854"/>
      <c r="C326" s="855"/>
      <c r="D326" s="811"/>
      <c r="E326" s="811"/>
      <c r="F326" s="816"/>
      <c r="G326" s="811"/>
      <c r="H326" s="811"/>
      <c r="I326" s="811"/>
      <c r="J326" s="811"/>
      <c r="K326" s="811"/>
      <c r="L326" s="816"/>
      <c r="M326" s="811"/>
      <c r="N326" s="811"/>
      <c r="O326" s="811"/>
      <c r="P326" s="811"/>
      <c r="Q326" s="811"/>
      <c r="R326" s="811"/>
      <c r="S326" s="811"/>
      <c r="T326" s="811"/>
      <c r="U326" s="811"/>
      <c r="V326" s="811"/>
      <c r="W326" s="811"/>
      <c r="X326" s="811"/>
      <c r="Y326" s="811"/>
      <c r="Z326" s="811"/>
    </row>
    <row r="327">
      <c r="A327" s="811"/>
      <c r="B327" s="854"/>
      <c r="C327" s="855"/>
      <c r="D327" s="811"/>
      <c r="E327" s="811"/>
      <c r="F327" s="816"/>
      <c r="G327" s="811"/>
      <c r="H327" s="811"/>
      <c r="I327" s="811"/>
      <c r="J327" s="811"/>
      <c r="K327" s="811"/>
      <c r="L327" s="816"/>
      <c r="M327" s="811"/>
      <c r="N327" s="811"/>
      <c r="O327" s="811"/>
      <c r="P327" s="811"/>
      <c r="Q327" s="811"/>
      <c r="R327" s="811"/>
      <c r="S327" s="811"/>
      <c r="T327" s="811"/>
      <c r="U327" s="811"/>
      <c r="V327" s="811"/>
      <c r="W327" s="811"/>
      <c r="X327" s="811"/>
      <c r="Y327" s="811"/>
      <c r="Z327" s="811"/>
    </row>
    <row r="328">
      <c r="A328" s="811"/>
      <c r="B328" s="854"/>
      <c r="C328" s="855"/>
      <c r="D328" s="811"/>
      <c r="E328" s="811"/>
      <c r="F328" s="816"/>
      <c r="G328" s="811"/>
      <c r="H328" s="811"/>
      <c r="I328" s="811"/>
      <c r="J328" s="811"/>
      <c r="K328" s="811"/>
      <c r="L328" s="816"/>
      <c r="M328" s="811"/>
      <c r="N328" s="811"/>
      <c r="O328" s="811"/>
      <c r="P328" s="811"/>
      <c r="Q328" s="811"/>
      <c r="R328" s="811"/>
      <c r="S328" s="811"/>
      <c r="T328" s="811"/>
      <c r="U328" s="811"/>
      <c r="V328" s="811"/>
      <c r="W328" s="811"/>
      <c r="X328" s="811"/>
      <c r="Y328" s="811"/>
      <c r="Z328" s="811"/>
    </row>
    <row r="329">
      <c r="A329" s="811"/>
      <c r="B329" s="854"/>
      <c r="C329" s="855"/>
      <c r="D329" s="811"/>
      <c r="E329" s="811"/>
      <c r="F329" s="816"/>
      <c r="G329" s="811"/>
      <c r="H329" s="811"/>
      <c r="I329" s="811"/>
      <c r="J329" s="811"/>
      <c r="K329" s="811"/>
      <c r="L329" s="816"/>
      <c r="M329" s="811"/>
      <c r="N329" s="811"/>
      <c r="O329" s="811"/>
      <c r="P329" s="811"/>
      <c r="Q329" s="811"/>
      <c r="R329" s="811"/>
      <c r="S329" s="811"/>
      <c r="T329" s="811"/>
      <c r="U329" s="811"/>
      <c r="V329" s="811"/>
      <c r="W329" s="811"/>
      <c r="X329" s="811"/>
      <c r="Y329" s="811"/>
      <c r="Z329" s="811"/>
    </row>
    <row r="330">
      <c r="A330" s="811"/>
      <c r="B330" s="854"/>
      <c r="C330" s="855"/>
      <c r="D330" s="811"/>
      <c r="E330" s="811"/>
      <c r="F330" s="816"/>
      <c r="G330" s="811"/>
      <c r="H330" s="811"/>
      <c r="I330" s="811"/>
      <c r="J330" s="811"/>
      <c r="K330" s="811"/>
      <c r="L330" s="816"/>
      <c r="M330" s="811"/>
      <c r="N330" s="811"/>
      <c r="O330" s="811"/>
      <c r="P330" s="811"/>
      <c r="Q330" s="811"/>
      <c r="R330" s="811"/>
      <c r="S330" s="811"/>
      <c r="T330" s="811"/>
      <c r="U330" s="811"/>
      <c r="V330" s="811"/>
      <c r="W330" s="811"/>
      <c r="X330" s="811"/>
      <c r="Y330" s="811"/>
      <c r="Z330" s="811"/>
    </row>
    <row r="331">
      <c r="A331" s="811"/>
      <c r="B331" s="854"/>
      <c r="C331" s="855"/>
      <c r="D331" s="811"/>
      <c r="E331" s="811"/>
      <c r="F331" s="816"/>
      <c r="G331" s="811"/>
      <c r="H331" s="811"/>
      <c r="I331" s="811"/>
      <c r="J331" s="811"/>
      <c r="K331" s="811"/>
      <c r="L331" s="816"/>
      <c r="M331" s="811"/>
      <c r="N331" s="811"/>
      <c r="O331" s="811"/>
      <c r="P331" s="811"/>
      <c r="Q331" s="811"/>
      <c r="R331" s="811"/>
      <c r="S331" s="811"/>
      <c r="T331" s="811"/>
      <c r="U331" s="811"/>
      <c r="V331" s="811"/>
      <c r="W331" s="811"/>
      <c r="X331" s="811"/>
      <c r="Y331" s="811"/>
      <c r="Z331" s="811"/>
    </row>
    <row r="332">
      <c r="A332" s="811"/>
      <c r="B332" s="854"/>
      <c r="C332" s="855"/>
      <c r="D332" s="811"/>
      <c r="E332" s="811"/>
      <c r="F332" s="816"/>
      <c r="G332" s="811"/>
      <c r="H332" s="811"/>
      <c r="I332" s="811"/>
      <c r="J332" s="811"/>
      <c r="K332" s="811"/>
      <c r="L332" s="816"/>
      <c r="M332" s="811"/>
      <c r="N332" s="811"/>
      <c r="O332" s="811"/>
      <c r="P332" s="811"/>
      <c r="Q332" s="811"/>
      <c r="R332" s="811"/>
      <c r="S332" s="811"/>
      <c r="T332" s="811"/>
      <c r="U332" s="811"/>
      <c r="V332" s="811"/>
      <c r="W332" s="811"/>
      <c r="X332" s="811"/>
      <c r="Y332" s="811"/>
      <c r="Z332" s="811"/>
    </row>
    <row r="333">
      <c r="A333" s="811"/>
      <c r="B333" s="854"/>
      <c r="C333" s="855"/>
      <c r="D333" s="811"/>
      <c r="E333" s="811"/>
      <c r="F333" s="816"/>
      <c r="G333" s="811"/>
      <c r="H333" s="811"/>
      <c r="I333" s="811"/>
      <c r="J333" s="811"/>
      <c r="K333" s="811"/>
      <c r="L333" s="816"/>
      <c r="M333" s="811"/>
      <c r="N333" s="811"/>
      <c r="O333" s="811"/>
      <c r="P333" s="811"/>
      <c r="Q333" s="811"/>
      <c r="R333" s="811"/>
      <c r="S333" s="811"/>
      <c r="T333" s="811"/>
      <c r="U333" s="811"/>
      <c r="V333" s="811"/>
      <c r="W333" s="811"/>
      <c r="X333" s="811"/>
      <c r="Y333" s="811"/>
      <c r="Z333" s="811"/>
    </row>
    <row r="334">
      <c r="A334" s="811"/>
      <c r="B334" s="854"/>
      <c r="C334" s="855"/>
      <c r="D334" s="811"/>
      <c r="E334" s="811"/>
      <c r="F334" s="816"/>
      <c r="G334" s="811"/>
      <c r="H334" s="811"/>
      <c r="I334" s="811"/>
      <c r="J334" s="811"/>
      <c r="K334" s="811"/>
      <c r="L334" s="816"/>
      <c r="M334" s="811"/>
      <c r="N334" s="811"/>
      <c r="O334" s="811"/>
      <c r="P334" s="811"/>
      <c r="Q334" s="811"/>
      <c r="R334" s="811"/>
      <c r="S334" s="811"/>
      <c r="T334" s="811"/>
      <c r="U334" s="811"/>
      <c r="V334" s="811"/>
      <c r="W334" s="811"/>
      <c r="X334" s="811"/>
      <c r="Y334" s="811"/>
      <c r="Z334" s="811"/>
    </row>
    <row r="335">
      <c r="A335" s="811"/>
      <c r="B335" s="854"/>
      <c r="C335" s="855"/>
      <c r="D335" s="811"/>
      <c r="E335" s="811"/>
      <c r="F335" s="816"/>
      <c r="G335" s="811"/>
      <c r="H335" s="811"/>
      <c r="I335" s="811"/>
      <c r="J335" s="811"/>
      <c r="K335" s="811"/>
      <c r="L335" s="816"/>
      <c r="M335" s="811"/>
      <c r="N335" s="811"/>
      <c r="O335" s="811"/>
      <c r="P335" s="811"/>
      <c r="Q335" s="811"/>
      <c r="R335" s="811"/>
      <c r="S335" s="811"/>
      <c r="T335" s="811"/>
      <c r="U335" s="811"/>
      <c r="V335" s="811"/>
      <c r="W335" s="811"/>
      <c r="X335" s="811"/>
      <c r="Y335" s="811"/>
      <c r="Z335" s="811"/>
    </row>
    <row r="336">
      <c r="A336" s="811"/>
      <c r="B336" s="854"/>
      <c r="C336" s="855"/>
      <c r="D336" s="811"/>
      <c r="E336" s="811"/>
      <c r="F336" s="816"/>
      <c r="G336" s="811"/>
      <c r="H336" s="811"/>
      <c r="I336" s="811"/>
      <c r="J336" s="811"/>
      <c r="K336" s="811"/>
      <c r="L336" s="816"/>
      <c r="M336" s="811"/>
      <c r="N336" s="811"/>
      <c r="O336" s="811"/>
      <c r="P336" s="811"/>
      <c r="Q336" s="811"/>
      <c r="R336" s="811"/>
      <c r="S336" s="811"/>
      <c r="T336" s="811"/>
      <c r="U336" s="811"/>
      <c r="V336" s="811"/>
      <c r="W336" s="811"/>
      <c r="X336" s="811"/>
      <c r="Y336" s="811"/>
      <c r="Z336" s="811"/>
    </row>
    <row r="337">
      <c r="A337" s="811"/>
      <c r="B337" s="854"/>
      <c r="C337" s="855"/>
      <c r="D337" s="811"/>
      <c r="E337" s="811"/>
      <c r="F337" s="816"/>
      <c r="G337" s="811"/>
      <c r="H337" s="811"/>
      <c r="I337" s="811"/>
      <c r="J337" s="811"/>
      <c r="K337" s="811"/>
      <c r="L337" s="816"/>
      <c r="M337" s="811"/>
      <c r="N337" s="811"/>
      <c r="O337" s="811"/>
      <c r="P337" s="811"/>
      <c r="Q337" s="811"/>
      <c r="R337" s="811"/>
      <c r="S337" s="811"/>
      <c r="T337" s="811"/>
      <c r="U337" s="811"/>
      <c r="V337" s="811"/>
      <c r="W337" s="811"/>
      <c r="X337" s="811"/>
      <c r="Y337" s="811"/>
      <c r="Z337" s="811"/>
    </row>
    <row r="338">
      <c r="A338" s="811"/>
      <c r="B338" s="854"/>
      <c r="C338" s="855"/>
      <c r="D338" s="811"/>
      <c r="E338" s="811"/>
      <c r="F338" s="816"/>
      <c r="G338" s="811"/>
      <c r="H338" s="811"/>
      <c r="I338" s="811"/>
      <c r="J338" s="811"/>
      <c r="K338" s="811"/>
      <c r="L338" s="816"/>
      <c r="M338" s="811"/>
      <c r="N338" s="811"/>
      <c r="O338" s="811"/>
      <c r="P338" s="811"/>
      <c r="Q338" s="811"/>
      <c r="R338" s="811"/>
      <c r="S338" s="811"/>
      <c r="T338" s="811"/>
      <c r="U338" s="811"/>
      <c r="V338" s="811"/>
      <c r="W338" s="811"/>
      <c r="X338" s="811"/>
      <c r="Y338" s="811"/>
      <c r="Z338" s="811"/>
    </row>
    <row r="339">
      <c r="A339" s="811"/>
      <c r="B339" s="854"/>
      <c r="C339" s="855"/>
      <c r="D339" s="811"/>
      <c r="E339" s="811"/>
      <c r="F339" s="816"/>
      <c r="G339" s="811"/>
      <c r="H339" s="811"/>
      <c r="I339" s="811"/>
      <c r="J339" s="811"/>
      <c r="K339" s="811"/>
      <c r="L339" s="816"/>
      <c r="M339" s="811"/>
      <c r="N339" s="811"/>
      <c r="O339" s="811"/>
      <c r="P339" s="811"/>
      <c r="Q339" s="811"/>
      <c r="R339" s="811"/>
      <c r="S339" s="811"/>
      <c r="T339" s="811"/>
      <c r="U339" s="811"/>
      <c r="V339" s="811"/>
      <c r="W339" s="811"/>
      <c r="X339" s="811"/>
      <c r="Y339" s="811"/>
      <c r="Z339" s="811"/>
    </row>
    <row r="340">
      <c r="A340" s="811"/>
      <c r="B340" s="854"/>
      <c r="C340" s="855"/>
      <c r="D340" s="811"/>
      <c r="E340" s="811"/>
      <c r="F340" s="816"/>
      <c r="G340" s="811"/>
      <c r="H340" s="811"/>
      <c r="I340" s="811"/>
      <c r="J340" s="811"/>
      <c r="K340" s="811"/>
      <c r="L340" s="816"/>
      <c r="M340" s="811"/>
      <c r="N340" s="811"/>
      <c r="O340" s="811"/>
      <c r="P340" s="811"/>
      <c r="Q340" s="811"/>
      <c r="R340" s="811"/>
      <c r="S340" s="811"/>
      <c r="T340" s="811"/>
      <c r="U340" s="811"/>
      <c r="V340" s="811"/>
      <c r="W340" s="811"/>
      <c r="X340" s="811"/>
      <c r="Y340" s="811"/>
      <c r="Z340" s="811"/>
    </row>
    <row r="341">
      <c r="A341" s="811"/>
      <c r="B341" s="854"/>
      <c r="C341" s="855"/>
      <c r="D341" s="811"/>
      <c r="E341" s="811"/>
      <c r="F341" s="816"/>
      <c r="G341" s="811"/>
      <c r="H341" s="811"/>
      <c r="I341" s="811"/>
      <c r="J341" s="811"/>
      <c r="K341" s="811"/>
      <c r="L341" s="816"/>
      <c r="M341" s="811"/>
      <c r="N341" s="811"/>
      <c r="O341" s="811"/>
      <c r="P341" s="811"/>
      <c r="Q341" s="811"/>
      <c r="R341" s="811"/>
      <c r="S341" s="811"/>
      <c r="T341" s="811"/>
      <c r="U341" s="811"/>
      <c r="V341" s="811"/>
      <c r="W341" s="811"/>
      <c r="X341" s="811"/>
      <c r="Y341" s="811"/>
      <c r="Z341" s="811"/>
    </row>
    <row r="342">
      <c r="A342" s="811"/>
      <c r="B342" s="854"/>
      <c r="C342" s="855"/>
      <c r="D342" s="811"/>
      <c r="E342" s="811"/>
      <c r="F342" s="816"/>
      <c r="G342" s="811"/>
      <c r="H342" s="811"/>
      <c r="I342" s="811"/>
      <c r="J342" s="811"/>
      <c r="K342" s="811"/>
      <c r="L342" s="816"/>
      <c r="M342" s="811"/>
      <c r="N342" s="811"/>
      <c r="O342" s="811"/>
      <c r="P342" s="811"/>
      <c r="Q342" s="811"/>
      <c r="R342" s="811"/>
      <c r="S342" s="811"/>
      <c r="T342" s="811"/>
      <c r="U342" s="811"/>
      <c r="V342" s="811"/>
      <c r="W342" s="811"/>
      <c r="X342" s="811"/>
      <c r="Y342" s="811"/>
      <c r="Z342" s="811"/>
    </row>
    <row r="343">
      <c r="A343" s="811"/>
      <c r="B343" s="854"/>
      <c r="C343" s="855"/>
      <c r="D343" s="811"/>
      <c r="E343" s="811"/>
      <c r="F343" s="816"/>
      <c r="G343" s="811"/>
      <c r="H343" s="811"/>
      <c r="I343" s="811"/>
      <c r="J343" s="811"/>
      <c r="K343" s="811"/>
      <c r="L343" s="816"/>
      <c r="M343" s="811"/>
      <c r="N343" s="811"/>
      <c r="O343" s="811"/>
      <c r="P343" s="811"/>
      <c r="Q343" s="811"/>
      <c r="R343" s="811"/>
      <c r="S343" s="811"/>
      <c r="T343" s="811"/>
      <c r="U343" s="811"/>
      <c r="V343" s="811"/>
      <c r="W343" s="811"/>
      <c r="X343" s="811"/>
      <c r="Y343" s="811"/>
      <c r="Z343" s="811"/>
    </row>
    <row r="344">
      <c r="A344" s="811"/>
      <c r="B344" s="854"/>
      <c r="C344" s="855"/>
      <c r="D344" s="811"/>
      <c r="E344" s="811"/>
      <c r="F344" s="816"/>
      <c r="G344" s="811"/>
      <c r="H344" s="811"/>
      <c r="I344" s="811"/>
      <c r="J344" s="811"/>
      <c r="K344" s="811"/>
      <c r="L344" s="816"/>
      <c r="M344" s="811"/>
      <c r="N344" s="811"/>
      <c r="O344" s="811"/>
      <c r="P344" s="811"/>
      <c r="Q344" s="811"/>
      <c r="R344" s="811"/>
      <c r="S344" s="811"/>
      <c r="T344" s="811"/>
      <c r="U344" s="811"/>
      <c r="V344" s="811"/>
      <c r="W344" s="811"/>
      <c r="X344" s="811"/>
      <c r="Y344" s="811"/>
      <c r="Z344" s="811"/>
    </row>
    <row r="345">
      <c r="A345" s="811"/>
      <c r="B345" s="854"/>
      <c r="C345" s="855"/>
      <c r="D345" s="811"/>
      <c r="E345" s="811"/>
      <c r="F345" s="816"/>
      <c r="G345" s="811"/>
      <c r="H345" s="811"/>
      <c r="I345" s="811"/>
      <c r="J345" s="811"/>
      <c r="K345" s="811"/>
      <c r="L345" s="816"/>
      <c r="M345" s="811"/>
      <c r="N345" s="811"/>
      <c r="O345" s="811"/>
      <c r="P345" s="811"/>
      <c r="Q345" s="811"/>
      <c r="R345" s="811"/>
      <c r="S345" s="811"/>
      <c r="T345" s="811"/>
      <c r="U345" s="811"/>
      <c r="V345" s="811"/>
      <c r="W345" s="811"/>
      <c r="X345" s="811"/>
      <c r="Y345" s="811"/>
      <c r="Z345" s="811"/>
    </row>
    <row r="346">
      <c r="A346" s="811"/>
      <c r="B346" s="854"/>
      <c r="C346" s="855"/>
      <c r="D346" s="811"/>
      <c r="E346" s="811"/>
      <c r="F346" s="816"/>
      <c r="G346" s="811"/>
      <c r="H346" s="811"/>
      <c r="I346" s="811"/>
      <c r="J346" s="811"/>
      <c r="K346" s="811"/>
      <c r="L346" s="816"/>
      <c r="M346" s="811"/>
      <c r="N346" s="811"/>
      <c r="O346" s="811"/>
      <c r="P346" s="811"/>
      <c r="Q346" s="811"/>
      <c r="R346" s="811"/>
      <c r="S346" s="811"/>
      <c r="T346" s="811"/>
      <c r="U346" s="811"/>
      <c r="V346" s="811"/>
      <c r="W346" s="811"/>
      <c r="X346" s="811"/>
      <c r="Y346" s="811"/>
      <c r="Z346" s="811"/>
    </row>
    <row r="347">
      <c r="A347" s="811"/>
      <c r="B347" s="854"/>
      <c r="C347" s="855"/>
      <c r="D347" s="811"/>
      <c r="E347" s="811"/>
      <c r="F347" s="816"/>
      <c r="G347" s="811"/>
      <c r="H347" s="811"/>
      <c r="I347" s="811"/>
      <c r="J347" s="811"/>
      <c r="K347" s="811"/>
      <c r="L347" s="816"/>
      <c r="M347" s="811"/>
      <c r="N347" s="811"/>
      <c r="O347" s="811"/>
      <c r="P347" s="811"/>
      <c r="Q347" s="811"/>
      <c r="R347" s="811"/>
      <c r="S347" s="811"/>
      <c r="T347" s="811"/>
      <c r="U347" s="811"/>
      <c r="V347" s="811"/>
      <c r="W347" s="811"/>
      <c r="X347" s="811"/>
      <c r="Y347" s="811"/>
      <c r="Z347" s="811"/>
    </row>
    <row r="348">
      <c r="A348" s="811"/>
      <c r="B348" s="854"/>
      <c r="C348" s="855"/>
      <c r="D348" s="811"/>
      <c r="E348" s="811"/>
      <c r="F348" s="816"/>
      <c r="G348" s="811"/>
      <c r="H348" s="811"/>
      <c r="I348" s="811"/>
      <c r="J348" s="811"/>
      <c r="K348" s="811"/>
      <c r="L348" s="816"/>
      <c r="M348" s="811"/>
      <c r="N348" s="811"/>
      <c r="O348" s="811"/>
      <c r="P348" s="811"/>
      <c r="Q348" s="811"/>
      <c r="R348" s="811"/>
      <c r="S348" s="811"/>
      <c r="T348" s="811"/>
      <c r="U348" s="811"/>
      <c r="V348" s="811"/>
      <c r="W348" s="811"/>
      <c r="X348" s="811"/>
      <c r="Y348" s="811"/>
      <c r="Z348" s="811"/>
    </row>
    <row r="349">
      <c r="A349" s="811"/>
      <c r="B349" s="854"/>
      <c r="C349" s="855"/>
      <c r="D349" s="811"/>
      <c r="E349" s="811"/>
      <c r="F349" s="816"/>
      <c r="G349" s="811"/>
      <c r="H349" s="811"/>
      <c r="I349" s="811"/>
      <c r="J349" s="811"/>
      <c r="K349" s="811"/>
      <c r="L349" s="816"/>
      <c r="M349" s="811"/>
      <c r="N349" s="811"/>
      <c r="O349" s="811"/>
      <c r="P349" s="811"/>
      <c r="Q349" s="811"/>
      <c r="R349" s="811"/>
      <c r="S349" s="811"/>
      <c r="T349" s="811"/>
      <c r="U349" s="811"/>
      <c r="V349" s="811"/>
      <c r="W349" s="811"/>
      <c r="X349" s="811"/>
      <c r="Y349" s="811"/>
      <c r="Z349" s="811"/>
    </row>
    <row r="350">
      <c r="A350" s="811"/>
      <c r="B350" s="854"/>
      <c r="C350" s="855"/>
      <c r="D350" s="811"/>
      <c r="E350" s="811"/>
      <c r="F350" s="816"/>
      <c r="G350" s="811"/>
      <c r="H350" s="811"/>
      <c r="I350" s="811"/>
      <c r="J350" s="811"/>
      <c r="K350" s="811"/>
      <c r="L350" s="816"/>
      <c r="M350" s="811"/>
      <c r="N350" s="811"/>
      <c r="O350" s="811"/>
      <c r="P350" s="811"/>
      <c r="Q350" s="811"/>
      <c r="R350" s="811"/>
      <c r="S350" s="811"/>
      <c r="T350" s="811"/>
      <c r="U350" s="811"/>
      <c r="V350" s="811"/>
      <c r="W350" s="811"/>
      <c r="X350" s="811"/>
      <c r="Y350" s="811"/>
      <c r="Z350" s="811"/>
    </row>
    <row r="351">
      <c r="A351" s="811"/>
      <c r="B351" s="854"/>
      <c r="C351" s="855"/>
      <c r="D351" s="811"/>
      <c r="E351" s="811"/>
      <c r="F351" s="816"/>
      <c r="G351" s="811"/>
      <c r="H351" s="811"/>
      <c r="I351" s="811"/>
      <c r="J351" s="811"/>
      <c r="K351" s="811"/>
      <c r="L351" s="816"/>
      <c r="M351" s="811"/>
      <c r="N351" s="811"/>
      <c r="O351" s="811"/>
      <c r="P351" s="811"/>
      <c r="Q351" s="811"/>
      <c r="R351" s="811"/>
      <c r="S351" s="811"/>
      <c r="T351" s="811"/>
      <c r="U351" s="811"/>
      <c r="V351" s="811"/>
      <c r="W351" s="811"/>
      <c r="X351" s="811"/>
      <c r="Y351" s="811"/>
      <c r="Z351" s="811"/>
    </row>
    <row r="352">
      <c r="A352" s="811"/>
      <c r="B352" s="854"/>
      <c r="C352" s="855"/>
      <c r="D352" s="811"/>
      <c r="E352" s="811"/>
      <c r="F352" s="816"/>
      <c r="G352" s="811"/>
      <c r="H352" s="811"/>
      <c r="I352" s="811"/>
      <c r="J352" s="811"/>
      <c r="K352" s="811"/>
      <c r="L352" s="816"/>
      <c r="M352" s="811"/>
      <c r="N352" s="811"/>
      <c r="O352" s="811"/>
      <c r="P352" s="811"/>
      <c r="Q352" s="811"/>
      <c r="R352" s="811"/>
      <c r="S352" s="811"/>
      <c r="T352" s="811"/>
      <c r="U352" s="811"/>
      <c r="V352" s="811"/>
      <c r="W352" s="811"/>
      <c r="X352" s="811"/>
      <c r="Y352" s="811"/>
      <c r="Z352" s="811"/>
    </row>
    <row r="353">
      <c r="A353" s="811"/>
      <c r="B353" s="854"/>
      <c r="C353" s="855"/>
      <c r="D353" s="811"/>
      <c r="E353" s="811"/>
      <c r="F353" s="816"/>
      <c r="G353" s="811"/>
      <c r="H353" s="811"/>
      <c r="I353" s="811"/>
      <c r="J353" s="811"/>
      <c r="K353" s="811"/>
      <c r="L353" s="816"/>
      <c r="M353" s="811"/>
      <c r="N353" s="811"/>
      <c r="O353" s="811"/>
      <c r="P353" s="811"/>
      <c r="Q353" s="811"/>
      <c r="R353" s="811"/>
      <c r="S353" s="811"/>
      <c r="T353" s="811"/>
      <c r="U353" s="811"/>
      <c r="V353" s="811"/>
      <c r="W353" s="811"/>
      <c r="X353" s="811"/>
      <c r="Y353" s="811"/>
      <c r="Z353" s="811"/>
    </row>
    <row r="354">
      <c r="A354" s="811"/>
      <c r="B354" s="854"/>
      <c r="C354" s="855"/>
      <c r="D354" s="811"/>
      <c r="E354" s="811"/>
      <c r="F354" s="816"/>
      <c r="G354" s="811"/>
      <c r="H354" s="811"/>
      <c r="I354" s="811"/>
      <c r="J354" s="811"/>
      <c r="K354" s="811"/>
      <c r="L354" s="816"/>
      <c r="M354" s="811"/>
      <c r="N354" s="811"/>
      <c r="O354" s="811"/>
      <c r="P354" s="811"/>
      <c r="Q354" s="811"/>
      <c r="R354" s="811"/>
      <c r="S354" s="811"/>
      <c r="T354" s="811"/>
      <c r="U354" s="811"/>
      <c r="V354" s="811"/>
      <c r="W354" s="811"/>
      <c r="X354" s="811"/>
      <c r="Y354" s="811"/>
      <c r="Z354" s="811"/>
    </row>
    <row r="355">
      <c r="A355" s="811"/>
      <c r="B355" s="854"/>
      <c r="C355" s="855"/>
      <c r="D355" s="811"/>
      <c r="E355" s="811"/>
      <c r="F355" s="816"/>
      <c r="G355" s="811"/>
      <c r="H355" s="811"/>
      <c r="I355" s="811"/>
      <c r="J355" s="811"/>
      <c r="K355" s="811"/>
      <c r="L355" s="816"/>
      <c r="M355" s="811"/>
      <c r="N355" s="811"/>
      <c r="O355" s="811"/>
      <c r="P355" s="811"/>
      <c r="Q355" s="811"/>
      <c r="R355" s="811"/>
      <c r="S355" s="811"/>
      <c r="T355" s="811"/>
      <c r="U355" s="811"/>
      <c r="V355" s="811"/>
      <c r="W355" s="811"/>
      <c r="X355" s="811"/>
      <c r="Y355" s="811"/>
      <c r="Z355" s="811"/>
    </row>
    <row r="356">
      <c r="A356" s="811"/>
      <c r="B356" s="854"/>
      <c r="C356" s="855"/>
      <c r="D356" s="811"/>
      <c r="E356" s="811"/>
      <c r="F356" s="816"/>
      <c r="G356" s="811"/>
      <c r="H356" s="811"/>
      <c r="I356" s="811"/>
      <c r="J356" s="811"/>
      <c r="K356" s="811"/>
      <c r="L356" s="816"/>
      <c r="M356" s="811"/>
      <c r="N356" s="811"/>
      <c r="O356" s="811"/>
      <c r="P356" s="811"/>
      <c r="Q356" s="811"/>
      <c r="R356" s="811"/>
      <c r="S356" s="811"/>
      <c r="T356" s="811"/>
      <c r="U356" s="811"/>
      <c r="V356" s="811"/>
      <c r="W356" s="811"/>
      <c r="X356" s="811"/>
      <c r="Y356" s="811"/>
      <c r="Z356" s="811"/>
    </row>
    <row r="357">
      <c r="A357" s="811"/>
      <c r="B357" s="854"/>
      <c r="C357" s="855"/>
      <c r="D357" s="811"/>
      <c r="E357" s="811"/>
      <c r="F357" s="816"/>
      <c r="G357" s="811"/>
      <c r="H357" s="811"/>
      <c r="I357" s="811"/>
      <c r="J357" s="811"/>
      <c r="K357" s="811"/>
      <c r="L357" s="816"/>
      <c r="M357" s="811"/>
      <c r="N357" s="811"/>
      <c r="O357" s="811"/>
      <c r="P357" s="811"/>
      <c r="Q357" s="811"/>
      <c r="R357" s="811"/>
      <c r="S357" s="811"/>
      <c r="T357" s="811"/>
      <c r="U357" s="811"/>
      <c r="V357" s="811"/>
      <c r="W357" s="811"/>
      <c r="X357" s="811"/>
      <c r="Y357" s="811"/>
      <c r="Z357" s="811"/>
    </row>
    <row r="358">
      <c r="A358" s="811"/>
      <c r="B358" s="854"/>
      <c r="C358" s="855"/>
      <c r="D358" s="811"/>
      <c r="E358" s="811"/>
      <c r="F358" s="816"/>
      <c r="G358" s="811"/>
      <c r="H358" s="811"/>
      <c r="I358" s="811"/>
      <c r="J358" s="811"/>
      <c r="K358" s="811"/>
      <c r="L358" s="816"/>
      <c r="M358" s="811"/>
      <c r="N358" s="811"/>
      <c r="O358" s="811"/>
      <c r="P358" s="811"/>
      <c r="Q358" s="811"/>
      <c r="R358" s="811"/>
      <c r="S358" s="811"/>
      <c r="T358" s="811"/>
      <c r="U358" s="811"/>
      <c r="V358" s="811"/>
      <c r="W358" s="811"/>
      <c r="X358" s="811"/>
      <c r="Y358" s="811"/>
      <c r="Z358" s="811"/>
    </row>
    <row r="359">
      <c r="A359" s="811"/>
      <c r="B359" s="854"/>
      <c r="C359" s="855"/>
      <c r="D359" s="811"/>
      <c r="E359" s="811"/>
      <c r="F359" s="816"/>
      <c r="G359" s="811"/>
      <c r="H359" s="811"/>
      <c r="I359" s="811"/>
      <c r="J359" s="811"/>
      <c r="K359" s="811"/>
      <c r="L359" s="816"/>
      <c r="M359" s="811"/>
      <c r="N359" s="811"/>
      <c r="O359" s="811"/>
      <c r="P359" s="811"/>
      <c r="Q359" s="811"/>
      <c r="R359" s="811"/>
      <c r="S359" s="811"/>
      <c r="T359" s="811"/>
      <c r="U359" s="811"/>
      <c r="V359" s="811"/>
      <c r="W359" s="811"/>
      <c r="X359" s="811"/>
      <c r="Y359" s="811"/>
      <c r="Z359" s="811"/>
    </row>
    <row r="360">
      <c r="A360" s="811"/>
      <c r="B360" s="854"/>
      <c r="C360" s="855"/>
      <c r="D360" s="811"/>
      <c r="E360" s="811"/>
      <c r="F360" s="816"/>
      <c r="G360" s="811"/>
      <c r="H360" s="811"/>
      <c r="I360" s="811"/>
      <c r="J360" s="811"/>
      <c r="K360" s="811"/>
      <c r="L360" s="816"/>
      <c r="M360" s="811"/>
      <c r="N360" s="811"/>
      <c r="O360" s="811"/>
      <c r="P360" s="811"/>
      <c r="Q360" s="811"/>
      <c r="R360" s="811"/>
      <c r="S360" s="811"/>
      <c r="T360" s="811"/>
      <c r="U360" s="811"/>
      <c r="V360" s="811"/>
      <c r="W360" s="811"/>
      <c r="X360" s="811"/>
      <c r="Y360" s="811"/>
      <c r="Z360" s="811"/>
    </row>
    <row r="361">
      <c r="A361" s="811"/>
      <c r="B361" s="854"/>
      <c r="C361" s="855"/>
      <c r="D361" s="811"/>
      <c r="E361" s="811"/>
      <c r="F361" s="816"/>
      <c r="G361" s="811"/>
      <c r="H361" s="811"/>
      <c r="I361" s="811"/>
      <c r="J361" s="811"/>
      <c r="K361" s="811"/>
      <c r="L361" s="816"/>
      <c r="M361" s="811"/>
      <c r="N361" s="811"/>
      <c r="O361" s="811"/>
      <c r="P361" s="811"/>
      <c r="Q361" s="811"/>
      <c r="R361" s="811"/>
      <c r="S361" s="811"/>
      <c r="T361" s="811"/>
      <c r="U361" s="811"/>
      <c r="V361" s="811"/>
      <c r="W361" s="811"/>
      <c r="X361" s="811"/>
      <c r="Y361" s="811"/>
      <c r="Z361" s="811"/>
    </row>
    <row r="362">
      <c r="A362" s="811"/>
      <c r="B362" s="854"/>
      <c r="C362" s="855"/>
      <c r="D362" s="811"/>
      <c r="E362" s="811"/>
      <c r="F362" s="816"/>
      <c r="G362" s="811"/>
      <c r="H362" s="811"/>
      <c r="I362" s="811"/>
      <c r="J362" s="811"/>
      <c r="K362" s="811"/>
      <c r="L362" s="816"/>
      <c r="M362" s="811"/>
      <c r="N362" s="811"/>
      <c r="O362" s="811"/>
      <c r="P362" s="811"/>
      <c r="Q362" s="811"/>
      <c r="R362" s="811"/>
      <c r="S362" s="811"/>
      <c r="T362" s="811"/>
      <c r="U362" s="811"/>
      <c r="V362" s="811"/>
      <c r="W362" s="811"/>
      <c r="X362" s="811"/>
      <c r="Y362" s="811"/>
      <c r="Z362" s="811"/>
    </row>
    <row r="363">
      <c r="A363" s="811"/>
      <c r="B363" s="854"/>
      <c r="C363" s="855"/>
      <c r="D363" s="811"/>
      <c r="E363" s="811"/>
      <c r="F363" s="816"/>
      <c r="G363" s="811"/>
      <c r="H363" s="811"/>
      <c r="I363" s="811"/>
      <c r="J363" s="811"/>
      <c r="K363" s="811"/>
      <c r="L363" s="816"/>
      <c r="M363" s="811"/>
      <c r="N363" s="811"/>
      <c r="O363" s="811"/>
      <c r="P363" s="811"/>
      <c r="Q363" s="811"/>
      <c r="R363" s="811"/>
      <c r="S363" s="811"/>
      <c r="T363" s="811"/>
      <c r="U363" s="811"/>
      <c r="V363" s="811"/>
      <c r="W363" s="811"/>
      <c r="X363" s="811"/>
      <c r="Y363" s="811"/>
      <c r="Z363" s="811"/>
    </row>
    <row r="364">
      <c r="A364" s="811"/>
      <c r="B364" s="854"/>
      <c r="C364" s="855"/>
      <c r="D364" s="811"/>
      <c r="E364" s="811"/>
      <c r="F364" s="816"/>
      <c r="G364" s="811"/>
      <c r="H364" s="811"/>
      <c r="I364" s="811"/>
      <c r="J364" s="811"/>
      <c r="K364" s="811"/>
      <c r="L364" s="816"/>
      <c r="M364" s="811"/>
      <c r="N364" s="811"/>
      <c r="O364" s="811"/>
      <c r="P364" s="811"/>
      <c r="Q364" s="811"/>
      <c r="R364" s="811"/>
      <c r="S364" s="811"/>
      <c r="T364" s="811"/>
      <c r="U364" s="811"/>
      <c r="V364" s="811"/>
      <c r="W364" s="811"/>
      <c r="X364" s="811"/>
      <c r="Y364" s="811"/>
      <c r="Z364" s="811"/>
    </row>
    <row r="365">
      <c r="A365" s="811"/>
      <c r="B365" s="854"/>
      <c r="C365" s="855"/>
      <c r="D365" s="811"/>
      <c r="E365" s="811"/>
      <c r="F365" s="816"/>
      <c r="G365" s="811"/>
      <c r="H365" s="811"/>
      <c r="I365" s="811"/>
      <c r="J365" s="811"/>
      <c r="K365" s="811"/>
      <c r="L365" s="816"/>
      <c r="M365" s="811"/>
      <c r="N365" s="811"/>
      <c r="O365" s="811"/>
      <c r="P365" s="811"/>
      <c r="Q365" s="811"/>
      <c r="R365" s="811"/>
      <c r="S365" s="811"/>
      <c r="T365" s="811"/>
      <c r="U365" s="811"/>
      <c r="V365" s="811"/>
      <c r="W365" s="811"/>
      <c r="X365" s="811"/>
      <c r="Y365" s="811"/>
      <c r="Z365" s="811"/>
    </row>
    <row r="366">
      <c r="A366" s="811"/>
      <c r="B366" s="854"/>
      <c r="C366" s="855"/>
      <c r="D366" s="811"/>
      <c r="E366" s="811"/>
      <c r="F366" s="816"/>
      <c r="G366" s="811"/>
      <c r="H366" s="811"/>
      <c r="I366" s="811"/>
      <c r="J366" s="811"/>
      <c r="K366" s="811"/>
      <c r="L366" s="816"/>
      <c r="M366" s="811"/>
      <c r="N366" s="811"/>
      <c r="O366" s="811"/>
      <c r="P366" s="811"/>
      <c r="Q366" s="811"/>
      <c r="R366" s="811"/>
      <c r="S366" s="811"/>
      <c r="T366" s="811"/>
      <c r="U366" s="811"/>
      <c r="V366" s="811"/>
      <c r="W366" s="811"/>
      <c r="X366" s="811"/>
      <c r="Y366" s="811"/>
      <c r="Z366" s="811"/>
    </row>
    <row r="367">
      <c r="A367" s="811"/>
      <c r="B367" s="854"/>
      <c r="C367" s="855"/>
      <c r="D367" s="811"/>
      <c r="E367" s="811"/>
      <c r="F367" s="816"/>
      <c r="G367" s="811"/>
      <c r="H367" s="811"/>
      <c r="I367" s="811"/>
      <c r="J367" s="811"/>
      <c r="K367" s="811"/>
      <c r="L367" s="816"/>
      <c r="M367" s="811"/>
      <c r="N367" s="811"/>
      <c r="O367" s="811"/>
      <c r="P367" s="811"/>
      <c r="Q367" s="811"/>
      <c r="R367" s="811"/>
      <c r="S367" s="811"/>
      <c r="T367" s="811"/>
      <c r="U367" s="811"/>
      <c r="V367" s="811"/>
      <c r="W367" s="811"/>
      <c r="X367" s="811"/>
      <c r="Y367" s="811"/>
      <c r="Z367" s="811"/>
    </row>
    <row r="368">
      <c r="A368" s="811"/>
      <c r="B368" s="854"/>
      <c r="C368" s="855"/>
      <c r="D368" s="811"/>
      <c r="E368" s="811"/>
      <c r="F368" s="816"/>
      <c r="G368" s="811"/>
      <c r="H368" s="811"/>
      <c r="I368" s="811"/>
      <c r="J368" s="811"/>
      <c r="K368" s="811"/>
      <c r="L368" s="816"/>
      <c r="M368" s="811"/>
      <c r="N368" s="811"/>
      <c r="O368" s="811"/>
      <c r="P368" s="811"/>
      <c r="Q368" s="811"/>
      <c r="R368" s="811"/>
      <c r="S368" s="811"/>
      <c r="T368" s="811"/>
      <c r="U368" s="811"/>
      <c r="V368" s="811"/>
      <c r="W368" s="811"/>
      <c r="X368" s="811"/>
      <c r="Y368" s="811"/>
      <c r="Z368" s="811"/>
    </row>
    <row r="369">
      <c r="A369" s="811"/>
      <c r="B369" s="854"/>
      <c r="C369" s="855"/>
      <c r="D369" s="811"/>
      <c r="E369" s="811"/>
      <c r="F369" s="816"/>
      <c r="G369" s="811"/>
      <c r="H369" s="811"/>
      <c r="I369" s="811"/>
      <c r="J369" s="811"/>
      <c r="K369" s="811"/>
      <c r="L369" s="816"/>
      <c r="M369" s="811"/>
      <c r="N369" s="811"/>
      <c r="O369" s="811"/>
      <c r="P369" s="811"/>
      <c r="Q369" s="811"/>
      <c r="R369" s="811"/>
      <c r="S369" s="811"/>
      <c r="T369" s="811"/>
      <c r="U369" s="811"/>
      <c r="V369" s="811"/>
      <c r="W369" s="811"/>
      <c r="X369" s="811"/>
      <c r="Y369" s="811"/>
      <c r="Z369" s="811"/>
    </row>
    <row r="370">
      <c r="A370" s="811"/>
      <c r="B370" s="854"/>
      <c r="C370" s="855"/>
      <c r="D370" s="811"/>
      <c r="E370" s="811"/>
      <c r="F370" s="816"/>
      <c r="G370" s="811"/>
      <c r="H370" s="811"/>
      <c r="I370" s="811"/>
      <c r="J370" s="811"/>
      <c r="K370" s="811"/>
      <c r="L370" s="816"/>
      <c r="M370" s="811"/>
      <c r="N370" s="811"/>
      <c r="O370" s="811"/>
      <c r="P370" s="811"/>
      <c r="Q370" s="811"/>
      <c r="R370" s="811"/>
      <c r="S370" s="811"/>
      <c r="T370" s="811"/>
      <c r="U370" s="811"/>
      <c r="V370" s="811"/>
      <c r="W370" s="811"/>
      <c r="X370" s="811"/>
      <c r="Y370" s="811"/>
      <c r="Z370" s="811"/>
    </row>
    <row r="371">
      <c r="A371" s="811"/>
      <c r="B371" s="854"/>
      <c r="C371" s="855"/>
      <c r="D371" s="811"/>
      <c r="E371" s="811"/>
      <c r="F371" s="816"/>
      <c r="G371" s="811"/>
      <c r="H371" s="811"/>
      <c r="I371" s="811"/>
      <c r="J371" s="811"/>
      <c r="K371" s="811"/>
      <c r="L371" s="816"/>
      <c r="M371" s="811"/>
      <c r="N371" s="811"/>
      <c r="O371" s="811"/>
      <c r="P371" s="811"/>
      <c r="Q371" s="811"/>
      <c r="R371" s="811"/>
      <c r="S371" s="811"/>
      <c r="T371" s="811"/>
      <c r="U371" s="811"/>
      <c r="V371" s="811"/>
      <c r="W371" s="811"/>
      <c r="X371" s="811"/>
      <c r="Y371" s="811"/>
      <c r="Z371" s="811"/>
    </row>
    <row r="372">
      <c r="A372" s="811"/>
      <c r="B372" s="854"/>
      <c r="C372" s="855"/>
      <c r="D372" s="811"/>
      <c r="E372" s="811"/>
      <c r="F372" s="816"/>
      <c r="G372" s="811"/>
      <c r="H372" s="811"/>
      <c r="I372" s="811"/>
      <c r="J372" s="811"/>
      <c r="K372" s="811"/>
      <c r="L372" s="816"/>
      <c r="M372" s="811"/>
      <c r="N372" s="811"/>
      <c r="O372" s="811"/>
      <c r="P372" s="811"/>
      <c r="Q372" s="811"/>
      <c r="R372" s="811"/>
      <c r="S372" s="811"/>
      <c r="T372" s="811"/>
      <c r="U372" s="811"/>
      <c r="V372" s="811"/>
      <c r="W372" s="811"/>
      <c r="X372" s="811"/>
      <c r="Y372" s="811"/>
      <c r="Z372" s="811"/>
    </row>
    <row r="373">
      <c r="A373" s="811"/>
      <c r="B373" s="854"/>
      <c r="C373" s="855"/>
      <c r="D373" s="811"/>
      <c r="E373" s="811"/>
      <c r="F373" s="816"/>
      <c r="G373" s="811"/>
      <c r="H373" s="811"/>
      <c r="I373" s="811"/>
      <c r="J373" s="811"/>
      <c r="K373" s="811"/>
      <c r="L373" s="816"/>
      <c r="M373" s="811"/>
      <c r="N373" s="811"/>
      <c r="O373" s="811"/>
      <c r="P373" s="811"/>
      <c r="Q373" s="811"/>
      <c r="R373" s="811"/>
      <c r="S373" s="811"/>
      <c r="T373" s="811"/>
      <c r="U373" s="811"/>
      <c r="V373" s="811"/>
      <c r="W373" s="811"/>
      <c r="X373" s="811"/>
      <c r="Y373" s="811"/>
      <c r="Z373" s="811"/>
    </row>
    <row r="374">
      <c r="A374" s="811"/>
      <c r="B374" s="854"/>
      <c r="C374" s="855"/>
      <c r="D374" s="811"/>
      <c r="E374" s="811"/>
      <c r="F374" s="816"/>
      <c r="G374" s="811"/>
      <c r="H374" s="811"/>
      <c r="I374" s="811"/>
      <c r="J374" s="811"/>
      <c r="K374" s="811"/>
      <c r="L374" s="816"/>
      <c r="M374" s="811"/>
      <c r="N374" s="811"/>
      <c r="O374" s="811"/>
      <c r="P374" s="811"/>
      <c r="Q374" s="811"/>
      <c r="R374" s="811"/>
      <c r="S374" s="811"/>
      <c r="T374" s="811"/>
      <c r="U374" s="811"/>
      <c r="V374" s="811"/>
      <c r="W374" s="811"/>
      <c r="X374" s="811"/>
      <c r="Y374" s="811"/>
      <c r="Z374" s="811"/>
    </row>
    <row r="375">
      <c r="A375" s="811"/>
      <c r="B375" s="854"/>
      <c r="C375" s="855"/>
      <c r="D375" s="811"/>
      <c r="E375" s="811"/>
      <c r="F375" s="816"/>
      <c r="G375" s="811"/>
      <c r="H375" s="811"/>
      <c r="I375" s="811"/>
      <c r="J375" s="811"/>
      <c r="K375" s="811"/>
      <c r="L375" s="816"/>
      <c r="M375" s="811"/>
      <c r="N375" s="811"/>
      <c r="O375" s="811"/>
      <c r="P375" s="811"/>
      <c r="Q375" s="811"/>
      <c r="R375" s="811"/>
      <c r="S375" s="811"/>
      <c r="T375" s="811"/>
      <c r="U375" s="811"/>
      <c r="V375" s="811"/>
      <c r="W375" s="811"/>
      <c r="X375" s="811"/>
      <c r="Y375" s="811"/>
      <c r="Z375" s="811"/>
    </row>
    <row r="376">
      <c r="A376" s="811"/>
      <c r="B376" s="854"/>
      <c r="C376" s="855"/>
      <c r="D376" s="811"/>
      <c r="E376" s="811"/>
      <c r="F376" s="816"/>
      <c r="G376" s="811"/>
      <c r="H376" s="811"/>
      <c r="I376" s="811"/>
      <c r="J376" s="811"/>
      <c r="K376" s="811"/>
      <c r="L376" s="816"/>
      <c r="M376" s="811"/>
      <c r="N376" s="811"/>
      <c r="O376" s="811"/>
      <c r="P376" s="811"/>
      <c r="Q376" s="811"/>
      <c r="R376" s="811"/>
      <c r="S376" s="811"/>
      <c r="T376" s="811"/>
      <c r="U376" s="811"/>
      <c r="V376" s="811"/>
      <c r="W376" s="811"/>
      <c r="X376" s="811"/>
      <c r="Y376" s="811"/>
      <c r="Z376" s="811"/>
    </row>
    <row r="377">
      <c r="A377" s="811"/>
      <c r="B377" s="854"/>
      <c r="C377" s="855"/>
      <c r="D377" s="811"/>
      <c r="E377" s="811"/>
      <c r="F377" s="816"/>
      <c r="G377" s="811"/>
      <c r="H377" s="811"/>
      <c r="I377" s="811"/>
      <c r="J377" s="811"/>
      <c r="K377" s="811"/>
      <c r="L377" s="816"/>
      <c r="M377" s="811"/>
      <c r="N377" s="811"/>
      <c r="O377" s="811"/>
      <c r="P377" s="811"/>
      <c r="Q377" s="811"/>
      <c r="R377" s="811"/>
      <c r="S377" s="811"/>
      <c r="T377" s="811"/>
      <c r="U377" s="811"/>
      <c r="V377" s="811"/>
      <c r="W377" s="811"/>
      <c r="X377" s="811"/>
      <c r="Y377" s="811"/>
      <c r="Z377" s="811"/>
    </row>
    <row r="378">
      <c r="A378" s="811"/>
      <c r="B378" s="854"/>
      <c r="C378" s="855"/>
      <c r="D378" s="811"/>
      <c r="E378" s="811"/>
      <c r="F378" s="816"/>
      <c r="G378" s="811"/>
      <c r="H378" s="811"/>
      <c r="I378" s="811"/>
      <c r="J378" s="811"/>
      <c r="K378" s="811"/>
      <c r="L378" s="816"/>
      <c r="M378" s="811"/>
      <c r="N378" s="811"/>
      <c r="O378" s="811"/>
      <c r="P378" s="811"/>
      <c r="Q378" s="811"/>
      <c r="R378" s="811"/>
      <c r="S378" s="811"/>
      <c r="T378" s="811"/>
      <c r="U378" s="811"/>
      <c r="V378" s="811"/>
      <c r="W378" s="811"/>
      <c r="X378" s="811"/>
      <c r="Y378" s="811"/>
      <c r="Z378" s="811"/>
    </row>
    <row r="379">
      <c r="A379" s="811"/>
      <c r="B379" s="854"/>
      <c r="C379" s="855"/>
      <c r="D379" s="811"/>
      <c r="E379" s="811"/>
      <c r="F379" s="816"/>
      <c r="G379" s="811"/>
      <c r="H379" s="811"/>
      <c r="I379" s="811"/>
      <c r="J379" s="811"/>
      <c r="K379" s="811"/>
      <c r="L379" s="816"/>
      <c r="M379" s="811"/>
      <c r="N379" s="811"/>
      <c r="O379" s="811"/>
      <c r="P379" s="811"/>
      <c r="Q379" s="811"/>
      <c r="R379" s="811"/>
      <c r="S379" s="811"/>
      <c r="T379" s="811"/>
      <c r="U379" s="811"/>
      <c r="V379" s="811"/>
      <c r="W379" s="811"/>
      <c r="X379" s="811"/>
      <c r="Y379" s="811"/>
      <c r="Z379" s="811"/>
    </row>
    <row r="380">
      <c r="A380" s="811"/>
      <c r="B380" s="854"/>
      <c r="C380" s="855"/>
      <c r="D380" s="811"/>
      <c r="E380" s="811"/>
      <c r="F380" s="816"/>
      <c r="G380" s="811"/>
      <c r="H380" s="811"/>
      <c r="I380" s="811"/>
      <c r="J380" s="811"/>
      <c r="K380" s="811"/>
      <c r="L380" s="816"/>
      <c r="M380" s="811"/>
      <c r="N380" s="811"/>
      <c r="O380" s="811"/>
      <c r="P380" s="811"/>
      <c r="Q380" s="811"/>
      <c r="R380" s="811"/>
      <c r="S380" s="811"/>
      <c r="T380" s="811"/>
      <c r="U380" s="811"/>
      <c r="V380" s="811"/>
      <c r="W380" s="811"/>
      <c r="X380" s="811"/>
      <c r="Y380" s="811"/>
      <c r="Z380" s="811"/>
    </row>
    <row r="381">
      <c r="A381" s="811"/>
      <c r="B381" s="854"/>
      <c r="C381" s="855"/>
      <c r="D381" s="811"/>
      <c r="E381" s="811"/>
      <c r="F381" s="816"/>
      <c r="G381" s="811"/>
      <c r="H381" s="811"/>
      <c r="I381" s="811"/>
      <c r="J381" s="811"/>
      <c r="K381" s="811"/>
      <c r="L381" s="816"/>
      <c r="M381" s="811"/>
      <c r="N381" s="811"/>
      <c r="O381" s="811"/>
      <c r="P381" s="811"/>
      <c r="Q381" s="811"/>
      <c r="R381" s="811"/>
      <c r="S381" s="811"/>
      <c r="T381" s="811"/>
      <c r="U381" s="811"/>
      <c r="V381" s="811"/>
      <c r="W381" s="811"/>
      <c r="X381" s="811"/>
      <c r="Y381" s="811"/>
      <c r="Z381" s="811"/>
    </row>
    <row r="382">
      <c r="A382" s="811"/>
      <c r="B382" s="854"/>
      <c r="C382" s="855"/>
      <c r="D382" s="811"/>
      <c r="E382" s="811"/>
      <c r="F382" s="816"/>
      <c r="G382" s="811"/>
      <c r="H382" s="811"/>
      <c r="I382" s="811"/>
      <c r="J382" s="811"/>
      <c r="K382" s="811"/>
      <c r="L382" s="816"/>
      <c r="M382" s="811"/>
      <c r="N382" s="811"/>
      <c r="O382" s="811"/>
      <c r="P382" s="811"/>
      <c r="Q382" s="811"/>
      <c r="R382" s="811"/>
      <c r="S382" s="811"/>
      <c r="T382" s="811"/>
      <c r="U382" s="811"/>
      <c r="V382" s="811"/>
      <c r="W382" s="811"/>
      <c r="X382" s="811"/>
      <c r="Y382" s="811"/>
      <c r="Z382" s="811"/>
    </row>
    <row r="383">
      <c r="A383" s="811"/>
      <c r="B383" s="854"/>
      <c r="C383" s="855"/>
      <c r="D383" s="811"/>
      <c r="E383" s="811"/>
      <c r="F383" s="816"/>
      <c r="G383" s="811"/>
      <c r="H383" s="811"/>
      <c r="I383" s="811"/>
      <c r="J383" s="811"/>
      <c r="K383" s="811"/>
      <c r="L383" s="816"/>
      <c r="M383" s="811"/>
      <c r="N383" s="811"/>
      <c r="O383" s="811"/>
      <c r="P383" s="811"/>
      <c r="Q383" s="811"/>
      <c r="R383" s="811"/>
      <c r="S383" s="811"/>
      <c r="T383" s="811"/>
      <c r="U383" s="811"/>
      <c r="V383" s="811"/>
      <c r="W383" s="811"/>
      <c r="X383" s="811"/>
      <c r="Y383" s="811"/>
      <c r="Z383" s="811"/>
    </row>
    <row r="384">
      <c r="A384" s="811"/>
      <c r="B384" s="854"/>
      <c r="C384" s="855"/>
      <c r="D384" s="811"/>
      <c r="E384" s="811"/>
      <c r="F384" s="816"/>
      <c r="G384" s="811"/>
      <c r="H384" s="811"/>
      <c r="I384" s="811"/>
      <c r="J384" s="811"/>
      <c r="K384" s="811"/>
      <c r="L384" s="816"/>
      <c r="M384" s="811"/>
      <c r="N384" s="811"/>
      <c r="O384" s="811"/>
      <c r="P384" s="811"/>
      <c r="Q384" s="811"/>
      <c r="R384" s="811"/>
      <c r="S384" s="811"/>
      <c r="T384" s="811"/>
      <c r="U384" s="811"/>
      <c r="V384" s="811"/>
      <c r="W384" s="811"/>
      <c r="X384" s="811"/>
      <c r="Y384" s="811"/>
      <c r="Z384" s="811"/>
    </row>
    <row r="385">
      <c r="A385" s="811"/>
      <c r="B385" s="854"/>
      <c r="C385" s="855"/>
      <c r="D385" s="811"/>
      <c r="E385" s="811"/>
      <c r="F385" s="816"/>
      <c r="G385" s="811"/>
      <c r="H385" s="811"/>
      <c r="I385" s="811"/>
      <c r="J385" s="811"/>
      <c r="K385" s="811"/>
      <c r="L385" s="816"/>
      <c r="M385" s="811"/>
      <c r="N385" s="811"/>
      <c r="O385" s="811"/>
      <c r="P385" s="811"/>
      <c r="Q385" s="811"/>
      <c r="R385" s="811"/>
      <c r="S385" s="811"/>
      <c r="T385" s="811"/>
      <c r="U385" s="811"/>
      <c r="V385" s="811"/>
      <c r="W385" s="811"/>
      <c r="X385" s="811"/>
      <c r="Y385" s="811"/>
      <c r="Z385" s="811"/>
    </row>
    <row r="386">
      <c r="A386" s="811"/>
      <c r="B386" s="854"/>
      <c r="C386" s="855"/>
      <c r="D386" s="811"/>
      <c r="E386" s="811"/>
      <c r="F386" s="816"/>
      <c r="G386" s="811"/>
      <c r="H386" s="811"/>
      <c r="I386" s="811"/>
      <c r="J386" s="811"/>
      <c r="K386" s="811"/>
      <c r="L386" s="816"/>
      <c r="M386" s="811"/>
      <c r="N386" s="811"/>
      <c r="O386" s="811"/>
      <c r="P386" s="811"/>
      <c r="Q386" s="811"/>
      <c r="R386" s="811"/>
      <c r="S386" s="811"/>
      <c r="T386" s="811"/>
      <c r="U386" s="811"/>
      <c r="V386" s="811"/>
      <c r="W386" s="811"/>
      <c r="X386" s="811"/>
      <c r="Y386" s="811"/>
      <c r="Z386" s="811"/>
    </row>
    <row r="387">
      <c r="A387" s="811"/>
      <c r="B387" s="854"/>
      <c r="C387" s="855"/>
      <c r="D387" s="811"/>
      <c r="E387" s="811"/>
      <c r="F387" s="816"/>
      <c r="G387" s="811"/>
      <c r="H387" s="811"/>
      <c r="I387" s="811"/>
      <c r="J387" s="811"/>
      <c r="K387" s="811"/>
      <c r="L387" s="816"/>
      <c r="M387" s="811"/>
      <c r="N387" s="811"/>
      <c r="O387" s="811"/>
      <c r="P387" s="811"/>
      <c r="Q387" s="811"/>
      <c r="R387" s="811"/>
      <c r="S387" s="811"/>
      <c r="T387" s="811"/>
      <c r="U387" s="811"/>
      <c r="V387" s="811"/>
      <c r="W387" s="811"/>
      <c r="X387" s="811"/>
      <c r="Y387" s="811"/>
      <c r="Z387" s="811"/>
    </row>
    <row r="388">
      <c r="A388" s="811"/>
      <c r="B388" s="854"/>
      <c r="C388" s="855"/>
      <c r="D388" s="811"/>
      <c r="E388" s="811"/>
      <c r="F388" s="816"/>
      <c r="G388" s="811"/>
      <c r="H388" s="811"/>
      <c r="I388" s="811"/>
      <c r="J388" s="811"/>
      <c r="K388" s="811"/>
      <c r="L388" s="816"/>
      <c r="M388" s="811"/>
      <c r="N388" s="811"/>
      <c r="O388" s="811"/>
      <c r="P388" s="811"/>
      <c r="Q388" s="811"/>
      <c r="R388" s="811"/>
      <c r="S388" s="811"/>
      <c r="T388" s="811"/>
      <c r="U388" s="811"/>
      <c r="V388" s="811"/>
      <c r="W388" s="811"/>
      <c r="X388" s="811"/>
      <c r="Y388" s="811"/>
      <c r="Z388" s="811"/>
    </row>
    <row r="389">
      <c r="A389" s="811"/>
      <c r="B389" s="854"/>
      <c r="C389" s="855"/>
      <c r="D389" s="811"/>
      <c r="E389" s="811"/>
      <c r="F389" s="816"/>
      <c r="G389" s="811"/>
      <c r="H389" s="811"/>
      <c r="I389" s="811"/>
      <c r="J389" s="811"/>
      <c r="K389" s="811"/>
      <c r="L389" s="816"/>
      <c r="M389" s="811"/>
      <c r="N389" s="811"/>
      <c r="O389" s="811"/>
      <c r="P389" s="811"/>
      <c r="Q389" s="811"/>
      <c r="R389" s="811"/>
      <c r="S389" s="811"/>
      <c r="T389" s="811"/>
      <c r="U389" s="811"/>
      <c r="V389" s="811"/>
      <c r="W389" s="811"/>
      <c r="X389" s="811"/>
      <c r="Y389" s="811"/>
      <c r="Z389" s="811"/>
    </row>
    <row r="390">
      <c r="A390" s="811"/>
      <c r="B390" s="854"/>
      <c r="C390" s="855"/>
      <c r="D390" s="811"/>
      <c r="E390" s="811"/>
      <c r="F390" s="816"/>
      <c r="G390" s="811"/>
      <c r="H390" s="811"/>
      <c r="I390" s="811"/>
      <c r="J390" s="811"/>
      <c r="K390" s="811"/>
      <c r="L390" s="816"/>
      <c r="M390" s="811"/>
      <c r="N390" s="811"/>
      <c r="O390" s="811"/>
      <c r="P390" s="811"/>
      <c r="Q390" s="811"/>
      <c r="R390" s="811"/>
      <c r="S390" s="811"/>
      <c r="T390" s="811"/>
      <c r="U390" s="811"/>
      <c r="V390" s="811"/>
      <c r="W390" s="811"/>
      <c r="X390" s="811"/>
      <c r="Y390" s="811"/>
      <c r="Z390" s="811"/>
    </row>
    <row r="391">
      <c r="A391" s="811"/>
      <c r="B391" s="854"/>
      <c r="C391" s="855"/>
      <c r="D391" s="811"/>
      <c r="E391" s="811"/>
      <c r="F391" s="816"/>
      <c r="G391" s="811"/>
      <c r="H391" s="811"/>
      <c r="I391" s="811"/>
      <c r="J391" s="811"/>
      <c r="K391" s="811"/>
      <c r="L391" s="816"/>
      <c r="M391" s="811"/>
      <c r="N391" s="811"/>
      <c r="O391" s="811"/>
      <c r="P391" s="811"/>
      <c r="Q391" s="811"/>
      <c r="R391" s="811"/>
      <c r="S391" s="811"/>
      <c r="T391" s="811"/>
      <c r="U391" s="811"/>
      <c r="V391" s="811"/>
      <c r="W391" s="811"/>
      <c r="X391" s="811"/>
      <c r="Y391" s="811"/>
      <c r="Z391" s="811"/>
    </row>
    <row r="392">
      <c r="A392" s="811"/>
      <c r="B392" s="854"/>
      <c r="C392" s="855"/>
      <c r="D392" s="811"/>
      <c r="E392" s="811"/>
      <c r="F392" s="816"/>
      <c r="G392" s="811"/>
      <c r="H392" s="811"/>
      <c r="I392" s="811"/>
      <c r="J392" s="811"/>
      <c r="K392" s="811"/>
      <c r="L392" s="816"/>
      <c r="M392" s="811"/>
      <c r="N392" s="811"/>
      <c r="O392" s="811"/>
      <c r="P392" s="811"/>
      <c r="Q392" s="811"/>
      <c r="R392" s="811"/>
      <c r="S392" s="811"/>
      <c r="T392" s="811"/>
      <c r="U392" s="811"/>
      <c r="V392" s="811"/>
      <c r="W392" s="811"/>
      <c r="X392" s="811"/>
      <c r="Y392" s="811"/>
      <c r="Z392" s="811"/>
    </row>
    <row r="393">
      <c r="A393" s="811"/>
      <c r="B393" s="854"/>
      <c r="C393" s="855"/>
      <c r="D393" s="811"/>
      <c r="E393" s="811"/>
      <c r="F393" s="816"/>
      <c r="G393" s="811"/>
      <c r="H393" s="811"/>
      <c r="I393" s="811"/>
      <c r="J393" s="811"/>
      <c r="K393" s="811"/>
      <c r="L393" s="816"/>
      <c r="M393" s="811"/>
      <c r="N393" s="811"/>
      <c r="O393" s="811"/>
      <c r="P393" s="811"/>
      <c r="Q393" s="811"/>
      <c r="R393" s="811"/>
      <c r="S393" s="811"/>
      <c r="T393" s="811"/>
      <c r="U393" s="811"/>
      <c r="V393" s="811"/>
      <c r="W393" s="811"/>
      <c r="X393" s="811"/>
      <c r="Y393" s="811"/>
      <c r="Z393" s="811"/>
    </row>
    <row r="394">
      <c r="A394" s="811"/>
      <c r="B394" s="854"/>
      <c r="C394" s="855"/>
      <c r="D394" s="811"/>
      <c r="E394" s="811"/>
      <c r="F394" s="816"/>
      <c r="G394" s="811"/>
      <c r="H394" s="811"/>
      <c r="I394" s="811"/>
      <c r="J394" s="811"/>
      <c r="K394" s="811"/>
      <c r="L394" s="816"/>
      <c r="M394" s="811"/>
      <c r="N394" s="811"/>
      <c r="O394" s="811"/>
      <c r="P394" s="811"/>
      <c r="Q394" s="811"/>
      <c r="R394" s="811"/>
      <c r="S394" s="811"/>
      <c r="T394" s="811"/>
      <c r="U394" s="811"/>
      <c r="V394" s="811"/>
      <c r="W394" s="811"/>
      <c r="X394" s="811"/>
      <c r="Y394" s="811"/>
      <c r="Z394" s="811"/>
    </row>
    <row r="395">
      <c r="A395" s="811"/>
      <c r="B395" s="854"/>
      <c r="C395" s="855"/>
      <c r="D395" s="811"/>
      <c r="E395" s="811"/>
      <c r="F395" s="816"/>
      <c r="G395" s="811"/>
      <c r="H395" s="811"/>
      <c r="I395" s="811"/>
      <c r="J395" s="811"/>
      <c r="K395" s="811"/>
      <c r="L395" s="816"/>
      <c r="M395" s="811"/>
      <c r="N395" s="811"/>
      <c r="O395" s="811"/>
      <c r="P395" s="811"/>
      <c r="Q395" s="811"/>
      <c r="R395" s="811"/>
      <c r="S395" s="811"/>
      <c r="T395" s="811"/>
      <c r="U395" s="811"/>
      <c r="V395" s="811"/>
      <c r="W395" s="811"/>
      <c r="X395" s="811"/>
      <c r="Y395" s="811"/>
      <c r="Z395" s="811"/>
    </row>
    <row r="396">
      <c r="A396" s="811"/>
      <c r="B396" s="854"/>
      <c r="C396" s="855"/>
      <c r="D396" s="811"/>
      <c r="E396" s="811"/>
      <c r="F396" s="816"/>
      <c r="G396" s="811"/>
      <c r="H396" s="811"/>
      <c r="I396" s="811"/>
      <c r="J396" s="811"/>
      <c r="K396" s="811"/>
      <c r="L396" s="816"/>
      <c r="M396" s="811"/>
      <c r="N396" s="811"/>
      <c r="O396" s="811"/>
      <c r="P396" s="811"/>
      <c r="Q396" s="811"/>
      <c r="R396" s="811"/>
      <c r="S396" s="811"/>
      <c r="T396" s="811"/>
      <c r="U396" s="811"/>
      <c r="V396" s="811"/>
      <c r="W396" s="811"/>
      <c r="X396" s="811"/>
      <c r="Y396" s="811"/>
      <c r="Z396" s="811"/>
    </row>
    <row r="397">
      <c r="A397" s="811"/>
      <c r="B397" s="854"/>
      <c r="C397" s="855"/>
      <c r="D397" s="811"/>
      <c r="E397" s="811"/>
      <c r="F397" s="816"/>
      <c r="G397" s="811"/>
      <c r="H397" s="811"/>
      <c r="I397" s="811"/>
      <c r="J397" s="811"/>
      <c r="K397" s="811"/>
      <c r="L397" s="816"/>
      <c r="M397" s="811"/>
      <c r="N397" s="811"/>
      <c r="O397" s="811"/>
      <c r="P397" s="811"/>
      <c r="Q397" s="811"/>
      <c r="R397" s="811"/>
      <c r="S397" s="811"/>
      <c r="T397" s="811"/>
      <c r="U397" s="811"/>
      <c r="V397" s="811"/>
      <c r="W397" s="811"/>
      <c r="X397" s="811"/>
      <c r="Y397" s="811"/>
      <c r="Z397" s="811"/>
    </row>
    <row r="398">
      <c r="A398" s="811"/>
      <c r="B398" s="854"/>
      <c r="C398" s="855"/>
      <c r="D398" s="811"/>
      <c r="E398" s="811"/>
      <c r="F398" s="816"/>
      <c r="G398" s="811"/>
      <c r="H398" s="811"/>
      <c r="I398" s="811"/>
      <c r="J398" s="811"/>
      <c r="K398" s="811"/>
      <c r="L398" s="816"/>
      <c r="M398" s="811"/>
      <c r="N398" s="811"/>
      <c r="O398" s="811"/>
      <c r="P398" s="811"/>
      <c r="Q398" s="811"/>
      <c r="R398" s="811"/>
      <c r="S398" s="811"/>
      <c r="T398" s="811"/>
      <c r="U398" s="811"/>
      <c r="V398" s="811"/>
      <c r="W398" s="811"/>
      <c r="X398" s="811"/>
      <c r="Y398" s="811"/>
      <c r="Z398" s="811"/>
    </row>
    <row r="399">
      <c r="A399" s="811"/>
      <c r="B399" s="854"/>
      <c r="C399" s="855"/>
      <c r="D399" s="811"/>
      <c r="E399" s="811"/>
      <c r="F399" s="816"/>
      <c r="G399" s="811"/>
      <c r="H399" s="811"/>
      <c r="I399" s="811"/>
      <c r="J399" s="811"/>
      <c r="K399" s="811"/>
      <c r="L399" s="816"/>
      <c r="M399" s="811"/>
      <c r="N399" s="811"/>
      <c r="O399" s="811"/>
      <c r="P399" s="811"/>
      <c r="Q399" s="811"/>
      <c r="R399" s="811"/>
      <c r="S399" s="811"/>
      <c r="T399" s="811"/>
      <c r="U399" s="811"/>
      <c r="V399" s="811"/>
      <c r="W399" s="811"/>
      <c r="X399" s="811"/>
      <c r="Y399" s="811"/>
      <c r="Z399" s="811"/>
    </row>
    <row r="400">
      <c r="A400" s="811"/>
      <c r="B400" s="854"/>
      <c r="C400" s="855"/>
      <c r="D400" s="811"/>
      <c r="E400" s="811"/>
      <c r="F400" s="816"/>
      <c r="G400" s="811"/>
      <c r="H400" s="811"/>
      <c r="I400" s="811"/>
      <c r="J400" s="811"/>
      <c r="K400" s="811"/>
      <c r="L400" s="816"/>
      <c r="M400" s="811"/>
      <c r="N400" s="811"/>
      <c r="O400" s="811"/>
      <c r="P400" s="811"/>
      <c r="Q400" s="811"/>
      <c r="R400" s="811"/>
      <c r="S400" s="811"/>
      <c r="T400" s="811"/>
      <c r="U400" s="811"/>
      <c r="V400" s="811"/>
      <c r="W400" s="811"/>
      <c r="X400" s="811"/>
      <c r="Y400" s="811"/>
      <c r="Z400" s="811"/>
    </row>
    <row r="401">
      <c r="A401" s="811"/>
      <c r="B401" s="854"/>
      <c r="C401" s="855"/>
      <c r="D401" s="811"/>
      <c r="E401" s="811"/>
      <c r="F401" s="816"/>
      <c r="G401" s="811"/>
      <c r="H401" s="811"/>
      <c r="I401" s="811"/>
      <c r="J401" s="811"/>
      <c r="K401" s="811"/>
      <c r="L401" s="816"/>
      <c r="M401" s="811"/>
      <c r="N401" s="811"/>
      <c r="O401" s="811"/>
      <c r="P401" s="811"/>
      <c r="Q401" s="811"/>
      <c r="R401" s="811"/>
      <c r="S401" s="811"/>
      <c r="T401" s="811"/>
      <c r="U401" s="811"/>
      <c r="V401" s="811"/>
      <c r="W401" s="811"/>
      <c r="X401" s="811"/>
      <c r="Y401" s="811"/>
      <c r="Z401" s="811"/>
    </row>
    <row r="402">
      <c r="A402" s="811"/>
      <c r="B402" s="854"/>
      <c r="C402" s="855"/>
      <c r="D402" s="811"/>
      <c r="E402" s="811"/>
      <c r="F402" s="816"/>
      <c r="G402" s="811"/>
      <c r="H402" s="811"/>
      <c r="I402" s="811"/>
      <c r="J402" s="811"/>
      <c r="K402" s="811"/>
      <c r="L402" s="816"/>
      <c r="M402" s="811"/>
      <c r="N402" s="811"/>
      <c r="O402" s="811"/>
      <c r="P402" s="811"/>
      <c r="Q402" s="811"/>
      <c r="R402" s="811"/>
      <c r="S402" s="811"/>
      <c r="T402" s="811"/>
      <c r="U402" s="811"/>
      <c r="V402" s="811"/>
      <c r="W402" s="811"/>
      <c r="X402" s="811"/>
      <c r="Y402" s="811"/>
      <c r="Z402" s="811"/>
    </row>
    <row r="403">
      <c r="A403" s="811"/>
      <c r="B403" s="854"/>
      <c r="C403" s="855"/>
      <c r="D403" s="811"/>
      <c r="E403" s="811"/>
      <c r="F403" s="816"/>
      <c r="G403" s="811"/>
      <c r="H403" s="811"/>
      <c r="I403" s="811"/>
      <c r="J403" s="811"/>
      <c r="K403" s="811"/>
      <c r="L403" s="816"/>
      <c r="M403" s="811"/>
      <c r="N403" s="811"/>
      <c r="O403" s="811"/>
      <c r="P403" s="811"/>
      <c r="Q403" s="811"/>
      <c r="R403" s="811"/>
      <c r="S403" s="811"/>
      <c r="T403" s="811"/>
      <c r="U403" s="811"/>
      <c r="V403" s="811"/>
      <c r="W403" s="811"/>
      <c r="X403" s="811"/>
      <c r="Y403" s="811"/>
      <c r="Z403" s="811"/>
    </row>
    <row r="404">
      <c r="A404" s="811"/>
      <c r="B404" s="854"/>
      <c r="C404" s="855"/>
      <c r="D404" s="811"/>
      <c r="E404" s="811"/>
      <c r="F404" s="816"/>
      <c r="G404" s="811"/>
      <c r="H404" s="811"/>
      <c r="I404" s="811"/>
      <c r="J404" s="811"/>
      <c r="K404" s="811"/>
      <c r="L404" s="816"/>
      <c r="M404" s="811"/>
      <c r="N404" s="811"/>
      <c r="O404" s="811"/>
      <c r="P404" s="811"/>
      <c r="Q404" s="811"/>
      <c r="R404" s="811"/>
      <c r="S404" s="811"/>
      <c r="T404" s="811"/>
      <c r="U404" s="811"/>
      <c r="V404" s="811"/>
      <c r="W404" s="811"/>
      <c r="X404" s="811"/>
      <c r="Y404" s="811"/>
      <c r="Z404" s="811"/>
    </row>
    <row r="405">
      <c r="A405" s="811"/>
      <c r="B405" s="854"/>
      <c r="C405" s="855"/>
      <c r="D405" s="811"/>
      <c r="E405" s="811"/>
      <c r="F405" s="816"/>
      <c r="G405" s="811"/>
      <c r="H405" s="811"/>
      <c r="I405" s="811"/>
      <c r="J405" s="811"/>
      <c r="K405" s="811"/>
      <c r="L405" s="816"/>
      <c r="M405" s="811"/>
      <c r="N405" s="811"/>
      <c r="O405" s="811"/>
      <c r="P405" s="811"/>
      <c r="Q405" s="811"/>
      <c r="R405" s="811"/>
      <c r="S405" s="811"/>
      <c r="T405" s="811"/>
      <c r="U405" s="811"/>
      <c r="V405" s="811"/>
      <c r="W405" s="811"/>
      <c r="X405" s="811"/>
      <c r="Y405" s="811"/>
      <c r="Z405" s="811"/>
    </row>
    <row r="406">
      <c r="A406" s="811"/>
      <c r="B406" s="854"/>
      <c r="C406" s="855"/>
      <c r="D406" s="811"/>
      <c r="E406" s="811"/>
      <c r="F406" s="816"/>
      <c r="G406" s="811"/>
      <c r="H406" s="811"/>
      <c r="I406" s="811"/>
      <c r="J406" s="811"/>
      <c r="K406" s="811"/>
      <c r="L406" s="816"/>
      <c r="M406" s="811"/>
      <c r="N406" s="811"/>
      <c r="O406" s="811"/>
      <c r="P406" s="811"/>
      <c r="Q406" s="811"/>
      <c r="R406" s="811"/>
      <c r="S406" s="811"/>
      <c r="T406" s="811"/>
      <c r="U406" s="811"/>
      <c r="V406" s="811"/>
      <c r="W406" s="811"/>
      <c r="X406" s="811"/>
      <c r="Y406" s="811"/>
      <c r="Z406" s="811"/>
    </row>
    <row r="407">
      <c r="A407" s="811"/>
      <c r="B407" s="854"/>
      <c r="C407" s="855"/>
      <c r="D407" s="811"/>
      <c r="E407" s="811"/>
      <c r="F407" s="816"/>
      <c r="G407" s="811"/>
      <c r="H407" s="811"/>
      <c r="I407" s="811"/>
      <c r="J407" s="811"/>
      <c r="K407" s="811"/>
      <c r="L407" s="816"/>
      <c r="M407" s="811"/>
      <c r="N407" s="811"/>
      <c r="O407" s="811"/>
      <c r="P407" s="811"/>
      <c r="Q407" s="811"/>
      <c r="R407" s="811"/>
      <c r="S407" s="811"/>
      <c r="T407" s="811"/>
      <c r="U407" s="811"/>
      <c r="V407" s="811"/>
      <c r="W407" s="811"/>
      <c r="X407" s="811"/>
      <c r="Y407" s="811"/>
      <c r="Z407" s="811"/>
    </row>
    <row r="408">
      <c r="A408" s="811"/>
      <c r="B408" s="854"/>
      <c r="C408" s="855"/>
      <c r="D408" s="811"/>
      <c r="E408" s="811"/>
      <c r="F408" s="816"/>
      <c r="G408" s="811"/>
      <c r="H408" s="811"/>
      <c r="I408" s="811"/>
      <c r="J408" s="811"/>
      <c r="K408" s="811"/>
      <c r="L408" s="816"/>
      <c r="M408" s="811"/>
      <c r="N408" s="811"/>
      <c r="O408" s="811"/>
      <c r="P408" s="811"/>
      <c r="Q408" s="811"/>
      <c r="R408" s="811"/>
      <c r="S408" s="811"/>
      <c r="T408" s="811"/>
      <c r="U408" s="811"/>
      <c r="V408" s="811"/>
      <c r="W408" s="811"/>
      <c r="X408" s="811"/>
      <c r="Y408" s="811"/>
      <c r="Z408" s="811"/>
    </row>
    <row r="409">
      <c r="A409" s="811"/>
      <c r="B409" s="854"/>
      <c r="C409" s="855"/>
      <c r="D409" s="811"/>
      <c r="E409" s="811"/>
      <c r="F409" s="816"/>
      <c r="G409" s="811"/>
      <c r="H409" s="811"/>
      <c r="I409" s="811"/>
      <c r="J409" s="811"/>
      <c r="K409" s="811"/>
      <c r="L409" s="816"/>
      <c r="M409" s="811"/>
      <c r="N409" s="811"/>
      <c r="O409" s="811"/>
      <c r="P409" s="811"/>
      <c r="Q409" s="811"/>
      <c r="R409" s="811"/>
      <c r="S409" s="811"/>
      <c r="T409" s="811"/>
      <c r="U409" s="811"/>
      <c r="V409" s="811"/>
      <c r="W409" s="811"/>
      <c r="X409" s="811"/>
      <c r="Y409" s="811"/>
      <c r="Z409" s="811"/>
    </row>
    <row r="410">
      <c r="A410" s="811"/>
      <c r="B410" s="854"/>
      <c r="C410" s="855"/>
      <c r="D410" s="811"/>
      <c r="E410" s="811"/>
      <c r="F410" s="816"/>
      <c r="G410" s="811"/>
      <c r="H410" s="811"/>
      <c r="I410" s="811"/>
      <c r="J410" s="811"/>
      <c r="K410" s="811"/>
      <c r="L410" s="816"/>
      <c r="M410" s="811"/>
      <c r="N410" s="811"/>
      <c r="O410" s="811"/>
      <c r="P410" s="811"/>
      <c r="Q410" s="811"/>
      <c r="R410" s="811"/>
      <c r="S410" s="811"/>
      <c r="T410" s="811"/>
      <c r="U410" s="811"/>
      <c r="V410" s="811"/>
      <c r="W410" s="811"/>
      <c r="X410" s="811"/>
      <c r="Y410" s="811"/>
      <c r="Z410" s="811"/>
    </row>
    <row r="411">
      <c r="A411" s="811"/>
      <c r="B411" s="854"/>
      <c r="C411" s="855"/>
      <c r="D411" s="811"/>
      <c r="E411" s="811"/>
      <c r="F411" s="816"/>
      <c r="G411" s="811"/>
      <c r="H411" s="811"/>
      <c r="I411" s="811"/>
      <c r="J411" s="811"/>
      <c r="K411" s="811"/>
      <c r="L411" s="816"/>
      <c r="M411" s="811"/>
      <c r="N411" s="811"/>
      <c r="O411" s="811"/>
      <c r="P411" s="811"/>
      <c r="Q411" s="811"/>
      <c r="R411" s="811"/>
      <c r="S411" s="811"/>
      <c r="T411" s="811"/>
      <c r="U411" s="811"/>
      <c r="V411" s="811"/>
      <c r="W411" s="811"/>
      <c r="X411" s="811"/>
      <c r="Y411" s="811"/>
      <c r="Z411" s="811"/>
    </row>
    <row r="412">
      <c r="A412" s="811"/>
      <c r="B412" s="854"/>
      <c r="C412" s="855"/>
      <c r="D412" s="811"/>
      <c r="E412" s="811"/>
      <c r="F412" s="816"/>
      <c r="G412" s="811"/>
      <c r="H412" s="811"/>
      <c r="I412" s="811"/>
      <c r="J412" s="811"/>
      <c r="K412" s="811"/>
      <c r="L412" s="816"/>
      <c r="M412" s="811"/>
      <c r="N412" s="811"/>
      <c r="O412" s="811"/>
      <c r="P412" s="811"/>
      <c r="Q412" s="811"/>
      <c r="R412" s="811"/>
      <c r="S412" s="811"/>
      <c r="T412" s="811"/>
      <c r="U412" s="811"/>
      <c r="V412" s="811"/>
      <c r="W412" s="811"/>
      <c r="X412" s="811"/>
      <c r="Y412" s="811"/>
      <c r="Z412" s="811"/>
    </row>
    <row r="413">
      <c r="A413" s="811"/>
      <c r="B413" s="854"/>
      <c r="C413" s="855"/>
      <c r="D413" s="811"/>
      <c r="E413" s="811"/>
      <c r="F413" s="816"/>
      <c r="G413" s="811"/>
      <c r="H413" s="811"/>
      <c r="I413" s="811"/>
      <c r="J413" s="811"/>
      <c r="K413" s="811"/>
      <c r="L413" s="816"/>
      <c r="M413" s="811"/>
      <c r="N413" s="811"/>
      <c r="O413" s="811"/>
      <c r="P413" s="811"/>
      <c r="Q413" s="811"/>
      <c r="R413" s="811"/>
      <c r="S413" s="811"/>
      <c r="T413" s="811"/>
      <c r="U413" s="811"/>
      <c r="V413" s="811"/>
      <c r="W413" s="811"/>
      <c r="X413" s="811"/>
      <c r="Y413" s="811"/>
      <c r="Z413" s="811"/>
    </row>
    <row r="414">
      <c r="A414" s="811"/>
      <c r="B414" s="854"/>
      <c r="C414" s="855"/>
      <c r="D414" s="811"/>
      <c r="E414" s="811"/>
      <c r="F414" s="816"/>
      <c r="G414" s="811"/>
      <c r="H414" s="811"/>
      <c r="I414" s="811"/>
      <c r="J414" s="811"/>
      <c r="K414" s="811"/>
      <c r="L414" s="816"/>
      <c r="M414" s="811"/>
      <c r="N414" s="811"/>
      <c r="O414" s="811"/>
      <c r="P414" s="811"/>
      <c r="Q414" s="811"/>
      <c r="R414" s="811"/>
      <c r="S414" s="811"/>
      <c r="T414" s="811"/>
      <c r="U414" s="811"/>
      <c r="V414" s="811"/>
      <c r="W414" s="811"/>
      <c r="X414" s="811"/>
      <c r="Y414" s="811"/>
      <c r="Z414" s="811"/>
    </row>
    <row r="415">
      <c r="A415" s="811"/>
      <c r="B415" s="854"/>
      <c r="C415" s="855"/>
      <c r="D415" s="811"/>
      <c r="E415" s="811"/>
      <c r="F415" s="816"/>
      <c r="G415" s="811"/>
      <c r="H415" s="811"/>
      <c r="I415" s="811"/>
      <c r="J415" s="811"/>
      <c r="K415" s="811"/>
      <c r="L415" s="816"/>
      <c r="M415" s="811"/>
      <c r="N415" s="811"/>
      <c r="O415" s="811"/>
      <c r="P415" s="811"/>
      <c r="Q415" s="811"/>
      <c r="R415" s="811"/>
      <c r="S415" s="811"/>
      <c r="T415" s="811"/>
      <c r="U415" s="811"/>
      <c r="V415" s="811"/>
      <c r="W415" s="811"/>
      <c r="X415" s="811"/>
      <c r="Y415" s="811"/>
      <c r="Z415" s="811"/>
    </row>
    <row r="416">
      <c r="A416" s="811"/>
      <c r="B416" s="854"/>
      <c r="C416" s="855"/>
      <c r="D416" s="811"/>
      <c r="E416" s="811"/>
      <c r="F416" s="816"/>
      <c r="G416" s="811"/>
      <c r="H416" s="811"/>
      <c r="I416" s="811"/>
      <c r="J416" s="811"/>
      <c r="K416" s="811"/>
      <c r="L416" s="816"/>
      <c r="M416" s="811"/>
      <c r="N416" s="811"/>
      <c r="O416" s="811"/>
      <c r="P416" s="811"/>
      <c r="Q416" s="811"/>
      <c r="R416" s="811"/>
      <c r="S416" s="811"/>
      <c r="T416" s="811"/>
      <c r="U416" s="811"/>
      <c r="V416" s="811"/>
      <c r="W416" s="811"/>
      <c r="X416" s="811"/>
      <c r="Y416" s="811"/>
      <c r="Z416" s="811"/>
    </row>
    <row r="417">
      <c r="A417" s="811"/>
      <c r="B417" s="854"/>
      <c r="C417" s="855"/>
      <c r="D417" s="811"/>
      <c r="E417" s="811"/>
      <c r="F417" s="816"/>
      <c r="G417" s="811"/>
      <c r="H417" s="811"/>
      <c r="I417" s="811"/>
      <c r="J417" s="811"/>
      <c r="K417" s="811"/>
      <c r="L417" s="816"/>
      <c r="M417" s="811"/>
      <c r="N417" s="811"/>
      <c r="O417" s="811"/>
      <c r="P417" s="811"/>
      <c r="Q417" s="811"/>
      <c r="R417" s="811"/>
      <c r="S417" s="811"/>
      <c r="T417" s="811"/>
      <c r="U417" s="811"/>
      <c r="V417" s="811"/>
      <c r="W417" s="811"/>
      <c r="X417" s="811"/>
      <c r="Y417" s="811"/>
      <c r="Z417" s="811"/>
    </row>
    <row r="418">
      <c r="A418" s="811"/>
      <c r="B418" s="854"/>
      <c r="C418" s="855"/>
      <c r="D418" s="811"/>
      <c r="E418" s="811"/>
      <c r="F418" s="816"/>
      <c r="G418" s="811"/>
      <c r="H418" s="811"/>
      <c r="I418" s="811"/>
      <c r="J418" s="811"/>
      <c r="K418" s="811"/>
      <c r="L418" s="816"/>
      <c r="M418" s="811"/>
      <c r="N418" s="811"/>
      <c r="O418" s="811"/>
      <c r="P418" s="811"/>
      <c r="Q418" s="811"/>
      <c r="R418" s="811"/>
      <c r="S418" s="811"/>
      <c r="T418" s="811"/>
      <c r="U418" s="811"/>
      <c r="V418" s="811"/>
      <c r="W418" s="811"/>
      <c r="X418" s="811"/>
      <c r="Y418" s="811"/>
      <c r="Z418" s="811"/>
    </row>
    <row r="419">
      <c r="A419" s="811"/>
      <c r="B419" s="854"/>
      <c r="C419" s="855"/>
      <c r="D419" s="811"/>
      <c r="E419" s="811"/>
      <c r="F419" s="816"/>
      <c r="G419" s="811"/>
      <c r="H419" s="811"/>
      <c r="I419" s="811"/>
      <c r="J419" s="811"/>
      <c r="K419" s="811"/>
      <c r="L419" s="816"/>
      <c r="M419" s="811"/>
      <c r="N419" s="811"/>
      <c r="O419" s="811"/>
      <c r="P419" s="811"/>
      <c r="Q419" s="811"/>
      <c r="R419" s="811"/>
      <c r="S419" s="811"/>
      <c r="T419" s="811"/>
      <c r="U419" s="811"/>
      <c r="V419" s="811"/>
      <c r="W419" s="811"/>
      <c r="X419" s="811"/>
      <c r="Y419" s="811"/>
      <c r="Z419" s="811"/>
    </row>
    <row r="420">
      <c r="A420" s="811"/>
      <c r="B420" s="854"/>
      <c r="C420" s="855"/>
      <c r="D420" s="811"/>
      <c r="E420" s="811"/>
      <c r="F420" s="816"/>
      <c r="G420" s="811"/>
      <c r="H420" s="811"/>
      <c r="I420" s="811"/>
      <c r="J420" s="811"/>
      <c r="K420" s="811"/>
      <c r="L420" s="816"/>
      <c r="M420" s="811"/>
      <c r="N420" s="811"/>
      <c r="O420" s="811"/>
      <c r="P420" s="811"/>
      <c r="Q420" s="811"/>
      <c r="R420" s="811"/>
      <c r="S420" s="811"/>
      <c r="T420" s="811"/>
      <c r="U420" s="811"/>
      <c r="V420" s="811"/>
      <c r="W420" s="811"/>
      <c r="X420" s="811"/>
      <c r="Y420" s="811"/>
      <c r="Z420" s="811"/>
    </row>
    <row r="421">
      <c r="A421" s="811"/>
      <c r="B421" s="854"/>
      <c r="C421" s="855"/>
      <c r="D421" s="811"/>
      <c r="E421" s="811"/>
      <c r="F421" s="816"/>
      <c r="G421" s="811"/>
      <c r="H421" s="811"/>
      <c r="I421" s="811"/>
      <c r="J421" s="811"/>
      <c r="K421" s="811"/>
      <c r="L421" s="816"/>
      <c r="M421" s="811"/>
      <c r="N421" s="811"/>
      <c r="O421" s="811"/>
      <c r="P421" s="811"/>
      <c r="Q421" s="811"/>
      <c r="R421" s="811"/>
      <c r="S421" s="811"/>
      <c r="T421" s="811"/>
      <c r="U421" s="811"/>
      <c r="V421" s="811"/>
      <c r="W421" s="811"/>
      <c r="X421" s="811"/>
      <c r="Y421" s="811"/>
      <c r="Z421" s="811"/>
    </row>
    <row r="422">
      <c r="A422" s="811"/>
      <c r="B422" s="854"/>
      <c r="C422" s="855"/>
      <c r="D422" s="811"/>
      <c r="E422" s="811"/>
      <c r="F422" s="816"/>
      <c r="G422" s="811"/>
      <c r="H422" s="811"/>
      <c r="I422" s="811"/>
      <c r="J422" s="811"/>
      <c r="K422" s="811"/>
      <c r="L422" s="816"/>
      <c r="M422" s="811"/>
      <c r="N422" s="811"/>
      <c r="O422" s="811"/>
      <c r="P422" s="811"/>
      <c r="Q422" s="811"/>
      <c r="R422" s="811"/>
      <c r="S422" s="811"/>
      <c r="T422" s="811"/>
      <c r="U422" s="811"/>
      <c r="V422" s="811"/>
      <c r="W422" s="811"/>
      <c r="X422" s="811"/>
      <c r="Y422" s="811"/>
      <c r="Z422" s="811"/>
    </row>
    <row r="423">
      <c r="A423" s="811"/>
      <c r="B423" s="854"/>
      <c r="C423" s="855"/>
      <c r="D423" s="811"/>
      <c r="E423" s="811"/>
      <c r="F423" s="816"/>
      <c r="G423" s="811"/>
      <c r="H423" s="811"/>
      <c r="I423" s="811"/>
      <c r="J423" s="811"/>
      <c r="K423" s="811"/>
      <c r="L423" s="816"/>
      <c r="M423" s="811"/>
      <c r="N423" s="811"/>
      <c r="O423" s="811"/>
      <c r="P423" s="811"/>
      <c r="Q423" s="811"/>
      <c r="R423" s="811"/>
      <c r="S423" s="811"/>
      <c r="T423" s="811"/>
      <c r="U423" s="811"/>
      <c r="V423" s="811"/>
      <c r="W423" s="811"/>
      <c r="X423" s="811"/>
      <c r="Y423" s="811"/>
      <c r="Z423" s="811"/>
    </row>
    <row r="424">
      <c r="A424" s="811"/>
      <c r="B424" s="854"/>
      <c r="C424" s="855"/>
      <c r="D424" s="811"/>
      <c r="E424" s="811"/>
      <c r="F424" s="816"/>
      <c r="G424" s="811"/>
      <c r="H424" s="811"/>
      <c r="I424" s="811"/>
      <c r="J424" s="811"/>
      <c r="K424" s="811"/>
      <c r="L424" s="816"/>
      <c r="M424" s="811"/>
      <c r="N424" s="811"/>
      <c r="O424" s="811"/>
      <c r="P424" s="811"/>
      <c r="Q424" s="811"/>
      <c r="R424" s="811"/>
      <c r="S424" s="811"/>
      <c r="T424" s="811"/>
      <c r="U424" s="811"/>
      <c r="V424" s="811"/>
      <c r="W424" s="811"/>
      <c r="X424" s="811"/>
      <c r="Y424" s="811"/>
      <c r="Z424" s="811"/>
    </row>
    <row r="425">
      <c r="A425" s="811"/>
      <c r="B425" s="854"/>
      <c r="C425" s="855"/>
      <c r="D425" s="811"/>
      <c r="E425" s="811"/>
      <c r="F425" s="816"/>
      <c r="G425" s="811"/>
      <c r="H425" s="811"/>
      <c r="I425" s="811"/>
      <c r="J425" s="811"/>
      <c r="K425" s="811"/>
      <c r="L425" s="816"/>
      <c r="M425" s="811"/>
      <c r="N425" s="811"/>
      <c r="O425" s="811"/>
      <c r="P425" s="811"/>
      <c r="Q425" s="811"/>
      <c r="R425" s="811"/>
      <c r="S425" s="811"/>
      <c r="T425" s="811"/>
      <c r="U425" s="811"/>
      <c r="V425" s="811"/>
      <c r="W425" s="811"/>
      <c r="X425" s="811"/>
      <c r="Y425" s="811"/>
      <c r="Z425" s="811"/>
    </row>
    <row r="426">
      <c r="A426" s="811"/>
      <c r="B426" s="854"/>
      <c r="C426" s="855"/>
      <c r="D426" s="811"/>
      <c r="E426" s="811"/>
      <c r="F426" s="816"/>
      <c r="G426" s="811"/>
      <c r="H426" s="811"/>
      <c r="I426" s="811"/>
      <c r="J426" s="811"/>
      <c r="K426" s="811"/>
      <c r="L426" s="816"/>
      <c r="M426" s="811"/>
      <c r="N426" s="811"/>
      <c r="O426" s="811"/>
      <c r="P426" s="811"/>
      <c r="Q426" s="811"/>
      <c r="R426" s="811"/>
      <c r="S426" s="811"/>
      <c r="T426" s="811"/>
      <c r="U426" s="811"/>
      <c r="V426" s="811"/>
      <c r="W426" s="811"/>
      <c r="X426" s="811"/>
      <c r="Y426" s="811"/>
      <c r="Z426" s="811"/>
    </row>
    <row r="427">
      <c r="A427" s="811"/>
      <c r="B427" s="854"/>
      <c r="C427" s="855"/>
      <c r="D427" s="811"/>
      <c r="E427" s="811"/>
      <c r="F427" s="816"/>
      <c r="G427" s="811"/>
      <c r="H427" s="811"/>
      <c r="I427" s="811"/>
      <c r="J427" s="811"/>
      <c r="K427" s="811"/>
      <c r="L427" s="816"/>
      <c r="M427" s="811"/>
      <c r="N427" s="811"/>
      <c r="O427" s="811"/>
      <c r="P427" s="811"/>
      <c r="Q427" s="811"/>
      <c r="R427" s="811"/>
      <c r="S427" s="811"/>
      <c r="T427" s="811"/>
      <c r="U427" s="811"/>
      <c r="V427" s="811"/>
      <c r="W427" s="811"/>
      <c r="X427" s="811"/>
      <c r="Y427" s="811"/>
      <c r="Z427" s="811"/>
    </row>
    <row r="428">
      <c r="A428" s="811"/>
      <c r="B428" s="854"/>
      <c r="C428" s="855"/>
      <c r="D428" s="811"/>
      <c r="E428" s="811"/>
      <c r="F428" s="816"/>
      <c r="G428" s="811"/>
      <c r="H428" s="811"/>
      <c r="I428" s="811"/>
      <c r="J428" s="811"/>
      <c r="K428" s="811"/>
      <c r="L428" s="816"/>
      <c r="M428" s="811"/>
      <c r="N428" s="811"/>
      <c r="O428" s="811"/>
      <c r="P428" s="811"/>
      <c r="Q428" s="811"/>
      <c r="R428" s="811"/>
      <c r="S428" s="811"/>
      <c r="T428" s="811"/>
      <c r="U428" s="811"/>
      <c r="V428" s="811"/>
      <c r="W428" s="811"/>
      <c r="X428" s="811"/>
      <c r="Y428" s="811"/>
      <c r="Z428" s="811"/>
    </row>
    <row r="429">
      <c r="A429" s="811"/>
      <c r="B429" s="854"/>
      <c r="C429" s="855"/>
      <c r="D429" s="811"/>
      <c r="E429" s="811"/>
      <c r="F429" s="816"/>
      <c r="G429" s="811"/>
      <c r="H429" s="811"/>
      <c r="I429" s="811"/>
      <c r="J429" s="811"/>
      <c r="K429" s="811"/>
      <c r="L429" s="816"/>
      <c r="M429" s="811"/>
      <c r="N429" s="811"/>
      <c r="O429" s="811"/>
      <c r="P429" s="811"/>
      <c r="Q429" s="811"/>
      <c r="R429" s="811"/>
      <c r="S429" s="811"/>
      <c r="T429" s="811"/>
      <c r="U429" s="811"/>
      <c r="V429" s="811"/>
      <c r="W429" s="811"/>
      <c r="X429" s="811"/>
      <c r="Y429" s="811"/>
      <c r="Z429" s="811"/>
    </row>
    <row r="430">
      <c r="A430" s="811"/>
      <c r="B430" s="854"/>
      <c r="C430" s="855"/>
      <c r="D430" s="811"/>
      <c r="E430" s="811"/>
      <c r="F430" s="816"/>
      <c r="G430" s="811"/>
      <c r="H430" s="811"/>
      <c r="I430" s="811"/>
      <c r="J430" s="811"/>
      <c r="K430" s="811"/>
      <c r="L430" s="816"/>
      <c r="M430" s="811"/>
      <c r="N430" s="811"/>
      <c r="O430" s="811"/>
      <c r="P430" s="811"/>
      <c r="Q430" s="811"/>
      <c r="R430" s="811"/>
      <c r="S430" s="811"/>
      <c r="T430" s="811"/>
      <c r="U430" s="811"/>
      <c r="V430" s="811"/>
      <c r="W430" s="811"/>
      <c r="X430" s="811"/>
      <c r="Y430" s="811"/>
      <c r="Z430" s="811"/>
    </row>
    <row r="431">
      <c r="A431" s="811"/>
      <c r="B431" s="854"/>
      <c r="C431" s="855"/>
      <c r="D431" s="811"/>
      <c r="E431" s="811"/>
      <c r="F431" s="816"/>
      <c r="G431" s="811"/>
      <c r="H431" s="811"/>
      <c r="I431" s="811"/>
      <c r="J431" s="811"/>
      <c r="K431" s="811"/>
      <c r="L431" s="816"/>
      <c r="M431" s="811"/>
      <c r="N431" s="811"/>
      <c r="O431" s="811"/>
      <c r="P431" s="811"/>
      <c r="Q431" s="811"/>
      <c r="R431" s="811"/>
      <c r="S431" s="811"/>
      <c r="T431" s="811"/>
      <c r="U431" s="811"/>
      <c r="V431" s="811"/>
      <c r="W431" s="811"/>
      <c r="X431" s="811"/>
      <c r="Y431" s="811"/>
      <c r="Z431" s="811"/>
    </row>
    <row r="432">
      <c r="A432" s="811"/>
      <c r="B432" s="854"/>
      <c r="C432" s="855"/>
      <c r="D432" s="811"/>
      <c r="E432" s="811"/>
      <c r="F432" s="816"/>
      <c r="G432" s="811"/>
      <c r="H432" s="811"/>
      <c r="I432" s="811"/>
      <c r="J432" s="811"/>
      <c r="K432" s="811"/>
      <c r="L432" s="816"/>
      <c r="M432" s="811"/>
      <c r="N432" s="811"/>
      <c r="O432" s="811"/>
      <c r="P432" s="811"/>
      <c r="Q432" s="811"/>
      <c r="R432" s="811"/>
      <c r="S432" s="811"/>
      <c r="T432" s="811"/>
      <c r="U432" s="811"/>
      <c r="V432" s="811"/>
      <c r="W432" s="811"/>
      <c r="X432" s="811"/>
      <c r="Y432" s="811"/>
      <c r="Z432" s="811"/>
    </row>
    <row r="433">
      <c r="A433" s="811"/>
      <c r="B433" s="854"/>
      <c r="C433" s="855"/>
      <c r="D433" s="811"/>
      <c r="E433" s="811"/>
      <c r="F433" s="816"/>
      <c r="G433" s="811"/>
      <c r="H433" s="811"/>
      <c r="I433" s="811"/>
      <c r="J433" s="811"/>
      <c r="K433" s="811"/>
      <c r="L433" s="816"/>
      <c r="M433" s="811"/>
      <c r="N433" s="811"/>
      <c r="O433" s="811"/>
      <c r="P433" s="811"/>
      <c r="Q433" s="811"/>
      <c r="R433" s="811"/>
      <c r="S433" s="811"/>
      <c r="T433" s="811"/>
      <c r="U433" s="811"/>
      <c r="V433" s="811"/>
      <c r="W433" s="811"/>
      <c r="X433" s="811"/>
      <c r="Y433" s="811"/>
      <c r="Z433" s="811"/>
    </row>
    <row r="434">
      <c r="A434" s="811"/>
      <c r="B434" s="854"/>
      <c r="C434" s="855"/>
      <c r="D434" s="811"/>
      <c r="E434" s="811"/>
      <c r="F434" s="816"/>
      <c r="G434" s="811"/>
      <c r="H434" s="811"/>
      <c r="I434" s="811"/>
      <c r="J434" s="811"/>
      <c r="K434" s="811"/>
      <c r="L434" s="816"/>
      <c r="M434" s="811"/>
      <c r="N434" s="811"/>
      <c r="O434" s="811"/>
      <c r="P434" s="811"/>
      <c r="Q434" s="811"/>
      <c r="R434" s="811"/>
      <c r="S434" s="811"/>
      <c r="T434" s="811"/>
      <c r="U434" s="811"/>
      <c r="V434" s="811"/>
      <c r="W434" s="811"/>
      <c r="X434" s="811"/>
      <c r="Y434" s="811"/>
      <c r="Z434" s="811"/>
    </row>
    <row r="435">
      <c r="A435" s="811"/>
      <c r="B435" s="854"/>
      <c r="C435" s="855"/>
      <c r="D435" s="811"/>
      <c r="E435" s="811"/>
      <c r="F435" s="816"/>
      <c r="G435" s="811"/>
      <c r="H435" s="811"/>
      <c r="I435" s="811"/>
      <c r="J435" s="811"/>
      <c r="K435" s="811"/>
      <c r="L435" s="816"/>
      <c r="M435" s="811"/>
      <c r="N435" s="811"/>
      <c r="O435" s="811"/>
      <c r="P435" s="811"/>
      <c r="Q435" s="811"/>
      <c r="R435" s="811"/>
      <c r="S435" s="811"/>
      <c r="T435" s="811"/>
      <c r="U435" s="811"/>
      <c r="V435" s="811"/>
      <c r="W435" s="811"/>
      <c r="X435" s="811"/>
      <c r="Y435" s="811"/>
      <c r="Z435" s="811"/>
    </row>
    <row r="436">
      <c r="A436" s="811"/>
      <c r="B436" s="854"/>
      <c r="C436" s="855"/>
      <c r="D436" s="811"/>
      <c r="E436" s="811"/>
      <c r="F436" s="816"/>
      <c r="G436" s="811"/>
      <c r="H436" s="811"/>
      <c r="I436" s="811"/>
      <c r="J436" s="811"/>
      <c r="K436" s="811"/>
      <c r="L436" s="816"/>
      <c r="M436" s="811"/>
      <c r="N436" s="811"/>
      <c r="O436" s="811"/>
      <c r="P436" s="811"/>
      <c r="Q436" s="811"/>
      <c r="R436" s="811"/>
      <c r="S436" s="811"/>
      <c r="T436" s="811"/>
      <c r="U436" s="811"/>
      <c r="V436" s="811"/>
      <c r="W436" s="811"/>
      <c r="X436" s="811"/>
      <c r="Y436" s="811"/>
      <c r="Z436" s="811"/>
    </row>
    <row r="437">
      <c r="A437" s="811"/>
      <c r="B437" s="854"/>
      <c r="C437" s="855"/>
      <c r="D437" s="811"/>
      <c r="E437" s="811"/>
      <c r="F437" s="816"/>
      <c r="G437" s="811"/>
      <c r="H437" s="811"/>
      <c r="I437" s="811"/>
      <c r="J437" s="811"/>
      <c r="K437" s="811"/>
      <c r="L437" s="816"/>
      <c r="M437" s="811"/>
      <c r="N437" s="811"/>
      <c r="O437" s="811"/>
      <c r="P437" s="811"/>
      <c r="Q437" s="811"/>
      <c r="R437" s="811"/>
      <c r="S437" s="811"/>
      <c r="T437" s="811"/>
      <c r="U437" s="811"/>
      <c r="V437" s="811"/>
      <c r="W437" s="811"/>
      <c r="X437" s="811"/>
      <c r="Y437" s="811"/>
      <c r="Z437" s="811"/>
    </row>
    <row r="438">
      <c r="A438" s="811"/>
      <c r="B438" s="854"/>
      <c r="C438" s="855"/>
      <c r="D438" s="811"/>
      <c r="E438" s="811"/>
      <c r="F438" s="816"/>
      <c r="G438" s="811"/>
      <c r="H438" s="811"/>
      <c r="I438" s="811"/>
      <c r="J438" s="811"/>
      <c r="K438" s="811"/>
      <c r="L438" s="816"/>
      <c r="M438" s="811"/>
      <c r="N438" s="811"/>
      <c r="O438" s="811"/>
      <c r="P438" s="811"/>
      <c r="Q438" s="811"/>
      <c r="R438" s="811"/>
      <c r="S438" s="811"/>
      <c r="T438" s="811"/>
      <c r="U438" s="811"/>
      <c r="V438" s="811"/>
      <c r="W438" s="811"/>
      <c r="X438" s="811"/>
      <c r="Y438" s="811"/>
      <c r="Z438" s="811"/>
    </row>
    <row r="439">
      <c r="A439" s="811"/>
      <c r="B439" s="854"/>
      <c r="C439" s="855"/>
      <c r="D439" s="811"/>
      <c r="E439" s="811"/>
      <c r="F439" s="816"/>
      <c r="G439" s="811"/>
      <c r="H439" s="811"/>
      <c r="I439" s="811"/>
      <c r="J439" s="811"/>
      <c r="K439" s="811"/>
      <c r="L439" s="816"/>
      <c r="M439" s="811"/>
      <c r="N439" s="811"/>
      <c r="O439" s="811"/>
      <c r="P439" s="811"/>
      <c r="Q439" s="811"/>
      <c r="R439" s="811"/>
      <c r="S439" s="811"/>
      <c r="T439" s="811"/>
      <c r="U439" s="811"/>
      <c r="V439" s="811"/>
      <c r="W439" s="811"/>
      <c r="X439" s="811"/>
      <c r="Y439" s="811"/>
      <c r="Z439" s="811"/>
    </row>
    <row r="440">
      <c r="A440" s="811"/>
      <c r="B440" s="854"/>
      <c r="C440" s="855"/>
      <c r="D440" s="811"/>
      <c r="E440" s="811"/>
      <c r="F440" s="816"/>
      <c r="G440" s="811"/>
      <c r="H440" s="811"/>
      <c r="I440" s="811"/>
      <c r="J440" s="811"/>
      <c r="K440" s="811"/>
      <c r="L440" s="816"/>
      <c r="M440" s="811"/>
      <c r="N440" s="811"/>
      <c r="O440" s="811"/>
      <c r="P440" s="811"/>
      <c r="Q440" s="811"/>
      <c r="R440" s="811"/>
      <c r="S440" s="811"/>
      <c r="T440" s="811"/>
      <c r="U440" s="811"/>
      <c r="V440" s="811"/>
      <c r="W440" s="811"/>
      <c r="X440" s="811"/>
      <c r="Y440" s="811"/>
      <c r="Z440" s="811"/>
    </row>
    <row r="441">
      <c r="A441" s="811"/>
      <c r="B441" s="854"/>
      <c r="C441" s="855"/>
      <c r="D441" s="811"/>
      <c r="E441" s="811"/>
      <c r="F441" s="816"/>
      <c r="G441" s="811"/>
      <c r="H441" s="811"/>
      <c r="I441" s="811"/>
      <c r="J441" s="811"/>
      <c r="K441" s="811"/>
      <c r="L441" s="816"/>
      <c r="M441" s="811"/>
      <c r="N441" s="811"/>
      <c r="O441" s="811"/>
      <c r="P441" s="811"/>
      <c r="Q441" s="811"/>
      <c r="R441" s="811"/>
      <c r="S441" s="811"/>
      <c r="T441" s="811"/>
      <c r="U441" s="811"/>
      <c r="V441" s="811"/>
      <c r="W441" s="811"/>
      <c r="X441" s="811"/>
      <c r="Y441" s="811"/>
      <c r="Z441" s="811"/>
    </row>
    <row r="442">
      <c r="A442" s="811"/>
      <c r="B442" s="854"/>
      <c r="C442" s="855"/>
      <c r="D442" s="811"/>
      <c r="E442" s="811"/>
      <c r="F442" s="816"/>
      <c r="G442" s="811"/>
      <c r="H442" s="811"/>
      <c r="I442" s="811"/>
      <c r="J442" s="811"/>
      <c r="K442" s="811"/>
      <c r="L442" s="816"/>
      <c r="M442" s="811"/>
      <c r="N442" s="811"/>
      <c r="O442" s="811"/>
      <c r="P442" s="811"/>
      <c r="Q442" s="811"/>
      <c r="R442" s="811"/>
      <c r="S442" s="811"/>
      <c r="T442" s="811"/>
      <c r="U442" s="811"/>
      <c r="V442" s="811"/>
      <c r="W442" s="811"/>
      <c r="X442" s="811"/>
      <c r="Y442" s="811"/>
      <c r="Z442" s="811"/>
    </row>
    <row r="443">
      <c r="A443" s="811"/>
      <c r="B443" s="854"/>
      <c r="C443" s="855"/>
      <c r="D443" s="811"/>
      <c r="E443" s="811"/>
      <c r="F443" s="816"/>
      <c r="G443" s="811"/>
      <c r="H443" s="811"/>
      <c r="I443" s="811"/>
      <c r="J443" s="811"/>
      <c r="K443" s="811"/>
      <c r="L443" s="816"/>
      <c r="M443" s="811"/>
      <c r="N443" s="811"/>
      <c r="O443" s="811"/>
      <c r="P443" s="811"/>
      <c r="Q443" s="811"/>
      <c r="R443" s="811"/>
      <c r="S443" s="811"/>
      <c r="T443" s="811"/>
      <c r="U443" s="811"/>
      <c r="V443" s="811"/>
      <c r="W443" s="811"/>
      <c r="X443" s="811"/>
      <c r="Y443" s="811"/>
      <c r="Z443" s="811"/>
    </row>
    <row r="444">
      <c r="A444" s="811"/>
      <c r="B444" s="854"/>
      <c r="C444" s="855"/>
      <c r="D444" s="811"/>
      <c r="E444" s="811"/>
      <c r="F444" s="816"/>
      <c r="G444" s="811"/>
      <c r="H444" s="811"/>
      <c r="I444" s="811"/>
      <c r="J444" s="811"/>
      <c r="K444" s="811"/>
      <c r="L444" s="816"/>
      <c r="M444" s="811"/>
      <c r="N444" s="811"/>
      <c r="O444" s="811"/>
      <c r="P444" s="811"/>
      <c r="Q444" s="811"/>
      <c r="R444" s="811"/>
      <c r="S444" s="811"/>
      <c r="T444" s="811"/>
      <c r="U444" s="811"/>
      <c r="V444" s="811"/>
      <c r="W444" s="811"/>
      <c r="X444" s="811"/>
      <c r="Y444" s="811"/>
      <c r="Z444" s="811"/>
    </row>
    <row r="445">
      <c r="A445" s="811"/>
      <c r="B445" s="854"/>
      <c r="C445" s="855"/>
      <c r="D445" s="811"/>
      <c r="E445" s="811"/>
      <c r="F445" s="816"/>
      <c r="G445" s="811"/>
      <c r="H445" s="811"/>
      <c r="I445" s="811"/>
      <c r="J445" s="811"/>
      <c r="K445" s="811"/>
      <c r="L445" s="816"/>
      <c r="M445" s="811"/>
      <c r="N445" s="811"/>
      <c r="O445" s="811"/>
      <c r="P445" s="811"/>
      <c r="Q445" s="811"/>
      <c r="R445" s="811"/>
      <c r="S445" s="811"/>
      <c r="T445" s="811"/>
      <c r="U445" s="811"/>
      <c r="V445" s="811"/>
      <c r="W445" s="811"/>
      <c r="X445" s="811"/>
      <c r="Y445" s="811"/>
      <c r="Z445" s="811"/>
    </row>
    <row r="446">
      <c r="A446" s="811"/>
      <c r="B446" s="854"/>
      <c r="C446" s="855"/>
      <c r="D446" s="811"/>
      <c r="E446" s="811"/>
      <c r="F446" s="816"/>
      <c r="G446" s="811"/>
      <c r="H446" s="811"/>
      <c r="I446" s="811"/>
      <c r="J446" s="811"/>
      <c r="K446" s="811"/>
      <c r="L446" s="816"/>
      <c r="M446" s="811"/>
      <c r="N446" s="811"/>
      <c r="O446" s="811"/>
      <c r="P446" s="811"/>
      <c r="Q446" s="811"/>
      <c r="R446" s="811"/>
      <c r="S446" s="811"/>
      <c r="T446" s="811"/>
      <c r="U446" s="811"/>
      <c r="V446" s="811"/>
      <c r="W446" s="811"/>
      <c r="X446" s="811"/>
      <c r="Y446" s="811"/>
      <c r="Z446" s="811"/>
    </row>
    <row r="447">
      <c r="A447" s="811"/>
      <c r="B447" s="854"/>
      <c r="C447" s="855"/>
      <c r="D447" s="811"/>
      <c r="E447" s="811"/>
      <c r="F447" s="816"/>
      <c r="G447" s="811"/>
      <c r="H447" s="811"/>
      <c r="I447" s="811"/>
      <c r="J447" s="811"/>
      <c r="K447" s="811"/>
      <c r="L447" s="816"/>
      <c r="M447" s="811"/>
      <c r="N447" s="811"/>
      <c r="O447" s="811"/>
      <c r="P447" s="811"/>
      <c r="Q447" s="811"/>
      <c r="R447" s="811"/>
      <c r="S447" s="811"/>
      <c r="T447" s="811"/>
      <c r="U447" s="811"/>
      <c r="V447" s="811"/>
      <c r="W447" s="811"/>
      <c r="X447" s="811"/>
      <c r="Y447" s="811"/>
      <c r="Z447" s="811"/>
    </row>
    <row r="448">
      <c r="A448" s="811"/>
      <c r="B448" s="854"/>
      <c r="C448" s="855"/>
      <c r="D448" s="811"/>
      <c r="E448" s="811"/>
      <c r="F448" s="816"/>
      <c r="G448" s="811"/>
      <c r="H448" s="811"/>
      <c r="I448" s="811"/>
      <c r="J448" s="811"/>
      <c r="K448" s="811"/>
      <c r="L448" s="816"/>
      <c r="M448" s="811"/>
      <c r="N448" s="811"/>
      <c r="O448" s="811"/>
      <c r="P448" s="811"/>
      <c r="Q448" s="811"/>
      <c r="R448" s="811"/>
      <c r="S448" s="811"/>
      <c r="T448" s="811"/>
      <c r="U448" s="811"/>
      <c r="V448" s="811"/>
      <c r="W448" s="811"/>
      <c r="X448" s="811"/>
      <c r="Y448" s="811"/>
      <c r="Z448" s="811"/>
    </row>
    <row r="449">
      <c r="A449" s="811"/>
      <c r="B449" s="854"/>
      <c r="C449" s="855"/>
      <c r="D449" s="811"/>
      <c r="E449" s="811"/>
      <c r="F449" s="816"/>
      <c r="G449" s="811"/>
      <c r="H449" s="811"/>
      <c r="I449" s="811"/>
      <c r="J449" s="811"/>
      <c r="K449" s="811"/>
      <c r="L449" s="816"/>
      <c r="M449" s="811"/>
      <c r="N449" s="811"/>
      <c r="O449" s="811"/>
      <c r="P449" s="811"/>
      <c r="Q449" s="811"/>
      <c r="R449" s="811"/>
      <c r="S449" s="811"/>
      <c r="T449" s="811"/>
      <c r="U449" s="811"/>
      <c r="V449" s="811"/>
      <c r="W449" s="811"/>
      <c r="X449" s="811"/>
      <c r="Y449" s="811"/>
      <c r="Z449" s="811"/>
    </row>
    <row r="450">
      <c r="A450" s="811"/>
      <c r="B450" s="854"/>
      <c r="C450" s="855"/>
      <c r="D450" s="811"/>
      <c r="E450" s="811"/>
      <c r="F450" s="816"/>
      <c r="G450" s="811"/>
      <c r="H450" s="811"/>
      <c r="I450" s="811"/>
      <c r="J450" s="811"/>
      <c r="K450" s="811"/>
      <c r="L450" s="816"/>
      <c r="M450" s="811"/>
      <c r="N450" s="811"/>
      <c r="O450" s="811"/>
      <c r="P450" s="811"/>
      <c r="Q450" s="811"/>
      <c r="R450" s="811"/>
      <c r="S450" s="811"/>
      <c r="T450" s="811"/>
      <c r="U450" s="811"/>
      <c r="V450" s="811"/>
      <c r="W450" s="811"/>
      <c r="X450" s="811"/>
      <c r="Y450" s="811"/>
      <c r="Z450" s="811"/>
    </row>
    <row r="451">
      <c r="A451" s="811"/>
      <c r="B451" s="854"/>
      <c r="C451" s="855"/>
      <c r="D451" s="811"/>
      <c r="E451" s="811"/>
      <c r="F451" s="816"/>
      <c r="G451" s="811"/>
      <c r="H451" s="811"/>
      <c r="I451" s="811"/>
      <c r="J451" s="811"/>
      <c r="K451" s="811"/>
      <c r="L451" s="816"/>
      <c r="M451" s="811"/>
      <c r="N451" s="811"/>
      <c r="O451" s="811"/>
      <c r="P451" s="811"/>
      <c r="Q451" s="811"/>
      <c r="R451" s="811"/>
      <c r="S451" s="811"/>
      <c r="T451" s="811"/>
      <c r="U451" s="811"/>
      <c r="V451" s="811"/>
      <c r="W451" s="811"/>
      <c r="X451" s="811"/>
      <c r="Y451" s="811"/>
      <c r="Z451" s="811"/>
    </row>
    <row r="452">
      <c r="A452" s="811"/>
      <c r="B452" s="854"/>
      <c r="C452" s="855"/>
      <c r="D452" s="811"/>
      <c r="E452" s="811"/>
      <c r="F452" s="816"/>
      <c r="G452" s="811"/>
      <c r="H452" s="811"/>
      <c r="I452" s="811"/>
      <c r="J452" s="811"/>
      <c r="K452" s="811"/>
      <c r="L452" s="816"/>
      <c r="M452" s="811"/>
      <c r="N452" s="811"/>
      <c r="O452" s="811"/>
      <c r="P452" s="811"/>
      <c r="Q452" s="811"/>
      <c r="R452" s="811"/>
      <c r="S452" s="811"/>
      <c r="T452" s="811"/>
      <c r="U452" s="811"/>
      <c r="V452" s="811"/>
      <c r="W452" s="811"/>
      <c r="X452" s="811"/>
      <c r="Y452" s="811"/>
      <c r="Z452" s="811"/>
    </row>
    <row r="453">
      <c r="A453" s="811"/>
      <c r="B453" s="854"/>
      <c r="C453" s="855"/>
      <c r="D453" s="811"/>
      <c r="E453" s="811"/>
      <c r="F453" s="816"/>
      <c r="G453" s="811"/>
      <c r="H453" s="811"/>
      <c r="I453" s="811"/>
      <c r="J453" s="811"/>
      <c r="K453" s="811"/>
      <c r="L453" s="816"/>
      <c r="M453" s="811"/>
      <c r="N453" s="811"/>
      <c r="O453" s="811"/>
      <c r="P453" s="811"/>
      <c r="Q453" s="811"/>
      <c r="R453" s="811"/>
      <c r="S453" s="811"/>
      <c r="T453" s="811"/>
      <c r="U453" s="811"/>
      <c r="V453" s="811"/>
      <c r="W453" s="811"/>
      <c r="X453" s="811"/>
      <c r="Y453" s="811"/>
      <c r="Z453" s="811"/>
    </row>
    <row r="454">
      <c r="A454" s="811"/>
      <c r="B454" s="854"/>
      <c r="C454" s="855"/>
      <c r="D454" s="811"/>
      <c r="E454" s="811"/>
      <c r="F454" s="816"/>
      <c r="G454" s="811"/>
      <c r="H454" s="811"/>
      <c r="I454" s="811"/>
      <c r="J454" s="811"/>
      <c r="K454" s="811"/>
      <c r="L454" s="816"/>
      <c r="M454" s="811"/>
      <c r="N454" s="811"/>
      <c r="O454" s="811"/>
      <c r="P454" s="811"/>
      <c r="Q454" s="811"/>
      <c r="R454" s="811"/>
      <c r="S454" s="811"/>
      <c r="T454" s="811"/>
      <c r="U454" s="811"/>
      <c r="V454" s="811"/>
      <c r="W454" s="811"/>
      <c r="X454" s="811"/>
      <c r="Y454" s="811"/>
      <c r="Z454" s="811"/>
    </row>
    <row r="455">
      <c r="A455" s="811"/>
      <c r="B455" s="854"/>
      <c r="C455" s="855"/>
      <c r="D455" s="811"/>
      <c r="E455" s="811"/>
      <c r="F455" s="816"/>
      <c r="G455" s="811"/>
      <c r="H455" s="811"/>
      <c r="I455" s="811"/>
      <c r="J455" s="811"/>
      <c r="K455" s="811"/>
      <c r="L455" s="816"/>
      <c r="M455" s="811"/>
      <c r="N455" s="811"/>
      <c r="O455" s="811"/>
      <c r="P455" s="811"/>
      <c r="Q455" s="811"/>
      <c r="R455" s="811"/>
      <c r="S455" s="811"/>
      <c r="T455" s="811"/>
      <c r="U455" s="811"/>
      <c r="V455" s="811"/>
      <c r="W455" s="811"/>
      <c r="X455" s="811"/>
      <c r="Y455" s="811"/>
      <c r="Z455" s="811"/>
    </row>
    <row r="456">
      <c r="A456" s="811"/>
      <c r="B456" s="854"/>
      <c r="C456" s="855"/>
      <c r="D456" s="811"/>
      <c r="E456" s="811"/>
      <c r="F456" s="816"/>
      <c r="G456" s="811"/>
      <c r="H456" s="811"/>
      <c r="I456" s="811"/>
      <c r="J456" s="811"/>
      <c r="K456" s="811"/>
      <c r="L456" s="816"/>
      <c r="M456" s="811"/>
      <c r="N456" s="811"/>
      <c r="O456" s="811"/>
      <c r="P456" s="811"/>
      <c r="Q456" s="811"/>
      <c r="R456" s="811"/>
      <c r="S456" s="811"/>
      <c r="T456" s="811"/>
      <c r="U456" s="811"/>
      <c r="V456" s="811"/>
      <c r="W456" s="811"/>
      <c r="X456" s="811"/>
      <c r="Y456" s="811"/>
      <c r="Z456" s="811"/>
    </row>
    <row r="457">
      <c r="A457" s="811"/>
      <c r="B457" s="854"/>
      <c r="C457" s="855"/>
      <c r="D457" s="811"/>
      <c r="E457" s="811"/>
      <c r="F457" s="816"/>
      <c r="G457" s="811"/>
      <c r="H457" s="811"/>
      <c r="I457" s="811"/>
      <c r="J457" s="811"/>
      <c r="K457" s="811"/>
      <c r="L457" s="816"/>
      <c r="M457" s="811"/>
      <c r="N457" s="811"/>
      <c r="O457" s="811"/>
      <c r="P457" s="811"/>
      <c r="Q457" s="811"/>
      <c r="R457" s="811"/>
      <c r="S457" s="811"/>
      <c r="T457" s="811"/>
      <c r="U457" s="811"/>
      <c r="V457" s="811"/>
      <c r="W457" s="811"/>
      <c r="X457" s="811"/>
      <c r="Y457" s="811"/>
      <c r="Z457" s="811"/>
    </row>
    <row r="458">
      <c r="A458" s="811"/>
      <c r="B458" s="854"/>
      <c r="C458" s="855"/>
      <c r="D458" s="811"/>
      <c r="E458" s="811"/>
      <c r="F458" s="816"/>
      <c r="G458" s="811"/>
      <c r="H458" s="811"/>
      <c r="I458" s="811"/>
      <c r="J458" s="811"/>
      <c r="K458" s="811"/>
      <c r="L458" s="816"/>
      <c r="M458" s="811"/>
      <c r="N458" s="811"/>
      <c r="O458" s="811"/>
      <c r="P458" s="811"/>
      <c r="Q458" s="811"/>
      <c r="R458" s="811"/>
      <c r="S458" s="811"/>
      <c r="T458" s="811"/>
      <c r="U458" s="811"/>
      <c r="V458" s="811"/>
      <c r="W458" s="811"/>
      <c r="X458" s="811"/>
      <c r="Y458" s="811"/>
      <c r="Z458" s="811"/>
    </row>
    <row r="459">
      <c r="A459" s="811"/>
      <c r="B459" s="854"/>
      <c r="C459" s="855"/>
      <c r="D459" s="811"/>
      <c r="E459" s="811"/>
      <c r="F459" s="816"/>
      <c r="G459" s="811"/>
      <c r="H459" s="811"/>
      <c r="I459" s="811"/>
      <c r="J459" s="811"/>
      <c r="K459" s="811"/>
      <c r="L459" s="816"/>
      <c r="M459" s="811"/>
      <c r="N459" s="811"/>
      <c r="O459" s="811"/>
      <c r="P459" s="811"/>
      <c r="Q459" s="811"/>
      <c r="R459" s="811"/>
      <c r="S459" s="811"/>
      <c r="T459" s="811"/>
      <c r="U459" s="811"/>
      <c r="V459" s="811"/>
      <c r="W459" s="811"/>
      <c r="X459" s="811"/>
      <c r="Y459" s="811"/>
      <c r="Z459" s="811"/>
    </row>
    <row r="460">
      <c r="A460" s="811"/>
      <c r="B460" s="854"/>
      <c r="C460" s="855"/>
      <c r="D460" s="811"/>
      <c r="E460" s="811"/>
      <c r="F460" s="816"/>
      <c r="G460" s="811"/>
      <c r="H460" s="811"/>
      <c r="I460" s="811"/>
      <c r="J460" s="811"/>
      <c r="K460" s="811"/>
      <c r="L460" s="816"/>
      <c r="M460" s="811"/>
      <c r="N460" s="811"/>
      <c r="O460" s="811"/>
      <c r="P460" s="811"/>
      <c r="Q460" s="811"/>
      <c r="R460" s="811"/>
      <c r="S460" s="811"/>
      <c r="T460" s="811"/>
      <c r="U460" s="811"/>
      <c r="V460" s="811"/>
      <c r="W460" s="811"/>
      <c r="X460" s="811"/>
      <c r="Y460" s="811"/>
      <c r="Z460" s="811"/>
    </row>
    <row r="461">
      <c r="A461" s="811"/>
      <c r="B461" s="854"/>
      <c r="C461" s="855"/>
      <c r="D461" s="811"/>
      <c r="E461" s="811"/>
      <c r="F461" s="816"/>
      <c r="G461" s="811"/>
      <c r="H461" s="811"/>
      <c r="I461" s="811"/>
      <c r="J461" s="811"/>
      <c r="K461" s="811"/>
      <c r="L461" s="816"/>
      <c r="M461" s="811"/>
      <c r="N461" s="811"/>
      <c r="O461" s="811"/>
      <c r="P461" s="811"/>
      <c r="Q461" s="811"/>
      <c r="R461" s="811"/>
      <c r="S461" s="811"/>
      <c r="T461" s="811"/>
      <c r="U461" s="811"/>
      <c r="V461" s="811"/>
      <c r="W461" s="811"/>
      <c r="X461" s="811"/>
      <c r="Y461" s="811"/>
      <c r="Z461" s="811"/>
    </row>
    <row r="462">
      <c r="A462" s="811"/>
      <c r="B462" s="854"/>
      <c r="C462" s="855"/>
      <c r="D462" s="811"/>
      <c r="E462" s="811"/>
      <c r="F462" s="816"/>
      <c r="G462" s="811"/>
      <c r="H462" s="811"/>
      <c r="I462" s="811"/>
      <c r="J462" s="811"/>
      <c r="K462" s="811"/>
      <c r="L462" s="816"/>
      <c r="M462" s="811"/>
      <c r="N462" s="811"/>
      <c r="O462" s="811"/>
      <c r="P462" s="811"/>
      <c r="Q462" s="811"/>
      <c r="R462" s="811"/>
      <c r="S462" s="811"/>
      <c r="T462" s="811"/>
      <c r="U462" s="811"/>
      <c r="V462" s="811"/>
      <c r="W462" s="811"/>
      <c r="X462" s="811"/>
      <c r="Y462" s="811"/>
      <c r="Z462" s="811"/>
    </row>
    <row r="463">
      <c r="A463" s="811"/>
      <c r="B463" s="854"/>
      <c r="C463" s="855"/>
      <c r="D463" s="811"/>
      <c r="E463" s="811"/>
      <c r="F463" s="816"/>
      <c r="G463" s="811"/>
      <c r="H463" s="811"/>
      <c r="I463" s="811"/>
      <c r="J463" s="811"/>
      <c r="K463" s="811"/>
      <c r="L463" s="816"/>
      <c r="M463" s="811"/>
      <c r="N463" s="811"/>
      <c r="O463" s="811"/>
      <c r="P463" s="811"/>
      <c r="Q463" s="811"/>
      <c r="R463" s="811"/>
      <c r="S463" s="811"/>
      <c r="T463" s="811"/>
      <c r="U463" s="811"/>
      <c r="V463" s="811"/>
      <c r="W463" s="811"/>
      <c r="X463" s="811"/>
      <c r="Y463" s="811"/>
      <c r="Z463" s="811"/>
    </row>
    <row r="464">
      <c r="A464" s="811"/>
      <c r="B464" s="854"/>
      <c r="C464" s="855"/>
      <c r="D464" s="811"/>
      <c r="E464" s="811"/>
      <c r="F464" s="816"/>
      <c r="G464" s="811"/>
      <c r="H464" s="811"/>
      <c r="I464" s="811"/>
      <c r="J464" s="811"/>
      <c r="K464" s="811"/>
      <c r="L464" s="816"/>
      <c r="M464" s="811"/>
      <c r="N464" s="811"/>
      <c r="O464" s="811"/>
      <c r="P464" s="811"/>
      <c r="Q464" s="811"/>
      <c r="R464" s="811"/>
      <c r="S464" s="811"/>
      <c r="T464" s="811"/>
      <c r="U464" s="811"/>
      <c r="V464" s="811"/>
      <c r="W464" s="811"/>
      <c r="X464" s="811"/>
      <c r="Y464" s="811"/>
      <c r="Z464" s="811"/>
    </row>
    <row r="465">
      <c r="A465" s="811"/>
      <c r="B465" s="854"/>
      <c r="C465" s="855"/>
      <c r="D465" s="811"/>
      <c r="E465" s="811"/>
      <c r="F465" s="816"/>
      <c r="G465" s="811"/>
      <c r="H465" s="811"/>
      <c r="I465" s="811"/>
      <c r="J465" s="811"/>
      <c r="K465" s="811"/>
      <c r="L465" s="816"/>
      <c r="M465" s="811"/>
      <c r="N465" s="811"/>
      <c r="O465" s="811"/>
      <c r="P465" s="811"/>
      <c r="Q465" s="811"/>
      <c r="R465" s="811"/>
      <c r="S465" s="811"/>
      <c r="T465" s="811"/>
      <c r="U465" s="811"/>
      <c r="V465" s="811"/>
      <c r="W465" s="811"/>
      <c r="X465" s="811"/>
      <c r="Y465" s="811"/>
      <c r="Z465" s="811"/>
    </row>
    <row r="466">
      <c r="A466" s="811"/>
      <c r="B466" s="854"/>
      <c r="C466" s="855"/>
      <c r="D466" s="811"/>
      <c r="E466" s="811"/>
      <c r="F466" s="816"/>
      <c r="G466" s="811"/>
      <c r="H466" s="811"/>
      <c r="I466" s="811"/>
      <c r="J466" s="811"/>
      <c r="K466" s="811"/>
      <c r="L466" s="816"/>
      <c r="M466" s="811"/>
      <c r="N466" s="811"/>
      <c r="O466" s="811"/>
      <c r="P466" s="811"/>
      <c r="Q466" s="811"/>
      <c r="R466" s="811"/>
      <c r="S466" s="811"/>
      <c r="T466" s="811"/>
      <c r="U466" s="811"/>
      <c r="V466" s="811"/>
      <c r="W466" s="811"/>
      <c r="X466" s="811"/>
      <c r="Y466" s="811"/>
      <c r="Z466" s="811"/>
    </row>
    <row r="467">
      <c r="A467" s="811"/>
      <c r="B467" s="854"/>
      <c r="C467" s="855"/>
      <c r="D467" s="811"/>
      <c r="E467" s="811"/>
      <c r="F467" s="816"/>
      <c r="G467" s="811"/>
      <c r="H467" s="811"/>
      <c r="I467" s="811"/>
      <c r="J467" s="811"/>
      <c r="K467" s="811"/>
      <c r="L467" s="816"/>
      <c r="M467" s="811"/>
      <c r="N467" s="811"/>
      <c r="O467" s="811"/>
      <c r="P467" s="811"/>
      <c r="Q467" s="811"/>
      <c r="R467" s="811"/>
      <c r="S467" s="811"/>
      <c r="T467" s="811"/>
      <c r="U467" s="811"/>
      <c r="V467" s="811"/>
      <c r="W467" s="811"/>
      <c r="X467" s="811"/>
      <c r="Y467" s="811"/>
      <c r="Z467" s="811"/>
    </row>
    <row r="468">
      <c r="A468" s="811"/>
      <c r="B468" s="854"/>
      <c r="C468" s="855"/>
      <c r="D468" s="811"/>
      <c r="E468" s="811"/>
      <c r="F468" s="816"/>
      <c r="G468" s="811"/>
      <c r="H468" s="811"/>
      <c r="I468" s="811"/>
      <c r="J468" s="811"/>
      <c r="K468" s="811"/>
      <c r="L468" s="816"/>
      <c r="M468" s="811"/>
      <c r="N468" s="811"/>
      <c r="O468" s="811"/>
      <c r="P468" s="811"/>
      <c r="Q468" s="811"/>
      <c r="R468" s="811"/>
      <c r="S468" s="811"/>
      <c r="T468" s="811"/>
      <c r="U468" s="811"/>
      <c r="V468" s="811"/>
      <c r="W468" s="811"/>
      <c r="X468" s="811"/>
      <c r="Y468" s="811"/>
      <c r="Z468" s="811"/>
    </row>
    <row r="469">
      <c r="A469" s="811"/>
      <c r="B469" s="854"/>
      <c r="C469" s="855"/>
      <c r="D469" s="811"/>
      <c r="E469" s="811"/>
      <c r="F469" s="816"/>
      <c r="G469" s="811"/>
      <c r="H469" s="811"/>
      <c r="I469" s="811"/>
      <c r="J469" s="811"/>
      <c r="K469" s="811"/>
      <c r="L469" s="816"/>
      <c r="M469" s="811"/>
      <c r="N469" s="811"/>
      <c r="O469" s="811"/>
      <c r="P469" s="811"/>
      <c r="Q469" s="811"/>
      <c r="R469" s="811"/>
      <c r="S469" s="811"/>
      <c r="T469" s="811"/>
      <c r="U469" s="811"/>
      <c r="V469" s="811"/>
      <c r="W469" s="811"/>
      <c r="X469" s="811"/>
      <c r="Y469" s="811"/>
      <c r="Z469" s="811"/>
    </row>
    <row r="470">
      <c r="A470" s="811"/>
      <c r="B470" s="854"/>
      <c r="C470" s="855"/>
      <c r="D470" s="811"/>
      <c r="E470" s="811"/>
      <c r="F470" s="816"/>
      <c r="G470" s="811"/>
      <c r="H470" s="811"/>
      <c r="I470" s="811"/>
      <c r="J470" s="811"/>
      <c r="K470" s="811"/>
      <c r="L470" s="816"/>
      <c r="M470" s="811"/>
      <c r="N470" s="811"/>
      <c r="O470" s="811"/>
      <c r="P470" s="811"/>
      <c r="Q470" s="811"/>
      <c r="R470" s="811"/>
      <c r="S470" s="811"/>
      <c r="T470" s="811"/>
      <c r="U470" s="811"/>
      <c r="V470" s="811"/>
      <c r="W470" s="811"/>
      <c r="X470" s="811"/>
      <c r="Y470" s="811"/>
      <c r="Z470" s="811"/>
    </row>
    <row r="471">
      <c r="A471" s="811"/>
      <c r="B471" s="854"/>
      <c r="C471" s="855"/>
      <c r="D471" s="811"/>
      <c r="E471" s="811"/>
      <c r="F471" s="816"/>
      <c r="G471" s="811"/>
      <c r="H471" s="811"/>
      <c r="I471" s="811"/>
      <c r="J471" s="811"/>
      <c r="K471" s="811"/>
      <c r="L471" s="816"/>
      <c r="M471" s="811"/>
      <c r="N471" s="811"/>
      <c r="O471" s="811"/>
      <c r="P471" s="811"/>
      <c r="Q471" s="811"/>
      <c r="R471" s="811"/>
      <c r="S471" s="811"/>
      <c r="T471" s="811"/>
      <c r="U471" s="811"/>
      <c r="V471" s="811"/>
      <c r="W471" s="811"/>
      <c r="X471" s="811"/>
      <c r="Y471" s="811"/>
      <c r="Z471" s="811"/>
    </row>
    <row r="472">
      <c r="A472" s="811"/>
      <c r="B472" s="854"/>
      <c r="C472" s="855"/>
      <c r="D472" s="811"/>
      <c r="E472" s="811"/>
      <c r="F472" s="816"/>
      <c r="G472" s="811"/>
      <c r="H472" s="811"/>
      <c r="I472" s="811"/>
      <c r="J472" s="811"/>
      <c r="K472" s="811"/>
      <c r="L472" s="816"/>
      <c r="M472" s="811"/>
      <c r="N472" s="811"/>
      <c r="O472" s="811"/>
      <c r="P472" s="811"/>
      <c r="Q472" s="811"/>
      <c r="R472" s="811"/>
      <c r="S472" s="811"/>
      <c r="T472" s="811"/>
      <c r="U472" s="811"/>
      <c r="V472" s="811"/>
      <c r="W472" s="811"/>
      <c r="X472" s="811"/>
      <c r="Y472" s="811"/>
      <c r="Z472" s="811"/>
    </row>
    <row r="473">
      <c r="A473" s="811"/>
      <c r="B473" s="854"/>
      <c r="C473" s="855"/>
      <c r="D473" s="811"/>
      <c r="E473" s="811"/>
      <c r="F473" s="816"/>
      <c r="G473" s="811"/>
      <c r="H473" s="811"/>
      <c r="I473" s="811"/>
      <c r="J473" s="811"/>
      <c r="K473" s="811"/>
      <c r="L473" s="816"/>
      <c r="M473" s="811"/>
      <c r="N473" s="811"/>
      <c r="O473" s="811"/>
      <c r="P473" s="811"/>
      <c r="Q473" s="811"/>
      <c r="R473" s="811"/>
      <c r="S473" s="811"/>
      <c r="T473" s="811"/>
      <c r="U473" s="811"/>
      <c r="V473" s="811"/>
      <c r="W473" s="811"/>
      <c r="X473" s="811"/>
      <c r="Y473" s="811"/>
      <c r="Z473" s="811"/>
    </row>
    <row r="474">
      <c r="A474" s="811"/>
      <c r="B474" s="854"/>
      <c r="C474" s="855"/>
      <c r="D474" s="811"/>
      <c r="E474" s="811"/>
      <c r="F474" s="816"/>
      <c r="G474" s="811"/>
      <c r="H474" s="811"/>
      <c r="I474" s="811"/>
      <c r="J474" s="811"/>
      <c r="K474" s="811"/>
      <c r="L474" s="816"/>
      <c r="M474" s="811"/>
      <c r="N474" s="811"/>
      <c r="O474" s="811"/>
      <c r="P474" s="811"/>
      <c r="Q474" s="811"/>
      <c r="R474" s="811"/>
      <c r="S474" s="811"/>
      <c r="T474" s="811"/>
      <c r="U474" s="811"/>
      <c r="V474" s="811"/>
      <c r="W474" s="811"/>
      <c r="X474" s="811"/>
      <c r="Y474" s="811"/>
      <c r="Z474" s="811"/>
    </row>
    <row r="475">
      <c r="A475" s="811"/>
      <c r="B475" s="854"/>
      <c r="C475" s="855"/>
      <c r="D475" s="811"/>
      <c r="E475" s="811"/>
      <c r="F475" s="816"/>
      <c r="G475" s="811"/>
      <c r="H475" s="811"/>
      <c r="I475" s="811"/>
      <c r="J475" s="811"/>
      <c r="K475" s="811"/>
      <c r="L475" s="816"/>
      <c r="M475" s="811"/>
      <c r="N475" s="811"/>
      <c r="O475" s="811"/>
      <c r="P475" s="811"/>
      <c r="Q475" s="811"/>
      <c r="R475" s="811"/>
      <c r="S475" s="811"/>
      <c r="T475" s="811"/>
      <c r="U475" s="811"/>
      <c r="V475" s="811"/>
      <c r="W475" s="811"/>
      <c r="X475" s="811"/>
      <c r="Y475" s="811"/>
      <c r="Z475" s="811"/>
    </row>
    <row r="476">
      <c r="A476" s="811"/>
      <c r="B476" s="854"/>
      <c r="C476" s="855"/>
      <c r="D476" s="811"/>
      <c r="E476" s="811"/>
      <c r="F476" s="816"/>
      <c r="G476" s="811"/>
      <c r="H476" s="811"/>
      <c r="I476" s="811"/>
      <c r="J476" s="811"/>
      <c r="K476" s="811"/>
      <c r="L476" s="816"/>
      <c r="M476" s="811"/>
      <c r="N476" s="811"/>
      <c r="O476" s="811"/>
      <c r="P476" s="811"/>
      <c r="Q476" s="811"/>
      <c r="R476" s="811"/>
      <c r="S476" s="811"/>
      <c r="T476" s="811"/>
      <c r="U476" s="811"/>
      <c r="V476" s="811"/>
      <c r="W476" s="811"/>
      <c r="X476" s="811"/>
      <c r="Y476" s="811"/>
      <c r="Z476" s="811"/>
    </row>
    <row r="477">
      <c r="A477" s="811"/>
      <c r="B477" s="854"/>
      <c r="C477" s="855"/>
      <c r="D477" s="811"/>
      <c r="E477" s="811"/>
      <c r="F477" s="816"/>
      <c r="G477" s="811"/>
      <c r="H477" s="811"/>
      <c r="I477" s="811"/>
      <c r="J477" s="811"/>
      <c r="K477" s="811"/>
      <c r="L477" s="816"/>
      <c r="M477" s="811"/>
      <c r="N477" s="811"/>
      <c r="O477" s="811"/>
      <c r="P477" s="811"/>
      <c r="Q477" s="811"/>
      <c r="R477" s="811"/>
      <c r="S477" s="811"/>
      <c r="T477" s="811"/>
      <c r="U477" s="811"/>
      <c r="V477" s="811"/>
      <c r="W477" s="811"/>
      <c r="X477" s="811"/>
      <c r="Y477" s="811"/>
      <c r="Z477" s="811"/>
    </row>
    <row r="478">
      <c r="A478" s="811"/>
      <c r="B478" s="854"/>
      <c r="C478" s="855"/>
      <c r="D478" s="811"/>
      <c r="E478" s="811"/>
      <c r="F478" s="816"/>
      <c r="G478" s="811"/>
      <c r="H478" s="811"/>
      <c r="I478" s="811"/>
      <c r="J478" s="811"/>
      <c r="K478" s="811"/>
      <c r="L478" s="816"/>
      <c r="M478" s="811"/>
      <c r="N478" s="811"/>
      <c r="O478" s="811"/>
      <c r="P478" s="811"/>
      <c r="Q478" s="811"/>
      <c r="R478" s="811"/>
      <c r="S478" s="811"/>
      <c r="T478" s="811"/>
      <c r="U478" s="811"/>
      <c r="V478" s="811"/>
      <c r="W478" s="811"/>
      <c r="X478" s="811"/>
      <c r="Y478" s="811"/>
      <c r="Z478" s="811"/>
    </row>
    <row r="479">
      <c r="A479" s="811"/>
      <c r="B479" s="854"/>
      <c r="C479" s="855"/>
      <c r="D479" s="811"/>
      <c r="E479" s="811"/>
      <c r="F479" s="816"/>
      <c r="G479" s="811"/>
      <c r="H479" s="811"/>
      <c r="I479" s="811"/>
      <c r="J479" s="811"/>
      <c r="K479" s="811"/>
      <c r="L479" s="816"/>
      <c r="M479" s="811"/>
      <c r="N479" s="811"/>
      <c r="O479" s="811"/>
      <c r="P479" s="811"/>
      <c r="Q479" s="811"/>
      <c r="R479" s="811"/>
      <c r="S479" s="811"/>
      <c r="T479" s="811"/>
      <c r="U479" s="811"/>
      <c r="V479" s="811"/>
      <c r="W479" s="811"/>
      <c r="X479" s="811"/>
      <c r="Y479" s="811"/>
      <c r="Z479" s="811"/>
    </row>
    <row r="480">
      <c r="A480" s="811"/>
      <c r="B480" s="854"/>
      <c r="C480" s="855"/>
      <c r="D480" s="811"/>
      <c r="E480" s="811"/>
      <c r="F480" s="816"/>
      <c r="G480" s="811"/>
      <c r="H480" s="811"/>
      <c r="I480" s="811"/>
      <c r="J480" s="811"/>
      <c r="K480" s="811"/>
      <c r="L480" s="816"/>
      <c r="M480" s="811"/>
      <c r="N480" s="811"/>
      <c r="O480" s="811"/>
      <c r="P480" s="811"/>
      <c r="Q480" s="811"/>
      <c r="R480" s="811"/>
      <c r="S480" s="811"/>
      <c r="T480" s="811"/>
      <c r="U480" s="811"/>
      <c r="V480" s="811"/>
      <c r="W480" s="811"/>
      <c r="X480" s="811"/>
      <c r="Y480" s="811"/>
      <c r="Z480" s="811"/>
    </row>
    <row r="481">
      <c r="A481" s="811"/>
      <c r="B481" s="854"/>
      <c r="C481" s="855"/>
      <c r="D481" s="811"/>
      <c r="E481" s="811"/>
      <c r="F481" s="816"/>
      <c r="G481" s="811"/>
      <c r="H481" s="811"/>
      <c r="I481" s="811"/>
      <c r="J481" s="811"/>
      <c r="K481" s="811"/>
      <c r="L481" s="816"/>
      <c r="M481" s="811"/>
      <c r="N481" s="811"/>
      <c r="O481" s="811"/>
      <c r="P481" s="811"/>
      <c r="Q481" s="811"/>
      <c r="R481" s="811"/>
      <c r="S481" s="811"/>
      <c r="T481" s="811"/>
      <c r="U481" s="811"/>
      <c r="V481" s="811"/>
      <c r="W481" s="811"/>
      <c r="X481" s="811"/>
      <c r="Y481" s="811"/>
      <c r="Z481" s="811"/>
    </row>
    <row r="482">
      <c r="A482" s="811"/>
      <c r="B482" s="854"/>
      <c r="C482" s="855"/>
      <c r="D482" s="811"/>
      <c r="E482" s="811"/>
      <c r="F482" s="816"/>
      <c r="G482" s="811"/>
      <c r="H482" s="811"/>
      <c r="I482" s="811"/>
      <c r="J482" s="811"/>
      <c r="K482" s="811"/>
      <c r="L482" s="816"/>
      <c r="M482" s="811"/>
      <c r="N482" s="811"/>
      <c r="O482" s="811"/>
      <c r="P482" s="811"/>
      <c r="Q482" s="811"/>
      <c r="R482" s="811"/>
      <c r="S482" s="811"/>
      <c r="T482" s="811"/>
      <c r="U482" s="811"/>
      <c r="V482" s="811"/>
      <c r="W482" s="811"/>
      <c r="X482" s="811"/>
      <c r="Y482" s="811"/>
      <c r="Z482" s="811"/>
    </row>
    <row r="483">
      <c r="A483" s="811"/>
      <c r="B483" s="854"/>
      <c r="C483" s="855"/>
      <c r="D483" s="811"/>
      <c r="E483" s="811"/>
      <c r="F483" s="816"/>
      <c r="G483" s="811"/>
      <c r="H483" s="811"/>
      <c r="I483" s="811"/>
      <c r="J483" s="811"/>
      <c r="K483" s="811"/>
      <c r="L483" s="816"/>
      <c r="M483" s="811"/>
      <c r="N483" s="811"/>
      <c r="O483" s="811"/>
      <c r="P483" s="811"/>
      <c r="Q483" s="811"/>
      <c r="R483" s="811"/>
      <c r="S483" s="811"/>
      <c r="T483" s="811"/>
      <c r="U483" s="811"/>
      <c r="V483" s="811"/>
      <c r="W483" s="811"/>
      <c r="X483" s="811"/>
      <c r="Y483" s="811"/>
      <c r="Z483" s="811"/>
    </row>
    <row r="484">
      <c r="A484" s="811"/>
      <c r="B484" s="854"/>
      <c r="C484" s="855"/>
      <c r="D484" s="811"/>
      <c r="E484" s="811"/>
      <c r="F484" s="816"/>
      <c r="G484" s="811"/>
      <c r="H484" s="811"/>
      <c r="I484" s="811"/>
      <c r="J484" s="811"/>
      <c r="K484" s="811"/>
      <c r="L484" s="816"/>
      <c r="M484" s="811"/>
      <c r="N484" s="811"/>
      <c r="O484" s="811"/>
      <c r="P484" s="811"/>
      <c r="Q484" s="811"/>
      <c r="R484" s="811"/>
      <c r="S484" s="811"/>
      <c r="T484" s="811"/>
      <c r="U484" s="811"/>
      <c r="V484" s="811"/>
      <c r="W484" s="811"/>
      <c r="X484" s="811"/>
      <c r="Y484" s="811"/>
      <c r="Z484" s="811"/>
    </row>
    <row r="485">
      <c r="A485" s="811"/>
      <c r="B485" s="854"/>
      <c r="C485" s="855"/>
      <c r="D485" s="811"/>
      <c r="E485" s="811"/>
      <c r="F485" s="816"/>
      <c r="G485" s="811"/>
      <c r="H485" s="811"/>
      <c r="I485" s="811"/>
      <c r="J485" s="811"/>
      <c r="K485" s="811"/>
      <c r="L485" s="816"/>
      <c r="M485" s="811"/>
      <c r="N485" s="811"/>
      <c r="O485" s="811"/>
      <c r="P485" s="811"/>
      <c r="Q485" s="811"/>
      <c r="R485" s="811"/>
      <c r="S485" s="811"/>
      <c r="T485" s="811"/>
      <c r="U485" s="811"/>
      <c r="V485" s="811"/>
      <c r="W485" s="811"/>
      <c r="X485" s="811"/>
      <c r="Y485" s="811"/>
      <c r="Z485" s="811"/>
    </row>
    <row r="486">
      <c r="A486" s="811"/>
      <c r="B486" s="854"/>
      <c r="C486" s="855"/>
      <c r="D486" s="811"/>
      <c r="E486" s="811"/>
      <c r="F486" s="816"/>
      <c r="G486" s="811"/>
      <c r="H486" s="811"/>
      <c r="I486" s="811"/>
      <c r="J486" s="811"/>
      <c r="K486" s="811"/>
      <c r="L486" s="816"/>
      <c r="M486" s="811"/>
      <c r="N486" s="811"/>
      <c r="O486" s="811"/>
      <c r="P486" s="811"/>
      <c r="Q486" s="811"/>
      <c r="R486" s="811"/>
      <c r="S486" s="811"/>
      <c r="T486" s="811"/>
      <c r="U486" s="811"/>
      <c r="V486" s="811"/>
      <c r="W486" s="811"/>
      <c r="X486" s="811"/>
      <c r="Y486" s="811"/>
      <c r="Z486" s="811"/>
    </row>
    <row r="487">
      <c r="A487" s="811"/>
      <c r="B487" s="854"/>
      <c r="C487" s="855"/>
      <c r="D487" s="811"/>
      <c r="E487" s="811"/>
      <c r="F487" s="816"/>
      <c r="G487" s="811"/>
      <c r="H487" s="811"/>
      <c r="I487" s="811"/>
      <c r="J487" s="811"/>
      <c r="K487" s="811"/>
      <c r="L487" s="816"/>
      <c r="M487" s="811"/>
      <c r="N487" s="811"/>
      <c r="O487" s="811"/>
      <c r="P487" s="811"/>
      <c r="Q487" s="811"/>
      <c r="R487" s="811"/>
      <c r="S487" s="811"/>
      <c r="T487" s="811"/>
      <c r="U487" s="811"/>
      <c r="V487" s="811"/>
      <c r="W487" s="811"/>
      <c r="X487" s="811"/>
      <c r="Y487" s="811"/>
      <c r="Z487" s="811"/>
    </row>
    <row r="488">
      <c r="A488" s="811"/>
      <c r="B488" s="854"/>
      <c r="C488" s="855"/>
      <c r="D488" s="811"/>
      <c r="E488" s="811"/>
      <c r="F488" s="816"/>
      <c r="G488" s="811"/>
      <c r="H488" s="811"/>
      <c r="I488" s="811"/>
      <c r="J488" s="811"/>
      <c r="K488" s="811"/>
      <c r="L488" s="816"/>
      <c r="M488" s="811"/>
      <c r="N488" s="811"/>
      <c r="O488" s="811"/>
      <c r="P488" s="811"/>
      <c r="Q488" s="811"/>
      <c r="R488" s="811"/>
      <c r="S488" s="811"/>
      <c r="T488" s="811"/>
      <c r="U488" s="811"/>
      <c r="V488" s="811"/>
      <c r="W488" s="811"/>
      <c r="X488" s="811"/>
      <c r="Y488" s="811"/>
      <c r="Z488" s="811"/>
    </row>
    <row r="489">
      <c r="A489" s="811"/>
      <c r="B489" s="854"/>
      <c r="C489" s="855"/>
      <c r="D489" s="811"/>
      <c r="E489" s="811"/>
      <c r="F489" s="816"/>
      <c r="G489" s="811"/>
      <c r="H489" s="811"/>
      <c r="I489" s="811"/>
      <c r="J489" s="811"/>
      <c r="K489" s="811"/>
      <c r="L489" s="816"/>
      <c r="M489" s="811"/>
      <c r="N489" s="811"/>
      <c r="O489" s="811"/>
      <c r="P489" s="811"/>
      <c r="Q489" s="811"/>
      <c r="R489" s="811"/>
      <c r="S489" s="811"/>
      <c r="T489" s="811"/>
      <c r="U489" s="811"/>
      <c r="V489" s="811"/>
      <c r="W489" s="811"/>
      <c r="X489" s="811"/>
      <c r="Y489" s="811"/>
      <c r="Z489" s="811"/>
    </row>
    <row r="490">
      <c r="A490" s="811"/>
      <c r="B490" s="854"/>
      <c r="C490" s="855"/>
      <c r="D490" s="811"/>
      <c r="E490" s="811"/>
      <c r="F490" s="816"/>
      <c r="G490" s="811"/>
      <c r="H490" s="811"/>
      <c r="I490" s="811"/>
      <c r="J490" s="811"/>
      <c r="K490" s="811"/>
      <c r="L490" s="816"/>
      <c r="M490" s="811"/>
      <c r="N490" s="811"/>
      <c r="O490" s="811"/>
      <c r="P490" s="811"/>
      <c r="Q490" s="811"/>
      <c r="R490" s="811"/>
      <c r="S490" s="811"/>
      <c r="T490" s="811"/>
      <c r="U490" s="811"/>
      <c r="V490" s="811"/>
      <c r="W490" s="811"/>
      <c r="X490" s="811"/>
      <c r="Y490" s="811"/>
      <c r="Z490" s="811"/>
    </row>
    <row r="491">
      <c r="A491" s="811"/>
      <c r="B491" s="854"/>
      <c r="C491" s="855"/>
      <c r="D491" s="811"/>
      <c r="E491" s="811"/>
      <c r="F491" s="816"/>
      <c r="G491" s="811"/>
      <c r="H491" s="811"/>
      <c r="I491" s="811"/>
      <c r="J491" s="811"/>
      <c r="K491" s="811"/>
      <c r="L491" s="816"/>
      <c r="M491" s="811"/>
      <c r="N491" s="811"/>
      <c r="O491" s="811"/>
      <c r="P491" s="811"/>
      <c r="Q491" s="811"/>
      <c r="R491" s="811"/>
      <c r="S491" s="811"/>
      <c r="T491" s="811"/>
      <c r="U491" s="811"/>
      <c r="V491" s="811"/>
      <c r="W491" s="811"/>
      <c r="X491" s="811"/>
      <c r="Y491" s="811"/>
      <c r="Z491" s="811"/>
    </row>
    <row r="492">
      <c r="A492" s="811"/>
      <c r="B492" s="854"/>
      <c r="C492" s="855"/>
      <c r="D492" s="811"/>
      <c r="E492" s="811"/>
      <c r="F492" s="816"/>
      <c r="G492" s="811"/>
      <c r="H492" s="811"/>
      <c r="I492" s="811"/>
      <c r="J492" s="811"/>
      <c r="K492" s="811"/>
      <c r="L492" s="816"/>
      <c r="M492" s="811"/>
      <c r="N492" s="811"/>
      <c r="O492" s="811"/>
      <c r="P492" s="811"/>
      <c r="Q492" s="811"/>
      <c r="R492" s="811"/>
      <c r="S492" s="811"/>
      <c r="T492" s="811"/>
      <c r="U492" s="811"/>
      <c r="V492" s="811"/>
      <c r="W492" s="811"/>
      <c r="X492" s="811"/>
      <c r="Y492" s="811"/>
      <c r="Z492" s="811"/>
    </row>
    <row r="493">
      <c r="A493" s="811"/>
      <c r="B493" s="854"/>
      <c r="C493" s="855"/>
      <c r="D493" s="811"/>
      <c r="E493" s="811"/>
      <c r="F493" s="816"/>
      <c r="G493" s="811"/>
      <c r="H493" s="811"/>
      <c r="I493" s="811"/>
      <c r="J493" s="811"/>
      <c r="K493" s="811"/>
      <c r="L493" s="816"/>
      <c r="M493" s="811"/>
      <c r="N493" s="811"/>
      <c r="O493" s="811"/>
      <c r="P493" s="811"/>
      <c r="Q493" s="811"/>
      <c r="R493" s="811"/>
      <c r="S493" s="811"/>
      <c r="T493" s="811"/>
      <c r="U493" s="811"/>
      <c r="V493" s="811"/>
      <c r="W493" s="811"/>
      <c r="X493" s="811"/>
      <c r="Y493" s="811"/>
      <c r="Z493" s="811"/>
    </row>
    <row r="494">
      <c r="A494" s="811"/>
      <c r="B494" s="854"/>
      <c r="C494" s="855"/>
      <c r="D494" s="811"/>
      <c r="E494" s="811"/>
      <c r="F494" s="816"/>
      <c r="G494" s="811"/>
      <c r="H494" s="811"/>
      <c r="I494" s="811"/>
      <c r="J494" s="811"/>
      <c r="K494" s="811"/>
      <c r="L494" s="816"/>
      <c r="M494" s="811"/>
      <c r="N494" s="811"/>
      <c r="O494" s="811"/>
      <c r="P494" s="811"/>
      <c r="Q494" s="811"/>
      <c r="R494" s="811"/>
      <c r="S494" s="811"/>
      <c r="T494" s="811"/>
      <c r="U494" s="811"/>
      <c r="V494" s="811"/>
      <c r="W494" s="811"/>
      <c r="X494" s="811"/>
      <c r="Y494" s="811"/>
      <c r="Z494" s="811"/>
    </row>
    <row r="495">
      <c r="A495" s="811"/>
      <c r="B495" s="854"/>
      <c r="C495" s="855"/>
      <c r="D495" s="811"/>
      <c r="E495" s="811"/>
      <c r="F495" s="816"/>
      <c r="G495" s="811"/>
      <c r="H495" s="811"/>
      <c r="I495" s="811"/>
      <c r="J495" s="811"/>
      <c r="K495" s="811"/>
      <c r="L495" s="816"/>
      <c r="M495" s="811"/>
      <c r="N495" s="811"/>
      <c r="O495" s="811"/>
      <c r="P495" s="811"/>
      <c r="Q495" s="811"/>
      <c r="R495" s="811"/>
      <c r="S495" s="811"/>
      <c r="T495" s="811"/>
      <c r="U495" s="811"/>
      <c r="V495" s="811"/>
      <c r="W495" s="811"/>
      <c r="X495" s="811"/>
      <c r="Y495" s="811"/>
      <c r="Z495" s="811"/>
    </row>
    <row r="496">
      <c r="A496" s="811"/>
      <c r="B496" s="854"/>
      <c r="C496" s="855"/>
      <c r="D496" s="811"/>
      <c r="E496" s="811"/>
      <c r="F496" s="816"/>
      <c r="G496" s="811"/>
      <c r="H496" s="811"/>
      <c r="I496" s="811"/>
      <c r="J496" s="811"/>
      <c r="K496" s="811"/>
      <c r="L496" s="816"/>
      <c r="M496" s="811"/>
      <c r="N496" s="811"/>
      <c r="O496" s="811"/>
      <c r="P496" s="811"/>
      <c r="Q496" s="811"/>
      <c r="R496" s="811"/>
      <c r="S496" s="811"/>
      <c r="T496" s="811"/>
      <c r="U496" s="811"/>
      <c r="V496" s="811"/>
      <c r="W496" s="811"/>
      <c r="X496" s="811"/>
      <c r="Y496" s="811"/>
      <c r="Z496" s="811"/>
    </row>
    <row r="497">
      <c r="A497" s="811"/>
      <c r="B497" s="854"/>
      <c r="C497" s="855"/>
      <c r="D497" s="811"/>
      <c r="E497" s="811"/>
      <c r="F497" s="816"/>
      <c r="G497" s="811"/>
      <c r="H497" s="811"/>
      <c r="I497" s="811"/>
      <c r="J497" s="811"/>
      <c r="K497" s="811"/>
      <c r="L497" s="816"/>
      <c r="M497" s="811"/>
      <c r="N497" s="811"/>
      <c r="O497" s="811"/>
      <c r="P497" s="811"/>
      <c r="Q497" s="811"/>
      <c r="R497" s="811"/>
      <c r="S497" s="811"/>
      <c r="T497" s="811"/>
      <c r="U497" s="811"/>
      <c r="V497" s="811"/>
      <c r="W497" s="811"/>
      <c r="X497" s="811"/>
      <c r="Y497" s="811"/>
      <c r="Z497" s="811"/>
    </row>
    <row r="498">
      <c r="A498" s="811"/>
      <c r="B498" s="854"/>
      <c r="C498" s="855"/>
      <c r="D498" s="811"/>
      <c r="E498" s="811"/>
      <c r="F498" s="816"/>
      <c r="G498" s="811"/>
      <c r="H498" s="811"/>
      <c r="I498" s="811"/>
      <c r="J498" s="811"/>
      <c r="K498" s="811"/>
      <c r="L498" s="816"/>
      <c r="M498" s="811"/>
      <c r="N498" s="811"/>
      <c r="O498" s="811"/>
      <c r="P498" s="811"/>
      <c r="Q498" s="811"/>
      <c r="R498" s="811"/>
      <c r="S498" s="811"/>
      <c r="T498" s="811"/>
      <c r="U498" s="811"/>
      <c r="V498" s="811"/>
      <c r="W498" s="811"/>
      <c r="X498" s="811"/>
      <c r="Y498" s="811"/>
      <c r="Z498" s="811"/>
    </row>
    <row r="499">
      <c r="A499" s="811"/>
      <c r="B499" s="854"/>
      <c r="C499" s="855"/>
      <c r="D499" s="811"/>
      <c r="E499" s="811"/>
      <c r="F499" s="816"/>
      <c r="G499" s="811"/>
      <c r="H499" s="811"/>
      <c r="I499" s="811"/>
      <c r="J499" s="811"/>
      <c r="K499" s="811"/>
      <c r="L499" s="816"/>
      <c r="M499" s="811"/>
      <c r="N499" s="811"/>
      <c r="O499" s="811"/>
      <c r="P499" s="811"/>
      <c r="Q499" s="811"/>
      <c r="R499" s="811"/>
      <c r="S499" s="811"/>
      <c r="T499" s="811"/>
      <c r="U499" s="811"/>
      <c r="V499" s="811"/>
      <c r="W499" s="811"/>
      <c r="X499" s="811"/>
      <c r="Y499" s="811"/>
      <c r="Z499" s="811"/>
    </row>
    <row r="500">
      <c r="A500" s="811"/>
      <c r="B500" s="854"/>
      <c r="C500" s="855"/>
      <c r="D500" s="811"/>
      <c r="E500" s="811"/>
      <c r="F500" s="816"/>
      <c r="G500" s="811"/>
      <c r="H500" s="811"/>
      <c r="I500" s="811"/>
      <c r="J500" s="811"/>
      <c r="K500" s="811"/>
      <c r="L500" s="816"/>
      <c r="M500" s="811"/>
      <c r="N500" s="811"/>
      <c r="O500" s="811"/>
      <c r="P500" s="811"/>
      <c r="Q500" s="811"/>
      <c r="R500" s="811"/>
      <c r="S500" s="811"/>
      <c r="T500" s="811"/>
      <c r="U500" s="811"/>
      <c r="V500" s="811"/>
      <c r="W500" s="811"/>
      <c r="X500" s="811"/>
      <c r="Y500" s="811"/>
      <c r="Z500" s="811"/>
    </row>
    <row r="501">
      <c r="A501" s="811"/>
      <c r="B501" s="854"/>
      <c r="C501" s="855"/>
      <c r="D501" s="811"/>
      <c r="E501" s="811"/>
      <c r="F501" s="816"/>
      <c r="G501" s="811"/>
      <c r="H501" s="811"/>
      <c r="I501" s="811"/>
      <c r="J501" s="811"/>
      <c r="K501" s="811"/>
      <c r="L501" s="816"/>
      <c r="M501" s="811"/>
      <c r="N501" s="811"/>
      <c r="O501" s="811"/>
      <c r="P501" s="811"/>
      <c r="Q501" s="811"/>
      <c r="R501" s="811"/>
      <c r="S501" s="811"/>
      <c r="T501" s="811"/>
      <c r="U501" s="811"/>
      <c r="V501" s="811"/>
      <c r="W501" s="811"/>
      <c r="X501" s="811"/>
      <c r="Y501" s="811"/>
      <c r="Z501" s="811"/>
    </row>
    <row r="502">
      <c r="A502" s="811"/>
      <c r="B502" s="854"/>
      <c r="C502" s="855"/>
      <c r="D502" s="811"/>
      <c r="E502" s="811"/>
      <c r="F502" s="816"/>
      <c r="G502" s="811"/>
      <c r="H502" s="811"/>
      <c r="I502" s="811"/>
      <c r="J502" s="811"/>
      <c r="K502" s="811"/>
      <c r="L502" s="816"/>
      <c r="M502" s="811"/>
      <c r="N502" s="811"/>
      <c r="O502" s="811"/>
      <c r="P502" s="811"/>
      <c r="Q502" s="811"/>
      <c r="R502" s="811"/>
      <c r="S502" s="811"/>
      <c r="T502" s="811"/>
      <c r="U502" s="811"/>
      <c r="V502" s="811"/>
      <c r="W502" s="811"/>
      <c r="X502" s="811"/>
      <c r="Y502" s="811"/>
      <c r="Z502" s="811"/>
    </row>
    <row r="503">
      <c r="A503" s="811"/>
      <c r="B503" s="854"/>
      <c r="C503" s="855"/>
      <c r="D503" s="811"/>
      <c r="E503" s="811"/>
      <c r="F503" s="816"/>
      <c r="G503" s="811"/>
      <c r="H503" s="811"/>
      <c r="I503" s="811"/>
      <c r="J503" s="811"/>
      <c r="K503" s="811"/>
      <c r="L503" s="816"/>
      <c r="M503" s="811"/>
      <c r="N503" s="811"/>
      <c r="O503" s="811"/>
      <c r="P503" s="811"/>
      <c r="Q503" s="811"/>
      <c r="R503" s="811"/>
      <c r="S503" s="811"/>
      <c r="T503" s="811"/>
      <c r="U503" s="811"/>
      <c r="V503" s="811"/>
      <c r="W503" s="811"/>
      <c r="X503" s="811"/>
      <c r="Y503" s="811"/>
      <c r="Z503" s="811"/>
    </row>
    <row r="504">
      <c r="A504" s="811"/>
      <c r="B504" s="854"/>
      <c r="C504" s="855"/>
      <c r="D504" s="811"/>
      <c r="E504" s="811"/>
      <c r="F504" s="816"/>
      <c r="G504" s="811"/>
      <c r="H504" s="811"/>
      <c r="I504" s="811"/>
      <c r="J504" s="811"/>
      <c r="K504" s="811"/>
      <c r="L504" s="816"/>
      <c r="M504" s="811"/>
      <c r="N504" s="811"/>
      <c r="O504" s="811"/>
      <c r="P504" s="811"/>
      <c r="Q504" s="811"/>
      <c r="R504" s="811"/>
      <c r="S504" s="811"/>
      <c r="T504" s="811"/>
      <c r="U504" s="811"/>
      <c r="V504" s="811"/>
      <c r="W504" s="811"/>
      <c r="X504" s="811"/>
      <c r="Y504" s="811"/>
      <c r="Z504" s="811"/>
    </row>
    <row r="505">
      <c r="A505" s="811"/>
      <c r="B505" s="854"/>
      <c r="C505" s="855"/>
      <c r="D505" s="811"/>
      <c r="E505" s="811"/>
      <c r="F505" s="816"/>
      <c r="G505" s="811"/>
      <c r="H505" s="811"/>
      <c r="I505" s="811"/>
      <c r="J505" s="811"/>
      <c r="K505" s="811"/>
      <c r="L505" s="816"/>
      <c r="M505" s="811"/>
      <c r="N505" s="811"/>
      <c r="O505" s="811"/>
      <c r="P505" s="811"/>
      <c r="Q505" s="811"/>
      <c r="R505" s="811"/>
      <c r="S505" s="811"/>
      <c r="T505" s="811"/>
      <c r="U505" s="811"/>
      <c r="V505" s="811"/>
      <c r="W505" s="811"/>
      <c r="X505" s="811"/>
      <c r="Y505" s="811"/>
      <c r="Z505" s="811"/>
    </row>
    <row r="506">
      <c r="A506" s="811"/>
      <c r="B506" s="854"/>
      <c r="C506" s="855"/>
      <c r="D506" s="811"/>
      <c r="E506" s="811"/>
      <c r="F506" s="816"/>
      <c r="G506" s="811"/>
      <c r="H506" s="811"/>
      <c r="I506" s="811"/>
      <c r="J506" s="811"/>
      <c r="K506" s="811"/>
      <c r="L506" s="816"/>
      <c r="M506" s="811"/>
      <c r="N506" s="811"/>
      <c r="O506" s="811"/>
      <c r="P506" s="811"/>
      <c r="Q506" s="811"/>
      <c r="R506" s="811"/>
      <c r="S506" s="811"/>
      <c r="T506" s="811"/>
      <c r="U506" s="811"/>
      <c r="V506" s="811"/>
      <c r="W506" s="811"/>
      <c r="X506" s="811"/>
      <c r="Y506" s="811"/>
      <c r="Z506" s="811"/>
    </row>
    <row r="507">
      <c r="A507" s="811"/>
      <c r="B507" s="854"/>
      <c r="C507" s="855"/>
      <c r="D507" s="811"/>
      <c r="E507" s="811"/>
      <c r="F507" s="816"/>
      <c r="G507" s="811"/>
      <c r="H507" s="811"/>
      <c r="I507" s="811"/>
      <c r="J507" s="811"/>
      <c r="K507" s="811"/>
      <c r="L507" s="816"/>
      <c r="M507" s="811"/>
      <c r="N507" s="811"/>
      <c r="O507" s="811"/>
      <c r="P507" s="811"/>
      <c r="Q507" s="811"/>
      <c r="R507" s="811"/>
      <c r="S507" s="811"/>
      <c r="T507" s="811"/>
      <c r="U507" s="811"/>
      <c r="V507" s="811"/>
      <c r="W507" s="811"/>
      <c r="X507" s="811"/>
      <c r="Y507" s="811"/>
      <c r="Z507" s="811"/>
    </row>
    <row r="508">
      <c r="A508" s="811"/>
      <c r="B508" s="854"/>
      <c r="C508" s="855"/>
      <c r="D508" s="811"/>
      <c r="E508" s="811"/>
      <c r="F508" s="816"/>
      <c r="G508" s="811"/>
      <c r="H508" s="811"/>
      <c r="I508" s="811"/>
      <c r="J508" s="811"/>
      <c r="K508" s="811"/>
      <c r="L508" s="816"/>
      <c r="M508" s="811"/>
      <c r="N508" s="811"/>
      <c r="O508" s="811"/>
      <c r="P508" s="811"/>
      <c r="Q508" s="811"/>
      <c r="R508" s="811"/>
      <c r="S508" s="811"/>
      <c r="T508" s="811"/>
      <c r="U508" s="811"/>
      <c r="V508" s="811"/>
      <c r="W508" s="811"/>
      <c r="X508" s="811"/>
      <c r="Y508" s="811"/>
      <c r="Z508" s="811"/>
    </row>
    <row r="509">
      <c r="A509" s="811"/>
      <c r="B509" s="854"/>
      <c r="C509" s="855"/>
      <c r="D509" s="811"/>
      <c r="E509" s="811"/>
      <c r="F509" s="816"/>
      <c r="G509" s="811"/>
      <c r="H509" s="811"/>
      <c r="I509" s="811"/>
      <c r="J509" s="811"/>
      <c r="K509" s="811"/>
      <c r="L509" s="816"/>
      <c r="M509" s="811"/>
      <c r="N509" s="811"/>
      <c r="O509" s="811"/>
      <c r="P509" s="811"/>
      <c r="Q509" s="811"/>
      <c r="R509" s="811"/>
      <c r="S509" s="811"/>
      <c r="T509" s="811"/>
      <c r="U509" s="811"/>
      <c r="V509" s="811"/>
      <c r="W509" s="811"/>
      <c r="X509" s="811"/>
      <c r="Y509" s="811"/>
      <c r="Z509" s="811"/>
    </row>
    <row r="510">
      <c r="A510" s="811"/>
      <c r="B510" s="854"/>
      <c r="C510" s="855"/>
      <c r="D510" s="811"/>
      <c r="E510" s="811"/>
      <c r="F510" s="816"/>
      <c r="G510" s="811"/>
      <c r="H510" s="811"/>
      <c r="I510" s="811"/>
      <c r="J510" s="811"/>
      <c r="K510" s="811"/>
      <c r="L510" s="816"/>
      <c r="M510" s="811"/>
      <c r="N510" s="811"/>
      <c r="O510" s="811"/>
      <c r="P510" s="811"/>
      <c r="Q510" s="811"/>
      <c r="R510" s="811"/>
      <c r="S510" s="811"/>
      <c r="T510" s="811"/>
      <c r="U510" s="811"/>
      <c r="V510" s="811"/>
      <c r="W510" s="811"/>
      <c r="X510" s="811"/>
      <c r="Y510" s="811"/>
      <c r="Z510" s="811"/>
    </row>
    <row r="511">
      <c r="A511" s="811"/>
      <c r="B511" s="854"/>
      <c r="C511" s="855"/>
      <c r="D511" s="811"/>
      <c r="E511" s="811"/>
      <c r="F511" s="816"/>
      <c r="G511" s="811"/>
      <c r="H511" s="811"/>
      <c r="I511" s="811"/>
      <c r="J511" s="811"/>
      <c r="K511" s="811"/>
      <c r="L511" s="816"/>
      <c r="M511" s="811"/>
      <c r="N511" s="811"/>
      <c r="O511" s="811"/>
      <c r="P511" s="811"/>
      <c r="Q511" s="811"/>
      <c r="R511" s="811"/>
      <c r="S511" s="811"/>
      <c r="T511" s="811"/>
      <c r="U511" s="811"/>
      <c r="V511" s="811"/>
      <c r="W511" s="811"/>
      <c r="X511" s="811"/>
      <c r="Y511" s="811"/>
      <c r="Z511" s="811"/>
    </row>
    <row r="512">
      <c r="A512" s="811"/>
      <c r="B512" s="854"/>
      <c r="C512" s="855"/>
      <c r="D512" s="811"/>
      <c r="E512" s="811"/>
      <c r="F512" s="816"/>
      <c r="G512" s="811"/>
      <c r="H512" s="811"/>
      <c r="I512" s="811"/>
      <c r="J512" s="811"/>
      <c r="K512" s="811"/>
      <c r="L512" s="816"/>
      <c r="M512" s="811"/>
      <c r="N512" s="811"/>
      <c r="O512" s="811"/>
      <c r="P512" s="811"/>
      <c r="Q512" s="811"/>
      <c r="R512" s="811"/>
      <c r="S512" s="811"/>
      <c r="T512" s="811"/>
      <c r="U512" s="811"/>
      <c r="V512" s="811"/>
      <c r="W512" s="811"/>
      <c r="X512" s="811"/>
      <c r="Y512" s="811"/>
      <c r="Z512" s="811"/>
    </row>
    <row r="513">
      <c r="A513" s="811"/>
      <c r="B513" s="854"/>
      <c r="C513" s="855"/>
      <c r="D513" s="811"/>
      <c r="E513" s="811"/>
      <c r="F513" s="816"/>
      <c r="G513" s="811"/>
      <c r="H513" s="811"/>
      <c r="I513" s="811"/>
      <c r="J513" s="811"/>
      <c r="K513" s="811"/>
      <c r="L513" s="816"/>
      <c r="M513" s="811"/>
      <c r="N513" s="811"/>
      <c r="O513" s="811"/>
      <c r="P513" s="811"/>
      <c r="Q513" s="811"/>
      <c r="R513" s="811"/>
      <c r="S513" s="811"/>
      <c r="T513" s="811"/>
      <c r="U513" s="811"/>
      <c r="V513" s="811"/>
      <c r="W513" s="811"/>
      <c r="X513" s="811"/>
      <c r="Y513" s="811"/>
      <c r="Z513" s="811"/>
    </row>
    <row r="514">
      <c r="A514" s="811"/>
      <c r="B514" s="854"/>
      <c r="C514" s="855"/>
      <c r="D514" s="811"/>
      <c r="E514" s="811"/>
      <c r="F514" s="816"/>
      <c r="G514" s="811"/>
      <c r="H514" s="811"/>
      <c r="I514" s="811"/>
      <c r="J514" s="811"/>
      <c r="K514" s="811"/>
      <c r="L514" s="816"/>
      <c r="M514" s="811"/>
      <c r="N514" s="811"/>
      <c r="O514" s="811"/>
      <c r="P514" s="811"/>
      <c r="Q514" s="811"/>
      <c r="R514" s="811"/>
      <c r="S514" s="811"/>
      <c r="T514" s="811"/>
      <c r="U514" s="811"/>
      <c r="V514" s="811"/>
      <c r="W514" s="811"/>
      <c r="X514" s="811"/>
      <c r="Y514" s="811"/>
      <c r="Z514" s="811"/>
    </row>
    <row r="515">
      <c r="A515" s="811"/>
      <c r="B515" s="854"/>
      <c r="C515" s="855"/>
      <c r="D515" s="811"/>
      <c r="E515" s="811"/>
      <c r="F515" s="816"/>
      <c r="G515" s="811"/>
      <c r="H515" s="811"/>
      <c r="I515" s="811"/>
      <c r="J515" s="811"/>
      <c r="K515" s="811"/>
      <c r="L515" s="816"/>
      <c r="M515" s="811"/>
      <c r="N515" s="811"/>
      <c r="O515" s="811"/>
      <c r="P515" s="811"/>
      <c r="Q515" s="811"/>
      <c r="R515" s="811"/>
      <c r="S515" s="811"/>
      <c r="T515" s="811"/>
      <c r="U515" s="811"/>
      <c r="V515" s="811"/>
      <c r="W515" s="811"/>
      <c r="X515" s="811"/>
      <c r="Y515" s="811"/>
      <c r="Z515" s="811"/>
    </row>
    <row r="516">
      <c r="A516" s="811"/>
      <c r="B516" s="854"/>
      <c r="C516" s="855"/>
      <c r="D516" s="811"/>
      <c r="E516" s="811"/>
      <c r="F516" s="816"/>
      <c r="G516" s="811"/>
      <c r="H516" s="811"/>
      <c r="I516" s="811"/>
      <c r="J516" s="811"/>
      <c r="K516" s="811"/>
      <c r="L516" s="816"/>
      <c r="M516" s="811"/>
      <c r="N516" s="811"/>
      <c r="O516" s="811"/>
      <c r="P516" s="811"/>
      <c r="Q516" s="811"/>
      <c r="R516" s="811"/>
      <c r="S516" s="811"/>
      <c r="T516" s="811"/>
      <c r="U516" s="811"/>
      <c r="V516" s="811"/>
      <c r="W516" s="811"/>
      <c r="X516" s="811"/>
      <c r="Y516" s="811"/>
      <c r="Z516" s="811"/>
    </row>
    <row r="517">
      <c r="A517" s="811"/>
      <c r="B517" s="854"/>
      <c r="C517" s="855"/>
      <c r="D517" s="811"/>
      <c r="E517" s="811"/>
      <c r="F517" s="816"/>
      <c r="G517" s="811"/>
      <c r="H517" s="811"/>
      <c r="I517" s="811"/>
      <c r="J517" s="811"/>
      <c r="K517" s="811"/>
      <c r="L517" s="816"/>
      <c r="M517" s="811"/>
      <c r="N517" s="811"/>
      <c r="O517" s="811"/>
      <c r="P517" s="811"/>
      <c r="Q517" s="811"/>
      <c r="R517" s="811"/>
      <c r="S517" s="811"/>
      <c r="T517" s="811"/>
      <c r="U517" s="811"/>
      <c r="V517" s="811"/>
      <c r="W517" s="811"/>
      <c r="X517" s="811"/>
      <c r="Y517" s="811"/>
      <c r="Z517" s="811"/>
    </row>
    <row r="518">
      <c r="A518" s="811"/>
      <c r="B518" s="854"/>
      <c r="C518" s="855"/>
      <c r="D518" s="811"/>
      <c r="E518" s="811"/>
      <c r="F518" s="816"/>
      <c r="G518" s="811"/>
      <c r="H518" s="811"/>
      <c r="I518" s="811"/>
      <c r="J518" s="811"/>
      <c r="K518" s="811"/>
      <c r="L518" s="816"/>
      <c r="M518" s="811"/>
      <c r="N518" s="811"/>
      <c r="O518" s="811"/>
      <c r="P518" s="811"/>
      <c r="Q518" s="811"/>
      <c r="R518" s="811"/>
      <c r="S518" s="811"/>
      <c r="T518" s="811"/>
      <c r="U518" s="811"/>
      <c r="V518" s="811"/>
      <c r="W518" s="811"/>
      <c r="X518" s="811"/>
      <c r="Y518" s="811"/>
      <c r="Z518" s="811"/>
    </row>
    <row r="519">
      <c r="A519" s="811"/>
      <c r="B519" s="854"/>
      <c r="C519" s="855"/>
      <c r="D519" s="811"/>
      <c r="E519" s="811"/>
      <c r="F519" s="816"/>
      <c r="G519" s="811"/>
      <c r="H519" s="811"/>
      <c r="I519" s="811"/>
      <c r="J519" s="811"/>
      <c r="K519" s="811"/>
      <c r="L519" s="816"/>
      <c r="M519" s="811"/>
      <c r="N519" s="811"/>
      <c r="O519" s="811"/>
      <c r="P519" s="811"/>
      <c r="Q519" s="811"/>
      <c r="R519" s="811"/>
      <c r="S519" s="811"/>
      <c r="T519" s="811"/>
      <c r="U519" s="811"/>
      <c r="V519" s="811"/>
      <c r="W519" s="811"/>
      <c r="X519" s="811"/>
      <c r="Y519" s="811"/>
      <c r="Z519" s="811"/>
    </row>
    <row r="520">
      <c r="A520" s="811"/>
      <c r="B520" s="854"/>
      <c r="C520" s="855"/>
      <c r="D520" s="811"/>
      <c r="E520" s="811"/>
      <c r="F520" s="816"/>
      <c r="G520" s="811"/>
      <c r="H520" s="811"/>
      <c r="I520" s="811"/>
      <c r="J520" s="811"/>
      <c r="K520" s="811"/>
      <c r="L520" s="816"/>
      <c r="M520" s="811"/>
      <c r="N520" s="811"/>
      <c r="O520" s="811"/>
      <c r="P520" s="811"/>
      <c r="Q520" s="811"/>
      <c r="R520" s="811"/>
      <c r="S520" s="811"/>
      <c r="T520" s="811"/>
      <c r="U520" s="811"/>
      <c r="V520" s="811"/>
      <c r="W520" s="811"/>
      <c r="X520" s="811"/>
      <c r="Y520" s="811"/>
      <c r="Z520" s="811"/>
    </row>
    <row r="521">
      <c r="A521" s="811"/>
      <c r="B521" s="854"/>
      <c r="C521" s="855"/>
      <c r="D521" s="811"/>
      <c r="E521" s="811"/>
      <c r="F521" s="816"/>
      <c r="G521" s="811"/>
      <c r="H521" s="811"/>
      <c r="I521" s="811"/>
      <c r="J521" s="811"/>
      <c r="K521" s="811"/>
      <c r="L521" s="816"/>
      <c r="M521" s="811"/>
      <c r="N521" s="811"/>
      <c r="O521" s="811"/>
      <c r="P521" s="811"/>
      <c r="Q521" s="811"/>
      <c r="R521" s="811"/>
      <c r="S521" s="811"/>
      <c r="T521" s="811"/>
      <c r="U521" s="811"/>
      <c r="V521" s="811"/>
      <c r="W521" s="811"/>
      <c r="X521" s="811"/>
      <c r="Y521" s="811"/>
      <c r="Z521" s="811"/>
    </row>
    <row r="522">
      <c r="A522" s="811"/>
      <c r="B522" s="854"/>
      <c r="C522" s="855"/>
      <c r="D522" s="811"/>
      <c r="E522" s="811"/>
      <c r="F522" s="816"/>
      <c r="G522" s="811"/>
      <c r="H522" s="811"/>
      <c r="I522" s="811"/>
      <c r="J522" s="811"/>
      <c r="K522" s="811"/>
      <c r="L522" s="816"/>
      <c r="M522" s="811"/>
      <c r="N522" s="811"/>
      <c r="O522" s="811"/>
      <c r="P522" s="811"/>
      <c r="Q522" s="811"/>
      <c r="R522" s="811"/>
      <c r="S522" s="811"/>
      <c r="T522" s="811"/>
      <c r="U522" s="811"/>
      <c r="V522" s="811"/>
      <c r="W522" s="811"/>
      <c r="X522" s="811"/>
      <c r="Y522" s="811"/>
      <c r="Z522" s="811"/>
    </row>
    <row r="523">
      <c r="A523" s="811"/>
      <c r="B523" s="854"/>
      <c r="C523" s="855"/>
      <c r="D523" s="811"/>
      <c r="E523" s="811"/>
      <c r="F523" s="816"/>
      <c r="G523" s="811"/>
      <c r="H523" s="811"/>
      <c r="I523" s="811"/>
      <c r="J523" s="811"/>
      <c r="K523" s="811"/>
      <c r="L523" s="816"/>
      <c r="M523" s="811"/>
      <c r="N523" s="811"/>
      <c r="O523" s="811"/>
      <c r="P523" s="811"/>
      <c r="Q523" s="811"/>
      <c r="R523" s="811"/>
      <c r="S523" s="811"/>
      <c r="T523" s="811"/>
      <c r="U523" s="811"/>
      <c r="V523" s="811"/>
      <c r="W523" s="811"/>
      <c r="X523" s="811"/>
      <c r="Y523" s="811"/>
      <c r="Z523" s="811"/>
    </row>
    <row r="524">
      <c r="A524" s="811"/>
      <c r="B524" s="854"/>
      <c r="C524" s="855"/>
      <c r="D524" s="811"/>
      <c r="E524" s="811"/>
      <c r="F524" s="816"/>
      <c r="G524" s="811"/>
      <c r="H524" s="811"/>
      <c r="I524" s="811"/>
      <c r="J524" s="811"/>
      <c r="K524" s="811"/>
      <c r="L524" s="816"/>
      <c r="M524" s="811"/>
      <c r="N524" s="811"/>
      <c r="O524" s="811"/>
      <c r="P524" s="811"/>
      <c r="Q524" s="811"/>
      <c r="R524" s="811"/>
      <c r="S524" s="811"/>
      <c r="T524" s="811"/>
      <c r="U524" s="811"/>
      <c r="V524" s="811"/>
      <c r="W524" s="811"/>
      <c r="X524" s="811"/>
      <c r="Y524" s="811"/>
      <c r="Z524" s="811"/>
    </row>
    <row r="525">
      <c r="A525" s="811"/>
      <c r="B525" s="854"/>
      <c r="C525" s="855"/>
      <c r="D525" s="811"/>
      <c r="E525" s="811"/>
      <c r="F525" s="816"/>
      <c r="G525" s="811"/>
      <c r="H525" s="811"/>
      <c r="I525" s="811"/>
      <c r="J525" s="811"/>
      <c r="K525" s="811"/>
      <c r="L525" s="816"/>
      <c r="M525" s="811"/>
      <c r="N525" s="811"/>
      <c r="O525" s="811"/>
      <c r="P525" s="811"/>
      <c r="Q525" s="811"/>
      <c r="R525" s="811"/>
      <c r="S525" s="811"/>
      <c r="T525" s="811"/>
      <c r="U525" s="811"/>
      <c r="V525" s="811"/>
      <c r="W525" s="811"/>
      <c r="X525" s="811"/>
      <c r="Y525" s="811"/>
      <c r="Z525" s="811"/>
    </row>
    <row r="526">
      <c r="A526" s="811"/>
      <c r="B526" s="854"/>
      <c r="C526" s="855"/>
      <c r="D526" s="811"/>
      <c r="E526" s="811"/>
      <c r="F526" s="816"/>
      <c r="G526" s="811"/>
      <c r="H526" s="811"/>
      <c r="I526" s="811"/>
      <c r="J526" s="811"/>
      <c r="K526" s="811"/>
      <c r="L526" s="816"/>
      <c r="M526" s="811"/>
      <c r="N526" s="811"/>
      <c r="O526" s="811"/>
      <c r="P526" s="811"/>
      <c r="Q526" s="811"/>
      <c r="R526" s="811"/>
      <c r="S526" s="811"/>
      <c r="T526" s="811"/>
      <c r="U526" s="811"/>
      <c r="V526" s="811"/>
      <c r="W526" s="811"/>
      <c r="X526" s="811"/>
      <c r="Y526" s="811"/>
      <c r="Z526" s="811"/>
    </row>
    <row r="527">
      <c r="A527" s="811"/>
      <c r="B527" s="854"/>
      <c r="C527" s="855"/>
      <c r="D527" s="811"/>
      <c r="E527" s="811"/>
      <c r="F527" s="816"/>
      <c r="G527" s="811"/>
      <c r="H527" s="811"/>
      <c r="I527" s="811"/>
      <c r="J527" s="811"/>
      <c r="K527" s="811"/>
      <c r="L527" s="816"/>
      <c r="M527" s="811"/>
      <c r="N527" s="811"/>
      <c r="O527" s="811"/>
      <c r="P527" s="811"/>
      <c r="Q527" s="811"/>
      <c r="R527" s="811"/>
      <c r="S527" s="811"/>
      <c r="T527" s="811"/>
      <c r="U527" s="811"/>
      <c r="V527" s="811"/>
      <c r="W527" s="811"/>
      <c r="X527" s="811"/>
      <c r="Y527" s="811"/>
      <c r="Z527" s="811"/>
    </row>
    <row r="528">
      <c r="A528" s="811"/>
      <c r="B528" s="854"/>
      <c r="C528" s="855"/>
      <c r="D528" s="811"/>
      <c r="E528" s="811"/>
      <c r="F528" s="816"/>
      <c r="G528" s="811"/>
      <c r="H528" s="811"/>
      <c r="I528" s="811"/>
      <c r="J528" s="811"/>
      <c r="K528" s="811"/>
      <c r="L528" s="816"/>
      <c r="M528" s="811"/>
      <c r="N528" s="811"/>
      <c r="O528" s="811"/>
      <c r="P528" s="811"/>
      <c r="Q528" s="811"/>
      <c r="R528" s="811"/>
      <c r="S528" s="811"/>
      <c r="T528" s="811"/>
      <c r="U528" s="811"/>
      <c r="V528" s="811"/>
      <c r="W528" s="811"/>
      <c r="X528" s="811"/>
      <c r="Y528" s="811"/>
      <c r="Z528" s="811"/>
    </row>
    <row r="529">
      <c r="A529" s="811"/>
      <c r="B529" s="854"/>
      <c r="C529" s="855"/>
      <c r="D529" s="811"/>
      <c r="E529" s="811"/>
      <c r="F529" s="816"/>
      <c r="G529" s="811"/>
      <c r="H529" s="811"/>
      <c r="I529" s="811"/>
      <c r="J529" s="811"/>
      <c r="K529" s="811"/>
      <c r="L529" s="816"/>
      <c r="M529" s="811"/>
      <c r="N529" s="811"/>
      <c r="O529" s="811"/>
      <c r="P529" s="811"/>
      <c r="Q529" s="811"/>
      <c r="R529" s="811"/>
      <c r="S529" s="811"/>
      <c r="T529" s="811"/>
      <c r="U529" s="811"/>
      <c r="V529" s="811"/>
      <c r="W529" s="811"/>
      <c r="X529" s="811"/>
      <c r="Y529" s="811"/>
      <c r="Z529" s="811"/>
    </row>
    <row r="530">
      <c r="A530" s="811"/>
      <c r="B530" s="854"/>
      <c r="C530" s="855"/>
      <c r="D530" s="811"/>
      <c r="E530" s="811"/>
      <c r="F530" s="816"/>
      <c r="G530" s="811"/>
      <c r="H530" s="811"/>
      <c r="I530" s="811"/>
      <c r="J530" s="811"/>
      <c r="K530" s="811"/>
      <c r="L530" s="816"/>
      <c r="M530" s="811"/>
      <c r="N530" s="811"/>
      <c r="O530" s="811"/>
      <c r="P530" s="811"/>
      <c r="Q530" s="811"/>
      <c r="R530" s="811"/>
      <c r="S530" s="811"/>
      <c r="T530" s="811"/>
      <c r="U530" s="811"/>
      <c r="V530" s="811"/>
      <c r="W530" s="811"/>
      <c r="X530" s="811"/>
      <c r="Y530" s="811"/>
      <c r="Z530" s="811"/>
    </row>
    <row r="531">
      <c r="A531" s="811"/>
      <c r="B531" s="854"/>
      <c r="C531" s="855"/>
      <c r="D531" s="811"/>
      <c r="E531" s="811"/>
      <c r="F531" s="816"/>
      <c r="G531" s="811"/>
      <c r="H531" s="811"/>
      <c r="I531" s="811"/>
      <c r="J531" s="811"/>
      <c r="K531" s="811"/>
      <c r="L531" s="816"/>
      <c r="M531" s="811"/>
      <c r="N531" s="811"/>
      <c r="O531" s="811"/>
      <c r="P531" s="811"/>
      <c r="Q531" s="811"/>
      <c r="R531" s="811"/>
      <c r="S531" s="811"/>
      <c r="T531" s="811"/>
      <c r="U531" s="811"/>
      <c r="V531" s="811"/>
      <c r="W531" s="811"/>
      <c r="X531" s="811"/>
      <c r="Y531" s="811"/>
      <c r="Z531" s="811"/>
    </row>
    <row r="532">
      <c r="A532" s="811"/>
      <c r="B532" s="854"/>
      <c r="C532" s="855"/>
      <c r="D532" s="811"/>
      <c r="E532" s="811"/>
      <c r="F532" s="816"/>
      <c r="G532" s="811"/>
      <c r="H532" s="811"/>
      <c r="I532" s="811"/>
      <c r="J532" s="811"/>
      <c r="K532" s="811"/>
      <c r="L532" s="816"/>
      <c r="M532" s="811"/>
      <c r="N532" s="811"/>
      <c r="O532" s="811"/>
      <c r="P532" s="811"/>
      <c r="Q532" s="811"/>
      <c r="R532" s="811"/>
      <c r="S532" s="811"/>
      <c r="T532" s="811"/>
      <c r="U532" s="811"/>
      <c r="V532" s="811"/>
      <c r="W532" s="811"/>
      <c r="X532" s="811"/>
      <c r="Y532" s="811"/>
      <c r="Z532" s="811"/>
    </row>
    <row r="533">
      <c r="A533" s="811"/>
      <c r="B533" s="854"/>
      <c r="C533" s="855"/>
      <c r="D533" s="811"/>
      <c r="E533" s="811"/>
      <c r="F533" s="816"/>
      <c r="G533" s="811"/>
      <c r="H533" s="811"/>
      <c r="I533" s="811"/>
      <c r="J533" s="811"/>
      <c r="K533" s="811"/>
      <c r="L533" s="816"/>
      <c r="M533" s="811"/>
      <c r="N533" s="811"/>
      <c r="O533" s="811"/>
      <c r="P533" s="811"/>
      <c r="Q533" s="811"/>
      <c r="R533" s="811"/>
      <c r="S533" s="811"/>
      <c r="T533" s="811"/>
      <c r="U533" s="811"/>
      <c r="V533" s="811"/>
      <c r="W533" s="811"/>
      <c r="X533" s="811"/>
      <c r="Y533" s="811"/>
      <c r="Z533" s="811"/>
    </row>
    <row r="534">
      <c r="A534" s="811"/>
      <c r="B534" s="854"/>
      <c r="C534" s="855"/>
      <c r="D534" s="811"/>
      <c r="E534" s="811"/>
      <c r="F534" s="816"/>
      <c r="G534" s="811"/>
      <c r="H534" s="811"/>
      <c r="I534" s="811"/>
      <c r="J534" s="811"/>
      <c r="K534" s="811"/>
      <c r="L534" s="816"/>
      <c r="M534" s="811"/>
      <c r="N534" s="811"/>
      <c r="O534" s="811"/>
      <c r="P534" s="811"/>
      <c r="Q534" s="811"/>
      <c r="R534" s="811"/>
      <c r="S534" s="811"/>
      <c r="T534" s="811"/>
      <c r="U534" s="811"/>
      <c r="V534" s="811"/>
      <c r="W534" s="811"/>
      <c r="X534" s="811"/>
      <c r="Y534" s="811"/>
      <c r="Z534" s="811"/>
    </row>
    <row r="535">
      <c r="A535" s="811"/>
      <c r="B535" s="854"/>
      <c r="C535" s="855"/>
      <c r="D535" s="811"/>
      <c r="E535" s="811"/>
      <c r="F535" s="816"/>
      <c r="G535" s="811"/>
      <c r="H535" s="811"/>
      <c r="I535" s="811"/>
      <c r="J535" s="811"/>
      <c r="K535" s="811"/>
      <c r="L535" s="816"/>
      <c r="M535" s="811"/>
      <c r="N535" s="811"/>
      <c r="O535" s="811"/>
      <c r="P535" s="811"/>
      <c r="Q535" s="811"/>
      <c r="R535" s="811"/>
      <c r="S535" s="811"/>
      <c r="T535" s="811"/>
      <c r="U535" s="811"/>
      <c r="V535" s="811"/>
      <c r="W535" s="811"/>
      <c r="X535" s="811"/>
      <c r="Y535" s="811"/>
      <c r="Z535" s="811"/>
    </row>
    <row r="536">
      <c r="A536" s="811"/>
      <c r="B536" s="854"/>
      <c r="C536" s="855"/>
      <c r="D536" s="811"/>
      <c r="E536" s="811"/>
      <c r="F536" s="816"/>
      <c r="G536" s="811"/>
      <c r="H536" s="811"/>
      <c r="I536" s="811"/>
      <c r="J536" s="811"/>
      <c r="K536" s="811"/>
      <c r="L536" s="816"/>
      <c r="M536" s="811"/>
      <c r="N536" s="811"/>
      <c r="O536" s="811"/>
      <c r="P536" s="811"/>
      <c r="Q536" s="811"/>
      <c r="R536" s="811"/>
      <c r="S536" s="811"/>
      <c r="T536" s="811"/>
      <c r="U536" s="811"/>
      <c r="V536" s="811"/>
      <c r="W536" s="811"/>
      <c r="X536" s="811"/>
      <c r="Y536" s="811"/>
      <c r="Z536" s="811"/>
    </row>
    <row r="537">
      <c r="A537" s="811"/>
      <c r="B537" s="854"/>
      <c r="C537" s="855"/>
      <c r="D537" s="811"/>
      <c r="E537" s="811"/>
      <c r="F537" s="816"/>
      <c r="G537" s="811"/>
      <c r="H537" s="811"/>
      <c r="I537" s="811"/>
      <c r="J537" s="811"/>
      <c r="K537" s="811"/>
      <c r="L537" s="816"/>
      <c r="M537" s="811"/>
      <c r="N537" s="811"/>
      <c r="O537" s="811"/>
      <c r="P537" s="811"/>
      <c r="Q537" s="811"/>
      <c r="R537" s="811"/>
      <c r="S537" s="811"/>
      <c r="T537" s="811"/>
      <c r="U537" s="811"/>
      <c r="V537" s="811"/>
      <c r="W537" s="811"/>
      <c r="X537" s="811"/>
      <c r="Y537" s="811"/>
      <c r="Z537" s="811"/>
    </row>
    <row r="538">
      <c r="A538" s="811"/>
      <c r="B538" s="854"/>
      <c r="C538" s="855"/>
      <c r="D538" s="811"/>
      <c r="E538" s="811"/>
      <c r="F538" s="816"/>
      <c r="G538" s="811"/>
      <c r="H538" s="811"/>
      <c r="I538" s="811"/>
      <c r="J538" s="811"/>
      <c r="K538" s="811"/>
      <c r="L538" s="816"/>
      <c r="M538" s="811"/>
      <c r="N538" s="811"/>
      <c r="O538" s="811"/>
      <c r="P538" s="811"/>
      <c r="Q538" s="811"/>
      <c r="R538" s="811"/>
      <c r="S538" s="811"/>
      <c r="T538" s="811"/>
      <c r="U538" s="811"/>
      <c r="V538" s="811"/>
      <c r="W538" s="811"/>
      <c r="X538" s="811"/>
      <c r="Y538" s="811"/>
      <c r="Z538" s="811"/>
    </row>
    <row r="539">
      <c r="A539" s="811"/>
      <c r="B539" s="854"/>
      <c r="C539" s="855"/>
      <c r="D539" s="811"/>
      <c r="E539" s="811"/>
      <c r="F539" s="816"/>
      <c r="G539" s="811"/>
      <c r="H539" s="811"/>
      <c r="I539" s="811"/>
      <c r="J539" s="811"/>
      <c r="K539" s="811"/>
      <c r="L539" s="816"/>
      <c r="M539" s="811"/>
      <c r="N539" s="811"/>
      <c r="O539" s="811"/>
      <c r="P539" s="811"/>
      <c r="Q539" s="811"/>
      <c r="R539" s="811"/>
      <c r="S539" s="811"/>
      <c r="T539" s="811"/>
      <c r="U539" s="811"/>
      <c r="V539" s="811"/>
      <c r="W539" s="811"/>
      <c r="X539" s="811"/>
      <c r="Y539" s="811"/>
      <c r="Z539" s="811"/>
    </row>
    <row r="540">
      <c r="A540" s="811"/>
      <c r="B540" s="854"/>
      <c r="C540" s="855"/>
      <c r="D540" s="811"/>
      <c r="E540" s="811"/>
      <c r="F540" s="816"/>
      <c r="G540" s="811"/>
      <c r="H540" s="811"/>
      <c r="I540" s="811"/>
      <c r="J540" s="811"/>
      <c r="K540" s="811"/>
      <c r="L540" s="816"/>
      <c r="M540" s="811"/>
      <c r="N540" s="811"/>
      <c r="O540" s="811"/>
      <c r="P540" s="811"/>
      <c r="Q540" s="811"/>
      <c r="R540" s="811"/>
      <c r="S540" s="811"/>
      <c r="T540" s="811"/>
      <c r="U540" s="811"/>
      <c r="V540" s="811"/>
      <c r="W540" s="811"/>
      <c r="X540" s="811"/>
      <c r="Y540" s="811"/>
      <c r="Z540" s="811"/>
    </row>
    <row r="541">
      <c r="A541" s="811"/>
      <c r="B541" s="854"/>
      <c r="C541" s="855"/>
      <c r="D541" s="811"/>
      <c r="E541" s="811"/>
      <c r="F541" s="816"/>
      <c r="G541" s="811"/>
      <c r="H541" s="811"/>
      <c r="I541" s="811"/>
      <c r="J541" s="811"/>
      <c r="K541" s="811"/>
      <c r="L541" s="816"/>
      <c r="M541" s="811"/>
      <c r="N541" s="811"/>
      <c r="O541" s="811"/>
      <c r="P541" s="811"/>
      <c r="Q541" s="811"/>
      <c r="R541" s="811"/>
      <c r="S541" s="811"/>
      <c r="T541" s="811"/>
      <c r="U541" s="811"/>
      <c r="V541" s="811"/>
      <c r="W541" s="811"/>
      <c r="X541" s="811"/>
      <c r="Y541" s="811"/>
      <c r="Z541" s="811"/>
    </row>
    <row r="542">
      <c r="A542" s="811"/>
      <c r="B542" s="854"/>
      <c r="C542" s="855"/>
      <c r="D542" s="811"/>
      <c r="E542" s="811"/>
      <c r="F542" s="816"/>
      <c r="G542" s="811"/>
      <c r="H542" s="811"/>
      <c r="I542" s="811"/>
      <c r="J542" s="811"/>
      <c r="K542" s="811"/>
      <c r="L542" s="816"/>
      <c r="M542" s="811"/>
      <c r="N542" s="811"/>
      <c r="O542" s="811"/>
      <c r="P542" s="811"/>
      <c r="Q542" s="811"/>
      <c r="R542" s="811"/>
      <c r="S542" s="811"/>
      <c r="T542" s="811"/>
      <c r="U542" s="811"/>
      <c r="V542" s="811"/>
      <c r="W542" s="811"/>
      <c r="X542" s="811"/>
      <c r="Y542" s="811"/>
      <c r="Z542" s="811"/>
    </row>
    <row r="543">
      <c r="A543" s="811"/>
      <c r="B543" s="854"/>
      <c r="C543" s="855"/>
      <c r="D543" s="811"/>
      <c r="E543" s="811"/>
      <c r="F543" s="816"/>
      <c r="G543" s="811"/>
      <c r="H543" s="811"/>
      <c r="I543" s="811"/>
      <c r="J543" s="811"/>
      <c r="K543" s="811"/>
      <c r="L543" s="816"/>
      <c r="M543" s="811"/>
      <c r="N543" s="811"/>
      <c r="O543" s="811"/>
      <c r="P543" s="811"/>
      <c r="Q543" s="811"/>
      <c r="R543" s="811"/>
      <c r="S543" s="811"/>
      <c r="T543" s="811"/>
      <c r="U543" s="811"/>
      <c r="V543" s="811"/>
      <c r="W543" s="811"/>
      <c r="X543" s="811"/>
      <c r="Y543" s="811"/>
      <c r="Z543" s="811"/>
    </row>
    <row r="544">
      <c r="A544" s="811"/>
      <c r="B544" s="854"/>
      <c r="C544" s="855"/>
      <c r="D544" s="811"/>
      <c r="E544" s="811"/>
      <c r="F544" s="816"/>
      <c r="G544" s="811"/>
      <c r="H544" s="811"/>
      <c r="I544" s="811"/>
      <c r="J544" s="811"/>
      <c r="K544" s="811"/>
      <c r="L544" s="816"/>
      <c r="M544" s="811"/>
      <c r="N544" s="811"/>
      <c r="O544" s="811"/>
      <c r="P544" s="811"/>
      <c r="Q544" s="811"/>
      <c r="R544" s="811"/>
      <c r="S544" s="811"/>
      <c r="T544" s="811"/>
      <c r="U544" s="811"/>
      <c r="V544" s="811"/>
      <c r="W544" s="811"/>
      <c r="X544" s="811"/>
      <c r="Y544" s="811"/>
      <c r="Z544" s="811"/>
    </row>
    <row r="545">
      <c r="A545" s="811"/>
      <c r="B545" s="854"/>
      <c r="C545" s="855"/>
      <c r="D545" s="811"/>
      <c r="E545" s="811"/>
      <c r="F545" s="816"/>
      <c r="G545" s="811"/>
      <c r="H545" s="811"/>
      <c r="I545" s="811"/>
      <c r="J545" s="811"/>
      <c r="K545" s="811"/>
      <c r="L545" s="816"/>
      <c r="M545" s="811"/>
      <c r="N545" s="811"/>
      <c r="O545" s="811"/>
      <c r="P545" s="811"/>
      <c r="Q545" s="811"/>
      <c r="R545" s="811"/>
      <c r="S545" s="811"/>
      <c r="T545" s="811"/>
      <c r="U545" s="811"/>
      <c r="V545" s="811"/>
      <c r="W545" s="811"/>
      <c r="X545" s="811"/>
      <c r="Y545" s="811"/>
      <c r="Z545" s="811"/>
    </row>
    <row r="546">
      <c r="A546" s="811"/>
      <c r="B546" s="854"/>
      <c r="C546" s="855"/>
      <c r="D546" s="811"/>
      <c r="E546" s="811"/>
      <c r="F546" s="816"/>
      <c r="G546" s="811"/>
      <c r="H546" s="811"/>
      <c r="I546" s="811"/>
      <c r="J546" s="811"/>
      <c r="K546" s="811"/>
      <c r="L546" s="816"/>
      <c r="M546" s="811"/>
      <c r="N546" s="811"/>
      <c r="O546" s="811"/>
      <c r="P546" s="811"/>
      <c r="Q546" s="811"/>
      <c r="R546" s="811"/>
      <c r="S546" s="811"/>
      <c r="T546" s="811"/>
      <c r="U546" s="811"/>
      <c r="V546" s="811"/>
      <c r="W546" s="811"/>
      <c r="X546" s="811"/>
      <c r="Y546" s="811"/>
      <c r="Z546" s="811"/>
    </row>
    <row r="547">
      <c r="A547" s="811"/>
      <c r="B547" s="854"/>
      <c r="C547" s="855"/>
      <c r="D547" s="811"/>
      <c r="E547" s="811"/>
      <c r="F547" s="816"/>
      <c r="G547" s="811"/>
      <c r="H547" s="811"/>
      <c r="I547" s="811"/>
      <c r="J547" s="811"/>
      <c r="K547" s="811"/>
      <c r="L547" s="816"/>
      <c r="M547" s="811"/>
      <c r="N547" s="811"/>
      <c r="O547" s="811"/>
      <c r="P547" s="811"/>
      <c r="Q547" s="811"/>
      <c r="R547" s="811"/>
      <c r="S547" s="811"/>
      <c r="T547" s="811"/>
      <c r="U547" s="811"/>
      <c r="V547" s="811"/>
      <c r="W547" s="811"/>
      <c r="X547" s="811"/>
      <c r="Y547" s="811"/>
      <c r="Z547" s="811"/>
    </row>
    <row r="548">
      <c r="A548" s="811"/>
      <c r="B548" s="854"/>
      <c r="C548" s="855"/>
      <c r="D548" s="811"/>
      <c r="E548" s="811"/>
      <c r="F548" s="816"/>
      <c r="G548" s="811"/>
      <c r="H548" s="811"/>
      <c r="I548" s="811"/>
      <c r="J548" s="811"/>
      <c r="K548" s="811"/>
      <c r="L548" s="816"/>
      <c r="M548" s="811"/>
      <c r="N548" s="811"/>
      <c r="O548" s="811"/>
      <c r="P548" s="811"/>
      <c r="Q548" s="811"/>
      <c r="R548" s="811"/>
      <c r="S548" s="811"/>
      <c r="T548" s="811"/>
      <c r="U548" s="811"/>
      <c r="V548" s="811"/>
      <c r="W548" s="811"/>
      <c r="X548" s="811"/>
      <c r="Y548" s="811"/>
      <c r="Z548" s="811"/>
    </row>
    <row r="549">
      <c r="A549" s="811"/>
      <c r="B549" s="854"/>
      <c r="C549" s="855"/>
      <c r="D549" s="811"/>
      <c r="E549" s="811"/>
      <c r="F549" s="816"/>
      <c r="G549" s="811"/>
      <c r="H549" s="811"/>
      <c r="I549" s="811"/>
      <c r="J549" s="811"/>
      <c r="K549" s="811"/>
      <c r="L549" s="816"/>
      <c r="M549" s="811"/>
      <c r="N549" s="811"/>
      <c r="O549" s="811"/>
      <c r="P549" s="811"/>
      <c r="Q549" s="811"/>
      <c r="R549" s="811"/>
      <c r="S549" s="811"/>
      <c r="T549" s="811"/>
      <c r="U549" s="811"/>
      <c r="V549" s="811"/>
      <c r="W549" s="811"/>
      <c r="X549" s="811"/>
      <c r="Y549" s="811"/>
      <c r="Z549" s="811"/>
    </row>
    <row r="550">
      <c r="A550" s="811"/>
      <c r="B550" s="854"/>
      <c r="C550" s="855"/>
      <c r="D550" s="811"/>
      <c r="E550" s="811"/>
      <c r="F550" s="816"/>
      <c r="G550" s="811"/>
      <c r="H550" s="811"/>
      <c r="I550" s="811"/>
      <c r="J550" s="811"/>
      <c r="K550" s="811"/>
      <c r="L550" s="816"/>
      <c r="M550" s="811"/>
      <c r="N550" s="811"/>
      <c r="O550" s="811"/>
      <c r="P550" s="811"/>
      <c r="Q550" s="811"/>
      <c r="R550" s="811"/>
      <c r="S550" s="811"/>
      <c r="T550" s="811"/>
      <c r="U550" s="811"/>
      <c r="V550" s="811"/>
      <c r="W550" s="811"/>
      <c r="X550" s="811"/>
      <c r="Y550" s="811"/>
      <c r="Z550" s="811"/>
    </row>
    <row r="551">
      <c r="A551" s="811"/>
      <c r="B551" s="854"/>
      <c r="C551" s="855"/>
      <c r="D551" s="811"/>
      <c r="E551" s="811"/>
      <c r="F551" s="816"/>
      <c r="G551" s="811"/>
      <c r="H551" s="811"/>
      <c r="I551" s="811"/>
      <c r="J551" s="811"/>
      <c r="K551" s="811"/>
      <c r="L551" s="816"/>
      <c r="M551" s="811"/>
      <c r="N551" s="811"/>
      <c r="O551" s="811"/>
      <c r="P551" s="811"/>
      <c r="Q551" s="811"/>
      <c r="R551" s="811"/>
      <c r="S551" s="811"/>
      <c r="T551" s="811"/>
      <c r="U551" s="811"/>
      <c r="V551" s="811"/>
      <c r="W551" s="811"/>
      <c r="X551" s="811"/>
      <c r="Y551" s="811"/>
      <c r="Z551" s="811"/>
    </row>
    <row r="552">
      <c r="A552" s="811"/>
      <c r="B552" s="854"/>
      <c r="C552" s="855"/>
      <c r="D552" s="811"/>
      <c r="E552" s="811"/>
      <c r="F552" s="816"/>
      <c r="G552" s="811"/>
      <c r="H552" s="811"/>
      <c r="I552" s="811"/>
      <c r="J552" s="811"/>
      <c r="K552" s="811"/>
      <c r="L552" s="816"/>
      <c r="M552" s="811"/>
      <c r="N552" s="811"/>
      <c r="O552" s="811"/>
      <c r="P552" s="811"/>
      <c r="Q552" s="811"/>
      <c r="R552" s="811"/>
      <c r="S552" s="811"/>
      <c r="T552" s="811"/>
      <c r="U552" s="811"/>
      <c r="V552" s="811"/>
      <c r="W552" s="811"/>
      <c r="X552" s="811"/>
      <c r="Y552" s="811"/>
      <c r="Z552" s="811"/>
    </row>
    <row r="553">
      <c r="A553" s="811"/>
      <c r="B553" s="854"/>
      <c r="C553" s="855"/>
      <c r="D553" s="811"/>
      <c r="E553" s="811"/>
      <c r="F553" s="816"/>
      <c r="G553" s="811"/>
      <c r="H553" s="811"/>
      <c r="I553" s="811"/>
      <c r="J553" s="811"/>
      <c r="K553" s="811"/>
      <c r="L553" s="816"/>
      <c r="M553" s="811"/>
      <c r="N553" s="811"/>
      <c r="O553" s="811"/>
      <c r="P553" s="811"/>
      <c r="Q553" s="811"/>
      <c r="R553" s="811"/>
      <c r="S553" s="811"/>
      <c r="T553" s="811"/>
      <c r="U553" s="811"/>
      <c r="V553" s="811"/>
      <c r="W553" s="811"/>
      <c r="X553" s="811"/>
      <c r="Y553" s="811"/>
      <c r="Z553" s="811"/>
    </row>
    <row r="554">
      <c r="A554" s="811"/>
      <c r="B554" s="854"/>
      <c r="C554" s="855"/>
      <c r="D554" s="811"/>
      <c r="E554" s="811"/>
      <c r="F554" s="816"/>
      <c r="G554" s="811"/>
      <c r="H554" s="811"/>
      <c r="I554" s="811"/>
      <c r="J554" s="811"/>
      <c r="K554" s="811"/>
      <c r="L554" s="816"/>
      <c r="M554" s="811"/>
      <c r="N554" s="811"/>
      <c r="O554" s="811"/>
      <c r="P554" s="811"/>
      <c r="Q554" s="811"/>
      <c r="R554" s="811"/>
      <c r="S554" s="811"/>
      <c r="T554" s="811"/>
      <c r="U554" s="811"/>
      <c r="V554" s="811"/>
      <c r="W554" s="811"/>
      <c r="X554" s="811"/>
      <c r="Y554" s="811"/>
      <c r="Z554" s="811"/>
    </row>
    <row r="555">
      <c r="A555" s="811"/>
      <c r="B555" s="854"/>
      <c r="C555" s="855"/>
      <c r="D555" s="811"/>
      <c r="E555" s="811"/>
      <c r="F555" s="816"/>
      <c r="G555" s="811"/>
      <c r="H555" s="811"/>
      <c r="I555" s="811"/>
      <c r="J555" s="811"/>
      <c r="K555" s="811"/>
      <c r="L555" s="816"/>
      <c r="M555" s="811"/>
      <c r="N555" s="811"/>
      <c r="O555" s="811"/>
      <c r="P555" s="811"/>
      <c r="Q555" s="811"/>
      <c r="R555" s="811"/>
      <c r="S555" s="811"/>
      <c r="T555" s="811"/>
      <c r="U555" s="811"/>
      <c r="V555" s="811"/>
      <c r="W555" s="811"/>
      <c r="X555" s="811"/>
      <c r="Y555" s="811"/>
      <c r="Z555" s="811"/>
    </row>
    <row r="556">
      <c r="A556" s="811"/>
      <c r="B556" s="854"/>
      <c r="C556" s="855"/>
      <c r="D556" s="811"/>
      <c r="E556" s="811"/>
      <c r="F556" s="816"/>
      <c r="G556" s="811"/>
      <c r="H556" s="811"/>
      <c r="I556" s="811"/>
      <c r="J556" s="811"/>
      <c r="K556" s="811"/>
      <c r="L556" s="816"/>
      <c r="M556" s="811"/>
      <c r="N556" s="811"/>
      <c r="O556" s="811"/>
      <c r="P556" s="811"/>
      <c r="Q556" s="811"/>
      <c r="R556" s="811"/>
      <c r="S556" s="811"/>
      <c r="T556" s="811"/>
      <c r="U556" s="811"/>
      <c r="V556" s="811"/>
      <c r="W556" s="811"/>
      <c r="X556" s="811"/>
      <c r="Y556" s="811"/>
      <c r="Z556" s="811"/>
    </row>
    <row r="557">
      <c r="A557" s="811"/>
      <c r="B557" s="854"/>
      <c r="C557" s="855"/>
      <c r="D557" s="811"/>
      <c r="E557" s="811"/>
      <c r="F557" s="816"/>
      <c r="G557" s="811"/>
      <c r="H557" s="811"/>
      <c r="I557" s="811"/>
      <c r="J557" s="811"/>
      <c r="K557" s="811"/>
      <c r="L557" s="816"/>
      <c r="M557" s="811"/>
      <c r="N557" s="811"/>
      <c r="O557" s="811"/>
      <c r="P557" s="811"/>
      <c r="Q557" s="811"/>
      <c r="R557" s="811"/>
      <c r="S557" s="811"/>
      <c r="T557" s="811"/>
      <c r="U557" s="811"/>
      <c r="V557" s="811"/>
      <c r="W557" s="811"/>
      <c r="X557" s="811"/>
      <c r="Y557" s="811"/>
      <c r="Z557" s="811"/>
    </row>
    <row r="558">
      <c r="A558" s="811"/>
      <c r="B558" s="854"/>
      <c r="C558" s="855"/>
      <c r="D558" s="811"/>
      <c r="E558" s="811"/>
      <c r="F558" s="816"/>
      <c r="G558" s="811"/>
      <c r="H558" s="811"/>
      <c r="I558" s="811"/>
      <c r="J558" s="811"/>
      <c r="K558" s="811"/>
      <c r="L558" s="816"/>
      <c r="M558" s="811"/>
      <c r="N558" s="811"/>
      <c r="O558" s="811"/>
      <c r="P558" s="811"/>
      <c r="Q558" s="811"/>
      <c r="R558" s="811"/>
      <c r="S558" s="811"/>
      <c r="T558" s="811"/>
      <c r="U558" s="811"/>
      <c r="V558" s="811"/>
      <c r="W558" s="811"/>
      <c r="X558" s="811"/>
      <c r="Y558" s="811"/>
      <c r="Z558" s="811"/>
    </row>
    <row r="559">
      <c r="A559" s="811"/>
      <c r="B559" s="854"/>
      <c r="C559" s="855"/>
      <c r="D559" s="811"/>
      <c r="E559" s="811"/>
      <c r="F559" s="816"/>
      <c r="G559" s="811"/>
      <c r="H559" s="811"/>
      <c r="I559" s="811"/>
      <c r="J559" s="811"/>
      <c r="K559" s="811"/>
      <c r="L559" s="816"/>
      <c r="M559" s="811"/>
      <c r="N559" s="811"/>
      <c r="O559" s="811"/>
      <c r="P559" s="811"/>
      <c r="Q559" s="811"/>
      <c r="R559" s="811"/>
      <c r="S559" s="811"/>
      <c r="T559" s="811"/>
      <c r="U559" s="811"/>
      <c r="V559" s="811"/>
      <c r="W559" s="811"/>
      <c r="X559" s="811"/>
      <c r="Y559" s="811"/>
      <c r="Z559" s="811"/>
    </row>
    <row r="560">
      <c r="A560" s="811"/>
      <c r="B560" s="854"/>
      <c r="C560" s="855"/>
      <c r="D560" s="811"/>
      <c r="E560" s="811"/>
      <c r="F560" s="816"/>
      <c r="G560" s="811"/>
      <c r="H560" s="811"/>
      <c r="I560" s="811"/>
      <c r="J560" s="811"/>
      <c r="K560" s="811"/>
      <c r="L560" s="816"/>
      <c r="M560" s="811"/>
      <c r="N560" s="811"/>
      <c r="O560" s="811"/>
      <c r="P560" s="811"/>
      <c r="Q560" s="811"/>
      <c r="R560" s="811"/>
      <c r="S560" s="811"/>
      <c r="T560" s="811"/>
      <c r="U560" s="811"/>
      <c r="V560" s="811"/>
      <c r="W560" s="811"/>
      <c r="X560" s="811"/>
      <c r="Y560" s="811"/>
      <c r="Z560" s="811"/>
    </row>
    <row r="561">
      <c r="A561" s="811"/>
      <c r="B561" s="854"/>
      <c r="C561" s="855"/>
      <c r="D561" s="811"/>
      <c r="E561" s="811"/>
      <c r="F561" s="816"/>
      <c r="G561" s="811"/>
      <c r="H561" s="811"/>
      <c r="I561" s="811"/>
      <c r="J561" s="811"/>
      <c r="K561" s="811"/>
      <c r="L561" s="816"/>
      <c r="M561" s="811"/>
      <c r="N561" s="811"/>
      <c r="O561" s="811"/>
      <c r="P561" s="811"/>
      <c r="Q561" s="811"/>
      <c r="R561" s="811"/>
      <c r="S561" s="811"/>
      <c r="T561" s="811"/>
      <c r="U561" s="811"/>
      <c r="V561" s="811"/>
      <c r="W561" s="811"/>
      <c r="X561" s="811"/>
      <c r="Y561" s="811"/>
      <c r="Z561" s="811"/>
    </row>
    <row r="562">
      <c r="A562" s="811"/>
      <c r="B562" s="854"/>
      <c r="C562" s="855"/>
      <c r="D562" s="811"/>
      <c r="E562" s="811"/>
      <c r="F562" s="816"/>
      <c r="G562" s="811"/>
      <c r="H562" s="811"/>
      <c r="I562" s="811"/>
      <c r="J562" s="811"/>
      <c r="K562" s="811"/>
      <c r="L562" s="816"/>
      <c r="M562" s="811"/>
      <c r="N562" s="811"/>
      <c r="O562" s="811"/>
      <c r="P562" s="811"/>
      <c r="Q562" s="811"/>
      <c r="R562" s="811"/>
      <c r="S562" s="811"/>
      <c r="T562" s="811"/>
      <c r="U562" s="811"/>
      <c r="V562" s="811"/>
      <c r="W562" s="811"/>
      <c r="X562" s="811"/>
      <c r="Y562" s="811"/>
      <c r="Z562" s="811"/>
    </row>
    <row r="563">
      <c r="A563" s="811"/>
      <c r="B563" s="854"/>
      <c r="C563" s="855"/>
      <c r="D563" s="811"/>
      <c r="E563" s="811"/>
      <c r="F563" s="816"/>
      <c r="G563" s="811"/>
      <c r="H563" s="811"/>
      <c r="I563" s="811"/>
      <c r="J563" s="811"/>
      <c r="K563" s="811"/>
      <c r="L563" s="816"/>
      <c r="M563" s="811"/>
      <c r="N563" s="811"/>
      <c r="O563" s="811"/>
      <c r="P563" s="811"/>
      <c r="Q563" s="811"/>
      <c r="R563" s="811"/>
      <c r="S563" s="811"/>
      <c r="T563" s="811"/>
      <c r="U563" s="811"/>
      <c r="V563" s="811"/>
      <c r="W563" s="811"/>
      <c r="X563" s="811"/>
      <c r="Y563" s="811"/>
      <c r="Z563" s="811"/>
    </row>
    <row r="564">
      <c r="A564" s="811"/>
      <c r="B564" s="854"/>
      <c r="C564" s="855"/>
      <c r="D564" s="811"/>
      <c r="E564" s="811"/>
      <c r="F564" s="816"/>
      <c r="G564" s="811"/>
      <c r="H564" s="811"/>
      <c r="I564" s="811"/>
      <c r="J564" s="811"/>
      <c r="K564" s="811"/>
      <c r="L564" s="816"/>
      <c r="M564" s="811"/>
      <c r="N564" s="811"/>
      <c r="O564" s="811"/>
      <c r="P564" s="811"/>
      <c r="Q564" s="811"/>
      <c r="R564" s="811"/>
      <c r="S564" s="811"/>
      <c r="T564" s="811"/>
      <c r="U564" s="811"/>
      <c r="V564" s="811"/>
      <c r="W564" s="811"/>
      <c r="X564" s="811"/>
      <c r="Y564" s="811"/>
      <c r="Z564" s="811"/>
    </row>
    <row r="565">
      <c r="A565" s="811"/>
      <c r="B565" s="854"/>
      <c r="C565" s="855"/>
      <c r="D565" s="811"/>
      <c r="E565" s="811"/>
      <c r="F565" s="816"/>
      <c r="G565" s="811"/>
      <c r="H565" s="811"/>
      <c r="I565" s="811"/>
      <c r="J565" s="811"/>
      <c r="K565" s="811"/>
      <c r="L565" s="816"/>
      <c r="M565" s="811"/>
      <c r="N565" s="811"/>
      <c r="O565" s="811"/>
      <c r="P565" s="811"/>
      <c r="Q565" s="811"/>
      <c r="R565" s="811"/>
      <c r="S565" s="811"/>
      <c r="T565" s="811"/>
      <c r="U565" s="811"/>
      <c r="V565" s="811"/>
      <c r="W565" s="811"/>
      <c r="X565" s="811"/>
      <c r="Y565" s="811"/>
      <c r="Z565" s="811"/>
    </row>
    <row r="566">
      <c r="A566" s="811"/>
      <c r="B566" s="854"/>
      <c r="C566" s="855"/>
      <c r="D566" s="811"/>
      <c r="E566" s="811"/>
      <c r="F566" s="816"/>
      <c r="G566" s="811"/>
      <c r="H566" s="811"/>
      <c r="I566" s="811"/>
      <c r="J566" s="811"/>
      <c r="K566" s="811"/>
      <c r="L566" s="816"/>
      <c r="M566" s="811"/>
      <c r="N566" s="811"/>
      <c r="O566" s="811"/>
      <c r="P566" s="811"/>
      <c r="Q566" s="811"/>
      <c r="R566" s="811"/>
      <c r="S566" s="811"/>
      <c r="T566" s="811"/>
      <c r="U566" s="811"/>
      <c r="V566" s="811"/>
      <c r="W566" s="811"/>
      <c r="X566" s="811"/>
      <c r="Y566" s="811"/>
      <c r="Z566" s="811"/>
    </row>
    <row r="567">
      <c r="A567" s="811"/>
      <c r="B567" s="854"/>
      <c r="C567" s="855"/>
      <c r="D567" s="811"/>
      <c r="E567" s="811"/>
      <c r="F567" s="816"/>
      <c r="G567" s="811"/>
      <c r="H567" s="811"/>
      <c r="I567" s="811"/>
      <c r="J567" s="811"/>
      <c r="K567" s="811"/>
      <c r="L567" s="816"/>
      <c r="M567" s="811"/>
      <c r="N567" s="811"/>
      <c r="O567" s="811"/>
      <c r="P567" s="811"/>
      <c r="Q567" s="811"/>
      <c r="R567" s="811"/>
      <c r="S567" s="811"/>
      <c r="T567" s="811"/>
      <c r="U567" s="811"/>
      <c r="V567" s="811"/>
      <c r="W567" s="811"/>
      <c r="X567" s="811"/>
      <c r="Y567" s="811"/>
      <c r="Z567" s="811"/>
    </row>
    <row r="568">
      <c r="A568" s="811"/>
      <c r="B568" s="854"/>
      <c r="C568" s="855"/>
      <c r="D568" s="811"/>
      <c r="E568" s="811"/>
      <c r="F568" s="816"/>
      <c r="G568" s="811"/>
      <c r="H568" s="811"/>
      <c r="I568" s="811"/>
      <c r="J568" s="811"/>
      <c r="K568" s="811"/>
      <c r="L568" s="816"/>
      <c r="M568" s="811"/>
      <c r="N568" s="811"/>
      <c r="O568" s="811"/>
      <c r="P568" s="811"/>
      <c r="Q568" s="811"/>
      <c r="R568" s="811"/>
      <c r="S568" s="811"/>
      <c r="T568" s="811"/>
      <c r="U568" s="811"/>
      <c r="V568" s="811"/>
      <c r="W568" s="811"/>
      <c r="X568" s="811"/>
      <c r="Y568" s="811"/>
      <c r="Z568" s="811"/>
    </row>
    <row r="569">
      <c r="A569" s="811"/>
      <c r="B569" s="854"/>
      <c r="C569" s="855"/>
      <c r="D569" s="811"/>
      <c r="E569" s="811"/>
      <c r="F569" s="816"/>
      <c r="G569" s="811"/>
      <c r="H569" s="811"/>
      <c r="I569" s="811"/>
      <c r="J569" s="811"/>
      <c r="K569" s="811"/>
      <c r="L569" s="816"/>
      <c r="M569" s="811"/>
      <c r="N569" s="811"/>
      <c r="O569" s="811"/>
      <c r="P569" s="811"/>
      <c r="Q569" s="811"/>
      <c r="R569" s="811"/>
      <c r="S569" s="811"/>
      <c r="T569" s="811"/>
      <c r="U569" s="811"/>
      <c r="V569" s="811"/>
      <c r="W569" s="811"/>
      <c r="X569" s="811"/>
      <c r="Y569" s="811"/>
      <c r="Z569" s="811"/>
    </row>
    <row r="570">
      <c r="A570" s="811"/>
      <c r="B570" s="854"/>
      <c r="C570" s="855"/>
      <c r="D570" s="811"/>
      <c r="E570" s="811"/>
      <c r="F570" s="816"/>
      <c r="G570" s="811"/>
      <c r="H570" s="811"/>
      <c r="I570" s="811"/>
      <c r="J570" s="811"/>
      <c r="K570" s="811"/>
      <c r="L570" s="816"/>
      <c r="M570" s="811"/>
      <c r="N570" s="811"/>
      <c r="O570" s="811"/>
      <c r="P570" s="811"/>
      <c r="Q570" s="811"/>
      <c r="R570" s="811"/>
      <c r="S570" s="811"/>
      <c r="T570" s="811"/>
      <c r="U570" s="811"/>
      <c r="V570" s="811"/>
      <c r="W570" s="811"/>
      <c r="X570" s="811"/>
      <c r="Y570" s="811"/>
      <c r="Z570" s="811"/>
    </row>
    <row r="571">
      <c r="A571" s="811"/>
      <c r="B571" s="854"/>
      <c r="C571" s="855"/>
      <c r="D571" s="811"/>
      <c r="E571" s="811"/>
      <c r="F571" s="816"/>
      <c r="G571" s="811"/>
      <c r="H571" s="811"/>
      <c r="I571" s="811"/>
      <c r="J571" s="811"/>
      <c r="K571" s="811"/>
      <c r="L571" s="816"/>
      <c r="M571" s="811"/>
      <c r="N571" s="811"/>
      <c r="O571" s="811"/>
      <c r="P571" s="811"/>
      <c r="Q571" s="811"/>
      <c r="R571" s="811"/>
      <c r="S571" s="811"/>
      <c r="T571" s="811"/>
      <c r="U571" s="811"/>
      <c r="V571" s="811"/>
      <c r="W571" s="811"/>
      <c r="X571" s="811"/>
      <c r="Y571" s="811"/>
      <c r="Z571" s="811"/>
    </row>
    <row r="572">
      <c r="A572" s="811"/>
      <c r="B572" s="854"/>
      <c r="C572" s="855"/>
      <c r="D572" s="811"/>
      <c r="E572" s="811"/>
      <c r="F572" s="816"/>
      <c r="G572" s="811"/>
      <c r="H572" s="811"/>
      <c r="I572" s="811"/>
      <c r="J572" s="811"/>
      <c r="K572" s="811"/>
      <c r="L572" s="816"/>
      <c r="M572" s="811"/>
      <c r="N572" s="811"/>
      <c r="O572" s="811"/>
      <c r="P572" s="811"/>
      <c r="Q572" s="811"/>
      <c r="R572" s="811"/>
      <c r="S572" s="811"/>
      <c r="T572" s="811"/>
      <c r="U572" s="811"/>
      <c r="V572" s="811"/>
      <c r="W572" s="811"/>
      <c r="X572" s="811"/>
      <c r="Y572" s="811"/>
      <c r="Z572" s="811"/>
    </row>
    <row r="573">
      <c r="A573" s="811"/>
      <c r="B573" s="854"/>
      <c r="C573" s="855"/>
      <c r="D573" s="811"/>
      <c r="E573" s="811"/>
      <c r="F573" s="816"/>
      <c r="G573" s="811"/>
      <c r="H573" s="811"/>
      <c r="I573" s="811"/>
      <c r="J573" s="811"/>
      <c r="K573" s="811"/>
      <c r="L573" s="816"/>
      <c r="M573" s="811"/>
      <c r="N573" s="811"/>
      <c r="O573" s="811"/>
      <c r="P573" s="811"/>
      <c r="Q573" s="811"/>
      <c r="R573" s="811"/>
      <c r="S573" s="811"/>
      <c r="T573" s="811"/>
      <c r="U573" s="811"/>
      <c r="V573" s="811"/>
      <c r="W573" s="811"/>
      <c r="X573" s="811"/>
      <c r="Y573" s="811"/>
      <c r="Z573" s="811"/>
    </row>
    <row r="574">
      <c r="A574" s="811"/>
      <c r="B574" s="854"/>
      <c r="C574" s="855"/>
      <c r="D574" s="811"/>
      <c r="E574" s="811"/>
      <c r="F574" s="816"/>
      <c r="G574" s="811"/>
      <c r="H574" s="811"/>
      <c r="I574" s="811"/>
      <c r="J574" s="811"/>
      <c r="K574" s="811"/>
      <c r="L574" s="816"/>
      <c r="M574" s="811"/>
      <c r="N574" s="811"/>
      <c r="O574" s="811"/>
      <c r="P574" s="811"/>
      <c r="Q574" s="811"/>
      <c r="R574" s="811"/>
      <c r="S574" s="811"/>
      <c r="T574" s="811"/>
      <c r="U574" s="811"/>
      <c r="V574" s="811"/>
      <c r="W574" s="811"/>
      <c r="X574" s="811"/>
      <c r="Y574" s="811"/>
      <c r="Z574" s="811"/>
    </row>
    <row r="575">
      <c r="A575" s="811"/>
      <c r="B575" s="854"/>
      <c r="C575" s="855"/>
      <c r="D575" s="811"/>
      <c r="E575" s="811"/>
      <c r="F575" s="816"/>
      <c r="G575" s="811"/>
      <c r="H575" s="811"/>
      <c r="I575" s="811"/>
      <c r="J575" s="811"/>
      <c r="K575" s="811"/>
      <c r="L575" s="816"/>
      <c r="M575" s="811"/>
      <c r="N575" s="811"/>
      <c r="O575" s="811"/>
      <c r="P575" s="811"/>
      <c r="Q575" s="811"/>
      <c r="R575" s="811"/>
      <c r="S575" s="811"/>
      <c r="T575" s="811"/>
      <c r="U575" s="811"/>
      <c r="V575" s="811"/>
      <c r="W575" s="811"/>
      <c r="X575" s="811"/>
      <c r="Y575" s="811"/>
      <c r="Z575" s="811"/>
    </row>
    <row r="576">
      <c r="A576" s="811"/>
      <c r="B576" s="854"/>
      <c r="C576" s="855"/>
      <c r="D576" s="811"/>
      <c r="E576" s="811"/>
      <c r="F576" s="816"/>
      <c r="G576" s="811"/>
      <c r="H576" s="811"/>
      <c r="I576" s="811"/>
      <c r="J576" s="811"/>
      <c r="K576" s="811"/>
      <c r="L576" s="816"/>
      <c r="M576" s="811"/>
      <c r="N576" s="811"/>
      <c r="O576" s="811"/>
      <c r="P576" s="811"/>
      <c r="Q576" s="811"/>
      <c r="R576" s="811"/>
      <c r="S576" s="811"/>
      <c r="T576" s="811"/>
      <c r="U576" s="811"/>
      <c r="V576" s="811"/>
      <c r="W576" s="811"/>
      <c r="X576" s="811"/>
      <c r="Y576" s="811"/>
      <c r="Z576" s="811"/>
    </row>
    <row r="577">
      <c r="A577" s="811"/>
      <c r="B577" s="854"/>
      <c r="C577" s="855"/>
      <c r="D577" s="811"/>
      <c r="E577" s="811"/>
      <c r="F577" s="816"/>
      <c r="G577" s="811"/>
      <c r="H577" s="811"/>
      <c r="I577" s="811"/>
      <c r="J577" s="811"/>
      <c r="K577" s="811"/>
      <c r="L577" s="816"/>
      <c r="M577" s="811"/>
      <c r="N577" s="811"/>
      <c r="O577" s="811"/>
      <c r="P577" s="811"/>
      <c r="Q577" s="811"/>
      <c r="R577" s="811"/>
      <c r="S577" s="811"/>
      <c r="T577" s="811"/>
      <c r="U577" s="811"/>
      <c r="V577" s="811"/>
      <c r="W577" s="811"/>
      <c r="X577" s="811"/>
      <c r="Y577" s="811"/>
      <c r="Z577" s="811"/>
    </row>
    <row r="578">
      <c r="A578" s="811"/>
      <c r="B578" s="854"/>
      <c r="C578" s="855"/>
      <c r="D578" s="811"/>
      <c r="E578" s="811"/>
      <c r="F578" s="816"/>
      <c r="G578" s="811"/>
      <c r="H578" s="811"/>
      <c r="I578" s="811"/>
      <c r="J578" s="811"/>
      <c r="K578" s="811"/>
      <c r="L578" s="816"/>
      <c r="M578" s="811"/>
      <c r="N578" s="811"/>
      <c r="O578" s="811"/>
      <c r="P578" s="811"/>
      <c r="Q578" s="811"/>
      <c r="R578" s="811"/>
      <c r="S578" s="811"/>
      <c r="T578" s="811"/>
      <c r="U578" s="811"/>
      <c r="V578" s="811"/>
      <c r="W578" s="811"/>
      <c r="X578" s="811"/>
      <c r="Y578" s="811"/>
      <c r="Z578" s="811"/>
    </row>
    <row r="579">
      <c r="A579" s="811"/>
      <c r="B579" s="854"/>
      <c r="C579" s="855"/>
      <c r="D579" s="811"/>
      <c r="E579" s="811"/>
      <c r="F579" s="816"/>
      <c r="G579" s="811"/>
      <c r="H579" s="811"/>
      <c r="I579" s="811"/>
      <c r="J579" s="811"/>
      <c r="K579" s="811"/>
      <c r="L579" s="816"/>
      <c r="M579" s="811"/>
      <c r="N579" s="811"/>
      <c r="O579" s="811"/>
      <c r="P579" s="811"/>
      <c r="Q579" s="811"/>
      <c r="R579" s="811"/>
      <c r="S579" s="811"/>
      <c r="T579" s="811"/>
      <c r="U579" s="811"/>
      <c r="V579" s="811"/>
      <c r="W579" s="811"/>
      <c r="X579" s="811"/>
      <c r="Y579" s="811"/>
      <c r="Z579" s="811"/>
    </row>
    <row r="580">
      <c r="A580" s="811"/>
      <c r="B580" s="854"/>
      <c r="C580" s="855"/>
      <c r="D580" s="811"/>
      <c r="E580" s="811"/>
      <c r="F580" s="816"/>
      <c r="G580" s="811"/>
      <c r="H580" s="811"/>
      <c r="I580" s="811"/>
      <c r="J580" s="811"/>
      <c r="K580" s="811"/>
      <c r="L580" s="816"/>
      <c r="M580" s="811"/>
      <c r="N580" s="811"/>
      <c r="O580" s="811"/>
      <c r="P580" s="811"/>
      <c r="Q580" s="811"/>
      <c r="R580" s="811"/>
      <c r="S580" s="811"/>
      <c r="T580" s="811"/>
      <c r="U580" s="811"/>
      <c r="V580" s="811"/>
      <c r="W580" s="811"/>
      <c r="X580" s="811"/>
      <c r="Y580" s="811"/>
      <c r="Z580" s="811"/>
    </row>
    <row r="581">
      <c r="A581" s="811"/>
      <c r="B581" s="854"/>
      <c r="C581" s="855"/>
      <c r="D581" s="811"/>
      <c r="E581" s="811"/>
      <c r="F581" s="816"/>
      <c r="G581" s="811"/>
      <c r="H581" s="811"/>
      <c r="I581" s="811"/>
      <c r="J581" s="811"/>
      <c r="K581" s="811"/>
      <c r="L581" s="816"/>
      <c r="M581" s="811"/>
      <c r="N581" s="811"/>
      <c r="O581" s="811"/>
      <c r="P581" s="811"/>
      <c r="Q581" s="811"/>
      <c r="R581" s="811"/>
      <c r="S581" s="811"/>
      <c r="T581" s="811"/>
      <c r="U581" s="811"/>
      <c r="V581" s="811"/>
      <c r="W581" s="811"/>
      <c r="X581" s="811"/>
      <c r="Y581" s="811"/>
      <c r="Z581" s="811"/>
    </row>
    <row r="582">
      <c r="A582" s="811"/>
      <c r="B582" s="854"/>
      <c r="C582" s="855"/>
      <c r="D582" s="811"/>
      <c r="E582" s="811"/>
      <c r="F582" s="816"/>
      <c r="G582" s="811"/>
      <c r="H582" s="811"/>
      <c r="I582" s="811"/>
      <c r="J582" s="811"/>
      <c r="K582" s="811"/>
      <c r="L582" s="816"/>
      <c r="M582" s="811"/>
      <c r="N582" s="811"/>
      <c r="O582" s="811"/>
      <c r="P582" s="811"/>
      <c r="Q582" s="811"/>
      <c r="R582" s="811"/>
      <c r="S582" s="811"/>
      <c r="T582" s="811"/>
      <c r="U582" s="811"/>
      <c r="V582" s="811"/>
      <c r="W582" s="811"/>
      <c r="X582" s="811"/>
      <c r="Y582" s="811"/>
      <c r="Z582" s="811"/>
    </row>
    <row r="583">
      <c r="A583" s="811"/>
      <c r="B583" s="854"/>
      <c r="C583" s="855"/>
      <c r="D583" s="811"/>
      <c r="E583" s="811"/>
      <c r="F583" s="816"/>
      <c r="G583" s="811"/>
      <c r="H583" s="811"/>
      <c r="I583" s="811"/>
      <c r="J583" s="811"/>
      <c r="K583" s="811"/>
      <c r="L583" s="816"/>
      <c r="M583" s="811"/>
      <c r="N583" s="811"/>
      <c r="O583" s="811"/>
      <c r="P583" s="811"/>
      <c r="Q583" s="811"/>
      <c r="R583" s="811"/>
      <c r="S583" s="811"/>
      <c r="T583" s="811"/>
      <c r="U583" s="811"/>
      <c r="V583" s="811"/>
      <c r="W583" s="811"/>
      <c r="X583" s="811"/>
      <c r="Y583" s="811"/>
      <c r="Z583" s="811"/>
    </row>
    <row r="584">
      <c r="A584" s="811"/>
      <c r="B584" s="854"/>
      <c r="C584" s="855"/>
      <c r="D584" s="811"/>
      <c r="E584" s="811"/>
      <c r="F584" s="816"/>
      <c r="G584" s="811"/>
      <c r="H584" s="811"/>
      <c r="I584" s="811"/>
      <c r="J584" s="811"/>
      <c r="K584" s="811"/>
      <c r="L584" s="816"/>
      <c r="M584" s="811"/>
      <c r="N584" s="811"/>
      <c r="O584" s="811"/>
      <c r="P584" s="811"/>
      <c r="Q584" s="811"/>
      <c r="R584" s="811"/>
      <c r="S584" s="811"/>
      <c r="T584" s="811"/>
      <c r="U584" s="811"/>
      <c r="V584" s="811"/>
      <c r="W584" s="811"/>
      <c r="X584" s="811"/>
      <c r="Y584" s="811"/>
      <c r="Z584" s="811"/>
    </row>
    <row r="585">
      <c r="A585" s="811"/>
      <c r="B585" s="854"/>
      <c r="C585" s="855"/>
      <c r="D585" s="811"/>
      <c r="E585" s="811"/>
      <c r="F585" s="816"/>
      <c r="G585" s="811"/>
      <c r="H585" s="811"/>
      <c r="I585" s="811"/>
      <c r="J585" s="811"/>
      <c r="K585" s="811"/>
      <c r="L585" s="816"/>
      <c r="M585" s="811"/>
      <c r="N585" s="811"/>
      <c r="O585" s="811"/>
      <c r="P585" s="811"/>
      <c r="Q585" s="811"/>
      <c r="R585" s="811"/>
      <c r="S585" s="811"/>
      <c r="T585" s="811"/>
      <c r="U585" s="811"/>
      <c r="V585" s="811"/>
      <c r="W585" s="811"/>
      <c r="X585" s="811"/>
      <c r="Y585" s="811"/>
      <c r="Z585" s="811"/>
    </row>
    <row r="586">
      <c r="A586" s="811"/>
      <c r="B586" s="854"/>
      <c r="C586" s="855"/>
      <c r="D586" s="811"/>
      <c r="E586" s="811"/>
      <c r="F586" s="816"/>
      <c r="G586" s="811"/>
      <c r="H586" s="811"/>
      <c r="I586" s="811"/>
      <c r="J586" s="811"/>
      <c r="K586" s="811"/>
      <c r="L586" s="816"/>
      <c r="M586" s="811"/>
      <c r="N586" s="811"/>
      <c r="O586" s="811"/>
      <c r="P586" s="811"/>
      <c r="Q586" s="811"/>
      <c r="R586" s="811"/>
      <c r="S586" s="811"/>
      <c r="T586" s="811"/>
      <c r="U586" s="811"/>
      <c r="V586" s="811"/>
      <c r="W586" s="811"/>
      <c r="X586" s="811"/>
      <c r="Y586" s="811"/>
      <c r="Z586" s="811"/>
    </row>
    <row r="587">
      <c r="A587" s="811"/>
      <c r="B587" s="854"/>
      <c r="C587" s="855"/>
      <c r="D587" s="811"/>
      <c r="E587" s="811"/>
      <c r="F587" s="816"/>
      <c r="G587" s="811"/>
      <c r="H587" s="811"/>
      <c r="I587" s="811"/>
      <c r="J587" s="811"/>
      <c r="K587" s="811"/>
      <c r="L587" s="816"/>
      <c r="M587" s="811"/>
      <c r="N587" s="811"/>
      <c r="O587" s="811"/>
      <c r="P587" s="811"/>
      <c r="Q587" s="811"/>
      <c r="R587" s="811"/>
      <c r="S587" s="811"/>
      <c r="T587" s="811"/>
      <c r="U587" s="811"/>
      <c r="V587" s="811"/>
      <c r="W587" s="811"/>
      <c r="X587" s="811"/>
      <c r="Y587" s="811"/>
      <c r="Z587" s="811"/>
    </row>
    <row r="588">
      <c r="A588" s="811"/>
      <c r="B588" s="854"/>
      <c r="C588" s="855"/>
      <c r="D588" s="811"/>
      <c r="E588" s="811"/>
      <c r="F588" s="816"/>
      <c r="G588" s="811"/>
      <c r="H588" s="811"/>
      <c r="I588" s="811"/>
      <c r="J588" s="811"/>
      <c r="K588" s="811"/>
      <c r="L588" s="816"/>
      <c r="M588" s="811"/>
      <c r="N588" s="811"/>
      <c r="O588" s="811"/>
      <c r="P588" s="811"/>
      <c r="Q588" s="811"/>
      <c r="R588" s="811"/>
      <c r="S588" s="811"/>
      <c r="T588" s="811"/>
      <c r="U588" s="811"/>
      <c r="V588" s="811"/>
      <c r="W588" s="811"/>
      <c r="X588" s="811"/>
      <c r="Y588" s="811"/>
      <c r="Z588" s="811"/>
    </row>
    <row r="589">
      <c r="A589" s="811"/>
      <c r="B589" s="854"/>
      <c r="C589" s="855"/>
      <c r="D589" s="811"/>
      <c r="E589" s="811"/>
      <c r="F589" s="816"/>
      <c r="G589" s="811"/>
      <c r="H589" s="811"/>
      <c r="I589" s="811"/>
      <c r="J589" s="811"/>
      <c r="K589" s="811"/>
      <c r="L589" s="816"/>
      <c r="M589" s="811"/>
      <c r="N589" s="811"/>
      <c r="O589" s="811"/>
      <c r="P589" s="811"/>
      <c r="Q589" s="811"/>
      <c r="R589" s="811"/>
      <c r="S589" s="811"/>
      <c r="T589" s="811"/>
      <c r="U589" s="811"/>
      <c r="V589" s="811"/>
      <c r="W589" s="811"/>
      <c r="X589" s="811"/>
      <c r="Y589" s="811"/>
      <c r="Z589" s="811"/>
    </row>
    <row r="590">
      <c r="A590" s="811"/>
      <c r="B590" s="854"/>
      <c r="C590" s="855"/>
      <c r="D590" s="811"/>
      <c r="E590" s="811"/>
      <c r="F590" s="816"/>
      <c r="G590" s="811"/>
      <c r="H590" s="811"/>
      <c r="I590" s="811"/>
      <c r="J590" s="811"/>
      <c r="K590" s="811"/>
      <c r="L590" s="816"/>
      <c r="M590" s="811"/>
      <c r="N590" s="811"/>
      <c r="O590" s="811"/>
      <c r="P590" s="811"/>
      <c r="Q590" s="811"/>
      <c r="R590" s="811"/>
      <c r="S590" s="811"/>
      <c r="T590" s="811"/>
      <c r="U590" s="811"/>
      <c r="V590" s="811"/>
      <c r="W590" s="811"/>
      <c r="X590" s="811"/>
      <c r="Y590" s="811"/>
      <c r="Z590" s="811"/>
    </row>
    <row r="591">
      <c r="A591" s="811"/>
      <c r="B591" s="854"/>
      <c r="C591" s="855"/>
      <c r="D591" s="811"/>
      <c r="E591" s="811"/>
      <c r="F591" s="816"/>
      <c r="G591" s="811"/>
      <c r="H591" s="811"/>
      <c r="I591" s="811"/>
      <c r="J591" s="811"/>
      <c r="K591" s="811"/>
      <c r="L591" s="816"/>
      <c r="M591" s="811"/>
      <c r="N591" s="811"/>
      <c r="O591" s="811"/>
      <c r="P591" s="811"/>
      <c r="Q591" s="811"/>
      <c r="R591" s="811"/>
      <c r="S591" s="811"/>
      <c r="T591" s="811"/>
      <c r="U591" s="811"/>
      <c r="V591" s="811"/>
      <c r="W591" s="811"/>
      <c r="X591" s="811"/>
      <c r="Y591" s="811"/>
      <c r="Z591" s="811"/>
    </row>
    <row r="592">
      <c r="A592" s="811"/>
      <c r="B592" s="854"/>
      <c r="C592" s="855"/>
      <c r="D592" s="811"/>
      <c r="E592" s="811"/>
      <c r="F592" s="816"/>
      <c r="G592" s="811"/>
      <c r="H592" s="811"/>
      <c r="I592" s="811"/>
      <c r="J592" s="811"/>
      <c r="K592" s="811"/>
      <c r="L592" s="816"/>
      <c r="M592" s="811"/>
      <c r="N592" s="811"/>
      <c r="O592" s="811"/>
      <c r="P592" s="811"/>
      <c r="Q592" s="811"/>
      <c r="R592" s="811"/>
      <c r="S592" s="811"/>
      <c r="T592" s="811"/>
      <c r="U592" s="811"/>
      <c r="V592" s="811"/>
      <c r="W592" s="811"/>
      <c r="X592" s="811"/>
      <c r="Y592" s="811"/>
      <c r="Z592" s="811"/>
    </row>
    <row r="593">
      <c r="A593" s="811"/>
      <c r="B593" s="854"/>
      <c r="C593" s="855"/>
      <c r="D593" s="811"/>
      <c r="E593" s="811"/>
      <c r="F593" s="816"/>
      <c r="G593" s="811"/>
      <c r="H593" s="811"/>
      <c r="I593" s="811"/>
      <c r="J593" s="811"/>
      <c r="K593" s="811"/>
      <c r="L593" s="816"/>
      <c r="M593" s="811"/>
      <c r="N593" s="811"/>
      <c r="O593" s="811"/>
      <c r="P593" s="811"/>
      <c r="Q593" s="811"/>
      <c r="R593" s="811"/>
      <c r="S593" s="811"/>
      <c r="T593" s="811"/>
      <c r="U593" s="811"/>
      <c r="V593" s="811"/>
      <c r="W593" s="811"/>
      <c r="X593" s="811"/>
      <c r="Y593" s="811"/>
      <c r="Z593" s="811"/>
    </row>
    <row r="594">
      <c r="A594" s="811"/>
      <c r="B594" s="854"/>
      <c r="C594" s="855"/>
      <c r="D594" s="811"/>
      <c r="E594" s="811"/>
      <c r="F594" s="816"/>
      <c r="G594" s="811"/>
      <c r="H594" s="811"/>
      <c r="I594" s="811"/>
      <c r="J594" s="811"/>
      <c r="K594" s="811"/>
      <c r="L594" s="816"/>
      <c r="M594" s="811"/>
      <c r="N594" s="811"/>
      <c r="O594" s="811"/>
      <c r="P594" s="811"/>
      <c r="Q594" s="811"/>
      <c r="R594" s="811"/>
      <c r="S594" s="811"/>
      <c r="T594" s="811"/>
      <c r="U594" s="811"/>
      <c r="V594" s="811"/>
      <c r="W594" s="811"/>
      <c r="X594" s="811"/>
      <c r="Y594" s="811"/>
      <c r="Z594" s="811"/>
    </row>
    <row r="595">
      <c r="A595" s="811"/>
      <c r="B595" s="854"/>
      <c r="C595" s="855"/>
      <c r="D595" s="811"/>
      <c r="E595" s="811"/>
      <c r="F595" s="816"/>
      <c r="G595" s="811"/>
      <c r="H595" s="811"/>
      <c r="I595" s="811"/>
      <c r="J595" s="811"/>
      <c r="K595" s="811"/>
      <c r="L595" s="816"/>
      <c r="M595" s="811"/>
      <c r="N595" s="811"/>
      <c r="O595" s="811"/>
      <c r="P595" s="811"/>
      <c r="Q595" s="811"/>
      <c r="R595" s="811"/>
      <c r="S595" s="811"/>
      <c r="T595" s="811"/>
      <c r="U595" s="811"/>
      <c r="V595" s="811"/>
      <c r="W595" s="811"/>
      <c r="X595" s="811"/>
      <c r="Y595" s="811"/>
      <c r="Z595" s="811"/>
    </row>
    <row r="596">
      <c r="A596" s="811"/>
      <c r="B596" s="854"/>
      <c r="C596" s="855"/>
      <c r="D596" s="811"/>
      <c r="E596" s="811"/>
      <c r="F596" s="816"/>
      <c r="G596" s="811"/>
      <c r="H596" s="811"/>
      <c r="I596" s="811"/>
      <c r="J596" s="811"/>
      <c r="K596" s="811"/>
      <c r="L596" s="816"/>
      <c r="M596" s="811"/>
      <c r="N596" s="811"/>
      <c r="O596" s="811"/>
      <c r="P596" s="811"/>
      <c r="Q596" s="811"/>
      <c r="R596" s="811"/>
      <c r="S596" s="811"/>
      <c r="T596" s="811"/>
      <c r="U596" s="811"/>
      <c r="V596" s="811"/>
      <c r="W596" s="811"/>
      <c r="X596" s="811"/>
      <c r="Y596" s="811"/>
      <c r="Z596" s="811"/>
    </row>
    <row r="597">
      <c r="A597" s="811"/>
      <c r="B597" s="854"/>
      <c r="C597" s="855"/>
      <c r="D597" s="811"/>
      <c r="E597" s="811"/>
      <c r="F597" s="816"/>
      <c r="G597" s="811"/>
      <c r="H597" s="811"/>
      <c r="I597" s="811"/>
      <c r="J597" s="811"/>
      <c r="K597" s="811"/>
      <c r="L597" s="816"/>
      <c r="M597" s="811"/>
      <c r="N597" s="811"/>
      <c r="O597" s="811"/>
      <c r="P597" s="811"/>
      <c r="Q597" s="811"/>
      <c r="R597" s="811"/>
      <c r="S597" s="811"/>
      <c r="T597" s="811"/>
      <c r="U597" s="811"/>
      <c r="V597" s="811"/>
      <c r="W597" s="811"/>
      <c r="X597" s="811"/>
      <c r="Y597" s="811"/>
      <c r="Z597" s="811"/>
    </row>
    <row r="598">
      <c r="A598" s="811"/>
      <c r="B598" s="854"/>
      <c r="C598" s="855"/>
      <c r="D598" s="811"/>
      <c r="E598" s="811"/>
      <c r="F598" s="816"/>
      <c r="G598" s="811"/>
      <c r="H598" s="811"/>
      <c r="I598" s="811"/>
      <c r="J598" s="811"/>
      <c r="K598" s="811"/>
      <c r="L598" s="816"/>
      <c r="M598" s="811"/>
      <c r="N598" s="811"/>
      <c r="O598" s="811"/>
      <c r="P598" s="811"/>
      <c r="Q598" s="811"/>
      <c r="R598" s="811"/>
      <c r="S598" s="811"/>
      <c r="T598" s="811"/>
      <c r="U598" s="811"/>
      <c r="V598" s="811"/>
      <c r="W598" s="811"/>
      <c r="X598" s="811"/>
      <c r="Y598" s="811"/>
      <c r="Z598" s="811"/>
    </row>
    <row r="599">
      <c r="A599" s="811"/>
      <c r="B599" s="854"/>
      <c r="C599" s="855"/>
      <c r="D599" s="811"/>
      <c r="E599" s="811"/>
      <c r="F599" s="816"/>
      <c r="G599" s="811"/>
      <c r="H599" s="811"/>
      <c r="I599" s="811"/>
      <c r="J599" s="811"/>
      <c r="K599" s="811"/>
      <c r="L599" s="816"/>
      <c r="M599" s="811"/>
      <c r="N599" s="811"/>
      <c r="O599" s="811"/>
      <c r="P599" s="811"/>
      <c r="Q599" s="811"/>
      <c r="R599" s="811"/>
      <c r="S599" s="811"/>
      <c r="T599" s="811"/>
      <c r="U599" s="811"/>
      <c r="V599" s="811"/>
      <c r="W599" s="811"/>
      <c r="X599" s="811"/>
      <c r="Y599" s="811"/>
      <c r="Z599" s="811"/>
    </row>
    <row r="600">
      <c r="A600" s="811"/>
      <c r="B600" s="854"/>
      <c r="C600" s="855"/>
      <c r="D600" s="811"/>
      <c r="E600" s="811"/>
      <c r="F600" s="816"/>
      <c r="G600" s="811"/>
      <c r="H600" s="811"/>
      <c r="I600" s="811"/>
      <c r="J600" s="811"/>
      <c r="K600" s="811"/>
      <c r="L600" s="816"/>
      <c r="M600" s="811"/>
      <c r="N600" s="811"/>
      <c r="O600" s="811"/>
      <c r="P600" s="811"/>
      <c r="Q600" s="811"/>
      <c r="R600" s="811"/>
      <c r="S600" s="811"/>
      <c r="T600" s="811"/>
      <c r="U600" s="811"/>
      <c r="V600" s="811"/>
      <c r="W600" s="811"/>
      <c r="X600" s="811"/>
      <c r="Y600" s="811"/>
      <c r="Z600" s="811"/>
    </row>
    <row r="601">
      <c r="A601" s="811"/>
      <c r="B601" s="854"/>
      <c r="C601" s="855"/>
      <c r="D601" s="811"/>
      <c r="E601" s="811"/>
      <c r="F601" s="816"/>
      <c r="G601" s="811"/>
      <c r="H601" s="811"/>
      <c r="I601" s="811"/>
      <c r="J601" s="811"/>
      <c r="K601" s="811"/>
      <c r="L601" s="816"/>
      <c r="M601" s="811"/>
      <c r="N601" s="811"/>
      <c r="O601" s="811"/>
      <c r="P601" s="811"/>
      <c r="Q601" s="811"/>
      <c r="R601" s="811"/>
      <c r="S601" s="811"/>
      <c r="T601" s="811"/>
      <c r="U601" s="811"/>
      <c r="V601" s="811"/>
      <c r="W601" s="811"/>
      <c r="X601" s="811"/>
      <c r="Y601" s="811"/>
      <c r="Z601" s="811"/>
    </row>
    <row r="602">
      <c r="A602" s="811"/>
      <c r="B602" s="854"/>
      <c r="C602" s="855"/>
      <c r="D602" s="811"/>
      <c r="E602" s="811"/>
      <c r="F602" s="816"/>
      <c r="G602" s="811"/>
      <c r="H602" s="811"/>
      <c r="I602" s="811"/>
      <c r="J602" s="811"/>
      <c r="K602" s="811"/>
      <c r="L602" s="816"/>
      <c r="M602" s="811"/>
      <c r="N602" s="811"/>
      <c r="O602" s="811"/>
      <c r="P602" s="811"/>
      <c r="Q602" s="811"/>
      <c r="R602" s="811"/>
      <c r="S602" s="811"/>
      <c r="T602" s="811"/>
      <c r="U602" s="811"/>
      <c r="V602" s="811"/>
      <c r="W602" s="811"/>
      <c r="X602" s="811"/>
      <c r="Y602" s="811"/>
      <c r="Z602" s="811"/>
    </row>
    <row r="603">
      <c r="A603" s="811"/>
      <c r="B603" s="854"/>
      <c r="C603" s="855"/>
      <c r="D603" s="811"/>
      <c r="E603" s="811"/>
      <c r="F603" s="816"/>
      <c r="G603" s="811"/>
      <c r="H603" s="811"/>
      <c r="I603" s="811"/>
      <c r="J603" s="811"/>
      <c r="K603" s="811"/>
      <c r="L603" s="816"/>
      <c r="M603" s="811"/>
      <c r="N603" s="811"/>
      <c r="O603" s="811"/>
      <c r="P603" s="811"/>
      <c r="Q603" s="811"/>
      <c r="R603" s="811"/>
      <c r="S603" s="811"/>
      <c r="T603" s="811"/>
      <c r="U603" s="811"/>
      <c r="V603" s="811"/>
      <c r="W603" s="811"/>
      <c r="X603" s="811"/>
      <c r="Y603" s="811"/>
      <c r="Z603" s="811"/>
    </row>
    <row r="604">
      <c r="A604" s="811"/>
      <c r="B604" s="854"/>
      <c r="C604" s="855"/>
      <c r="D604" s="811"/>
      <c r="E604" s="811"/>
      <c r="F604" s="816"/>
      <c r="G604" s="811"/>
      <c r="H604" s="811"/>
      <c r="I604" s="811"/>
      <c r="J604" s="811"/>
      <c r="K604" s="811"/>
      <c r="L604" s="816"/>
      <c r="M604" s="811"/>
      <c r="N604" s="811"/>
      <c r="O604" s="811"/>
      <c r="P604" s="811"/>
      <c r="Q604" s="811"/>
      <c r="R604" s="811"/>
      <c r="S604" s="811"/>
      <c r="T604" s="811"/>
      <c r="U604" s="811"/>
      <c r="V604" s="811"/>
      <c r="W604" s="811"/>
      <c r="X604" s="811"/>
      <c r="Y604" s="811"/>
      <c r="Z604" s="811"/>
    </row>
    <row r="605">
      <c r="A605" s="811"/>
      <c r="B605" s="854"/>
      <c r="C605" s="855"/>
      <c r="D605" s="811"/>
      <c r="E605" s="811"/>
      <c r="F605" s="816"/>
      <c r="G605" s="811"/>
      <c r="H605" s="811"/>
      <c r="I605" s="811"/>
      <c r="J605" s="811"/>
      <c r="K605" s="811"/>
      <c r="L605" s="816"/>
      <c r="M605" s="811"/>
      <c r="N605" s="811"/>
      <c r="O605" s="811"/>
      <c r="P605" s="811"/>
      <c r="Q605" s="811"/>
      <c r="R605" s="811"/>
      <c r="S605" s="811"/>
      <c r="T605" s="811"/>
      <c r="U605" s="811"/>
      <c r="V605" s="811"/>
      <c r="W605" s="811"/>
      <c r="X605" s="811"/>
      <c r="Y605" s="811"/>
      <c r="Z605" s="811"/>
    </row>
    <row r="606">
      <c r="A606" s="811"/>
      <c r="B606" s="854"/>
      <c r="C606" s="855"/>
      <c r="D606" s="811"/>
      <c r="E606" s="811"/>
      <c r="F606" s="816"/>
      <c r="G606" s="811"/>
      <c r="H606" s="811"/>
      <c r="I606" s="811"/>
      <c r="J606" s="811"/>
      <c r="K606" s="811"/>
      <c r="L606" s="816"/>
      <c r="M606" s="811"/>
      <c r="N606" s="811"/>
      <c r="O606" s="811"/>
      <c r="P606" s="811"/>
      <c r="Q606" s="811"/>
      <c r="R606" s="811"/>
      <c r="S606" s="811"/>
      <c r="T606" s="811"/>
      <c r="U606" s="811"/>
      <c r="V606" s="811"/>
      <c r="W606" s="811"/>
      <c r="X606" s="811"/>
      <c r="Y606" s="811"/>
      <c r="Z606" s="811"/>
    </row>
    <row r="607">
      <c r="A607" s="811"/>
      <c r="B607" s="854"/>
      <c r="C607" s="855"/>
      <c r="D607" s="811"/>
      <c r="E607" s="811"/>
      <c r="F607" s="816"/>
      <c r="G607" s="811"/>
      <c r="H607" s="811"/>
      <c r="I607" s="811"/>
      <c r="J607" s="811"/>
      <c r="K607" s="811"/>
      <c r="L607" s="816"/>
      <c r="M607" s="811"/>
      <c r="N607" s="811"/>
      <c r="O607" s="811"/>
      <c r="P607" s="811"/>
      <c r="Q607" s="811"/>
      <c r="R607" s="811"/>
      <c r="S607" s="811"/>
      <c r="T607" s="811"/>
      <c r="U607" s="811"/>
      <c r="V607" s="811"/>
      <c r="W607" s="811"/>
      <c r="X607" s="811"/>
      <c r="Y607" s="811"/>
      <c r="Z607" s="811"/>
    </row>
    <row r="608">
      <c r="A608" s="811"/>
      <c r="B608" s="854"/>
      <c r="C608" s="855"/>
      <c r="D608" s="811"/>
      <c r="E608" s="811"/>
      <c r="F608" s="816"/>
      <c r="G608" s="811"/>
      <c r="H608" s="811"/>
      <c r="I608" s="811"/>
      <c r="J608" s="811"/>
      <c r="K608" s="811"/>
      <c r="L608" s="816"/>
      <c r="M608" s="811"/>
      <c r="N608" s="811"/>
      <c r="O608" s="811"/>
      <c r="P608" s="811"/>
      <c r="Q608" s="811"/>
      <c r="R608" s="811"/>
      <c r="S608" s="811"/>
      <c r="T608" s="811"/>
      <c r="U608" s="811"/>
      <c r="V608" s="811"/>
      <c r="W608" s="811"/>
      <c r="X608" s="811"/>
      <c r="Y608" s="811"/>
      <c r="Z608" s="811"/>
    </row>
    <row r="609">
      <c r="A609" s="811"/>
      <c r="B609" s="854"/>
      <c r="C609" s="855"/>
      <c r="D609" s="811"/>
      <c r="E609" s="811"/>
      <c r="F609" s="816"/>
      <c r="G609" s="811"/>
      <c r="H609" s="811"/>
      <c r="I609" s="811"/>
      <c r="J609" s="811"/>
      <c r="K609" s="811"/>
      <c r="L609" s="816"/>
      <c r="M609" s="811"/>
      <c r="N609" s="811"/>
      <c r="O609" s="811"/>
      <c r="P609" s="811"/>
      <c r="Q609" s="811"/>
      <c r="R609" s="811"/>
      <c r="S609" s="811"/>
      <c r="T609" s="811"/>
      <c r="U609" s="811"/>
      <c r="V609" s="811"/>
      <c r="W609" s="811"/>
      <c r="X609" s="811"/>
      <c r="Y609" s="811"/>
      <c r="Z609" s="811"/>
    </row>
    <row r="610">
      <c r="A610" s="811"/>
      <c r="B610" s="854"/>
      <c r="C610" s="855"/>
      <c r="D610" s="811"/>
      <c r="E610" s="811"/>
      <c r="F610" s="816"/>
      <c r="G610" s="811"/>
      <c r="H610" s="811"/>
      <c r="I610" s="811"/>
      <c r="J610" s="811"/>
      <c r="K610" s="811"/>
      <c r="L610" s="816"/>
      <c r="M610" s="811"/>
      <c r="N610" s="811"/>
      <c r="O610" s="811"/>
      <c r="P610" s="811"/>
      <c r="Q610" s="811"/>
      <c r="R610" s="811"/>
      <c r="S610" s="811"/>
      <c r="T610" s="811"/>
      <c r="U610" s="811"/>
      <c r="V610" s="811"/>
      <c r="W610" s="811"/>
      <c r="X610" s="811"/>
      <c r="Y610" s="811"/>
      <c r="Z610" s="811"/>
    </row>
    <row r="611">
      <c r="A611" s="811"/>
      <c r="B611" s="854"/>
      <c r="C611" s="855"/>
      <c r="D611" s="811"/>
      <c r="E611" s="811"/>
      <c r="F611" s="816"/>
      <c r="G611" s="811"/>
      <c r="H611" s="811"/>
      <c r="I611" s="811"/>
      <c r="J611" s="811"/>
      <c r="K611" s="811"/>
      <c r="L611" s="816"/>
      <c r="M611" s="811"/>
      <c r="N611" s="811"/>
      <c r="O611" s="811"/>
      <c r="P611" s="811"/>
      <c r="Q611" s="811"/>
      <c r="R611" s="811"/>
      <c r="S611" s="811"/>
      <c r="T611" s="811"/>
      <c r="U611" s="811"/>
      <c r="V611" s="811"/>
      <c r="W611" s="811"/>
      <c r="X611" s="811"/>
      <c r="Y611" s="811"/>
      <c r="Z611" s="811"/>
    </row>
    <row r="612">
      <c r="A612" s="811"/>
      <c r="B612" s="854"/>
      <c r="C612" s="855"/>
      <c r="D612" s="811"/>
      <c r="E612" s="811"/>
      <c r="F612" s="816"/>
      <c r="G612" s="811"/>
      <c r="H612" s="811"/>
      <c r="I612" s="811"/>
      <c r="J612" s="811"/>
      <c r="K612" s="811"/>
      <c r="L612" s="816"/>
      <c r="M612" s="811"/>
      <c r="N612" s="811"/>
      <c r="O612" s="811"/>
      <c r="P612" s="811"/>
      <c r="Q612" s="811"/>
      <c r="R612" s="811"/>
      <c r="S612" s="811"/>
      <c r="T612" s="811"/>
      <c r="U612" s="811"/>
      <c r="V612" s="811"/>
      <c r="W612" s="811"/>
      <c r="X612" s="811"/>
      <c r="Y612" s="811"/>
      <c r="Z612" s="811"/>
    </row>
    <row r="613">
      <c r="A613" s="811"/>
      <c r="B613" s="854"/>
      <c r="C613" s="855"/>
      <c r="D613" s="811"/>
      <c r="E613" s="811"/>
      <c r="F613" s="816"/>
      <c r="G613" s="811"/>
      <c r="H613" s="811"/>
      <c r="I613" s="811"/>
      <c r="J613" s="811"/>
      <c r="K613" s="811"/>
      <c r="L613" s="816"/>
      <c r="M613" s="811"/>
      <c r="N613" s="811"/>
      <c r="O613" s="811"/>
      <c r="P613" s="811"/>
      <c r="Q613" s="811"/>
      <c r="R613" s="811"/>
      <c r="S613" s="811"/>
      <c r="T613" s="811"/>
      <c r="U613" s="811"/>
      <c r="V613" s="811"/>
      <c r="W613" s="811"/>
      <c r="X613" s="811"/>
      <c r="Y613" s="811"/>
      <c r="Z613" s="811"/>
    </row>
    <row r="614">
      <c r="A614" s="811"/>
      <c r="B614" s="854"/>
      <c r="C614" s="855"/>
      <c r="D614" s="811"/>
      <c r="E614" s="811"/>
      <c r="F614" s="816"/>
      <c r="G614" s="811"/>
      <c r="H614" s="811"/>
      <c r="I614" s="811"/>
      <c r="J614" s="811"/>
      <c r="K614" s="811"/>
      <c r="L614" s="816"/>
      <c r="M614" s="811"/>
      <c r="N614" s="811"/>
      <c r="O614" s="811"/>
      <c r="P614" s="811"/>
      <c r="Q614" s="811"/>
      <c r="R614" s="811"/>
      <c r="S614" s="811"/>
      <c r="T614" s="811"/>
      <c r="U614" s="811"/>
      <c r="V614" s="811"/>
      <c r="W614" s="811"/>
      <c r="X614" s="811"/>
      <c r="Y614" s="811"/>
      <c r="Z614" s="811"/>
    </row>
    <row r="615">
      <c r="A615" s="811"/>
      <c r="B615" s="854"/>
      <c r="C615" s="855"/>
      <c r="D615" s="811"/>
      <c r="E615" s="811"/>
      <c r="F615" s="816"/>
      <c r="G615" s="811"/>
      <c r="H615" s="811"/>
      <c r="I615" s="811"/>
      <c r="J615" s="811"/>
      <c r="K615" s="811"/>
      <c r="L615" s="816"/>
      <c r="M615" s="811"/>
      <c r="N615" s="811"/>
      <c r="O615" s="811"/>
      <c r="P615" s="811"/>
      <c r="Q615" s="811"/>
      <c r="R615" s="811"/>
      <c r="S615" s="811"/>
      <c r="T615" s="811"/>
      <c r="U615" s="811"/>
      <c r="V615" s="811"/>
      <c r="W615" s="811"/>
      <c r="X615" s="811"/>
      <c r="Y615" s="811"/>
      <c r="Z615" s="811"/>
    </row>
    <row r="616">
      <c r="A616" s="811"/>
      <c r="B616" s="854"/>
      <c r="C616" s="855"/>
      <c r="D616" s="811"/>
      <c r="E616" s="811"/>
      <c r="F616" s="816"/>
      <c r="G616" s="811"/>
      <c r="H616" s="811"/>
      <c r="I616" s="811"/>
      <c r="J616" s="811"/>
      <c r="K616" s="811"/>
      <c r="L616" s="816"/>
      <c r="M616" s="811"/>
      <c r="N616" s="811"/>
      <c r="O616" s="811"/>
      <c r="P616" s="811"/>
      <c r="Q616" s="811"/>
      <c r="R616" s="811"/>
      <c r="S616" s="811"/>
      <c r="T616" s="811"/>
      <c r="U616" s="811"/>
      <c r="V616" s="811"/>
      <c r="W616" s="811"/>
      <c r="X616" s="811"/>
      <c r="Y616" s="811"/>
      <c r="Z616" s="811"/>
    </row>
    <row r="617">
      <c r="A617" s="811"/>
      <c r="B617" s="854"/>
      <c r="C617" s="855"/>
      <c r="D617" s="811"/>
      <c r="E617" s="811"/>
      <c r="F617" s="816"/>
      <c r="G617" s="811"/>
      <c r="H617" s="811"/>
      <c r="I617" s="811"/>
      <c r="J617" s="811"/>
      <c r="K617" s="811"/>
      <c r="L617" s="816"/>
      <c r="M617" s="811"/>
      <c r="N617" s="811"/>
      <c r="O617" s="811"/>
      <c r="P617" s="811"/>
      <c r="Q617" s="811"/>
      <c r="R617" s="811"/>
      <c r="S617" s="811"/>
      <c r="T617" s="811"/>
      <c r="U617" s="811"/>
      <c r="V617" s="811"/>
      <c r="W617" s="811"/>
      <c r="X617" s="811"/>
      <c r="Y617" s="811"/>
      <c r="Z617" s="811"/>
    </row>
    <row r="618">
      <c r="A618" s="811"/>
      <c r="B618" s="854"/>
      <c r="C618" s="855"/>
      <c r="D618" s="811"/>
      <c r="E618" s="811"/>
      <c r="F618" s="816"/>
      <c r="G618" s="811"/>
      <c r="H618" s="811"/>
      <c r="I618" s="811"/>
      <c r="J618" s="811"/>
      <c r="K618" s="811"/>
      <c r="L618" s="816"/>
      <c r="M618" s="811"/>
      <c r="N618" s="811"/>
      <c r="O618" s="811"/>
      <c r="P618" s="811"/>
      <c r="Q618" s="811"/>
      <c r="R618" s="811"/>
      <c r="S618" s="811"/>
      <c r="T618" s="811"/>
      <c r="U618" s="811"/>
      <c r="V618" s="811"/>
      <c r="W618" s="811"/>
      <c r="X618" s="811"/>
      <c r="Y618" s="811"/>
      <c r="Z618" s="811"/>
    </row>
    <row r="619">
      <c r="A619" s="811"/>
      <c r="B619" s="854"/>
      <c r="C619" s="855"/>
      <c r="D619" s="811"/>
      <c r="E619" s="811"/>
      <c r="F619" s="816"/>
      <c r="G619" s="811"/>
      <c r="H619" s="811"/>
      <c r="I619" s="811"/>
      <c r="J619" s="811"/>
      <c r="K619" s="811"/>
      <c r="L619" s="816"/>
      <c r="M619" s="811"/>
      <c r="N619" s="811"/>
      <c r="O619" s="811"/>
      <c r="P619" s="811"/>
      <c r="Q619" s="811"/>
      <c r="R619" s="811"/>
      <c r="S619" s="811"/>
      <c r="T619" s="811"/>
      <c r="U619" s="811"/>
      <c r="V619" s="811"/>
      <c r="W619" s="811"/>
      <c r="X619" s="811"/>
      <c r="Y619" s="811"/>
      <c r="Z619" s="811"/>
    </row>
    <row r="620">
      <c r="A620" s="811"/>
      <c r="B620" s="854"/>
      <c r="C620" s="855"/>
      <c r="D620" s="811"/>
      <c r="E620" s="811"/>
      <c r="F620" s="816"/>
      <c r="G620" s="811"/>
      <c r="H620" s="811"/>
      <c r="I620" s="811"/>
      <c r="J620" s="811"/>
      <c r="K620" s="811"/>
      <c r="L620" s="816"/>
      <c r="M620" s="811"/>
      <c r="N620" s="811"/>
      <c r="O620" s="811"/>
      <c r="P620" s="811"/>
      <c r="Q620" s="811"/>
      <c r="R620" s="811"/>
      <c r="S620" s="811"/>
      <c r="T620" s="811"/>
      <c r="U620" s="811"/>
      <c r="V620" s="811"/>
      <c r="W620" s="811"/>
      <c r="X620" s="811"/>
      <c r="Y620" s="811"/>
      <c r="Z620" s="811"/>
    </row>
    <row r="621">
      <c r="A621" s="811"/>
      <c r="B621" s="854"/>
      <c r="C621" s="855"/>
      <c r="D621" s="811"/>
      <c r="E621" s="811"/>
      <c r="F621" s="816"/>
      <c r="G621" s="811"/>
      <c r="H621" s="811"/>
      <c r="I621" s="811"/>
      <c r="J621" s="811"/>
      <c r="K621" s="811"/>
      <c r="L621" s="816"/>
      <c r="M621" s="811"/>
      <c r="N621" s="811"/>
      <c r="O621" s="811"/>
      <c r="P621" s="811"/>
      <c r="Q621" s="811"/>
      <c r="R621" s="811"/>
      <c r="S621" s="811"/>
      <c r="T621" s="811"/>
      <c r="U621" s="811"/>
      <c r="V621" s="811"/>
      <c r="W621" s="811"/>
      <c r="X621" s="811"/>
      <c r="Y621" s="811"/>
      <c r="Z621" s="811"/>
    </row>
    <row r="622">
      <c r="A622" s="811"/>
      <c r="B622" s="854"/>
      <c r="C622" s="855"/>
      <c r="D622" s="811"/>
      <c r="E622" s="811"/>
      <c r="F622" s="816"/>
      <c r="G622" s="811"/>
      <c r="H622" s="811"/>
      <c r="I622" s="811"/>
      <c r="J622" s="811"/>
      <c r="K622" s="811"/>
      <c r="L622" s="816"/>
      <c r="M622" s="811"/>
      <c r="N622" s="811"/>
      <c r="O622" s="811"/>
      <c r="P622" s="811"/>
      <c r="Q622" s="811"/>
      <c r="R622" s="811"/>
      <c r="S622" s="811"/>
      <c r="T622" s="811"/>
      <c r="U622" s="811"/>
      <c r="V622" s="811"/>
      <c r="W622" s="811"/>
      <c r="X622" s="811"/>
      <c r="Y622" s="811"/>
      <c r="Z622" s="811"/>
    </row>
    <row r="623">
      <c r="A623" s="811"/>
      <c r="B623" s="854"/>
      <c r="C623" s="855"/>
      <c r="D623" s="811"/>
      <c r="E623" s="811"/>
      <c r="F623" s="816"/>
      <c r="G623" s="811"/>
      <c r="H623" s="811"/>
      <c r="I623" s="811"/>
      <c r="J623" s="811"/>
      <c r="K623" s="811"/>
      <c r="L623" s="816"/>
      <c r="M623" s="811"/>
      <c r="N623" s="811"/>
      <c r="O623" s="811"/>
      <c r="P623" s="811"/>
      <c r="Q623" s="811"/>
      <c r="R623" s="811"/>
      <c r="S623" s="811"/>
      <c r="T623" s="811"/>
      <c r="U623" s="811"/>
      <c r="V623" s="811"/>
      <c r="W623" s="811"/>
      <c r="X623" s="811"/>
      <c r="Y623" s="811"/>
      <c r="Z623" s="811"/>
    </row>
    <row r="624">
      <c r="A624" s="811"/>
      <c r="B624" s="854"/>
      <c r="C624" s="855"/>
      <c r="D624" s="811"/>
      <c r="E624" s="811"/>
      <c r="F624" s="816"/>
      <c r="G624" s="811"/>
      <c r="H624" s="811"/>
      <c r="I624" s="811"/>
      <c r="J624" s="811"/>
      <c r="K624" s="811"/>
      <c r="L624" s="816"/>
      <c r="M624" s="811"/>
      <c r="N624" s="811"/>
      <c r="O624" s="811"/>
      <c r="P624" s="811"/>
      <c r="Q624" s="811"/>
      <c r="R624" s="811"/>
      <c r="S624" s="811"/>
      <c r="T624" s="811"/>
      <c r="U624" s="811"/>
      <c r="V624" s="811"/>
      <c r="W624" s="811"/>
      <c r="X624" s="811"/>
      <c r="Y624" s="811"/>
      <c r="Z624" s="811"/>
    </row>
    <row r="625">
      <c r="A625" s="811"/>
      <c r="B625" s="854"/>
      <c r="C625" s="855"/>
      <c r="D625" s="811"/>
      <c r="E625" s="811"/>
      <c r="F625" s="816"/>
      <c r="G625" s="811"/>
      <c r="H625" s="811"/>
      <c r="I625" s="811"/>
      <c r="J625" s="811"/>
      <c r="K625" s="811"/>
      <c r="L625" s="816"/>
      <c r="M625" s="811"/>
      <c r="N625" s="811"/>
      <c r="O625" s="811"/>
      <c r="P625" s="811"/>
      <c r="Q625" s="811"/>
      <c r="R625" s="811"/>
      <c r="S625" s="811"/>
      <c r="T625" s="811"/>
      <c r="U625" s="811"/>
      <c r="V625" s="811"/>
      <c r="W625" s="811"/>
      <c r="X625" s="811"/>
      <c r="Y625" s="811"/>
      <c r="Z625" s="811"/>
    </row>
    <row r="626">
      <c r="A626" s="811"/>
      <c r="B626" s="854"/>
      <c r="C626" s="855"/>
      <c r="D626" s="811"/>
      <c r="E626" s="811"/>
      <c r="F626" s="816"/>
      <c r="G626" s="811"/>
      <c r="H626" s="811"/>
      <c r="I626" s="811"/>
      <c r="J626" s="811"/>
      <c r="K626" s="811"/>
      <c r="L626" s="816"/>
      <c r="M626" s="811"/>
      <c r="N626" s="811"/>
      <c r="O626" s="811"/>
      <c r="P626" s="811"/>
      <c r="Q626" s="811"/>
      <c r="R626" s="811"/>
      <c r="S626" s="811"/>
      <c r="T626" s="811"/>
      <c r="U626" s="811"/>
      <c r="V626" s="811"/>
      <c r="W626" s="811"/>
      <c r="X626" s="811"/>
      <c r="Y626" s="811"/>
      <c r="Z626" s="811"/>
    </row>
    <row r="627">
      <c r="A627" s="811"/>
      <c r="B627" s="854"/>
      <c r="C627" s="855"/>
      <c r="D627" s="811"/>
      <c r="E627" s="811"/>
      <c r="F627" s="816"/>
      <c r="G627" s="811"/>
      <c r="H627" s="811"/>
      <c r="I627" s="811"/>
      <c r="J627" s="811"/>
      <c r="K627" s="811"/>
      <c r="L627" s="816"/>
      <c r="M627" s="811"/>
      <c r="N627" s="811"/>
      <c r="O627" s="811"/>
      <c r="P627" s="811"/>
      <c r="Q627" s="811"/>
      <c r="R627" s="811"/>
      <c r="S627" s="811"/>
      <c r="T627" s="811"/>
      <c r="U627" s="811"/>
      <c r="V627" s="811"/>
      <c r="W627" s="811"/>
      <c r="X627" s="811"/>
      <c r="Y627" s="811"/>
      <c r="Z627" s="811"/>
    </row>
    <row r="628">
      <c r="A628" s="811"/>
      <c r="B628" s="854"/>
      <c r="C628" s="855"/>
      <c r="D628" s="811"/>
      <c r="E628" s="811"/>
      <c r="F628" s="816"/>
      <c r="G628" s="811"/>
      <c r="H628" s="811"/>
      <c r="I628" s="811"/>
      <c r="J628" s="811"/>
      <c r="K628" s="811"/>
      <c r="L628" s="816"/>
      <c r="M628" s="811"/>
      <c r="N628" s="811"/>
      <c r="O628" s="811"/>
      <c r="P628" s="811"/>
      <c r="Q628" s="811"/>
      <c r="R628" s="811"/>
      <c r="S628" s="811"/>
      <c r="T628" s="811"/>
      <c r="U628" s="811"/>
      <c r="V628" s="811"/>
      <c r="W628" s="811"/>
      <c r="X628" s="811"/>
      <c r="Y628" s="811"/>
      <c r="Z628" s="811"/>
    </row>
    <row r="629">
      <c r="A629" s="811"/>
      <c r="B629" s="854"/>
      <c r="C629" s="855"/>
      <c r="D629" s="811"/>
      <c r="E629" s="811"/>
      <c r="F629" s="816"/>
      <c r="G629" s="811"/>
      <c r="H629" s="811"/>
      <c r="I629" s="811"/>
      <c r="J629" s="811"/>
      <c r="K629" s="811"/>
      <c r="L629" s="816"/>
      <c r="M629" s="811"/>
      <c r="N629" s="811"/>
      <c r="O629" s="811"/>
      <c r="P629" s="811"/>
      <c r="Q629" s="811"/>
      <c r="R629" s="811"/>
      <c r="S629" s="811"/>
      <c r="T629" s="811"/>
      <c r="U629" s="811"/>
      <c r="V629" s="811"/>
      <c r="W629" s="811"/>
      <c r="X629" s="811"/>
      <c r="Y629" s="811"/>
      <c r="Z629" s="811"/>
    </row>
    <row r="630">
      <c r="A630" s="811"/>
      <c r="B630" s="854"/>
      <c r="C630" s="855"/>
      <c r="D630" s="811"/>
      <c r="E630" s="811"/>
      <c r="F630" s="816"/>
      <c r="G630" s="811"/>
      <c r="H630" s="811"/>
      <c r="I630" s="811"/>
      <c r="J630" s="811"/>
      <c r="K630" s="811"/>
      <c r="L630" s="816"/>
      <c r="M630" s="811"/>
      <c r="N630" s="811"/>
      <c r="O630" s="811"/>
      <c r="P630" s="811"/>
      <c r="Q630" s="811"/>
      <c r="R630" s="811"/>
      <c r="S630" s="811"/>
      <c r="T630" s="811"/>
      <c r="U630" s="811"/>
      <c r="V630" s="811"/>
      <c r="W630" s="811"/>
      <c r="X630" s="811"/>
      <c r="Y630" s="811"/>
      <c r="Z630" s="811"/>
    </row>
    <row r="631">
      <c r="A631" s="811"/>
      <c r="B631" s="854"/>
      <c r="C631" s="855"/>
      <c r="D631" s="811"/>
      <c r="E631" s="811"/>
      <c r="F631" s="816"/>
      <c r="G631" s="811"/>
      <c r="H631" s="811"/>
      <c r="I631" s="811"/>
      <c r="J631" s="811"/>
      <c r="K631" s="811"/>
      <c r="L631" s="816"/>
      <c r="M631" s="811"/>
      <c r="N631" s="811"/>
      <c r="O631" s="811"/>
      <c r="P631" s="811"/>
      <c r="Q631" s="811"/>
      <c r="R631" s="811"/>
      <c r="S631" s="811"/>
      <c r="T631" s="811"/>
      <c r="U631" s="811"/>
      <c r="V631" s="811"/>
      <c r="W631" s="811"/>
      <c r="X631" s="811"/>
      <c r="Y631" s="811"/>
      <c r="Z631" s="811"/>
    </row>
    <row r="632">
      <c r="A632" s="811"/>
      <c r="B632" s="854"/>
      <c r="C632" s="855"/>
      <c r="D632" s="811"/>
      <c r="E632" s="811"/>
      <c r="F632" s="816"/>
      <c r="G632" s="811"/>
      <c r="H632" s="811"/>
      <c r="I632" s="811"/>
      <c r="J632" s="811"/>
      <c r="K632" s="811"/>
      <c r="L632" s="816"/>
      <c r="M632" s="811"/>
      <c r="N632" s="811"/>
      <c r="O632" s="811"/>
      <c r="P632" s="811"/>
      <c r="Q632" s="811"/>
      <c r="R632" s="811"/>
      <c r="S632" s="811"/>
      <c r="T632" s="811"/>
      <c r="U632" s="811"/>
      <c r="V632" s="811"/>
      <c r="W632" s="811"/>
      <c r="X632" s="811"/>
      <c r="Y632" s="811"/>
      <c r="Z632" s="811"/>
    </row>
    <row r="633">
      <c r="A633" s="811"/>
      <c r="B633" s="854"/>
      <c r="C633" s="855"/>
      <c r="D633" s="811"/>
      <c r="E633" s="811"/>
      <c r="F633" s="816"/>
      <c r="G633" s="811"/>
      <c r="H633" s="811"/>
      <c r="I633" s="811"/>
      <c r="J633" s="811"/>
      <c r="K633" s="811"/>
      <c r="L633" s="816"/>
      <c r="M633" s="811"/>
      <c r="N633" s="811"/>
      <c r="O633" s="811"/>
      <c r="P633" s="811"/>
      <c r="Q633" s="811"/>
      <c r="R633" s="811"/>
      <c r="S633" s="811"/>
      <c r="T633" s="811"/>
      <c r="U633" s="811"/>
      <c r="V633" s="811"/>
      <c r="W633" s="811"/>
      <c r="X633" s="811"/>
      <c r="Y633" s="811"/>
      <c r="Z633" s="811"/>
    </row>
    <row r="634">
      <c r="A634" s="811"/>
      <c r="B634" s="854"/>
      <c r="C634" s="855"/>
      <c r="D634" s="811"/>
      <c r="E634" s="811"/>
      <c r="F634" s="816"/>
      <c r="G634" s="811"/>
      <c r="H634" s="811"/>
      <c r="I634" s="811"/>
      <c r="J634" s="811"/>
      <c r="K634" s="811"/>
      <c r="L634" s="816"/>
      <c r="M634" s="811"/>
      <c r="N634" s="811"/>
      <c r="O634" s="811"/>
      <c r="P634" s="811"/>
      <c r="Q634" s="811"/>
      <c r="R634" s="811"/>
      <c r="S634" s="811"/>
      <c r="T634" s="811"/>
      <c r="U634" s="811"/>
      <c r="V634" s="811"/>
      <c r="W634" s="811"/>
      <c r="X634" s="811"/>
      <c r="Y634" s="811"/>
      <c r="Z634" s="811"/>
    </row>
    <row r="635">
      <c r="A635" s="811"/>
      <c r="B635" s="854"/>
      <c r="C635" s="855"/>
      <c r="D635" s="811"/>
      <c r="E635" s="811"/>
      <c r="F635" s="816"/>
      <c r="G635" s="811"/>
      <c r="H635" s="811"/>
      <c r="I635" s="811"/>
      <c r="J635" s="811"/>
      <c r="K635" s="811"/>
      <c r="L635" s="816"/>
      <c r="M635" s="811"/>
      <c r="N635" s="811"/>
      <c r="O635" s="811"/>
      <c r="P635" s="811"/>
      <c r="Q635" s="811"/>
      <c r="R635" s="811"/>
      <c r="S635" s="811"/>
      <c r="T635" s="811"/>
      <c r="U635" s="811"/>
      <c r="V635" s="811"/>
      <c r="W635" s="811"/>
      <c r="X635" s="811"/>
      <c r="Y635" s="811"/>
      <c r="Z635" s="811"/>
    </row>
    <row r="636">
      <c r="A636" s="811"/>
      <c r="B636" s="854"/>
      <c r="C636" s="855"/>
      <c r="D636" s="811"/>
      <c r="E636" s="811"/>
      <c r="F636" s="816"/>
      <c r="G636" s="811"/>
      <c r="H636" s="811"/>
      <c r="I636" s="811"/>
      <c r="J636" s="811"/>
      <c r="K636" s="811"/>
      <c r="L636" s="816"/>
      <c r="M636" s="811"/>
      <c r="N636" s="811"/>
      <c r="O636" s="811"/>
      <c r="P636" s="811"/>
      <c r="Q636" s="811"/>
      <c r="R636" s="811"/>
      <c r="S636" s="811"/>
      <c r="T636" s="811"/>
      <c r="U636" s="811"/>
      <c r="V636" s="811"/>
      <c r="W636" s="811"/>
      <c r="X636" s="811"/>
      <c r="Y636" s="811"/>
      <c r="Z636" s="811"/>
    </row>
    <row r="637">
      <c r="A637" s="811"/>
      <c r="B637" s="854"/>
      <c r="C637" s="855"/>
      <c r="D637" s="811"/>
      <c r="E637" s="811"/>
      <c r="F637" s="816"/>
      <c r="G637" s="811"/>
      <c r="H637" s="811"/>
      <c r="I637" s="811"/>
      <c r="J637" s="811"/>
      <c r="K637" s="811"/>
      <c r="L637" s="816"/>
      <c r="M637" s="811"/>
      <c r="N637" s="811"/>
      <c r="O637" s="811"/>
      <c r="P637" s="811"/>
      <c r="Q637" s="811"/>
      <c r="R637" s="811"/>
      <c r="S637" s="811"/>
      <c r="T637" s="811"/>
      <c r="U637" s="811"/>
      <c r="V637" s="811"/>
      <c r="W637" s="811"/>
      <c r="X637" s="811"/>
      <c r="Y637" s="811"/>
      <c r="Z637" s="811"/>
    </row>
    <row r="638">
      <c r="A638" s="811"/>
      <c r="B638" s="854"/>
      <c r="C638" s="855"/>
      <c r="D638" s="811"/>
      <c r="E638" s="811"/>
      <c r="F638" s="816"/>
      <c r="G638" s="811"/>
      <c r="H638" s="811"/>
      <c r="I638" s="811"/>
      <c r="J638" s="811"/>
      <c r="K638" s="811"/>
      <c r="L638" s="816"/>
      <c r="M638" s="811"/>
      <c r="N638" s="811"/>
      <c r="O638" s="811"/>
      <c r="P638" s="811"/>
      <c r="Q638" s="811"/>
      <c r="R638" s="811"/>
      <c r="S638" s="811"/>
      <c r="T638" s="811"/>
      <c r="U638" s="811"/>
      <c r="V638" s="811"/>
      <c r="W638" s="811"/>
      <c r="X638" s="811"/>
      <c r="Y638" s="811"/>
      <c r="Z638" s="811"/>
    </row>
    <row r="639">
      <c r="A639" s="811"/>
      <c r="B639" s="854"/>
      <c r="C639" s="855"/>
      <c r="D639" s="811"/>
      <c r="E639" s="811"/>
      <c r="F639" s="816"/>
      <c r="G639" s="811"/>
      <c r="H639" s="811"/>
      <c r="I639" s="811"/>
      <c r="J639" s="811"/>
      <c r="K639" s="811"/>
      <c r="L639" s="816"/>
      <c r="M639" s="811"/>
      <c r="N639" s="811"/>
      <c r="O639" s="811"/>
      <c r="P639" s="811"/>
      <c r="Q639" s="811"/>
      <c r="R639" s="811"/>
      <c r="S639" s="811"/>
      <c r="T639" s="811"/>
      <c r="U639" s="811"/>
      <c r="V639" s="811"/>
      <c r="W639" s="811"/>
      <c r="X639" s="811"/>
      <c r="Y639" s="811"/>
      <c r="Z639" s="811"/>
    </row>
    <row r="640">
      <c r="A640" s="811"/>
      <c r="B640" s="854"/>
      <c r="C640" s="855"/>
      <c r="D640" s="811"/>
      <c r="E640" s="811"/>
      <c r="F640" s="816"/>
      <c r="G640" s="811"/>
      <c r="H640" s="811"/>
      <c r="I640" s="811"/>
      <c r="J640" s="811"/>
      <c r="K640" s="811"/>
      <c r="L640" s="816"/>
      <c r="M640" s="811"/>
      <c r="N640" s="811"/>
      <c r="O640" s="811"/>
      <c r="P640" s="811"/>
      <c r="Q640" s="811"/>
      <c r="R640" s="811"/>
      <c r="S640" s="811"/>
      <c r="T640" s="811"/>
      <c r="U640" s="811"/>
      <c r="V640" s="811"/>
      <c r="W640" s="811"/>
      <c r="X640" s="811"/>
      <c r="Y640" s="811"/>
      <c r="Z640" s="811"/>
    </row>
    <row r="641">
      <c r="A641" s="811"/>
      <c r="B641" s="854"/>
      <c r="C641" s="855"/>
      <c r="D641" s="811"/>
      <c r="E641" s="811"/>
      <c r="F641" s="816"/>
      <c r="G641" s="811"/>
      <c r="H641" s="811"/>
      <c r="I641" s="811"/>
      <c r="J641" s="811"/>
      <c r="K641" s="811"/>
      <c r="L641" s="816"/>
      <c r="M641" s="811"/>
      <c r="N641" s="811"/>
      <c r="O641" s="811"/>
      <c r="P641" s="811"/>
      <c r="Q641" s="811"/>
      <c r="R641" s="811"/>
      <c r="S641" s="811"/>
      <c r="T641" s="811"/>
      <c r="U641" s="811"/>
      <c r="V641" s="811"/>
      <c r="W641" s="811"/>
      <c r="X641" s="811"/>
      <c r="Y641" s="811"/>
      <c r="Z641" s="811"/>
    </row>
    <row r="642">
      <c r="A642" s="811"/>
      <c r="B642" s="854"/>
      <c r="C642" s="855"/>
      <c r="D642" s="811"/>
      <c r="E642" s="811"/>
      <c r="F642" s="816"/>
      <c r="G642" s="811"/>
      <c r="H642" s="811"/>
      <c r="I642" s="811"/>
      <c r="J642" s="811"/>
      <c r="K642" s="811"/>
      <c r="L642" s="816"/>
      <c r="M642" s="811"/>
      <c r="N642" s="811"/>
      <c r="O642" s="811"/>
      <c r="P642" s="811"/>
      <c r="Q642" s="811"/>
      <c r="R642" s="811"/>
      <c r="S642" s="811"/>
      <c r="T642" s="811"/>
      <c r="U642" s="811"/>
      <c r="V642" s="811"/>
      <c r="W642" s="811"/>
      <c r="X642" s="811"/>
      <c r="Y642" s="811"/>
      <c r="Z642" s="811"/>
    </row>
    <row r="643">
      <c r="A643" s="811"/>
      <c r="B643" s="854"/>
      <c r="C643" s="855"/>
      <c r="D643" s="811"/>
      <c r="E643" s="811"/>
      <c r="F643" s="816"/>
      <c r="G643" s="811"/>
      <c r="H643" s="811"/>
      <c r="I643" s="811"/>
      <c r="J643" s="811"/>
      <c r="K643" s="811"/>
      <c r="L643" s="816"/>
      <c r="M643" s="811"/>
      <c r="N643" s="811"/>
      <c r="O643" s="811"/>
      <c r="P643" s="811"/>
      <c r="Q643" s="811"/>
      <c r="R643" s="811"/>
      <c r="S643" s="811"/>
      <c r="T643" s="811"/>
      <c r="U643" s="811"/>
      <c r="V643" s="811"/>
      <c r="W643" s="811"/>
      <c r="X643" s="811"/>
      <c r="Y643" s="811"/>
      <c r="Z643" s="811"/>
    </row>
    <row r="644">
      <c r="A644" s="811"/>
      <c r="B644" s="854"/>
      <c r="C644" s="855"/>
      <c r="D644" s="811"/>
      <c r="E644" s="811"/>
      <c r="F644" s="816"/>
      <c r="G644" s="811"/>
      <c r="H644" s="811"/>
      <c r="I644" s="811"/>
      <c r="J644" s="811"/>
      <c r="K644" s="811"/>
      <c r="L644" s="816"/>
      <c r="M644" s="811"/>
      <c r="N644" s="811"/>
      <c r="O644" s="811"/>
      <c r="P644" s="811"/>
      <c r="Q644" s="811"/>
      <c r="R644" s="811"/>
      <c r="S644" s="811"/>
      <c r="T644" s="811"/>
      <c r="U644" s="811"/>
      <c r="V644" s="811"/>
      <c r="W644" s="811"/>
      <c r="X644" s="811"/>
      <c r="Y644" s="811"/>
      <c r="Z644" s="811"/>
    </row>
    <row r="645">
      <c r="A645" s="811"/>
      <c r="B645" s="854"/>
      <c r="C645" s="855"/>
      <c r="D645" s="811"/>
      <c r="E645" s="811"/>
      <c r="F645" s="816"/>
      <c r="G645" s="811"/>
      <c r="H645" s="811"/>
      <c r="I645" s="811"/>
      <c r="J645" s="811"/>
      <c r="K645" s="811"/>
      <c r="L645" s="816"/>
      <c r="M645" s="811"/>
      <c r="N645" s="811"/>
      <c r="O645" s="811"/>
      <c r="P645" s="811"/>
      <c r="Q645" s="811"/>
      <c r="R645" s="811"/>
      <c r="S645" s="811"/>
      <c r="T645" s="811"/>
      <c r="U645" s="811"/>
      <c r="V645" s="811"/>
      <c r="W645" s="811"/>
      <c r="X645" s="811"/>
      <c r="Y645" s="811"/>
      <c r="Z645" s="811"/>
    </row>
    <row r="646">
      <c r="A646" s="811"/>
      <c r="B646" s="854"/>
      <c r="C646" s="855"/>
      <c r="D646" s="811"/>
      <c r="E646" s="811"/>
      <c r="F646" s="816"/>
      <c r="G646" s="811"/>
      <c r="H646" s="811"/>
      <c r="I646" s="811"/>
      <c r="J646" s="811"/>
      <c r="K646" s="811"/>
      <c r="L646" s="816"/>
      <c r="M646" s="811"/>
      <c r="N646" s="811"/>
      <c r="O646" s="811"/>
      <c r="P646" s="811"/>
      <c r="Q646" s="811"/>
      <c r="R646" s="811"/>
      <c r="S646" s="811"/>
      <c r="T646" s="811"/>
      <c r="U646" s="811"/>
      <c r="V646" s="811"/>
      <c r="W646" s="811"/>
      <c r="X646" s="811"/>
      <c r="Y646" s="811"/>
      <c r="Z646" s="811"/>
    </row>
    <row r="647">
      <c r="A647" s="811"/>
      <c r="B647" s="854"/>
      <c r="C647" s="855"/>
      <c r="D647" s="811"/>
      <c r="E647" s="811"/>
      <c r="F647" s="816"/>
      <c r="G647" s="811"/>
      <c r="H647" s="811"/>
      <c r="I647" s="811"/>
      <c r="J647" s="811"/>
      <c r="K647" s="811"/>
      <c r="L647" s="816"/>
      <c r="M647" s="811"/>
      <c r="N647" s="811"/>
      <c r="O647" s="811"/>
      <c r="P647" s="811"/>
      <c r="Q647" s="811"/>
      <c r="R647" s="811"/>
      <c r="S647" s="811"/>
      <c r="T647" s="811"/>
      <c r="U647" s="811"/>
      <c r="V647" s="811"/>
      <c r="W647" s="811"/>
      <c r="X647" s="811"/>
      <c r="Y647" s="811"/>
      <c r="Z647" s="811"/>
    </row>
    <row r="648">
      <c r="A648" s="811"/>
      <c r="B648" s="854"/>
      <c r="C648" s="855"/>
      <c r="D648" s="811"/>
      <c r="E648" s="811"/>
      <c r="F648" s="816"/>
      <c r="G648" s="811"/>
      <c r="H648" s="811"/>
      <c r="I648" s="811"/>
      <c r="J648" s="811"/>
      <c r="K648" s="811"/>
      <c r="L648" s="816"/>
      <c r="M648" s="811"/>
      <c r="N648" s="811"/>
      <c r="O648" s="811"/>
      <c r="P648" s="811"/>
      <c r="Q648" s="811"/>
      <c r="R648" s="811"/>
      <c r="S648" s="811"/>
      <c r="T648" s="811"/>
      <c r="U648" s="811"/>
      <c r="V648" s="811"/>
      <c r="W648" s="811"/>
      <c r="X648" s="811"/>
      <c r="Y648" s="811"/>
      <c r="Z648" s="811"/>
    </row>
    <row r="649">
      <c r="A649" s="811"/>
      <c r="B649" s="854"/>
      <c r="C649" s="855"/>
      <c r="D649" s="811"/>
      <c r="E649" s="811"/>
      <c r="F649" s="816"/>
      <c r="G649" s="811"/>
      <c r="H649" s="811"/>
      <c r="I649" s="811"/>
      <c r="J649" s="811"/>
      <c r="K649" s="811"/>
      <c r="L649" s="816"/>
      <c r="M649" s="811"/>
      <c r="N649" s="811"/>
      <c r="O649" s="811"/>
      <c r="P649" s="811"/>
      <c r="Q649" s="811"/>
      <c r="R649" s="811"/>
      <c r="S649" s="811"/>
      <c r="T649" s="811"/>
      <c r="U649" s="811"/>
      <c r="V649" s="811"/>
      <c r="W649" s="811"/>
      <c r="X649" s="811"/>
      <c r="Y649" s="811"/>
      <c r="Z649" s="811"/>
    </row>
    <row r="650">
      <c r="A650" s="811"/>
      <c r="B650" s="854"/>
      <c r="C650" s="855"/>
      <c r="D650" s="811"/>
      <c r="E650" s="811"/>
      <c r="F650" s="816"/>
      <c r="G650" s="811"/>
      <c r="H650" s="811"/>
      <c r="I650" s="811"/>
      <c r="J650" s="811"/>
      <c r="K650" s="811"/>
      <c r="L650" s="816"/>
      <c r="M650" s="811"/>
      <c r="N650" s="811"/>
      <c r="O650" s="811"/>
      <c r="P650" s="811"/>
      <c r="Q650" s="811"/>
      <c r="R650" s="811"/>
      <c r="S650" s="811"/>
      <c r="T650" s="811"/>
      <c r="U650" s="811"/>
      <c r="V650" s="811"/>
      <c r="W650" s="811"/>
      <c r="X650" s="811"/>
      <c r="Y650" s="811"/>
      <c r="Z650" s="811"/>
    </row>
    <row r="651">
      <c r="A651" s="811"/>
      <c r="B651" s="854"/>
      <c r="C651" s="855"/>
      <c r="D651" s="811"/>
      <c r="E651" s="811"/>
      <c r="F651" s="816"/>
      <c r="G651" s="811"/>
      <c r="H651" s="811"/>
      <c r="I651" s="811"/>
      <c r="J651" s="811"/>
      <c r="K651" s="811"/>
      <c r="L651" s="816"/>
      <c r="M651" s="811"/>
      <c r="N651" s="811"/>
      <c r="O651" s="811"/>
      <c r="P651" s="811"/>
      <c r="Q651" s="811"/>
      <c r="R651" s="811"/>
      <c r="S651" s="811"/>
      <c r="T651" s="811"/>
      <c r="U651" s="811"/>
      <c r="V651" s="811"/>
      <c r="W651" s="811"/>
      <c r="X651" s="811"/>
      <c r="Y651" s="811"/>
      <c r="Z651" s="811"/>
    </row>
    <row r="652">
      <c r="A652" s="811"/>
      <c r="B652" s="854"/>
      <c r="C652" s="855"/>
      <c r="D652" s="811"/>
      <c r="E652" s="811"/>
      <c r="F652" s="816"/>
      <c r="G652" s="811"/>
      <c r="H652" s="811"/>
      <c r="I652" s="811"/>
      <c r="J652" s="811"/>
      <c r="K652" s="811"/>
      <c r="L652" s="816"/>
      <c r="M652" s="811"/>
      <c r="N652" s="811"/>
      <c r="O652" s="811"/>
      <c r="P652" s="811"/>
      <c r="Q652" s="811"/>
      <c r="R652" s="811"/>
      <c r="S652" s="811"/>
      <c r="T652" s="811"/>
      <c r="U652" s="811"/>
      <c r="V652" s="811"/>
      <c r="W652" s="811"/>
      <c r="X652" s="811"/>
      <c r="Y652" s="811"/>
      <c r="Z652" s="811"/>
    </row>
    <row r="653">
      <c r="A653" s="811"/>
      <c r="B653" s="854"/>
      <c r="C653" s="855"/>
      <c r="D653" s="811"/>
      <c r="E653" s="811"/>
      <c r="F653" s="816"/>
      <c r="G653" s="811"/>
      <c r="H653" s="811"/>
      <c r="I653" s="811"/>
      <c r="J653" s="811"/>
      <c r="K653" s="811"/>
      <c r="L653" s="816"/>
      <c r="M653" s="811"/>
      <c r="N653" s="811"/>
      <c r="O653" s="811"/>
      <c r="P653" s="811"/>
      <c r="Q653" s="811"/>
      <c r="R653" s="811"/>
      <c r="S653" s="811"/>
      <c r="T653" s="811"/>
      <c r="U653" s="811"/>
      <c r="V653" s="811"/>
      <c r="W653" s="811"/>
      <c r="X653" s="811"/>
      <c r="Y653" s="811"/>
      <c r="Z653" s="811"/>
    </row>
    <row r="654">
      <c r="A654" s="811"/>
      <c r="B654" s="854"/>
      <c r="C654" s="855"/>
      <c r="D654" s="811"/>
      <c r="E654" s="811"/>
      <c r="F654" s="816"/>
      <c r="G654" s="811"/>
      <c r="H654" s="811"/>
      <c r="I654" s="811"/>
      <c r="J654" s="811"/>
      <c r="K654" s="811"/>
      <c r="L654" s="816"/>
      <c r="M654" s="811"/>
      <c r="N654" s="811"/>
      <c r="O654" s="811"/>
      <c r="P654" s="811"/>
      <c r="Q654" s="811"/>
      <c r="R654" s="811"/>
      <c r="S654" s="811"/>
      <c r="T654" s="811"/>
      <c r="U654" s="811"/>
      <c r="V654" s="811"/>
      <c r="W654" s="811"/>
      <c r="X654" s="811"/>
      <c r="Y654" s="811"/>
      <c r="Z654" s="811"/>
    </row>
    <row r="655">
      <c r="A655" s="811"/>
      <c r="B655" s="854"/>
      <c r="C655" s="855"/>
      <c r="D655" s="811"/>
      <c r="E655" s="811"/>
      <c r="F655" s="816"/>
      <c r="G655" s="811"/>
      <c r="H655" s="811"/>
      <c r="I655" s="811"/>
      <c r="J655" s="811"/>
      <c r="K655" s="811"/>
      <c r="L655" s="816"/>
      <c r="M655" s="811"/>
      <c r="N655" s="811"/>
      <c r="O655" s="811"/>
      <c r="P655" s="811"/>
      <c r="Q655" s="811"/>
      <c r="R655" s="811"/>
      <c r="S655" s="811"/>
      <c r="T655" s="811"/>
      <c r="U655" s="811"/>
      <c r="V655" s="811"/>
      <c r="W655" s="811"/>
      <c r="X655" s="811"/>
      <c r="Y655" s="811"/>
      <c r="Z655" s="811"/>
    </row>
    <row r="656">
      <c r="A656" s="811"/>
      <c r="B656" s="854"/>
      <c r="C656" s="855"/>
      <c r="D656" s="811"/>
      <c r="E656" s="811"/>
      <c r="F656" s="816"/>
      <c r="G656" s="811"/>
      <c r="H656" s="811"/>
      <c r="I656" s="811"/>
      <c r="J656" s="811"/>
      <c r="K656" s="811"/>
      <c r="L656" s="816"/>
      <c r="M656" s="811"/>
      <c r="N656" s="811"/>
      <c r="O656" s="811"/>
      <c r="P656" s="811"/>
      <c r="Q656" s="811"/>
      <c r="R656" s="811"/>
      <c r="S656" s="811"/>
      <c r="T656" s="811"/>
      <c r="U656" s="811"/>
      <c r="V656" s="811"/>
      <c r="W656" s="811"/>
      <c r="X656" s="811"/>
      <c r="Y656" s="811"/>
      <c r="Z656" s="811"/>
    </row>
    <row r="657">
      <c r="A657" s="811"/>
      <c r="B657" s="854"/>
      <c r="C657" s="855"/>
      <c r="D657" s="811"/>
      <c r="E657" s="811"/>
      <c r="F657" s="816"/>
      <c r="G657" s="811"/>
      <c r="H657" s="811"/>
      <c r="I657" s="811"/>
      <c r="J657" s="811"/>
      <c r="K657" s="811"/>
      <c r="L657" s="816"/>
      <c r="M657" s="811"/>
      <c r="N657" s="811"/>
      <c r="O657" s="811"/>
      <c r="P657" s="811"/>
      <c r="Q657" s="811"/>
      <c r="R657" s="811"/>
      <c r="S657" s="811"/>
      <c r="T657" s="811"/>
      <c r="U657" s="811"/>
      <c r="V657" s="811"/>
      <c r="W657" s="811"/>
      <c r="X657" s="811"/>
      <c r="Y657" s="811"/>
      <c r="Z657" s="811"/>
    </row>
    <row r="658">
      <c r="A658" s="811"/>
      <c r="B658" s="854"/>
      <c r="C658" s="855"/>
      <c r="D658" s="811"/>
      <c r="E658" s="811"/>
      <c r="F658" s="816"/>
      <c r="G658" s="811"/>
      <c r="H658" s="811"/>
      <c r="I658" s="811"/>
      <c r="J658" s="811"/>
      <c r="K658" s="811"/>
      <c r="L658" s="816"/>
      <c r="M658" s="811"/>
      <c r="N658" s="811"/>
      <c r="O658" s="811"/>
      <c r="P658" s="811"/>
      <c r="Q658" s="811"/>
      <c r="R658" s="811"/>
      <c r="S658" s="811"/>
      <c r="T658" s="811"/>
      <c r="U658" s="811"/>
      <c r="V658" s="811"/>
      <c r="W658" s="811"/>
      <c r="X658" s="811"/>
      <c r="Y658" s="811"/>
      <c r="Z658" s="811"/>
    </row>
    <row r="659">
      <c r="A659" s="811"/>
      <c r="B659" s="854"/>
      <c r="C659" s="855"/>
      <c r="D659" s="811"/>
      <c r="E659" s="811"/>
      <c r="F659" s="816"/>
      <c r="G659" s="811"/>
      <c r="H659" s="811"/>
      <c r="I659" s="811"/>
      <c r="J659" s="811"/>
      <c r="K659" s="811"/>
      <c r="L659" s="816"/>
      <c r="M659" s="811"/>
      <c r="N659" s="811"/>
      <c r="O659" s="811"/>
      <c r="P659" s="811"/>
      <c r="Q659" s="811"/>
      <c r="R659" s="811"/>
      <c r="S659" s="811"/>
      <c r="T659" s="811"/>
      <c r="U659" s="811"/>
      <c r="V659" s="811"/>
      <c r="W659" s="811"/>
      <c r="X659" s="811"/>
      <c r="Y659" s="811"/>
      <c r="Z659" s="811"/>
    </row>
    <row r="660">
      <c r="A660" s="811"/>
      <c r="B660" s="854"/>
      <c r="C660" s="855"/>
      <c r="D660" s="811"/>
      <c r="E660" s="811"/>
      <c r="F660" s="816"/>
      <c r="G660" s="811"/>
      <c r="H660" s="811"/>
      <c r="I660" s="811"/>
      <c r="J660" s="811"/>
      <c r="K660" s="811"/>
      <c r="L660" s="816"/>
      <c r="M660" s="811"/>
      <c r="N660" s="811"/>
      <c r="O660" s="811"/>
      <c r="P660" s="811"/>
      <c r="Q660" s="811"/>
      <c r="R660" s="811"/>
      <c r="S660" s="811"/>
      <c r="T660" s="811"/>
      <c r="U660" s="811"/>
      <c r="V660" s="811"/>
      <c r="W660" s="811"/>
      <c r="X660" s="811"/>
      <c r="Y660" s="811"/>
      <c r="Z660" s="811"/>
    </row>
    <row r="661">
      <c r="A661" s="811"/>
      <c r="B661" s="854"/>
      <c r="C661" s="855"/>
      <c r="D661" s="811"/>
      <c r="E661" s="811"/>
      <c r="F661" s="816"/>
      <c r="G661" s="811"/>
      <c r="H661" s="811"/>
      <c r="I661" s="811"/>
      <c r="J661" s="811"/>
      <c r="K661" s="811"/>
      <c r="L661" s="816"/>
      <c r="M661" s="811"/>
      <c r="N661" s="811"/>
      <c r="O661" s="811"/>
      <c r="P661" s="811"/>
      <c r="Q661" s="811"/>
      <c r="R661" s="811"/>
      <c r="S661" s="811"/>
      <c r="T661" s="811"/>
      <c r="U661" s="811"/>
      <c r="V661" s="811"/>
      <c r="W661" s="811"/>
      <c r="X661" s="811"/>
      <c r="Y661" s="811"/>
      <c r="Z661" s="811"/>
    </row>
    <row r="662">
      <c r="A662" s="811"/>
      <c r="B662" s="854"/>
      <c r="C662" s="855"/>
      <c r="D662" s="811"/>
      <c r="E662" s="811"/>
      <c r="F662" s="816"/>
      <c r="G662" s="811"/>
      <c r="H662" s="811"/>
      <c r="I662" s="811"/>
      <c r="J662" s="811"/>
      <c r="K662" s="811"/>
      <c r="L662" s="816"/>
      <c r="M662" s="811"/>
      <c r="N662" s="811"/>
      <c r="O662" s="811"/>
      <c r="P662" s="811"/>
      <c r="Q662" s="811"/>
      <c r="R662" s="811"/>
      <c r="S662" s="811"/>
      <c r="T662" s="811"/>
      <c r="U662" s="811"/>
      <c r="V662" s="811"/>
      <c r="W662" s="811"/>
      <c r="X662" s="811"/>
      <c r="Y662" s="811"/>
      <c r="Z662" s="811"/>
    </row>
    <row r="663">
      <c r="A663" s="811"/>
      <c r="B663" s="854"/>
      <c r="C663" s="855"/>
      <c r="D663" s="811"/>
      <c r="E663" s="811"/>
      <c r="F663" s="816"/>
      <c r="G663" s="811"/>
      <c r="H663" s="811"/>
      <c r="I663" s="811"/>
      <c r="J663" s="811"/>
      <c r="K663" s="811"/>
      <c r="L663" s="816"/>
      <c r="M663" s="811"/>
      <c r="N663" s="811"/>
      <c r="O663" s="811"/>
      <c r="P663" s="811"/>
      <c r="Q663" s="811"/>
      <c r="R663" s="811"/>
      <c r="S663" s="811"/>
      <c r="T663" s="811"/>
      <c r="U663" s="811"/>
      <c r="V663" s="811"/>
      <c r="W663" s="811"/>
      <c r="X663" s="811"/>
      <c r="Y663" s="811"/>
      <c r="Z663" s="811"/>
    </row>
    <row r="664">
      <c r="A664" s="811"/>
      <c r="B664" s="854"/>
      <c r="C664" s="855"/>
      <c r="D664" s="811"/>
      <c r="E664" s="811"/>
      <c r="F664" s="816"/>
      <c r="G664" s="811"/>
      <c r="H664" s="811"/>
      <c r="I664" s="811"/>
      <c r="J664" s="811"/>
      <c r="K664" s="811"/>
      <c r="L664" s="816"/>
      <c r="M664" s="811"/>
      <c r="N664" s="811"/>
      <c r="O664" s="811"/>
      <c r="P664" s="811"/>
      <c r="Q664" s="811"/>
      <c r="R664" s="811"/>
      <c r="S664" s="811"/>
      <c r="T664" s="811"/>
      <c r="U664" s="811"/>
      <c r="V664" s="811"/>
      <c r="W664" s="811"/>
      <c r="X664" s="811"/>
      <c r="Y664" s="811"/>
      <c r="Z664" s="811"/>
    </row>
    <row r="665">
      <c r="A665" s="811"/>
      <c r="B665" s="854"/>
      <c r="C665" s="855"/>
      <c r="D665" s="811"/>
      <c r="E665" s="811"/>
      <c r="F665" s="816"/>
      <c r="G665" s="811"/>
      <c r="H665" s="811"/>
      <c r="I665" s="811"/>
      <c r="J665" s="811"/>
      <c r="K665" s="811"/>
      <c r="L665" s="816"/>
      <c r="M665" s="811"/>
      <c r="N665" s="811"/>
      <c r="O665" s="811"/>
      <c r="P665" s="811"/>
      <c r="Q665" s="811"/>
      <c r="R665" s="811"/>
      <c r="S665" s="811"/>
      <c r="T665" s="811"/>
      <c r="U665" s="811"/>
      <c r="V665" s="811"/>
      <c r="W665" s="811"/>
      <c r="X665" s="811"/>
      <c r="Y665" s="811"/>
      <c r="Z665" s="811"/>
    </row>
    <row r="666">
      <c r="A666" s="811"/>
      <c r="B666" s="854"/>
      <c r="C666" s="855"/>
      <c r="D666" s="811"/>
      <c r="E666" s="811"/>
      <c r="F666" s="816"/>
      <c r="G666" s="811"/>
      <c r="H666" s="811"/>
      <c r="I666" s="811"/>
      <c r="J666" s="811"/>
      <c r="K666" s="811"/>
      <c r="L666" s="816"/>
      <c r="M666" s="811"/>
      <c r="N666" s="811"/>
      <c r="O666" s="811"/>
      <c r="P666" s="811"/>
      <c r="Q666" s="811"/>
      <c r="R666" s="811"/>
      <c r="S666" s="811"/>
      <c r="T666" s="811"/>
      <c r="U666" s="811"/>
      <c r="V666" s="811"/>
      <c r="W666" s="811"/>
      <c r="X666" s="811"/>
      <c r="Y666" s="811"/>
      <c r="Z666" s="811"/>
    </row>
    <row r="667">
      <c r="A667" s="811"/>
      <c r="B667" s="854"/>
      <c r="C667" s="855"/>
      <c r="D667" s="811"/>
      <c r="E667" s="811"/>
      <c r="F667" s="816"/>
      <c r="G667" s="811"/>
      <c r="H667" s="811"/>
      <c r="I667" s="811"/>
      <c r="J667" s="811"/>
      <c r="K667" s="811"/>
      <c r="L667" s="816"/>
      <c r="M667" s="811"/>
      <c r="N667" s="811"/>
      <c r="O667" s="811"/>
      <c r="P667" s="811"/>
      <c r="Q667" s="811"/>
      <c r="R667" s="811"/>
      <c r="S667" s="811"/>
      <c r="T667" s="811"/>
      <c r="U667" s="811"/>
      <c r="V667" s="811"/>
      <c r="W667" s="811"/>
      <c r="X667" s="811"/>
      <c r="Y667" s="811"/>
      <c r="Z667" s="811"/>
    </row>
    <row r="668">
      <c r="A668" s="811"/>
      <c r="B668" s="854"/>
      <c r="C668" s="855"/>
      <c r="D668" s="811"/>
      <c r="E668" s="811"/>
      <c r="F668" s="816"/>
      <c r="G668" s="811"/>
      <c r="H668" s="811"/>
      <c r="I668" s="811"/>
      <c r="J668" s="811"/>
      <c r="K668" s="811"/>
      <c r="L668" s="816"/>
      <c r="M668" s="811"/>
      <c r="N668" s="811"/>
      <c r="O668" s="811"/>
      <c r="P668" s="811"/>
      <c r="Q668" s="811"/>
      <c r="R668" s="811"/>
      <c r="S668" s="811"/>
      <c r="T668" s="811"/>
      <c r="U668" s="811"/>
      <c r="V668" s="811"/>
      <c r="W668" s="811"/>
      <c r="X668" s="811"/>
      <c r="Y668" s="811"/>
      <c r="Z668" s="811"/>
    </row>
    <row r="669">
      <c r="A669" s="811"/>
      <c r="B669" s="854"/>
      <c r="C669" s="855"/>
      <c r="D669" s="811"/>
      <c r="E669" s="811"/>
      <c r="F669" s="816"/>
      <c r="G669" s="811"/>
      <c r="H669" s="811"/>
      <c r="I669" s="811"/>
      <c r="J669" s="811"/>
      <c r="K669" s="811"/>
      <c r="L669" s="816"/>
      <c r="M669" s="811"/>
      <c r="N669" s="811"/>
      <c r="O669" s="811"/>
      <c r="P669" s="811"/>
      <c r="Q669" s="811"/>
      <c r="R669" s="811"/>
      <c r="S669" s="811"/>
      <c r="T669" s="811"/>
      <c r="U669" s="811"/>
      <c r="V669" s="811"/>
      <c r="W669" s="811"/>
      <c r="X669" s="811"/>
      <c r="Y669" s="811"/>
      <c r="Z669" s="811"/>
    </row>
    <row r="670">
      <c r="A670" s="811"/>
      <c r="B670" s="854"/>
      <c r="C670" s="855"/>
      <c r="D670" s="811"/>
      <c r="E670" s="811"/>
      <c r="F670" s="816"/>
      <c r="G670" s="811"/>
      <c r="H670" s="811"/>
      <c r="I670" s="811"/>
      <c r="J670" s="811"/>
      <c r="K670" s="811"/>
      <c r="L670" s="816"/>
      <c r="M670" s="811"/>
      <c r="N670" s="811"/>
      <c r="O670" s="811"/>
      <c r="P670" s="811"/>
      <c r="Q670" s="811"/>
      <c r="R670" s="811"/>
      <c r="S670" s="811"/>
      <c r="T670" s="811"/>
      <c r="U670" s="811"/>
      <c r="V670" s="811"/>
      <c r="W670" s="811"/>
      <c r="X670" s="811"/>
      <c r="Y670" s="811"/>
      <c r="Z670" s="811"/>
    </row>
    <row r="671">
      <c r="A671" s="811"/>
      <c r="B671" s="854"/>
      <c r="C671" s="855"/>
      <c r="D671" s="811"/>
      <c r="E671" s="811"/>
      <c r="F671" s="816"/>
      <c r="G671" s="811"/>
      <c r="H671" s="811"/>
      <c r="I671" s="811"/>
      <c r="J671" s="811"/>
      <c r="K671" s="811"/>
      <c r="L671" s="816"/>
      <c r="M671" s="811"/>
      <c r="N671" s="811"/>
      <c r="O671" s="811"/>
      <c r="P671" s="811"/>
      <c r="Q671" s="811"/>
      <c r="R671" s="811"/>
      <c r="S671" s="811"/>
      <c r="T671" s="811"/>
      <c r="U671" s="811"/>
      <c r="V671" s="811"/>
      <c r="W671" s="811"/>
      <c r="X671" s="811"/>
      <c r="Y671" s="811"/>
      <c r="Z671" s="811"/>
    </row>
    <row r="672">
      <c r="A672" s="811"/>
      <c r="B672" s="854"/>
      <c r="C672" s="855"/>
      <c r="D672" s="811"/>
      <c r="E672" s="811"/>
      <c r="F672" s="816"/>
      <c r="G672" s="811"/>
      <c r="H672" s="811"/>
      <c r="I672" s="811"/>
      <c r="J672" s="811"/>
      <c r="K672" s="811"/>
      <c r="L672" s="816"/>
      <c r="M672" s="811"/>
      <c r="N672" s="811"/>
      <c r="O672" s="811"/>
      <c r="P672" s="811"/>
      <c r="Q672" s="811"/>
      <c r="R672" s="811"/>
      <c r="S672" s="811"/>
      <c r="T672" s="811"/>
      <c r="U672" s="811"/>
      <c r="V672" s="811"/>
      <c r="W672" s="811"/>
      <c r="X672" s="811"/>
      <c r="Y672" s="811"/>
      <c r="Z672" s="811"/>
    </row>
    <row r="673">
      <c r="A673" s="811"/>
      <c r="B673" s="854"/>
      <c r="C673" s="855"/>
      <c r="D673" s="811"/>
      <c r="E673" s="811"/>
      <c r="F673" s="816"/>
      <c r="G673" s="811"/>
      <c r="H673" s="811"/>
      <c r="I673" s="811"/>
      <c r="J673" s="811"/>
      <c r="K673" s="811"/>
      <c r="L673" s="816"/>
      <c r="M673" s="811"/>
      <c r="N673" s="811"/>
      <c r="O673" s="811"/>
      <c r="P673" s="811"/>
      <c r="Q673" s="811"/>
      <c r="R673" s="811"/>
      <c r="S673" s="811"/>
      <c r="T673" s="811"/>
      <c r="U673" s="811"/>
      <c r="V673" s="811"/>
      <c r="W673" s="811"/>
      <c r="X673" s="811"/>
      <c r="Y673" s="811"/>
      <c r="Z673" s="811"/>
    </row>
    <row r="674">
      <c r="A674" s="811"/>
      <c r="B674" s="854"/>
      <c r="C674" s="855"/>
      <c r="D674" s="811"/>
      <c r="E674" s="811"/>
      <c r="F674" s="816"/>
      <c r="G674" s="811"/>
      <c r="H674" s="811"/>
      <c r="I674" s="811"/>
      <c r="J674" s="811"/>
      <c r="K674" s="811"/>
      <c r="L674" s="816"/>
      <c r="M674" s="811"/>
      <c r="N674" s="811"/>
      <c r="O674" s="811"/>
      <c r="P674" s="811"/>
      <c r="Q674" s="811"/>
      <c r="R674" s="811"/>
      <c r="S674" s="811"/>
      <c r="T674" s="811"/>
      <c r="U674" s="811"/>
      <c r="V674" s="811"/>
      <c r="W674" s="811"/>
      <c r="X674" s="811"/>
      <c r="Y674" s="811"/>
      <c r="Z674" s="811"/>
    </row>
    <row r="675">
      <c r="A675" s="811"/>
      <c r="B675" s="854"/>
      <c r="C675" s="855"/>
      <c r="D675" s="811"/>
      <c r="E675" s="811"/>
      <c r="F675" s="816"/>
      <c r="G675" s="811"/>
      <c r="H675" s="811"/>
      <c r="I675" s="811"/>
      <c r="J675" s="811"/>
      <c r="K675" s="811"/>
      <c r="L675" s="816"/>
      <c r="M675" s="811"/>
      <c r="N675" s="811"/>
      <c r="O675" s="811"/>
      <c r="P675" s="811"/>
      <c r="Q675" s="811"/>
      <c r="R675" s="811"/>
      <c r="S675" s="811"/>
      <c r="T675" s="811"/>
      <c r="U675" s="811"/>
      <c r="V675" s="811"/>
      <c r="W675" s="811"/>
      <c r="X675" s="811"/>
      <c r="Y675" s="811"/>
      <c r="Z675" s="811"/>
    </row>
    <row r="676">
      <c r="A676" s="811"/>
      <c r="B676" s="854"/>
      <c r="C676" s="855"/>
      <c r="D676" s="811"/>
      <c r="E676" s="811"/>
      <c r="F676" s="816"/>
      <c r="G676" s="811"/>
      <c r="H676" s="811"/>
      <c r="I676" s="811"/>
      <c r="J676" s="811"/>
      <c r="K676" s="811"/>
      <c r="L676" s="816"/>
      <c r="M676" s="811"/>
      <c r="N676" s="811"/>
      <c r="O676" s="811"/>
      <c r="P676" s="811"/>
      <c r="Q676" s="811"/>
      <c r="R676" s="811"/>
      <c r="S676" s="811"/>
      <c r="T676" s="811"/>
      <c r="U676" s="811"/>
      <c r="V676" s="811"/>
      <c r="W676" s="811"/>
      <c r="X676" s="811"/>
      <c r="Y676" s="811"/>
      <c r="Z676" s="811"/>
    </row>
    <row r="677">
      <c r="A677" s="811"/>
      <c r="B677" s="854"/>
      <c r="C677" s="855"/>
      <c r="D677" s="811"/>
      <c r="E677" s="811"/>
      <c r="F677" s="816"/>
      <c r="G677" s="811"/>
      <c r="H677" s="811"/>
      <c r="I677" s="811"/>
      <c r="J677" s="811"/>
      <c r="K677" s="811"/>
      <c r="L677" s="816"/>
      <c r="M677" s="811"/>
      <c r="N677" s="811"/>
      <c r="O677" s="811"/>
      <c r="P677" s="811"/>
      <c r="Q677" s="811"/>
      <c r="R677" s="811"/>
      <c r="S677" s="811"/>
      <c r="T677" s="811"/>
      <c r="U677" s="811"/>
      <c r="V677" s="811"/>
      <c r="W677" s="811"/>
      <c r="X677" s="811"/>
      <c r="Y677" s="811"/>
      <c r="Z677" s="811"/>
    </row>
    <row r="678">
      <c r="A678" s="811"/>
      <c r="B678" s="854"/>
      <c r="C678" s="855"/>
      <c r="D678" s="811"/>
      <c r="E678" s="811"/>
      <c r="F678" s="816"/>
      <c r="G678" s="811"/>
      <c r="H678" s="811"/>
      <c r="I678" s="811"/>
      <c r="J678" s="811"/>
      <c r="K678" s="811"/>
      <c r="L678" s="816"/>
      <c r="M678" s="811"/>
      <c r="N678" s="811"/>
      <c r="O678" s="811"/>
      <c r="P678" s="811"/>
      <c r="Q678" s="811"/>
      <c r="R678" s="811"/>
      <c r="S678" s="811"/>
      <c r="T678" s="811"/>
      <c r="U678" s="811"/>
      <c r="V678" s="811"/>
      <c r="W678" s="811"/>
      <c r="X678" s="811"/>
      <c r="Y678" s="811"/>
      <c r="Z678" s="811"/>
    </row>
    <row r="679">
      <c r="A679" s="811"/>
      <c r="B679" s="854"/>
      <c r="C679" s="855"/>
      <c r="D679" s="811"/>
      <c r="E679" s="811"/>
      <c r="F679" s="816"/>
      <c r="G679" s="811"/>
      <c r="H679" s="811"/>
      <c r="I679" s="811"/>
      <c r="J679" s="811"/>
      <c r="K679" s="811"/>
      <c r="L679" s="816"/>
      <c r="M679" s="811"/>
      <c r="N679" s="811"/>
      <c r="O679" s="811"/>
      <c r="P679" s="811"/>
      <c r="Q679" s="811"/>
      <c r="R679" s="811"/>
      <c r="S679" s="811"/>
      <c r="T679" s="811"/>
      <c r="U679" s="811"/>
      <c r="V679" s="811"/>
      <c r="W679" s="811"/>
      <c r="X679" s="811"/>
      <c r="Y679" s="811"/>
      <c r="Z679" s="811"/>
    </row>
    <row r="680">
      <c r="A680" s="811"/>
      <c r="B680" s="854"/>
      <c r="C680" s="855"/>
      <c r="D680" s="811"/>
      <c r="E680" s="811"/>
      <c r="F680" s="816"/>
      <c r="G680" s="811"/>
      <c r="H680" s="811"/>
      <c r="I680" s="811"/>
      <c r="J680" s="811"/>
      <c r="K680" s="811"/>
      <c r="L680" s="816"/>
      <c r="M680" s="811"/>
      <c r="N680" s="811"/>
      <c r="O680" s="811"/>
      <c r="P680" s="811"/>
      <c r="Q680" s="811"/>
      <c r="R680" s="811"/>
      <c r="S680" s="811"/>
      <c r="T680" s="811"/>
      <c r="U680" s="811"/>
      <c r="V680" s="811"/>
      <c r="W680" s="811"/>
      <c r="X680" s="811"/>
      <c r="Y680" s="811"/>
      <c r="Z680" s="811"/>
    </row>
    <row r="681">
      <c r="A681" s="811"/>
      <c r="B681" s="854"/>
      <c r="C681" s="855"/>
      <c r="D681" s="811"/>
      <c r="E681" s="811"/>
      <c r="F681" s="816"/>
      <c r="G681" s="811"/>
      <c r="H681" s="811"/>
      <c r="I681" s="811"/>
      <c r="J681" s="811"/>
      <c r="K681" s="811"/>
      <c r="L681" s="816"/>
      <c r="M681" s="811"/>
      <c r="N681" s="811"/>
      <c r="O681" s="811"/>
      <c r="P681" s="811"/>
      <c r="Q681" s="811"/>
      <c r="R681" s="811"/>
      <c r="S681" s="811"/>
      <c r="T681" s="811"/>
      <c r="U681" s="811"/>
      <c r="V681" s="811"/>
      <c r="W681" s="811"/>
      <c r="X681" s="811"/>
      <c r="Y681" s="811"/>
      <c r="Z681" s="811"/>
    </row>
    <row r="682">
      <c r="A682" s="811"/>
      <c r="B682" s="854"/>
      <c r="C682" s="855"/>
      <c r="D682" s="811"/>
      <c r="E682" s="811"/>
      <c r="F682" s="816"/>
      <c r="G682" s="811"/>
      <c r="H682" s="811"/>
      <c r="I682" s="811"/>
      <c r="J682" s="811"/>
      <c r="K682" s="811"/>
      <c r="L682" s="816"/>
      <c r="M682" s="811"/>
      <c r="N682" s="811"/>
      <c r="O682" s="811"/>
      <c r="P682" s="811"/>
      <c r="Q682" s="811"/>
      <c r="R682" s="811"/>
      <c r="S682" s="811"/>
      <c r="T682" s="811"/>
      <c r="U682" s="811"/>
      <c r="V682" s="811"/>
      <c r="W682" s="811"/>
      <c r="X682" s="811"/>
      <c r="Y682" s="811"/>
      <c r="Z682" s="811"/>
    </row>
    <row r="683">
      <c r="A683" s="811"/>
      <c r="B683" s="854"/>
      <c r="C683" s="855"/>
      <c r="D683" s="811"/>
      <c r="E683" s="811"/>
      <c r="F683" s="816"/>
      <c r="G683" s="811"/>
      <c r="H683" s="811"/>
      <c r="I683" s="811"/>
      <c r="J683" s="811"/>
      <c r="K683" s="811"/>
      <c r="L683" s="816"/>
      <c r="M683" s="811"/>
      <c r="N683" s="811"/>
      <c r="O683" s="811"/>
      <c r="P683" s="811"/>
      <c r="Q683" s="811"/>
      <c r="R683" s="811"/>
      <c r="S683" s="811"/>
      <c r="T683" s="811"/>
      <c r="U683" s="811"/>
      <c r="V683" s="811"/>
      <c r="W683" s="811"/>
      <c r="X683" s="811"/>
      <c r="Y683" s="811"/>
      <c r="Z683" s="811"/>
    </row>
    <row r="684">
      <c r="A684" s="811"/>
      <c r="B684" s="854"/>
      <c r="C684" s="855"/>
      <c r="D684" s="811"/>
      <c r="E684" s="811"/>
      <c r="F684" s="816"/>
      <c r="G684" s="811"/>
      <c r="H684" s="811"/>
      <c r="I684" s="811"/>
      <c r="J684" s="811"/>
      <c r="K684" s="811"/>
      <c r="L684" s="816"/>
      <c r="M684" s="811"/>
      <c r="N684" s="811"/>
      <c r="O684" s="811"/>
      <c r="P684" s="811"/>
      <c r="Q684" s="811"/>
      <c r="R684" s="811"/>
      <c r="S684" s="811"/>
      <c r="T684" s="811"/>
      <c r="U684" s="811"/>
      <c r="V684" s="811"/>
      <c r="W684" s="811"/>
      <c r="X684" s="811"/>
      <c r="Y684" s="811"/>
      <c r="Z684" s="811"/>
    </row>
    <row r="685">
      <c r="A685" s="811"/>
      <c r="B685" s="854"/>
      <c r="C685" s="855"/>
      <c r="D685" s="811"/>
      <c r="E685" s="811"/>
      <c r="F685" s="816"/>
      <c r="G685" s="811"/>
      <c r="H685" s="811"/>
      <c r="I685" s="811"/>
      <c r="J685" s="811"/>
      <c r="K685" s="811"/>
      <c r="L685" s="816"/>
      <c r="M685" s="811"/>
      <c r="N685" s="811"/>
      <c r="O685" s="811"/>
      <c r="P685" s="811"/>
      <c r="Q685" s="811"/>
      <c r="R685" s="811"/>
      <c r="S685" s="811"/>
      <c r="T685" s="811"/>
      <c r="U685" s="811"/>
      <c r="V685" s="811"/>
      <c r="W685" s="811"/>
      <c r="X685" s="811"/>
      <c r="Y685" s="811"/>
      <c r="Z685" s="811"/>
    </row>
    <row r="686">
      <c r="A686" s="811"/>
      <c r="B686" s="854"/>
      <c r="C686" s="855"/>
      <c r="D686" s="811"/>
      <c r="E686" s="811"/>
      <c r="F686" s="816"/>
      <c r="G686" s="811"/>
      <c r="H686" s="811"/>
      <c r="I686" s="811"/>
      <c r="J686" s="811"/>
      <c r="K686" s="811"/>
      <c r="L686" s="816"/>
      <c r="M686" s="811"/>
      <c r="N686" s="811"/>
      <c r="O686" s="811"/>
      <c r="P686" s="811"/>
      <c r="Q686" s="811"/>
      <c r="R686" s="811"/>
      <c r="S686" s="811"/>
      <c r="T686" s="811"/>
      <c r="U686" s="811"/>
      <c r="V686" s="811"/>
      <c r="W686" s="811"/>
      <c r="X686" s="811"/>
      <c r="Y686" s="811"/>
      <c r="Z686" s="811"/>
    </row>
    <row r="687">
      <c r="A687" s="811"/>
      <c r="B687" s="854"/>
      <c r="C687" s="855"/>
      <c r="D687" s="811"/>
      <c r="E687" s="811"/>
      <c r="F687" s="816"/>
      <c r="G687" s="811"/>
      <c r="H687" s="811"/>
      <c r="I687" s="811"/>
      <c r="J687" s="811"/>
      <c r="K687" s="811"/>
      <c r="L687" s="816"/>
      <c r="M687" s="811"/>
      <c r="N687" s="811"/>
      <c r="O687" s="811"/>
      <c r="P687" s="811"/>
      <c r="Q687" s="811"/>
      <c r="R687" s="811"/>
      <c r="S687" s="811"/>
      <c r="T687" s="811"/>
      <c r="U687" s="811"/>
      <c r="V687" s="811"/>
      <c r="W687" s="811"/>
      <c r="X687" s="811"/>
      <c r="Y687" s="811"/>
      <c r="Z687" s="811"/>
    </row>
    <row r="688">
      <c r="A688" s="811"/>
      <c r="B688" s="854"/>
      <c r="C688" s="855"/>
      <c r="D688" s="811"/>
      <c r="E688" s="811"/>
      <c r="F688" s="816"/>
      <c r="G688" s="811"/>
      <c r="H688" s="811"/>
      <c r="I688" s="811"/>
      <c r="J688" s="811"/>
      <c r="K688" s="811"/>
      <c r="L688" s="816"/>
      <c r="M688" s="811"/>
      <c r="N688" s="811"/>
      <c r="O688" s="811"/>
      <c r="P688" s="811"/>
      <c r="Q688" s="811"/>
      <c r="R688" s="811"/>
      <c r="S688" s="811"/>
      <c r="T688" s="811"/>
      <c r="U688" s="811"/>
      <c r="V688" s="811"/>
      <c r="W688" s="811"/>
      <c r="X688" s="811"/>
      <c r="Y688" s="811"/>
      <c r="Z688" s="811"/>
    </row>
    <row r="689">
      <c r="A689" s="811"/>
      <c r="B689" s="854"/>
      <c r="C689" s="855"/>
      <c r="D689" s="811"/>
      <c r="E689" s="811"/>
      <c r="F689" s="816"/>
      <c r="G689" s="811"/>
      <c r="H689" s="811"/>
      <c r="I689" s="811"/>
      <c r="J689" s="811"/>
      <c r="K689" s="811"/>
      <c r="L689" s="816"/>
      <c r="M689" s="811"/>
      <c r="N689" s="811"/>
      <c r="O689" s="811"/>
      <c r="P689" s="811"/>
      <c r="Q689" s="811"/>
      <c r="R689" s="811"/>
      <c r="S689" s="811"/>
      <c r="T689" s="811"/>
      <c r="U689" s="811"/>
      <c r="V689" s="811"/>
      <c r="W689" s="811"/>
      <c r="X689" s="811"/>
      <c r="Y689" s="811"/>
      <c r="Z689" s="811"/>
    </row>
    <row r="690">
      <c r="A690" s="811"/>
      <c r="B690" s="854"/>
      <c r="C690" s="855"/>
      <c r="D690" s="811"/>
      <c r="E690" s="811"/>
      <c r="F690" s="816"/>
      <c r="G690" s="811"/>
      <c r="H690" s="811"/>
      <c r="I690" s="811"/>
      <c r="J690" s="811"/>
      <c r="K690" s="811"/>
      <c r="L690" s="816"/>
      <c r="M690" s="811"/>
      <c r="N690" s="811"/>
      <c r="O690" s="811"/>
      <c r="P690" s="811"/>
      <c r="Q690" s="811"/>
      <c r="R690" s="811"/>
      <c r="S690" s="811"/>
      <c r="T690" s="811"/>
      <c r="U690" s="811"/>
      <c r="V690" s="811"/>
      <c r="W690" s="811"/>
      <c r="X690" s="811"/>
      <c r="Y690" s="811"/>
      <c r="Z690" s="811"/>
    </row>
    <row r="691">
      <c r="A691" s="811"/>
      <c r="B691" s="854"/>
      <c r="C691" s="855"/>
      <c r="D691" s="811"/>
      <c r="E691" s="811"/>
      <c r="F691" s="816"/>
      <c r="G691" s="811"/>
      <c r="H691" s="811"/>
      <c r="I691" s="811"/>
      <c r="J691" s="811"/>
      <c r="K691" s="811"/>
      <c r="L691" s="816"/>
      <c r="M691" s="811"/>
      <c r="N691" s="811"/>
      <c r="O691" s="811"/>
      <c r="P691" s="811"/>
      <c r="Q691" s="811"/>
      <c r="R691" s="811"/>
      <c r="S691" s="811"/>
      <c r="T691" s="811"/>
      <c r="U691" s="811"/>
      <c r="V691" s="811"/>
      <c r="W691" s="811"/>
      <c r="X691" s="811"/>
      <c r="Y691" s="811"/>
      <c r="Z691" s="811"/>
    </row>
    <row r="692">
      <c r="A692" s="811"/>
      <c r="B692" s="854"/>
      <c r="C692" s="855"/>
      <c r="D692" s="811"/>
      <c r="E692" s="811"/>
      <c r="F692" s="816"/>
      <c r="G692" s="811"/>
      <c r="H692" s="811"/>
      <c r="I692" s="811"/>
      <c r="J692" s="811"/>
      <c r="K692" s="811"/>
      <c r="L692" s="816"/>
      <c r="M692" s="811"/>
      <c r="N692" s="811"/>
      <c r="O692" s="811"/>
      <c r="P692" s="811"/>
      <c r="Q692" s="811"/>
      <c r="R692" s="811"/>
      <c r="S692" s="811"/>
      <c r="T692" s="811"/>
      <c r="U692" s="811"/>
      <c r="V692" s="811"/>
      <c r="W692" s="811"/>
      <c r="X692" s="811"/>
      <c r="Y692" s="811"/>
      <c r="Z692" s="811"/>
    </row>
    <row r="693">
      <c r="A693" s="811"/>
      <c r="B693" s="854"/>
      <c r="C693" s="855"/>
      <c r="D693" s="811"/>
      <c r="E693" s="811"/>
      <c r="F693" s="816"/>
      <c r="G693" s="811"/>
      <c r="H693" s="811"/>
      <c r="I693" s="811"/>
      <c r="J693" s="811"/>
      <c r="K693" s="811"/>
      <c r="L693" s="816"/>
      <c r="M693" s="811"/>
      <c r="N693" s="811"/>
      <c r="O693" s="811"/>
      <c r="P693" s="811"/>
      <c r="Q693" s="811"/>
      <c r="R693" s="811"/>
      <c r="S693" s="811"/>
      <c r="T693" s="811"/>
      <c r="U693" s="811"/>
      <c r="V693" s="811"/>
      <c r="W693" s="811"/>
      <c r="X693" s="811"/>
      <c r="Y693" s="811"/>
      <c r="Z693" s="811"/>
    </row>
    <row r="694">
      <c r="A694" s="811"/>
      <c r="B694" s="854"/>
      <c r="C694" s="855"/>
      <c r="D694" s="811"/>
      <c r="E694" s="811"/>
      <c r="F694" s="816"/>
      <c r="G694" s="811"/>
      <c r="H694" s="811"/>
      <c r="I694" s="811"/>
      <c r="J694" s="811"/>
      <c r="K694" s="811"/>
      <c r="L694" s="816"/>
      <c r="M694" s="811"/>
      <c r="N694" s="811"/>
      <c r="O694" s="811"/>
      <c r="P694" s="811"/>
      <c r="Q694" s="811"/>
      <c r="R694" s="811"/>
      <c r="S694" s="811"/>
      <c r="T694" s="811"/>
      <c r="U694" s="811"/>
      <c r="V694" s="811"/>
      <c r="W694" s="811"/>
      <c r="X694" s="811"/>
      <c r="Y694" s="811"/>
      <c r="Z694" s="811"/>
    </row>
    <row r="695">
      <c r="A695" s="811"/>
      <c r="B695" s="854"/>
      <c r="C695" s="855"/>
      <c r="D695" s="811"/>
      <c r="E695" s="811"/>
      <c r="F695" s="816"/>
      <c r="G695" s="811"/>
      <c r="H695" s="811"/>
      <c r="I695" s="811"/>
      <c r="J695" s="811"/>
      <c r="K695" s="811"/>
      <c r="L695" s="816"/>
      <c r="M695" s="811"/>
      <c r="N695" s="811"/>
      <c r="O695" s="811"/>
      <c r="P695" s="811"/>
      <c r="Q695" s="811"/>
      <c r="R695" s="811"/>
      <c r="S695" s="811"/>
      <c r="T695" s="811"/>
      <c r="U695" s="811"/>
      <c r="V695" s="811"/>
      <c r="W695" s="811"/>
      <c r="X695" s="811"/>
      <c r="Y695" s="811"/>
      <c r="Z695" s="811"/>
    </row>
    <row r="696">
      <c r="A696" s="811"/>
      <c r="B696" s="854"/>
      <c r="C696" s="855"/>
      <c r="D696" s="811"/>
      <c r="E696" s="811"/>
      <c r="F696" s="816"/>
      <c r="G696" s="811"/>
      <c r="H696" s="811"/>
      <c r="I696" s="811"/>
      <c r="J696" s="811"/>
      <c r="K696" s="811"/>
      <c r="L696" s="816"/>
      <c r="M696" s="811"/>
      <c r="N696" s="811"/>
      <c r="O696" s="811"/>
      <c r="P696" s="811"/>
      <c r="Q696" s="811"/>
      <c r="R696" s="811"/>
      <c r="S696" s="811"/>
      <c r="T696" s="811"/>
      <c r="U696" s="811"/>
      <c r="V696" s="811"/>
      <c r="W696" s="811"/>
      <c r="X696" s="811"/>
      <c r="Y696" s="811"/>
      <c r="Z696" s="811"/>
    </row>
    <row r="697">
      <c r="A697" s="811"/>
      <c r="B697" s="854"/>
      <c r="C697" s="855"/>
      <c r="D697" s="811"/>
      <c r="E697" s="811"/>
      <c r="F697" s="816"/>
      <c r="G697" s="811"/>
      <c r="H697" s="811"/>
      <c r="I697" s="811"/>
      <c r="J697" s="811"/>
      <c r="K697" s="811"/>
      <c r="L697" s="816"/>
      <c r="M697" s="811"/>
      <c r="N697" s="811"/>
      <c r="O697" s="811"/>
      <c r="P697" s="811"/>
      <c r="Q697" s="811"/>
      <c r="R697" s="811"/>
      <c r="S697" s="811"/>
      <c r="T697" s="811"/>
      <c r="U697" s="811"/>
      <c r="V697" s="811"/>
      <c r="W697" s="811"/>
      <c r="X697" s="811"/>
      <c r="Y697" s="811"/>
      <c r="Z697" s="811"/>
    </row>
    <row r="698">
      <c r="A698" s="811"/>
      <c r="B698" s="854"/>
      <c r="C698" s="855"/>
      <c r="D698" s="811"/>
      <c r="E698" s="811"/>
      <c r="F698" s="816"/>
      <c r="G698" s="811"/>
      <c r="H698" s="811"/>
      <c r="I698" s="811"/>
      <c r="J698" s="811"/>
      <c r="K698" s="811"/>
      <c r="L698" s="816"/>
      <c r="M698" s="811"/>
      <c r="N698" s="811"/>
      <c r="O698" s="811"/>
      <c r="P698" s="811"/>
      <c r="Q698" s="811"/>
      <c r="R698" s="811"/>
      <c r="S698" s="811"/>
      <c r="T698" s="811"/>
      <c r="U698" s="811"/>
      <c r="V698" s="811"/>
      <c r="W698" s="811"/>
      <c r="X698" s="811"/>
      <c r="Y698" s="811"/>
      <c r="Z698" s="811"/>
    </row>
    <row r="699">
      <c r="A699" s="811"/>
      <c r="B699" s="854"/>
      <c r="C699" s="855"/>
      <c r="D699" s="811"/>
      <c r="E699" s="811"/>
      <c r="F699" s="816"/>
      <c r="G699" s="811"/>
      <c r="H699" s="811"/>
      <c r="I699" s="811"/>
      <c r="J699" s="811"/>
      <c r="K699" s="811"/>
      <c r="L699" s="816"/>
      <c r="M699" s="811"/>
      <c r="N699" s="811"/>
      <c r="O699" s="811"/>
      <c r="P699" s="811"/>
      <c r="Q699" s="811"/>
      <c r="R699" s="811"/>
      <c r="S699" s="811"/>
      <c r="T699" s="811"/>
      <c r="U699" s="811"/>
      <c r="V699" s="811"/>
      <c r="W699" s="811"/>
      <c r="X699" s="811"/>
      <c r="Y699" s="811"/>
      <c r="Z699" s="811"/>
    </row>
    <row r="700">
      <c r="A700" s="811"/>
      <c r="B700" s="854"/>
      <c r="C700" s="855"/>
      <c r="D700" s="811"/>
      <c r="E700" s="811"/>
      <c r="F700" s="816"/>
      <c r="G700" s="811"/>
      <c r="H700" s="811"/>
      <c r="I700" s="811"/>
      <c r="J700" s="811"/>
      <c r="K700" s="811"/>
      <c r="L700" s="816"/>
      <c r="M700" s="811"/>
      <c r="N700" s="811"/>
      <c r="O700" s="811"/>
      <c r="P700" s="811"/>
      <c r="Q700" s="811"/>
      <c r="R700" s="811"/>
      <c r="S700" s="811"/>
      <c r="T700" s="811"/>
      <c r="U700" s="811"/>
      <c r="V700" s="811"/>
      <c r="W700" s="811"/>
      <c r="X700" s="811"/>
      <c r="Y700" s="811"/>
      <c r="Z700" s="811"/>
    </row>
    <row r="701">
      <c r="A701" s="811"/>
      <c r="B701" s="854"/>
      <c r="C701" s="855"/>
      <c r="D701" s="811"/>
      <c r="E701" s="811"/>
      <c r="F701" s="816"/>
      <c r="G701" s="811"/>
      <c r="H701" s="811"/>
      <c r="I701" s="811"/>
      <c r="J701" s="811"/>
      <c r="K701" s="811"/>
      <c r="L701" s="816"/>
      <c r="M701" s="811"/>
      <c r="N701" s="811"/>
      <c r="O701" s="811"/>
      <c r="P701" s="811"/>
      <c r="Q701" s="811"/>
      <c r="R701" s="811"/>
      <c r="S701" s="811"/>
      <c r="T701" s="811"/>
      <c r="U701" s="811"/>
      <c r="V701" s="811"/>
      <c r="W701" s="811"/>
      <c r="X701" s="811"/>
      <c r="Y701" s="811"/>
      <c r="Z701" s="811"/>
    </row>
    <row r="702">
      <c r="A702" s="811"/>
      <c r="B702" s="854"/>
      <c r="C702" s="855"/>
      <c r="D702" s="811"/>
      <c r="E702" s="811"/>
      <c r="F702" s="816"/>
      <c r="G702" s="811"/>
      <c r="H702" s="811"/>
      <c r="I702" s="811"/>
      <c r="J702" s="811"/>
      <c r="K702" s="811"/>
      <c r="L702" s="816"/>
      <c r="M702" s="811"/>
      <c r="N702" s="811"/>
      <c r="O702" s="811"/>
      <c r="P702" s="811"/>
      <c r="Q702" s="811"/>
      <c r="R702" s="811"/>
      <c r="S702" s="811"/>
      <c r="T702" s="811"/>
      <c r="U702" s="811"/>
      <c r="V702" s="811"/>
      <c r="W702" s="811"/>
      <c r="X702" s="811"/>
      <c r="Y702" s="811"/>
      <c r="Z702" s="811"/>
    </row>
    <row r="703">
      <c r="A703" s="811"/>
      <c r="B703" s="854"/>
      <c r="C703" s="855"/>
      <c r="D703" s="811"/>
      <c r="E703" s="811"/>
      <c r="F703" s="816"/>
      <c r="G703" s="811"/>
      <c r="H703" s="811"/>
      <c r="I703" s="811"/>
      <c r="J703" s="811"/>
      <c r="K703" s="811"/>
      <c r="L703" s="816"/>
      <c r="M703" s="811"/>
      <c r="N703" s="811"/>
      <c r="O703" s="811"/>
      <c r="P703" s="811"/>
      <c r="Q703" s="811"/>
      <c r="R703" s="811"/>
      <c r="S703" s="811"/>
      <c r="T703" s="811"/>
      <c r="U703" s="811"/>
      <c r="V703" s="811"/>
      <c r="W703" s="811"/>
      <c r="X703" s="811"/>
      <c r="Y703" s="811"/>
      <c r="Z703" s="811"/>
    </row>
    <row r="704">
      <c r="A704" s="811"/>
      <c r="B704" s="854"/>
      <c r="C704" s="855"/>
      <c r="D704" s="811"/>
      <c r="E704" s="811"/>
      <c r="F704" s="816"/>
      <c r="G704" s="811"/>
      <c r="H704" s="811"/>
      <c r="I704" s="811"/>
      <c r="J704" s="811"/>
      <c r="K704" s="811"/>
      <c r="L704" s="816"/>
      <c r="M704" s="811"/>
      <c r="N704" s="811"/>
      <c r="O704" s="811"/>
      <c r="P704" s="811"/>
      <c r="Q704" s="811"/>
      <c r="R704" s="811"/>
      <c r="S704" s="811"/>
      <c r="T704" s="811"/>
      <c r="U704" s="811"/>
      <c r="V704" s="811"/>
      <c r="W704" s="811"/>
      <c r="X704" s="811"/>
      <c r="Y704" s="811"/>
      <c r="Z704" s="811"/>
    </row>
    <row r="705">
      <c r="A705" s="811"/>
      <c r="B705" s="854"/>
      <c r="C705" s="855"/>
      <c r="D705" s="811"/>
      <c r="E705" s="811"/>
      <c r="F705" s="816"/>
      <c r="G705" s="811"/>
      <c r="H705" s="811"/>
      <c r="I705" s="811"/>
      <c r="J705" s="811"/>
      <c r="K705" s="811"/>
      <c r="L705" s="816"/>
      <c r="M705" s="811"/>
      <c r="N705" s="811"/>
      <c r="O705" s="811"/>
      <c r="P705" s="811"/>
      <c r="Q705" s="811"/>
      <c r="R705" s="811"/>
      <c r="S705" s="811"/>
      <c r="T705" s="811"/>
      <c r="U705" s="811"/>
      <c r="V705" s="811"/>
      <c r="W705" s="811"/>
      <c r="X705" s="811"/>
      <c r="Y705" s="811"/>
      <c r="Z705" s="811"/>
    </row>
    <row r="706">
      <c r="A706" s="811"/>
      <c r="B706" s="854"/>
      <c r="C706" s="855"/>
      <c r="D706" s="811"/>
      <c r="E706" s="811"/>
      <c r="F706" s="816"/>
      <c r="G706" s="811"/>
      <c r="H706" s="811"/>
      <c r="I706" s="811"/>
      <c r="J706" s="811"/>
      <c r="K706" s="811"/>
      <c r="L706" s="816"/>
      <c r="M706" s="811"/>
      <c r="N706" s="811"/>
      <c r="O706" s="811"/>
      <c r="P706" s="811"/>
      <c r="Q706" s="811"/>
      <c r="R706" s="811"/>
      <c r="S706" s="811"/>
      <c r="T706" s="811"/>
      <c r="U706" s="811"/>
      <c r="V706" s="811"/>
      <c r="W706" s="811"/>
      <c r="X706" s="811"/>
      <c r="Y706" s="811"/>
      <c r="Z706" s="811"/>
    </row>
    <row r="707">
      <c r="A707" s="811"/>
      <c r="B707" s="854"/>
      <c r="C707" s="855"/>
      <c r="D707" s="811"/>
      <c r="E707" s="811"/>
      <c r="F707" s="816"/>
      <c r="G707" s="811"/>
      <c r="H707" s="811"/>
      <c r="I707" s="811"/>
      <c r="J707" s="811"/>
      <c r="K707" s="811"/>
      <c r="L707" s="816"/>
      <c r="M707" s="811"/>
      <c r="N707" s="811"/>
      <c r="O707" s="811"/>
      <c r="P707" s="811"/>
      <c r="Q707" s="811"/>
      <c r="R707" s="811"/>
      <c r="S707" s="811"/>
      <c r="T707" s="811"/>
      <c r="U707" s="811"/>
      <c r="V707" s="811"/>
      <c r="W707" s="811"/>
      <c r="X707" s="811"/>
      <c r="Y707" s="811"/>
      <c r="Z707" s="811"/>
    </row>
    <row r="708">
      <c r="A708" s="811"/>
      <c r="B708" s="854"/>
      <c r="C708" s="855"/>
      <c r="D708" s="811"/>
      <c r="E708" s="811"/>
      <c r="F708" s="816"/>
      <c r="G708" s="811"/>
      <c r="H708" s="811"/>
      <c r="I708" s="811"/>
      <c r="J708" s="811"/>
      <c r="K708" s="811"/>
      <c r="L708" s="816"/>
      <c r="M708" s="811"/>
      <c r="N708" s="811"/>
      <c r="O708" s="811"/>
      <c r="P708" s="811"/>
      <c r="Q708" s="811"/>
      <c r="R708" s="811"/>
      <c r="S708" s="811"/>
      <c r="T708" s="811"/>
      <c r="U708" s="811"/>
      <c r="V708" s="811"/>
      <c r="W708" s="811"/>
      <c r="X708" s="811"/>
      <c r="Y708" s="811"/>
      <c r="Z708" s="811"/>
    </row>
    <row r="709">
      <c r="A709" s="811"/>
      <c r="B709" s="854"/>
      <c r="C709" s="855"/>
      <c r="D709" s="811"/>
      <c r="E709" s="811"/>
      <c r="F709" s="816"/>
      <c r="G709" s="811"/>
      <c r="H709" s="811"/>
      <c r="I709" s="811"/>
      <c r="J709" s="811"/>
      <c r="K709" s="811"/>
      <c r="L709" s="816"/>
      <c r="M709" s="811"/>
      <c r="N709" s="811"/>
      <c r="O709" s="811"/>
      <c r="P709" s="811"/>
      <c r="Q709" s="811"/>
      <c r="R709" s="811"/>
      <c r="S709" s="811"/>
      <c r="T709" s="811"/>
      <c r="U709" s="811"/>
      <c r="V709" s="811"/>
      <c r="W709" s="811"/>
      <c r="X709" s="811"/>
      <c r="Y709" s="811"/>
      <c r="Z709" s="811"/>
    </row>
    <row r="710">
      <c r="A710" s="811"/>
      <c r="B710" s="854"/>
      <c r="C710" s="855"/>
      <c r="D710" s="811"/>
      <c r="E710" s="811"/>
      <c r="F710" s="816"/>
      <c r="G710" s="811"/>
      <c r="H710" s="811"/>
      <c r="I710" s="811"/>
      <c r="J710" s="811"/>
      <c r="K710" s="811"/>
      <c r="L710" s="816"/>
      <c r="M710" s="811"/>
      <c r="N710" s="811"/>
      <c r="O710" s="811"/>
      <c r="P710" s="811"/>
      <c r="Q710" s="811"/>
      <c r="R710" s="811"/>
      <c r="S710" s="811"/>
      <c r="T710" s="811"/>
      <c r="U710" s="811"/>
      <c r="V710" s="811"/>
      <c r="W710" s="811"/>
      <c r="X710" s="811"/>
      <c r="Y710" s="811"/>
      <c r="Z710" s="811"/>
    </row>
    <row r="711">
      <c r="A711" s="811"/>
      <c r="B711" s="854"/>
      <c r="C711" s="855"/>
      <c r="D711" s="811"/>
      <c r="E711" s="811"/>
      <c r="F711" s="816"/>
      <c r="G711" s="811"/>
      <c r="H711" s="811"/>
      <c r="I711" s="811"/>
      <c r="J711" s="811"/>
      <c r="K711" s="811"/>
      <c r="L711" s="816"/>
      <c r="M711" s="811"/>
      <c r="N711" s="811"/>
      <c r="O711" s="811"/>
      <c r="P711" s="811"/>
      <c r="Q711" s="811"/>
      <c r="R711" s="811"/>
      <c r="S711" s="811"/>
      <c r="T711" s="811"/>
      <c r="U711" s="811"/>
      <c r="V711" s="811"/>
      <c r="W711" s="811"/>
      <c r="X711" s="811"/>
      <c r="Y711" s="811"/>
      <c r="Z711" s="811"/>
    </row>
    <row r="712">
      <c r="A712" s="811"/>
      <c r="B712" s="854"/>
      <c r="C712" s="855"/>
      <c r="D712" s="811"/>
      <c r="E712" s="811"/>
      <c r="F712" s="816"/>
      <c r="G712" s="811"/>
      <c r="H712" s="811"/>
      <c r="I712" s="811"/>
      <c r="J712" s="811"/>
      <c r="K712" s="811"/>
      <c r="L712" s="816"/>
      <c r="M712" s="811"/>
      <c r="N712" s="811"/>
      <c r="O712" s="811"/>
      <c r="P712" s="811"/>
      <c r="Q712" s="811"/>
      <c r="R712" s="811"/>
      <c r="S712" s="811"/>
      <c r="T712" s="811"/>
      <c r="U712" s="811"/>
      <c r="V712" s="811"/>
      <c r="W712" s="811"/>
      <c r="X712" s="811"/>
      <c r="Y712" s="811"/>
      <c r="Z712" s="811"/>
    </row>
    <row r="713">
      <c r="A713" s="811"/>
      <c r="B713" s="854"/>
      <c r="C713" s="855"/>
      <c r="D713" s="811"/>
      <c r="E713" s="811"/>
      <c r="F713" s="816"/>
      <c r="G713" s="811"/>
      <c r="H713" s="811"/>
      <c r="I713" s="811"/>
      <c r="J713" s="811"/>
      <c r="K713" s="811"/>
      <c r="L713" s="816"/>
      <c r="M713" s="811"/>
      <c r="N713" s="811"/>
      <c r="O713" s="811"/>
      <c r="P713" s="811"/>
      <c r="Q713" s="811"/>
      <c r="R713" s="811"/>
      <c r="S713" s="811"/>
      <c r="T713" s="811"/>
      <c r="U713" s="811"/>
      <c r="V713" s="811"/>
      <c r="W713" s="811"/>
      <c r="X713" s="811"/>
      <c r="Y713" s="811"/>
      <c r="Z713" s="811"/>
    </row>
    <row r="714">
      <c r="A714" s="811"/>
      <c r="B714" s="854"/>
      <c r="C714" s="855"/>
      <c r="D714" s="811"/>
      <c r="E714" s="811"/>
      <c r="F714" s="816"/>
      <c r="G714" s="811"/>
      <c r="H714" s="811"/>
      <c r="I714" s="811"/>
      <c r="J714" s="811"/>
      <c r="K714" s="811"/>
      <c r="L714" s="816"/>
      <c r="M714" s="811"/>
      <c r="N714" s="811"/>
      <c r="O714" s="811"/>
      <c r="P714" s="811"/>
      <c r="Q714" s="811"/>
      <c r="R714" s="811"/>
      <c r="S714" s="811"/>
      <c r="T714" s="811"/>
      <c r="U714" s="811"/>
      <c r="V714" s="811"/>
      <c r="W714" s="811"/>
      <c r="X714" s="811"/>
      <c r="Y714" s="811"/>
      <c r="Z714" s="811"/>
    </row>
    <row r="715">
      <c r="A715" s="811"/>
      <c r="B715" s="854"/>
      <c r="C715" s="855"/>
      <c r="D715" s="811"/>
      <c r="E715" s="811"/>
      <c r="F715" s="816"/>
      <c r="G715" s="811"/>
      <c r="H715" s="811"/>
      <c r="I715" s="811"/>
      <c r="J715" s="811"/>
      <c r="K715" s="811"/>
      <c r="L715" s="816"/>
      <c r="M715" s="811"/>
      <c r="N715" s="811"/>
      <c r="O715" s="811"/>
      <c r="P715" s="811"/>
      <c r="Q715" s="811"/>
      <c r="R715" s="811"/>
      <c r="S715" s="811"/>
      <c r="T715" s="811"/>
      <c r="U715" s="811"/>
      <c r="V715" s="811"/>
      <c r="W715" s="811"/>
      <c r="X715" s="811"/>
      <c r="Y715" s="811"/>
      <c r="Z715" s="811"/>
    </row>
    <row r="716">
      <c r="A716" s="811"/>
      <c r="B716" s="854"/>
      <c r="C716" s="855"/>
      <c r="D716" s="811"/>
      <c r="E716" s="811"/>
      <c r="F716" s="816"/>
      <c r="G716" s="811"/>
      <c r="H716" s="811"/>
      <c r="I716" s="811"/>
      <c r="J716" s="811"/>
      <c r="K716" s="811"/>
      <c r="L716" s="816"/>
      <c r="M716" s="811"/>
      <c r="N716" s="811"/>
      <c r="O716" s="811"/>
      <c r="P716" s="811"/>
      <c r="Q716" s="811"/>
      <c r="R716" s="811"/>
      <c r="S716" s="811"/>
      <c r="T716" s="811"/>
      <c r="U716" s="811"/>
      <c r="V716" s="811"/>
      <c r="W716" s="811"/>
      <c r="X716" s="811"/>
      <c r="Y716" s="811"/>
      <c r="Z716" s="811"/>
    </row>
    <row r="717">
      <c r="A717" s="811"/>
      <c r="B717" s="854"/>
      <c r="C717" s="855"/>
      <c r="D717" s="811"/>
      <c r="E717" s="811"/>
      <c r="F717" s="816"/>
      <c r="G717" s="811"/>
      <c r="H717" s="811"/>
      <c r="I717" s="811"/>
      <c r="J717" s="811"/>
      <c r="K717" s="811"/>
      <c r="L717" s="816"/>
      <c r="M717" s="811"/>
      <c r="N717" s="811"/>
      <c r="O717" s="811"/>
      <c r="P717" s="811"/>
      <c r="Q717" s="811"/>
      <c r="R717" s="811"/>
      <c r="S717" s="811"/>
      <c r="T717" s="811"/>
      <c r="U717" s="811"/>
      <c r="V717" s="811"/>
      <c r="W717" s="811"/>
      <c r="X717" s="811"/>
      <c r="Y717" s="811"/>
      <c r="Z717" s="811"/>
    </row>
    <row r="718">
      <c r="A718" s="811"/>
      <c r="B718" s="854"/>
      <c r="C718" s="855"/>
      <c r="D718" s="811"/>
      <c r="E718" s="811"/>
      <c r="F718" s="816"/>
      <c r="G718" s="811"/>
      <c r="H718" s="811"/>
      <c r="I718" s="811"/>
      <c r="J718" s="811"/>
      <c r="K718" s="811"/>
      <c r="L718" s="816"/>
      <c r="M718" s="811"/>
      <c r="N718" s="811"/>
      <c r="O718" s="811"/>
      <c r="P718" s="811"/>
      <c r="Q718" s="811"/>
      <c r="R718" s="811"/>
      <c r="S718" s="811"/>
      <c r="T718" s="811"/>
      <c r="U718" s="811"/>
      <c r="V718" s="811"/>
      <c r="W718" s="811"/>
      <c r="X718" s="811"/>
      <c r="Y718" s="811"/>
      <c r="Z718" s="811"/>
    </row>
    <row r="719">
      <c r="A719" s="811"/>
      <c r="B719" s="854"/>
      <c r="C719" s="855"/>
      <c r="D719" s="811"/>
      <c r="E719" s="811"/>
      <c r="F719" s="816"/>
      <c r="G719" s="811"/>
      <c r="H719" s="811"/>
      <c r="I719" s="811"/>
      <c r="J719" s="811"/>
      <c r="K719" s="811"/>
      <c r="L719" s="816"/>
      <c r="M719" s="811"/>
      <c r="N719" s="811"/>
      <c r="O719" s="811"/>
      <c r="P719" s="811"/>
      <c r="Q719" s="811"/>
      <c r="R719" s="811"/>
      <c r="S719" s="811"/>
      <c r="T719" s="811"/>
      <c r="U719" s="811"/>
      <c r="V719" s="811"/>
      <c r="W719" s="811"/>
      <c r="X719" s="811"/>
      <c r="Y719" s="811"/>
      <c r="Z719" s="811"/>
    </row>
    <row r="720">
      <c r="A720" s="811"/>
      <c r="B720" s="854"/>
      <c r="C720" s="855"/>
      <c r="D720" s="811"/>
      <c r="E720" s="811"/>
      <c r="F720" s="816"/>
      <c r="G720" s="811"/>
      <c r="H720" s="811"/>
      <c r="I720" s="811"/>
      <c r="J720" s="811"/>
      <c r="K720" s="811"/>
      <c r="L720" s="816"/>
      <c r="M720" s="811"/>
      <c r="N720" s="811"/>
      <c r="O720" s="811"/>
      <c r="P720" s="811"/>
      <c r="Q720" s="811"/>
      <c r="R720" s="811"/>
      <c r="S720" s="811"/>
      <c r="T720" s="811"/>
      <c r="U720" s="811"/>
      <c r="V720" s="811"/>
      <c r="W720" s="811"/>
      <c r="X720" s="811"/>
      <c r="Y720" s="811"/>
      <c r="Z720" s="811"/>
    </row>
    <row r="721">
      <c r="A721" s="811"/>
      <c r="B721" s="854"/>
      <c r="C721" s="855"/>
      <c r="D721" s="811"/>
      <c r="E721" s="811"/>
      <c r="F721" s="816"/>
      <c r="G721" s="811"/>
      <c r="H721" s="811"/>
      <c r="I721" s="811"/>
      <c r="J721" s="811"/>
      <c r="K721" s="811"/>
      <c r="L721" s="816"/>
      <c r="M721" s="811"/>
      <c r="N721" s="811"/>
      <c r="O721" s="811"/>
      <c r="P721" s="811"/>
      <c r="Q721" s="811"/>
      <c r="R721" s="811"/>
      <c r="S721" s="811"/>
      <c r="T721" s="811"/>
      <c r="U721" s="811"/>
      <c r="V721" s="811"/>
      <c r="W721" s="811"/>
      <c r="X721" s="811"/>
      <c r="Y721" s="811"/>
      <c r="Z721" s="811"/>
    </row>
    <row r="722">
      <c r="A722" s="811"/>
      <c r="B722" s="854"/>
      <c r="C722" s="855"/>
      <c r="D722" s="811"/>
      <c r="E722" s="811"/>
      <c r="F722" s="816"/>
      <c r="G722" s="811"/>
      <c r="H722" s="811"/>
      <c r="I722" s="811"/>
      <c r="J722" s="811"/>
      <c r="K722" s="811"/>
      <c r="L722" s="816"/>
      <c r="M722" s="811"/>
      <c r="N722" s="811"/>
      <c r="O722" s="811"/>
      <c r="P722" s="811"/>
      <c r="Q722" s="811"/>
      <c r="R722" s="811"/>
      <c r="S722" s="811"/>
      <c r="T722" s="811"/>
      <c r="U722" s="811"/>
      <c r="V722" s="811"/>
      <c r="W722" s="811"/>
      <c r="X722" s="811"/>
      <c r="Y722" s="811"/>
      <c r="Z722" s="811"/>
    </row>
    <row r="723">
      <c r="A723" s="811"/>
      <c r="B723" s="854"/>
      <c r="C723" s="855"/>
      <c r="D723" s="811"/>
      <c r="E723" s="811"/>
      <c r="F723" s="816"/>
      <c r="G723" s="811"/>
      <c r="H723" s="811"/>
      <c r="I723" s="811"/>
      <c r="J723" s="811"/>
      <c r="K723" s="811"/>
      <c r="L723" s="816"/>
      <c r="M723" s="811"/>
      <c r="N723" s="811"/>
      <c r="O723" s="811"/>
      <c r="P723" s="811"/>
      <c r="Q723" s="811"/>
      <c r="R723" s="811"/>
      <c r="S723" s="811"/>
      <c r="T723" s="811"/>
      <c r="U723" s="811"/>
      <c r="V723" s="811"/>
      <c r="W723" s="811"/>
      <c r="X723" s="811"/>
      <c r="Y723" s="811"/>
      <c r="Z723" s="811"/>
    </row>
    <row r="724">
      <c r="A724" s="811"/>
      <c r="B724" s="854"/>
      <c r="C724" s="855"/>
      <c r="D724" s="811"/>
      <c r="E724" s="811"/>
      <c r="F724" s="816"/>
      <c r="G724" s="811"/>
      <c r="H724" s="811"/>
      <c r="I724" s="811"/>
      <c r="J724" s="811"/>
      <c r="K724" s="811"/>
      <c r="L724" s="816"/>
      <c r="M724" s="811"/>
      <c r="N724" s="811"/>
      <c r="O724" s="811"/>
      <c r="P724" s="811"/>
      <c r="Q724" s="811"/>
      <c r="R724" s="811"/>
      <c r="S724" s="811"/>
      <c r="T724" s="811"/>
      <c r="U724" s="811"/>
      <c r="V724" s="811"/>
      <c r="W724" s="811"/>
      <c r="X724" s="811"/>
      <c r="Y724" s="811"/>
      <c r="Z724" s="811"/>
    </row>
    <row r="725">
      <c r="A725" s="811"/>
      <c r="B725" s="854"/>
      <c r="C725" s="855"/>
      <c r="D725" s="811"/>
      <c r="E725" s="811"/>
      <c r="F725" s="816"/>
      <c r="G725" s="811"/>
      <c r="H725" s="811"/>
      <c r="I725" s="811"/>
      <c r="J725" s="811"/>
      <c r="K725" s="811"/>
      <c r="L725" s="816"/>
      <c r="M725" s="811"/>
      <c r="N725" s="811"/>
      <c r="O725" s="811"/>
      <c r="P725" s="811"/>
      <c r="Q725" s="811"/>
      <c r="R725" s="811"/>
      <c r="S725" s="811"/>
      <c r="T725" s="811"/>
      <c r="U725" s="811"/>
      <c r="V725" s="811"/>
      <c r="W725" s="811"/>
      <c r="X725" s="811"/>
      <c r="Y725" s="811"/>
      <c r="Z725" s="811"/>
    </row>
    <row r="726">
      <c r="A726" s="811"/>
      <c r="B726" s="854"/>
      <c r="C726" s="855"/>
      <c r="D726" s="811"/>
      <c r="E726" s="811"/>
      <c r="F726" s="816"/>
      <c r="G726" s="811"/>
      <c r="H726" s="811"/>
      <c r="I726" s="811"/>
      <c r="J726" s="811"/>
      <c r="K726" s="811"/>
      <c r="L726" s="816"/>
      <c r="M726" s="811"/>
      <c r="N726" s="811"/>
      <c r="O726" s="811"/>
      <c r="P726" s="811"/>
      <c r="Q726" s="811"/>
      <c r="R726" s="811"/>
      <c r="S726" s="811"/>
      <c r="T726" s="811"/>
      <c r="U726" s="811"/>
      <c r="V726" s="811"/>
      <c r="W726" s="811"/>
      <c r="X726" s="811"/>
      <c r="Y726" s="811"/>
      <c r="Z726" s="811"/>
    </row>
    <row r="727">
      <c r="A727" s="811"/>
      <c r="B727" s="854"/>
      <c r="C727" s="855"/>
      <c r="D727" s="811"/>
      <c r="E727" s="811"/>
      <c r="F727" s="816"/>
      <c r="G727" s="811"/>
      <c r="H727" s="811"/>
      <c r="I727" s="811"/>
      <c r="J727" s="811"/>
      <c r="K727" s="811"/>
      <c r="L727" s="816"/>
      <c r="M727" s="811"/>
      <c r="N727" s="811"/>
      <c r="O727" s="811"/>
      <c r="P727" s="811"/>
      <c r="Q727" s="811"/>
      <c r="R727" s="811"/>
      <c r="S727" s="811"/>
      <c r="T727" s="811"/>
      <c r="U727" s="811"/>
      <c r="V727" s="811"/>
      <c r="W727" s="811"/>
      <c r="X727" s="811"/>
      <c r="Y727" s="811"/>
      <c r="Z727" s="811"/>
    </row>
    <row r="728">
      <c r="A728" s="811"/>
      <c r="B728" s="854"/>
      <c r="C728" s="855"/>
      <c r="D728" s="811"/>
      <c r="E728" s="811"/>
      <c r="F728" s="816"/>
      <c r="G728" s="811"/>
      <c r="H728" s="811"/>
      <c r="I728" s="811"/>
      <c r="J728" s="811"/>
      <c r="K728" s="811"/>
      <c r="L728" s="816"/>
      <c r="M728" s="811"/>
      <c r="N728" s="811"/>
      <c r="O728" s="811"/>
      <c r="P728" s="811"/>
      <c r="Q728" s="811"/>
      <c r="R728" s="811"/>
      <c r="S728" s="811"/>
      <c r="T728" s="811"/>
      <c r="U728" s="811"/>
      <c r="V728" s="811"/>
      <c r="W728" s="811"/>
      <c r="X728" s="811"/>
      <c r="Y728" s="811"/>
      <c r="Z728" s="811"/>
    </row>
    <row r="729">
      <c r="A729" s="811"/>
      <c r="B729" s="854"/>
      <c r="C729" s="855"/>
      <c r="D729" s="811"/>
      <c r="E729" s="811"/>
      <c r="F729" s="816"/>
      <c r="G729" s="811"/>
      <c r="H729" s="811"/>
      <c r="I729" s="811"/>
      <c r="J729" s="811"/>
      <c r="K729" s="811"/>
      <c r="L729" s="816"/>
      <c r="M729" s="811"/>
      <c r="N729" s="811"/>
      <c r="O729" s="811"/>
      <c r="P729" s="811"/>
      <c r="Q729" s="811"/>
      <c r="R729" s="811"/>
      <c r="S729" s="811"/>
      <c r="T729" s="811"/>
      <c r="U729" s="811"/>
      <c r="V729" s="811"/>
      <c r="W729" s="811"/>
      <c r="X729" s="811"/>
      <c r="Y729" s="811"/>
      <c r="Z729" s="811"/>
    </row>
    <row r="730">
      <c r="A730" s="811"/>
      <c r="B730" s="854"/>
      <c r="C730" s="855"/>
      <c r="D730" s="811"/>
      <c r="E730" s="811"/>
      <c r="F730" s="816"/>
      <c r="G730" s="811"/>
      <c r="H730" s="811"/>
      <c r="I730" s="811"/>
      <c r="J730" s="811"/>
      <c r="K730" s="811"/>
      <c r="L730" s="816"/>
      <c r="M730" s="811"/>
      <c r="N730" s="811"/>
      <c r="O730" s="811"/>
      <c r="P730" s="811"/>
      <c r="Q730" s="811"/>
      <c r="R730" s="811"/>
      <c r="S730" s="811"/>
      <c r="T730" s="811"/>
      <c r="U730" s="811"/>
      <c r="V730" s="811"/>
      <c r="W730" s="811"/>
      <c r="X730" s="811"/>
      <c r="Y730" s="811"/>
      <c r="Z730" s="811"/>
    </row>
    <row r="731">
      <c r="A731" s="811"/>
      <c r="B731" s="854"/>
      <c r="C731" s="855"/>
      <c r="D731" s="811"/>
      <c r="E731" s="811"/>
      <c r="F731" s="816"/>
      <c r="G731" s="811"/>
      <c r="H731" s="811"/>
      <c r="I731" s="811"/>
      <c r="J731" s="811"/>
      <c r="K731" s="811"/>
      <c r="L731" s="816"/>
      <c r="M731" s="811"/>
      <c r="N731" s="811"/>
      <c r="O731" s="811"/>
      <c r="P731" s="811"/>
      <c r="Q731" s="811"/>
      <c r="R731" s="811"/>
      <c r="S731" s="811"/>
      <c r="T731" s="811"/>
      <c r="U731" s="811"/>
      <c r="V731" s="811"/>
      <c r="W731" s="811"/>
      <c r="X731" s="811"/>
      <c r="Y731" s="811"/>
      <c r="Z731" s="811"/>
    </row>
    <row r="732">
      <c r="A732" s="811"/>
      <c r="B732" s="854"/>
      <c r="C732" s="855"/>
      <c r="D732" s="811"/>
      <c r="E732" s="811"/>
      <c r="F732" s="816"/>
      <c r="G732" s="811"/>
      <c r="H732" s="811"/>
      <c r="I732" s="811"/>
      <c r="J732" s="811"/>
      <c r="K732" s="811"/>
      <c r="L732" s="816"/>
      <c r="M732" s="811"/>
      <c r="N732" s="811"/>
      <c r="O732" s="811"/>
      <c r="P732" s="811"/>
      <c r="Q732" s="811"/>
      <c r="R732" s="811"/>
      <c r="S732" s="811"/>
      <c r="T732" s="811"/>
      <c r="U732" s="811"/>
      <c r="V732" s="811"/>
      <c r="W732" s="811"/>
      <c r="X732" s="811"/>
      <c r="Y732" s="811"/>
      <c r="Z732" s="811"/>
    </row>
    <row r="733">
      <c r="A733" s="811"/>
      <c r="B733" s="854"/>
      <c r="C733" s="855"/>
      <c r="D733" s="811"/>
      <c r="E733" s="811"/>
      <c r="F733" s="816"/>
      <c r="G733" s="811"/>
      <c r="H733" s="811"/>
      <c r="I733" s="811"/>
      <c r="J733" s="811"/>
      <c r="K733" s="811"/>
      <c r="L733" s="816"/>
      <c r="M733" s="811"/>
      <c r="N733" s="811"/>
      <c r="O733" s="811"/>
      <c r="P733" s="811"/>
      <c r="Q733" s="811"/>
      <c r="R733" s="811"/>
      <c r="S733" s="811"/>
      <c r="T733" s="811"/>
      <c r="U733" s="811"/>
      <c r="V733" s="811"/>
      <c r="W733" s="811"/>
      <c r="X733" s="811"/>
      <c r="Y733" s="811"/>
      <c r="Z733" s="811"/>
    </row>
    <row r="734">
      <c r="A734" s="811"/>
      <c r="B734" s="854"/>
      <c r="C734" s="855"/>
      <c r="D734" s="811"/>
      <c r="E734" s="811"/>
      <c r="F734" s="816"/>
      <c r="G734" s="811"/>
      <c r="H734" s="811"/>
      <c r="I734" s="811"/>
      <c r="J734" s="811"/>
      <c r="K734" s="811"/>
      <c r="L734" s="816"/>
      <c r="M734" s="811"/>
      <c r="N734" s="811"/>
      <c r="O734" s="811"/>
      <c r="P734" s="811"/>
      <c r="Q734" s="811"/>
      <c r="R734" s="811"/>
      <c r="S734" s="811"/>
      <c r="T734" s="811"/>
      <c r="U734" s="811"/>
      <c r="V734" s="811"/>
      <c r="W734" s="811"/>
      <c r="X734" s="811"/>
      <c r="Y734" s="811"/>
      <c r="Z734" s="811"/>
    </row>
    <row r="735">
      <c r="A735" s="811"/>
      <c r="B735" s="854"/>
      <c r="C735" s="855"/>
      <c r="D735" s="811"/>
      <c r="E735" s="811"/>
      <c r="F735" s="816"/>
      <c r="G735" s="811"/>
      <c r="H735" s="811"/>
      <c r="I735" s="811"/>
      <c r="J735" s="811"/>
      <c r="K735" s="811"/>
      <c r="L735" s="816"/>
      <c r="M735" s="811"/>
      <c r="N735" s="811"/>
      <c r="O735" s="811"/>
      <c r="P735" s="811"/>
      <c r="Q735" s="811"/>
      <c r="R735" s="811"/>
      <c r="S735" s="811"/>
      <c r="T735" s="811"/>
      <c r="U735" s="811"/>
      <c r="V735" s="811"/>
      <c r="W735" s="811"/>
      <c r="X735" s="811"/>
      <c r="Y735" s="811"/>
      <c r="Z735" s="811"/>
    </row>
    <row r="736">
      <c r="A736" s="811"/>
      <c r="B736" s="854"/>
      <c r="C736" s="855"/>
      <c r="D736" s="811"/>
      <c r="E736" s="811"/>
      <c r="F736" s="816"/>
      <c r="G736" s="811"/>
      <c r="H736" s="811"/>
      <c r="I736" s="811"/>
      <c r="J736" s="811"/>
      <c r="K736" s="811"/>
      <c r="L736" s="816"/>
      <c r="M736" s="811"/>
      <c r="N736" s="811"/>
      <c r="O736" s="811"/>
      <c r="P736" s="811"/>
      <c r="Q736" s="811"/>
      <c r="R736" s="811"/>
      <c r="S736" s="811"/>
      <c r="T736" s="811"/>
      <c r="U736" s="811"/>
      <c r="V736" s="811"/>
      <c r="W736" s="811"/>
      <c r="X736" s="811"/>
      <c r="Y736" s="811"/>
      <c r="Z736" s="811"/>
    </row>
    <row r="737">
      <c r="A737" s="811"/>
      <c r="B737" s="854"/>
      <c r="C737" s="855"/>
      <c r="D737" s="811"/>
      <c r="E737" s="811"/>
      <c r="F737" s="816"/>
      <c r="G737" s="811"/>
      <c r="H737" s="811"/>
      <c r="I737" s="811"/>
      <c r="J737" s="811"/>
      <c r="K737" s="811"/>
      <c r="L737" s="816"/>
      <c r="M737" s="811"/>
      <c r="N737" s="811"/>
      <c r="O737" s="811"/>
      <c r="P737" s="811"/>
      <c r="Q737" s="811"/>
      <c r="R737" s="811"/>
      <c r="S737" s="811"/>
      <c r="T737" s="811"/>
      <c r="U737" s="811"/>
      <c r="V737" s="811"/>
      <c r="W737" s="811"/>
      <c r="X737" s="811"/>
      <c r="Y737" s="811"/>
      <c r="Z737" s="811"/>
    </row>
    <row r="738">
      <c r="A738" s="811"/>
      <c r="B738" s="854"/>
      <c r="C738" s="855"/>
      <c r="D738" s="811"/>
      <c r="E738" s="811"/>
      <c r="F738" s="816"/>
      <c r="G738" s="811"/>
      <c r="H738" s="811"/>
      <c r="I738" s="811"/>
      <c r="J738" s="811"/>
      <c r="K738" s="811"/>
      <c r="L738" s="816"/>
      <c r="M738" s="811"/>
      <c r="N738" s="811"/>
      <c r="O738" s="811"/>
      <c r="P738" s="811"/>
      <c r="Q738" s="811"/>
      <c r="R738" s="811"/>
      <c r="S738" s="811"/>
      <c r="T738" s="811"/>
      <c r="U738" s="811"/>
      <c r="V738" s="811"/>
      <c r="W738" s="811"/>
      <c r="X738" s="811"/>
      <c r="Y738" s="811"/>
      <c r="Z738" s="811"/>
    </row>
    <row r="739">
      <c r="A739" s="811"/>
      <c r="B739" s="854"/>
      <c r="C739" s="855"/>
      <c r="D739" s="811"/>
      <c r="E739" s="811"/>
      <c r="F739" s="816"/>
      <c r="G739" s="811"/>
      <c r="H739" s="811"/>
      <c r="I739" s="811"/>
      <c r="J739" s="811"/>
      <c r="K739" s="811"/>
      <c r="L739" s="816"/>
      <c r="M739" s="811"/>
      <c r="N739" s="811"/>
      <c r="O739" s="811"/>
      <c r="P739" s="811"/>
      <c r="Q739" s="811"/>
      <c r="R739" s="811"/>
      <c r="S739" s="811"/>
      <c r="T739" s="811"/>
      <c r="U739" s="811"/>
      <c r="V739" s="811"/>
      <c r="W739" s="811"/>
      <c r="X739" s="811"/>
      <c r="Y739" s="811"/>
      <c r="Z739" s="811"/>
    </row>
    <row r="740">
      <c r="A740" s="811"/>
      <c r="B740" s="854"/>
      <c r="C740" s="855"/>
      <c r="D740" s="811"/>
      <c r="E740" s="811"/>
      <c r="F740" s="816"/>
      <c r="G740" s="811"/>
      <c r="H740" s="811"/>
      <c r="I740" s="811"/>
      <c r="J740" s="811"/>
      <c r="K740" s="811"/>
      <c r="L740" s="816"/>
      <c r="M740" s="811"/>
      <c r="N740" s="811"/>
      <c r="O740" s="811"/>
      <c r="P740" s="811"/>
      <c r="Q740" s="811"/>
      <c r="R740" s="811"/>
      <c r="S740" s="811"/>
      <c r="T740" s="811"/>
      <c r="U740" s="811"/>
      <c r="V740" s="811"/>
      <c r="W740" s="811"/>
      <c r="X740" s="811"/>
      <c r="Y740" s="811"/>
      <c r="Z740" s="811"/>
    </row>
    <row r="741">
      <c r="A741" s="811"/>
      <c r="B741" s="854"/>
      <c r="C741" s="855"/>
      <c r="D741" s="811"/>
      <c r="E741" s="811"/>
      <c r="F741" s="816"/>
      <c r="G741" s="811"/>
      <c r="H741" s="811"/>
      <c r="I741" s="811"/>
      <c r="J741" s="811"/>
      <c r="K741" s="811"/>
      <c r="L741" s="816"/>
      <c r="M741" s="811"/>
      <c r="N741" s="811"/>
      <c r="O741" s="811"/>
      <c r="P741" s="811"/>
      <c r="Q741" s="811"/>
      <c r="R741" s="811"/>
      <c r="S741" s="811"/>
      <c r="T741" s="811"/>
      <c r="U741" s="811"/>
      <c r="V741" s="811"/>
      <c r="W741" s="811"/>
      <c r="X741" s="811"/>
      <c r="Y741" s="811"/>
      <c r="Z741" s="811"/>
    </row>
    <row r="742">
      <c r="A742" s="811"/>
      <c r="B742" s="854"/>
      <c r="C742" s="855"/>
      <c r="D742" s="811"/>
      <c r="E742" s="811"/>
      <c r="F742" s="816"/>
      <c r="G742" s="811"/>
      <c r="H742" s="811"/>
      <c r="I742" s="811"/>
      <c r="J742" s="811"/>
      <c r="K742" s="811"/>
      <c r="L742" s="816"/>
      <c r="M742" s="811"/>
      <c r="N742" s="811"/>
      <c r="O742" s="811"/>
      <c r="P742" s="811"/>
      <c r="Q742" s="811"/>
      <c r="R742" s="811"/>
      <c r="S742" s="811"/>
      <c r="T742" s="811"/>
      <c r="U742" s="811"/>
      <c r="V742" s="811"/>
      <c r="W742" s="811"/>
      <c r="X742" s="811"/>
      <c r="Y742" s="811"/>
      <c r="Z742" s="811"/>
    </row>
    <row r="743">
      <c r="A743" s="811"/>
      <c r="B743" s="854"/>
      <c r="C743" s="855"/>
      <c r="D743" s="811"/>
      <c r="E743" s="811"/>
      <c r="F743" s="816"/>
      <c r="G743" s="811"/>
      <c r="H743" s="811"/>
      <c r="I743" s="811"/>
      <c r="J743" s="811"/>
      <c r="K743" s="811"/>
      <c r="L743" s="816"/>
      <c r="M743" s="811"/>
      <c r="N743" s="811"/>
      <c r="O743" s="811"/>
      <c r="P743" s="811"/>
      <c r="Q743" s="811"/>
      <c r="R743" s="811"/>
      <c r="S743" s="811"/>
      <c r="T743" s="811"/>
      <c r="U743" s="811"/>
      <c r="V743" s="811"/>
      <c r="W743" s="811"/>
      <c r="X743" s="811"/>
      <c r="Y743" s="811"/>
      <c r="Z743" s="811"/>
    </row>
    <row r="744">
      <c r="A744" s="811"/>
      <c r="B744" s="854"/>
      <c r="C744" s="855"/>
      <c r="D744" s="811"/>
      <c r="E744" s="811"/>
      <c r="F744" s="816"/>
      <c r="G744" s="811"/>
      <c r="H744" s="811"/>
      <c r="I744" s="811"/>
      <c r="J744" s="811"/>
      <c r="K744" s="811"/>
      <c r="L744" s="816"/>
      <c r="M744" s="811"/>
      <c r="N744" s="811"/>
      <c r="O744" s="811"/>
      <c r="P744" s="811"/>
      <c r="Q744" s="811"/>
      <c r="R744" s="811"/>
      <c r="S744" s="811"/>
      <c r="T744" s="811"/>
      <c r="U744" s="811"/>
      <c r="V744" s="811"/>
      <c r="W744" s="811"/>
      <c r="X744" s="811"/>
      <c r="Y744" s="811"/>
      <c r="Z744" s="811"/>
    </row>
    <row r="745">
      <c r="A745" s="811"/>
      <c r="B745" s="854"/>
      <c r="C745" s="855"/>
      <c r="D745" s="811"/>
      <c r="E745" s="811"/>
      <c r="F745" s="816"/>
      <c r="G745" s="811"/>
      <c r="H745" s="811"/>
      <c r="I745" s="811"/>
      <c r="J745" s="811"/>
      <c r="K745" s="811"/>
      <c r="L745" s="816"/>
      <c r="M745" s="811"/>
      <c r="N745" s="811"/>
      <c r="O745" s="811"/>
      <c r="P745" s="811"/>
      <c r="Q745" s="811"/>
      <c r="R745" s="811"/>
      <c r="S745" s="811"/>
      <c r="T745" s="811"/>
      <c r="U745" s="811"/>
      <c r="V745" s="811"/>
      <c r="W745" s="811"/>
      <c r="X745" s="811"/>
      <c r="Y745" s="811"/>
      <c r="Z745" s="811"/>
    </row>
    <row r="746">
      <c r="A746" s="811"/>
      <c r="B746" s="854"/>
      <c r="C746" s="855"/>
      <c r="D746" s="811"/>
      <c r="E746" s="811"/>
      <c r="F746" s="816"/>
      <c r="G746" s="811"/>
      <c r="H746" s="811"/>
      <c r="I746" s="811"/>
      <c r="J746" s="811"/>
      <c r="K746" s="811"/>
      <c r="L746" s="816"/>
      <c r="M746" s="811"/>
      <c r="N746" s="811"/>
      <c r="O746" s="811"/>
      <c r="P746" s="811"/>
      <c r="Q746" s="811"/>
      <c r="R746" s="811"/>
      <c r="S746" s="811"/>
      <c r="T746" s="811"/>
      <c r="U746" s="811"/>
      <c r="V746" s="811"/>
      <c r="W746" s="811"/>
      <c r="X746" s="811"/>
      <c r="Y746" s="811"/>
      <c r="Z746" s="811"/>
    </row>
    <row r="747">
      <c r="A747" s="811"/>
      <c r="B747" s="854"/>
      <c r="C747" s="855"/>
      <c r="D747" s="811"/>
      <c r="E747" s="811"/>
      <c r="F747" s="816"/>
      <c r="G747" s="811"/>
      <c r="H747" s="811"/>
      <c r="I747" s="811"/>
      <c r="J747" s="811"/>
      <c r="K747" s="811"/>
      <c r="L747" s="816"/>
      <c r="M747" s="811"/>
      <c r="N747" s="811"/>
      <c r="O747" s="811"/>
      <c r="P747" s="811"/>
      <c r="Q747" s="811"/>
      <c r="R747" s="811"/>
      <c r="S747" s="811"/>
      <c r="T747" s="811"/>
      <c r="U747" s="811"/>
      <c r="V747" s="811"/>
      <c r="W747" s="811"/>
      <c r="X747" s="811"/>
      <c r="Y747" s="811"/>
      <c r="Z747" s="811"/>
    </row>
    <row r="748">
      <c r="A748" s="811"/>
      <c r="B748" s="854"/>
      <c r="C748" s="855"/>
      <c r="D748" s="811"/>
      <c r="E748" s="811"/>
      <c r="F748" s="816"/>
      <c r="G748" s="811"/>
      <c r="H748" s="811"/>
      <c r="I748" s="811"/>
      <c r="J748" s="811"/>
      <c r="K748" s="811"/>
      <c r="L748" s="816"/>
      <c r="M748" s="811"/>
      <c r="N748" s="811"/>
      <c r="O748" s="811"/>
      <c r="P748" s="811"/>
      <c r="Q748" s="811"/>
      <c r="R748" s="811"/>
      <c r="S748" s="811"/>
      <c r="T748" s="811"/>
      <c r="U748" s="811"/>
      <c r="V748" s="811"/>
      <c r="W748" s="811"/>
      <c r="X748" s="811"/>
      <c r="Y748" s="811"/>
      <c r="Z748" s="811"/>
    </row>
    <row r="749">
      <c r="A749" s="811"/>
      <c r="B749" s="854"/>
      <c r="C749" s="855"/>
      <c r="D749" s="811"/>
      <c r="E749" s="811"/>
      <c r="F749" s="816"/>
      <c r="G749" s="811"/>
      <c r="H749" s="811"/>
      <c r="I749" s="811"/>
      <c r="J749" s="811"/>
      <c r="K749" s="811"/>
      <c r="L749" s="816"/>
      <c r="M749" s="811"/>
      <c r="N749" s="811"/>
      <c r="O749" s="811"/>
      <c r="P749" s="811"/>
      <c r="Q749" s="811"/>
      <c r="R749" s="811"/>
      <c r="S749" s="811"/>
      <c r="T749" s="811"/>
      <c r="U749" s="811"/>
      <c r="V749" s="811"/>
      <c r="W749" s="811"/>
      <c r="X749" s="811"/>
      <c r="Y749" s="811"/>
      <c r="Z749" s="811"/>
    </row>
    <row r="750">
      <c r="A750" s="811"/>
      <c r="B750" s="854"/>
      <c r="C750" s="855"/>
      <c r="D750" s="811"/>
      <c r="E750" s="811"/>
      <c r="F750" s="816"/>
      <c r="G750" s="811"/>
      <c r="H750" s="811"/>
      <c r="I750" s="811"/>
      <c r="J750" s="811"/>
      <c r="K750" s="811"/>
      <c r="L750" s="816"/>
      <c r="M750" s="811"/>
      <c r="N750" s="811"/>
      <c r="O750" s="811"/>
      <c r="P750" s="811"/>
      <c r="Q750" s="811"/>
      <c r="R750" s="811"/>
      <c r="S750" s="811"/>
      <c r="T750" s="811"/>
      <c r="U750" s="811"/>
      <c r="V750" s="811"/>
      <c r="W750" s="811"/>
      <c r="X750" s="811"/>
      <c r="Y750" s="811"/>
      <c r="Z750" s="811"/>
    </row>
    <row r="751">
      <c r="A751" s="811"/>
      <c r="B751" s="854"/>
      <c r="C751" s="855"/>
      <c r="D751" s="811"/>
      <c r="E751" s="811"/>
      <c r="F751" s="816"/>
      <c r="G751" s="811"/>
      <c r="H751" s="811"/>
      <c r="I751" s="811"/>
      <c r="J751" s="811"/>
      <c r="K751" s="811"/>
      <c r="L751" s="816"/>
      <c r="M751" s="811"/>
      <c r="N751" s="811"/>
      <c r="O751" s="811"/>
      <c r="P751" s="811"/>
      <c r="Q751" s="811"/>
      <c r="R751" s="811"/>
      <c r="S751" s="811"/>
      <c r="T751" s="811"/>
      <c r="U751" s="811"/>
      <c r="V751" s="811"/>
      <c r="W751" s="811"/>
      <c r="X751" s="811"/>
      <c r="Y751" s="811"/>
      <c r="Z751" s="811"/>
    </row>
    <row r="752">
      <c r="A752" s="811"/>
      <c r="B752" s="854"/>
      <c r="C752" s="855"/>
      <c r="D752" s="811"/>
      <c r="E752" s="811"/>
      <c r="F752" s="816"/>
      <c r="G752" s="811"/>
      <c r="H752" s="811"/>
      <c r="I752" s="811"/>
      <c r="J752" s="811"/>
      <c r="K752" s="811"/>
      <c r="L752" s="816"/>
      <c r="M752" s="811"/>
      <c r="N752" s="811"/>
      <c r="O752" s="811"/>
      <c r="P752" s="811"/>
      <c r="Q752" s="811"/>
      <c r="R752" s="811"/>
      <c r="S752" s="811"/>
      <c r="T752" s="811"/>
      <c r="U752" s="811"/>
      <c r="V752" s="811"/>
      <c r="W752" s="811"/>
      <c r="X752" s="811"/>
      <c r="Y752" s="811"/>
      <c r="Z752" s="811"/>
    </row>
    <row r="753">
      <c r="A753" s="811"/>
      <c r="B753" s="854"/>
      <c r="C753" s="855"/>
      <c r="D753" s="811"/>
      <c r="E753" s="811"/>
      <c r="F753" s="816"/>
      <c r="G753" s="811"/>
      <c r="H753" s="811"/>
      <c r="I753" s="811"/>
      <c r="J753" s="811"/>
      <c r="K753" s="811"/>
      <c r="L753" s="816"/>
      <c r="M753" s="811"/>
      <c r="N753" s="811"/>
      <c r="O753" s="811"/>
      <c r="P753" s="811"/>
      <c r="Q753" s="811"/>
      <c r="R753" s="811"/>
      <c r="S753" s="811"/>
      <c r="T753" s="811"/>
      <c r="U753" s="811"/>
      <c r="V753" s="811"/>
      <c r="W753" s="811"/>
      <c r="X753" s="811"/>
      <c r="Y753" s="811"/>
      <c r="Z753" s="811"/>
    </row>
    <row r="754">
      <c r="A754" s="811"/>
      <c r="B754" s="854"/>
      <c r="C754" s="855"/>
      <c r="D754" s="811"/>
      <c r="E754" s="811"/>
      <c r="F754" s="816"/>
      <c r="G754" s="811"/>
      <c r="H754" s="811"/>
      <c r="I754" s="811"/>
      <c r="J754" s="811"/>
      <c r="K754" s="811"/>
      <c r="L754" s="816"/>
      <c r="M754" s="811"/>
      <c r="N754" s="811"/>
      <c r="O754" s="811"/>
      <c r="P754" s="811"/>
      <c r="Q754" s="811"/>
      <c r="R754" s="811"/>
      <c r="S754" s="811"/>
      <c r="T754" s="811"/>
      <c r="U754" s="811"/>
      <c r="V754" s="811"/>
      <c r="W754" s="811"/>
      <c r="X754" s="811"/>
      <c r="Y754" s="811"/>
      <c r="Z754" s="811"/>
    </row>
    <row r="755">
      <c r="A755" s="811"/>
      <c r="B755" s="854"/>
      <c r="C755" s="855"/>
      <c r="D755" s="811"/>
      <c r="E755" s="811"/>
      <c r="F755" s="816"/>
      <c r="G755" s="811"/>
      <c r="H755" s="811"/>
      <c r="I755" s="811"/>
      <c r="J755" s="811"/>
      <c r="K755" s="811"/>
      <c r="L755" s="816"/>
      <c r="M755" s="811"/>
      <c r="N755" s="811"/>
      <c r="O755" s="811"/>
      <c r="P755" s="811"/>
      <c r="Q755" s="811"/>
      <c r="R755" s="811"/>
      <c r="S755" s="811"/>
      <c r="T755" s="811"/>
      <c r="U755" s="811"/>
      <c r="V755" s="811"/>
      <c r="W755" s="811"/>
      <c r="X755" s="811"/>
      <c r="Y755" s="811"/>
      <c r="Z755" s="811"/>
    </row>
    <row r="756">
      <c r="A756" s="811"/>
      <c r="B756" s="854"/>
      <c r="C756" s="855"/>
      <c r="D756" s="811"/>
      <c r="E756" s="811"/>
      <c r="F756" s="816"/>
      <c r="G756" s="811"/>
      <c r="H756" s="811"/>
      <c r="I756" s="811"/>
      <c r="J756" s="811"/>
      <c r="K756" s="811"/>
      <c r="L756" s="816"/>
      <c r="M756" s="811"/>
      <c r="N756" s="811"/>
      <c r="O756" s="811"/>
      <c r="P756" s="811"/>
      <c r="Q756" s="811"/>
      <c r="R756" s="811"/>
      <c r="S756" s="811"/>
      <c r="T756" s="811"/>
      <c r="U756" s="811"/>
      <c r="V756" s="811"/>
      <c r="W756" s="811"/>
      <c r="X756" s="811"/>
      <c r="Y756" s="811"/>
      <c r="Z756" s="811"/>
    </row>
    <row r="757">
      <c r="A757" s="811"/>
      <c r="B757" s="854"/>
      <c r="C757" s="855"/>
      <c r="D757" s="811"/>
      <c r="E757" s="811"/>
      <c r="F757" s="816"/>
      <c r="G757" s="811"/>
      <c r="H757" s="811"/>
      <c r="I757" s="811"/>
      <c r="J757" s="811"/>
      <c r="K757" s="811"/>
      <c r="L757" s="816"/>
      <c r="M757" s="811"/>
      <c r="N757" s="811"/>
      <c r="O757" s="811"/>
      <c r="P757" s="811"/>
      <c r="Q757" s="811"/>
      <c r="R757" s="811"/>
      <c r="S757" s="811"/>
      <c r="T757" s="811"/>
      <c r="U757" s="811"/>
      <c r="V757" s="811"/>
      <c r="W757" s="811"/>
      <c r="X757" s="811"/>
      <c r="Y757" s="811"/>
      <c r="Z757" s="811"/>
    </row>
    <row r="758">
      <c r="A758" s="811"/>
      <c r="B758" s="854"/>
      <c r="C758" s="855"/>
      <c r="D758" s="811"/>
      <c r="E758" s="811"/>
      <c r="F758" s="816"/>
      <c r="G758" s="811"/>
      <c r="H758" s="811"/>
      <c r="I758" s="811"/>
      <c r="J758" s="811"/>
      <c r="K758" s="811"/>
      <c r="L758" s="816"/>
      <c r="M758" s="811"/>
      <c r="N758" s="811"/>
      <c r="O758" s="811"/>
      <c r="P758" s="811"/>
      <c r="Q758" s="811"/>
      <c r="R758" s="811"/>
      <c r="S758" s="811"/>
      <c r="T758" s="811"/>
      <c r="U758" s="811"/>
      <c r="V758" s="811"/>
      <c r="W758" s="811"/>
      <c r="X758" s="811"/>
      <c r="Y758" s="811"/>
      <c r="Z758" s="811"/>
    </row>
    <row r="759">
      <c r="A759" s="811"/>
      <c r="B759" s="854"/>
      <c r="C759" s="855"/>
      <c r="D759" s="811"/>
      <c r="E759" s="811"/>
      <c r="F759" s="816"/>
      <c r="G759" s="811"/>
      <c r="H759" s="811"/>
      <c r="I759" s="811"/>
      <c r="J759" s="811"/>
      <c r="K759" s="811"/>
      <c r="L759" s="816"/>
      <c r="M759" s="811"/>
      <c r="N759" s="811"/>
      <c r="O759" s="811"/>
      <c r="P759" s="811"/>
      <c r="Q759" s="811"/>
      <c r="R759" s="811"/>
      <c r="S759" s="811"/>
      <c r="T759" s="811"/>
      <c r="U759" s="811"/>
      <c r="V759" s="811"/>
      <c r="W759" s="811"/>
      <c r="X759" s="811"/>
      <c r="Y759" s="811"/>
      <c r="Z759" s="811"/>
    </row>
    <row r="760">
      <c r="A760" s="811"/>
      <c r="B760" s="854"/>
      <c r="C760" s="855"/>
      <c r="D760" s="811"/>
      <c r="E760" s="811"/>
      <c r="F760" s="816"/>
      <c r="G760" s="811"/>
      <c r="H760" s="811"/>
      <c r="I760" s="811"/>
      <c r="J760" s="811"/>
      <c r="K760" s="811"/>
      <c r="L760" s="816"/>
      <c r="M760" s="811"/>
      <c r="N760" s="811"/>
      <c r="O760" s="811"/>
      <c r="P760" s="811"/>
      <c r="Q760" s="811"/>
      <c r="R760" s="811"/>
      <c r="S760" s="811"/>
      <c r="T760" s="811"/>
      <c r="U760" s="811"/>
      <c r="V760" s="811"/>
      <c r="W760" s="811"/>
      <c r="X760" s="811"/>
      <c r="Y760" s="811"/>
      <c r="Z760" s="811"/>
    </row>
    <row r="761">
      <c r="A761" s="811"/>
      <c r="B761" s="854"/>
      <c r="C761" s="855"/>
      <c r="D761" s="811"/>
      <c r="E761" s="811"/>
      <c r="F761" s="816"/>
      <c r="G761" s="811"/>
      <c r="H761" s="811"/>
      <c r="I761" s="811"/>
      <c r="J761" s="811"/>
      <c r="K761" s="811"/>
      <c r="L761" s="816"/>
      <c r="M761" s="811"/>
      <c r="N761" s="811"/>
      <c r="O761" s="811"/>
      <c r="P761" s="811"/>
      <c r="Q761" s="811"/>
      <c r="R761" s="811"/>
      <c r="S761" s="811"/>
      <c r="T761" s="811"/>
      <c r="U761" s="811"/>
      <c r="V761" s="811"/>
      <c r="W761" s="811"/>
      <c r="X761" s="811"/>
      <c r="Y761" s="811"/>
      <c r="Z761" s="811"/>
    </row>
    <row r="762">
      <c r="A762" s="811"/>
      <c r="B762" s="854"/>
      <c r="C762" s="855"/>
      <c r="D762" s="811"/>
      <c r="E762" s="811"/>
      <c r="F762" s="816"/>
      <c r="G762" s="811"/>
      <c r="H762" s="811"/>
      <c r="I762" s="811"/>
      <c r="J762" s="811"/>
      <c r="K762" s="811"/>
      <c r="L762" s="816"/>
      <c r="M762" s="811"/>
      <c r="N762" s="811"/>
      <c r="O762" s="811"/>
      <c r="P762" s="811"/>
      <c r="Q762" s="811"/>
      <c r="R762" s="811"/>
      <c r="S762" s="811"/>
      <c r="T762" s="811"/>
      <c r="U762" s="811"/>
      <c r="V762" s="811"/>
      <c r="W762" s="811"/>
      <c r="X762" s="811"/>
      <c r="Y762" s="811"/>
      <c r="Z762" s="811"/>
    </row>
    <row r="763">
      <c r="A763" s="811"/>
      <c r="B763" s="854"/>
      <c r="C763" s="855"/>
      <c r="D763" s="811"/>
      <c r="E763" s="811"/>
      <c r="F763" s="816"/>
      <c r="G763" s="811"/>
      <c r="H763" s="811"/>
      <c r="I763" s="811"/>
      <c r="J763" s="811"/>
      <c r="K763" s="811"/>
      <c r="L763" s="816"/>
      <c r="M763" s="811"/>
      <c r="N763" s="811"/>
      <c r="O763" s="811"/>
      <c r="P763" s="811"/>
      <c r="Q763" s="811"/>
      <c r="R763" s="811"/>
      <c r="S763" s="811"/>
      <c r="T763" s="811"/>
      <c r="U763" s="811"/>
      <c r="V763" s="811"/>
      <c r="W763" s="811"/>
      <c r="X763" s="811"/>
      <c r="Y763" s="811"/>
      <c r="Z763" s="811"/>
    </row>
    <row r="764">
      <c r="A764" s="811"/>
      <c r="B764" s="854"/>
      <c r="C764" s="855"/>
      <c r="D764" s="811"/>
      <c r="E764" s="811"/>
      <c r="F764" s="816"/>
      <c r="G764" s="811"/>
      <c r="H764" s="811"/>
      <c r="I764" s="811"/>
      <c r="J764" s="811"/>
      <c r="K764" s="811"/>
      <c r="L764" s="816"/>
      <c r="M764" s="811"/>
      <c r="N764" s="811"/>
      <c r="O764" s="811"/>
      <c r="P764" s="811"/>
      <c r="Q764" s="811"/>
      <c r="R764" s="811"/>
      <c r="S764" s="811"/>
      <c r="T764" s="811"/>
      <c r="U764" s="811"/>
      <c r="V764" s="811"/>
      <c r="W764" s="811"/>
      <c r="X764" s="811"/>
      <c r="Y764" s="811"/>
      <c r="Z764" s="811"/>
    </row>
    <row r="765">
      <c r="A765" s="811"/>
      <c r="B765" s="854"/>
      <c r="C765" s="855"/>
      <c r="D765" s="811"/>
      <c r="E765" s="811"/>
      <c r="F765" s="816"/>
      <c r="G765" s="811"/>
      <c r="H765" s="811"/>
      <c r="I765" s="811"/>
      <c r="J765" s="811"/>
      <c r="K765" s="811"/>
      <c r="L765" s="816"/>
      <c r="M765" s="811"/>
      <c r="N765" s="811"/>
      <c r="O765" s="811"/>
      <c r="P765" s="811"/>
      <c r="Q765" s="811"/>
      <c r="R765" s="811"/>
      <c r="S765" s="811"/>
      <c r="T765" s="811"/>
      <c r="U765" s="811"/>
      <c r="V765" s="811"/>
      <c r="W765" s="811"/>
      <c r="X765" s="811"/>
      <c r="Y765" s="811"/>
      <c r="Z765" s="811"/>
    </row>
    <row r="766">
      <c r="A766" s="811"/>
      <c r="B766" s="854"/>
      <c r="C766" s="855"/>
      <c r="D766" s="811"/>
      <c r="E766" s="811"/>
      <c r="F766" s="816"/>
      <c r="G766" s="811"/>
      <c r="H766" s="811"/>
      <c r="I766" s="811"/>
      <c r="J766" s="811"/>
      <c r="K766" s="811"/>
      <c r="L766" s="816"/>
      <c r="M766" s="811"/>
      <c r="N766" s="811"/>
      <c r="O766" s="811"/>
      <c r="P766" s="811"/>
      <c r="Q766" s="811"/>
      <c r="R766" s="811"/>
      <c r="S766" s="811"/>
      <c r="T766" s="811"/>
      <c r="U766" s="811"/>
      <c r="V766" s="811"/>
      <c r="W766" s="811"/>
      <c r="X766" s="811"/>
      <c r="Y766" s="811"/>
      <c r="Z766" s="811"/>
    </row>
    <row r="767">
      <c r="A767" s="811"/>
      <c r="B767" s="854"/>
      <c r="C767" s="855"/>
      <c r="D767" s="811"/>
      <c r="E767" s="811"/>
      <c r="F767" s="816"/>
      <c r="G767" s="811"/>
      <c r="H767" s="811"/>
      <c r="I767" s="811"/>
      <c r="J767" s="811"/>
      <c r="K767" s="811"/>
      <c r="L767" s="816"/>
      <c r="M767" s="811"/>
      <c r="N767" s="811"/>
      <c r="O767" s="811"/>
      <c r="P767" s="811"/>
      <c r="Q767" s="811"/>
      <c r="R767" s="811"/>
      <c r="S767" s="811"/>
      <c r="T767" s="811"/>
      <c r="U767" s="811"/>
      <c r="V767" s="811"/>
      <c r="W767" s="811"/>
      <c r="X767" s="811"/>
      <c r="Y767" s="811"/>
      <c r="Z767" s="811"/>
    </row>
    <row r="768">
      <c r="A768" s="811"/>
      <c r="B768" s="854"/>
      <c r="C768" s="855"/>
      <c r="D768" s="811"/>
      <c r="E768" s="811"/>
      <c r="F768" s="816"/>
      <c r="G768" s="811"/>
      <c r="H768" s="811"/>
      <c r="I768" s="811"/>
      <c r="J768" s="811"/>
      <c r="K768" s="811"/>
      <c r="L768" s="816"/>
      <c r="M768" s="811"/>
      <c r="N768" s="811"/>
      <c r="O768" s="811"/>
      <c r="P768" s="811"/>
      <c r="Q768" s="811"/>
      <c r="R768" s="811"/>
      <c r="S768" s="811"/>
      <c r="T768" s="811"/>
      <c r="U768" s="811"/>
      <c r="V768" s="811"/>
      <c r="W768" s="811"/>
      <c r="X768" s="811"/>
      <c r="Y768" s="811"/>
      <c r="Z768" s="811"/>
    </row>
    <row r="769">
      <c r="A769" s="811"/>
      <c r="B769" s="854"/>
      <c r="C769" s="855"/>
      <c r="D769" s="811"/>
      <c r="E769" s="811"/>
      <c r="F769" s="816"/>
      <c r="G769" s="811"/>
      <c r="H769" s="811"/>
      <c r="I769" s="811"/>
      <c r="J769" s="811"/>
      <c r="K769" s="811"/>
      <c r="L769" s="816"/>
      <c r="M769" s="811"/>
      <c r="N769" s="811"/>
      <c r="O769" s="811"/>
      <c r="P769" s="811"/>
      <c r="Q769" s="811"/>
      <c r="R769" s="811"/>
      <c r="S769" s="811"/>
      <c r="T769" s="811"/>
      <c r="U769" s="811"/>
      <c r="V769" s="811"/>
      <c r="W769" s="811"/>
      <c r="X769" s="811"/>
      <c r="Y769" s="811"/>
      <c r="Z769" s="811"/>
    </row>
    <row r="770">
      <c r="A770" s="811"/>
      <c r="B770" s="854"/>
      <c r="C770" s="855"/>
      <c r="D770" s="811"/>
      <c r="E770" s="811"/>
      <c r="F770" s="816"/>
      <c r="G770" s="811"/>
      <c r="H770" s="811"/>
      <c r="I770" s="811"/>
      <c r="J770" s="811"/>
      <c r="K770" s="811"/>
      <c r="L770" s="816"/>
      <c r="M770" s="811"/>
      <c r="N770" s="811"/>
      <c r="O770" s="811"/>
      <c r="P770" s="811"/>
      <c r="Q770" s="811"/>
      <c r="R770" s="811"/>
      <c r="S770" s="811"/>
      <c r="T770" s="811"/>
      <c r="U770" s="811"/>
      <c r="V770" s="811"/>
      <c r="W770" s="811"/>
      <c r="X770" s="811"/>
      <c r="Y770" s="811"/>
      <c r="Z770" s="811"/>
    </row>
    <row r="771">
      <c r="A771" s="811"/>
      <c r="B771" s="854"/>
      <c r="C771" s="855"/>
      <c r="D771" s="811"/>
      <c r="E771" s="811"/>
      <c r="F771" s="816"/>
      <c r="G771" s="811"/>
      <c r="H771" s="811"/>
      <c r="I771" s="811"/>
      <c r="J771" s="811"/>
      <c r="K771" s="811"/>
      <c r="L771" s="816"/>
      <c r="M771" s="811"/>
      <c r="N771" s="811"/>
      <c r="O771" s="811"/>
      <c r="P771" s="811"/>
      <c r="Q771" s="811"/>
      <c r="R771" s="811"/>
      <c r="S771" s="811"/>
      <c r="T771" s="811"/>
      <c r="U771" s="811"/>
      <c r="V771" s="811"/>
      <c r="W771" s="811"/>
      <c r="X771" s="811"/>
      <c r="Y771" s="811"/>
      <c r="Z771" s="811"/>
    </row>
    <row r="772">
      <c r="A772" s="811"/>
      <c r="B772" s="854"/>
      <c r="C772" s="855"/>
      <c r="D772" s="811"/>
      <c r="E772" s="811"/>
      <c r="F772" s="816"/>
      <c r="G772" s="811"/>
      <c r="H772" s="811"/>
      <c r="I772" s="811"/>
      <c r="J772" s="811"/>
      <c r="K772" s="811"/>
      <c r="L772" s="816"/>
      <c r="M772" s="811"/>
      <c r="N772" s="811"/>
      <c r="O772" s="811"/>
      <c r="P772" s="811"/>
      <c r="Q772" s="811"/>
      <c r="R772" s="811"/>
      <c r="S772" s="811"/>
      <c r="T772" s="811"/>
      <c r="U772" s="811"/>
      <c r="V772" s="811"/>
      <c r="W772" s="811"/>
      <c r="X772" s="811"/>
      <c r="Y772" s="811"/>
      <c r="Z772" s="811"/>
    </row>
    <row r="773">
      <c r="A773" s="811"/>
      <c r="B773" s="854"/>
      <c r="C773" s="855"/>
      <c r="D773" s="811"/>
      <c r="E773" s="811"/>
      <c r="F773" s="816"/>
      <c r="G773" s="811"/>
      <c r="H773" s="811"/>
      <c r="I773" s="811"/>
      <c r="J773" s="811"/>
      <c r="K773" s="811"/>
      <c r="L773" s="816"/>
      <c r="M773" s="811"/>
      <c r="N773" s="811"/>
      <c r="O773" s="811"/>
      <c r="P773" s="811"/>
      <c r="Q773" s="811"/>
      <c r="R773" s="811"/>
      <c r="S773" s="811"/>
      <c r="T773" s="811"/>
      <c r="U773" s="811"/>
      <c r="V773" s="811"/>
      <c r="W773" s="811"/>
      <c r="X773" s="811"/>
      <c r="Y773" s="811"/>
      <c r="Z773" s="811"/>
    </row>
    <row r="774">
      <c r="A774" s="811"/>
      <c r="B774" s="854"/>
      <c r="C774" s="855"/>
      <c r="D774" s="811"/>
      <c r="E774" s="811"/>
      <c r="F774" s="816"/>
      <c r="G774" s="811"/>
      <c r="H774" s="811"/>
      <c r="I774" s="811"/>
      <c r="J774" s="811"/>
      <c r="K774" s="811"/>
      <c r="L774" s="816"/>
      <c r="M774" s="811"/>
      <c r="N774" s="811"/>
      <c r="O774" s="811"/>
      <c r="P774" s="811"/>
      <c r="Q774" s="811"/>
      <c r="R774" s="811"/>
      <c r="S774" s="811"/>
      <c r="T774" s="811"/>
      <c r="U774" s="811"/>
      <c r="V774" s="811"/>
      <c r="W774" s="811"/>
      <c r="X774" s="811"/>
      <c r="Y774" s="811"/>
      <c r="Z774" s="811"/>
    </row>
    <row r="775">
      <c r="A775" s="811"/>
      <c r="B775" s="854"/>
      <c r="C775" s="855"/>
      <c r="D775" s="811"/>
      <c r="E775" s="811"/>
      <c r="F775" s="816"/>
      <c r="G775" s="811"/>
      <c r="H775" s="811"/>
      <c r="I775" s="811"/>
      <c r="J775" s="811"/>
      <c r="K775" s="811"/>
      <c r="L775" s="816"/>
      <c r="M775" s="811"/>
      <c r="N775" s="811"/>
      <c r="O775" s="811"/>
      <c r="P775" s="811"/>
      <c r="Q775" s="811"/>
      <c r="R775" s="811"/>
      <c r="S775" s="811"/>
      <c r="T775" s="811"/>
      <c r="U775" s="811"/>
      <c r="V775" s="811"/>
      <c r="W775" s="811"/>
      <c r="X775" s="811"/>
      <c r="Y775" s="811"/>
      <c r="Z775" s="811"/>
    </row>
    <row r="776">
      <c r="A776" s="811"/>
      <c r="B776" s="854"/>
      <c r="C776" s="855"/>
      <c r="D776" s="811"/>
      <c r="E776" s="811"/>
      <c r="F776" s="816"/>
      <c r="G776" s="811"/>
      <c r="H776" s="811"/>
      <c r="I776" s="811"/>
      <c r="J776" s="811"/>
      <c r="K776" s="811"/>
      <c r="L776" s="816"/>
      <c r="M776" s="811"/>
      <c r="N776" s="811"/>
      <c r="O776" s="811"/>
      <c r="P776" s="811"/>
      <c r="Q776" s="811"/>
      <c r="R776" s="811"/>
      <c r="S776" s="811"/>
      <c r="T776" s="811"/>
      <c r="U776" s="811"/>
      <c r="V776" s="811"/>
      <c r="W776" s="811"/>
      <c r="X776" s="811"/>
      <c r="Y776" s="811"/>
      <c r="Z776" s="811"/>
    </row>
    <row r="777">
      <c r="A777" s="811"/>
      <c r="B777" s="854"/>
      <c r="C777" s="855"/>
      <c r="D777" s="811"/>
      <c r="E777" s="811"/>
      <c r="F777" s="816"/>
      <c r="G777" s="811"/>
      <c r="H777" s="811"/>
      <c r="I777" s="811"/>
      <c r="J777" s="811"/>
      <c r="K777" s="811"/>
      <c r="L777" s="816"/>
      <c r="M777" s="811"/>
      <c r="N777" s="811"/>
      <c r="O777" s="811"/>
      <c r="P777" s="811"/>
      <c r="Q777" s="811"/>
      <c r="R777" s="811"/>
      <c r="S777" s="811"/>
      <c r="T777" s="811"/>
      <c r="U777" s="811"/>
      <c r="V777" s="811"/>
      <c r="W777" s="811"/>
      <c r="X777" s="811"/>
      <c r="Y777" s="811"/>
      <c r="Z777" s="811"/>
    </row>
    <row r="778">
      <c r="A778" s="811"/>
      <c r="B778" s="854"/>
      <c r="C778" s="855"/>
      <c r="D778" s="811"/>
      <c r="E778" s="811"/>
      <c r="F778" s="816"/>
      <c r="G778" s="811"/>
      <c r="H778" s="811"/>
      <c r="I778" s="811"/>
      <c r="J778" s="811"/>
      <c r="K778" s="811"/>
      <c r="L778" s="816"/>
      <c r="M778" s="811"/>
      <c r="N778" s="811"/>
      <c r="O778" s="811"/>
      <c r="P778" s="811"/>
      <c r="Q778" s="811"/>
      <c r="R778" s="811"/>
      <c r="S778" s="811"/>
      <c r="T778" s="811"/>
      <c r="U778" s="811"/>
      <c r="V778" s="811"/>
      <c r="W778" s="811"/>
      <c r="X778" s="811"/>
      <c r="Y778" s="811"/>
      <c r="Z778" s="811"/>
    </row>
    <row r="779">
      <c r="A779" s="811"/>
      <c r="B779" s="854"/>
      <c r="C779" s="855"/>
      <c r="D779" s="811"/>
      <c r="E779" s="811"/>
      <c r="F779" s="816"/>
      <c r="G779" s="811"/>
      <c r="H779" s="811"/>
      <c r="I779" s="811"/>
      <c r="J779" s="811"/>
      <c r="K779" s="811"/>
      <c r="L779" s="816"/>
      <c r="M779" s="811"/>
      <c r="N779" s="811"/>
      <c r="O779" s="811"/>
      <c r="P779" s="811"/>
      <c r="Q779" s="811"/>
      <c r="R779" s="811"/>
      <c r="S779" s="811"/>
      <c r="T779" s="811"/>
      <c r="U779" s="811"/>
      <c r="V779" s="811"/>
      <c r="W779" s="811"/>
      <c r="X779" s="811"/>
      <c r="Y779" s="811"/>
      <c r="Z779" s="811"/>
    </row>
    <row r="780">
      <c r="A780" s="811"/>
      <c r="B780" s="854"/>
      <c r="C780" s="855"/>
      <c r="D780" s="811"/>
      <c r="E780" s="811"/>
      <c r="F780" s="816"/>
      <c r="G780" s="811"/>
      <c r="H780" s="811"/>
      <c r="I780" s="811"/>
      <c r="J780" s="811"/>
      <c r="K780" s="811"/>
      <c r="L780" s="816"/>
      <c r="M780" s="811"/>
      <c r="N780" s="811"/>
      <c r="O780" s="811"/>
      <c r="P780" s="811"/>
      <c r="Q780" s="811"/>
      <c r="R780" s="811"/>
      <c r="S780" s="811"/>
      <c r="T780" s="811"/>
      <c r="U780" s="811"/>
      <c r="V780" s="811"/>
      <c r="W780" s="811"/>
      <c r="X780" s="811"/>
      <c r="Y780" s="811"/>
      <c r="Z780" s="811"/>
    </row>
    <row r="781">
      <c r="A781" s="811"/>
      <c r="B781" s="854"/>
      <c r="C781" s="855"/>
      <c r="D781" s="811"/>
      <c r="E781" s="811"/>
      <c r="F781" s="816"/>
      <c r="G781" s="811"/>
      <c r="H781" s="811"/>
      <c r="I781" s="811"/>
      <c r="J781" s="811"/>
      <c r="K781" s="811"/>
      <c r="L781" s="816"/>
      <c r="M781" s="811"/>
      <c r="N781" s="811"/>
      <c r="O781" s="811"/>
      <c r="P781" s="811"/>
      <c r="Q781" s="811"/>
      <c r="R781" s="811"/>
      <c r="S781" s="811"/>
      <c r="T781" s="811"/>
      <c r="U781" s="811"/>
      <c r="V781" s="811"/>
      <c r="W781" s="811"/>
      <c r="X781" s="811"/>
      <c r="Y781" s="811"/>
      <c r="Z781" s="811"/>
    </row>
    <row r="782">
      <c r="A782" s="811"/>
      <c r="B782" s="854"/>
      <c r="C782" s="855"/>
      <c r="D782" s="811"/>
      <c r="E782" s="811"/>
      <c r="F782" s="816"/>
      <c r="G782" s="811"/>
      <c r="H782" s="811"/>
      <c r="I782" s="811"/>
      <c r="J782" s="811"/>
      <c r="K782" s="811"/>
      <c r="L782" s="816"/>
      <c r="M782" s="811"/>
      <c r="N782" s="811"/>
      <c r="O782" s="811"/>
      <c r="P782" s="811"/>
      <c r="Q782" s="811"/>
      <c r="R782" s="811"/>
      <c r="S782" s="811"/>
      <c r="T782" s="811"/>
      <c r="U782" s="811"/>
      <c r="V782" s="811"/>
      <c r="W782" s="811"/>
      <c r="X782" s="811"/>
      <c r="Y782" s="811"/>
      <c r="Z782" s="811"/>
    </row>
    <row r="783">
      <c r="A783" s="811"/>
      <c r="B783" s="854"/>
      <c r="C783" s="855"/>
      <c r="D783" s="811"/>
      <c r="E783" s="811"/>
      <c r="F783" s="816"/>
      <c r="G783" s="811"/>
      <c r="H783" s="811"/>
      <c r="I783" s="811"/>
      <c r="J783" s="811"/>
      <c r="K783" s="811"/>
      <c r="L783" s="816"/>
      <c r="M783" s="811"/>
      <c r="N783" s="811"/>
      <c r="O783" s="811"/>
      <c r="P783" s="811"/>
      <c r="Q783" s="811"/>
      <c r="R783" s="811"/>
      <c r="S783" s="811"/>
      <c r="T783" s="811"/>
      <c r="U783" s="811"/>
      <c r="V783" s="811"/>
      <c r="W783" s="811"/>
      <c r="X783" s="811"/>
      <c r="Y783" s="811"/>
      <c r="Z783" s="811"/>
    </row>
    <row r="784">
      <c r="A784" s="811"/>
      <c r="B784" s="854"/>
      <c r="C784" s="855"/>
      <c r="D784" s="811"/>
      <c r="E784" s="811"/>
      <c r="F784" s="816"/>
      <c r="G784" s="811"/>
      <c r="H784" s="811"/>
      <c r="I784" s="811"/>
      <c r="J784" s="811"/>
      <c r="K784" s="811"/>
      <c r="L784" s="816"/>
      <c r="M784" s="811"/>
      <c r="N784" s="811"/>
      <c r="O784" s="811"/>
      <c r="P784" s="811"/>
      <c r="Q784" s="811"/>
      <c r="R784" s="811"/>
      <c r="S784" s="811"/>
      <c r="T784" s="811"/>
      <c r="U784" s="811"/>
      <c r="V784" s="811"/>
      <c r="W784" s="811"/>
      <c r="X784" s="811"/>
      <c r="Y784" s="811"/>
      <c r="Z784" s="811"/>
    </row>
    <row r="785">
      <c r="A785" s="811"/>
      <c r="B785" s="854"/>
      <c r="C785" s="855"/>
      <c r="D785" s="811"/>
      <c r="E785" s="811"/>
      <c r="F785" s="816"/>
      <c r="G785" s="811"/>
      <c r="H785" s="811"/>
      <c r="I785" s="811"/>
      <c r="J785" s="811"/>
      <c r="K785" s="811"/>
      <c r="L785" s="816"/>
      <c r="M785" s="811"/>
      <c r="N785" s="811"/>
      <c r="O785" s="811"/>
      <c r="P785" s="811"/>
      <c r="Q785" s="811"/>
      <c r="R785" s="811"/>
      <c r="S785" s="811"/>
      <c r="T785" s="811"/>
      <c r="U785" s="811"/>
      <c r="V785" s="811"/>
      <c r="W785" s="811"/>
      <c r="X785" s="811"/>
      <c r="Y785" s="811"/>
      <c r="Z785" s="811"/>
    </row>
    <row r="786">
      <c r="A786" s="811"/>
      <c r="B786" s="854"/>
      <c r="C786" s="855"/>
      <c r="D786" s="811"/>
      <c r="E786" s="811"/>
      <c r="F786" s="816"/>
      <c r="G786" s="811"/>
      <c r="H786" s="811"/>
      <c r="I786" s="811"/>
      <c r="J786" s="811"/>
      <c r="K786" s="811"/>
      <c r="L786" s="816"/>
      <c r="M786" s="811"/>
      <c r="N786" s="811"/>
      <c r="O786" s="811"/>
      <c r="P786" s="811"/>
      <c r="Q786" s="811"/>
      <c r="R786" s="811"/>
      <c r="S786" s="811"/>
      <c r="T786" s="811"/>
      <c r="U786" s="811"/>
      <c r="V786" s="811"/>
      <c r="W786" s="811"/>
      <c r="X786" s="811"/>
      <c r="Y786" s="811"/>
      <c r="Z786" s="811"/>
    </row>
    <row r="787">
      <c r="A787" s="811"/>
      <c r="B787" s="854"/>
      <c r="C787" s="855"/>
      <c r="D787" s="811"/>
      <c r="E787" s="811"/>
      <c r="F787" s="816"/>
      <c r="G787" s="811"/>
      <c r="H787" s="811"/>
      <c r="I787" s="811"/>
      <c r="J787" s="811"/>
      <c r="K787" s="811"/>
      <c r="L787" s="816"/>
      <c r="M787" s="811"/>
      <c r="N787" s="811"/>
      <c r="O787" s="811"/>
      <c r="P787" s="811"/>
      <c r="Q787" s="811"/>
      <c r="R787" s="811"/>
      <c r="S787" s="811"/>
      <c r="T787" s="811"/>
      <c r="U787" s="811"/>
      <c r="V787" s="811"/>
      <c r="W787" s="811"/>
      <c r="X787" s="811"/>
      <c r="Y787" s="811"/>
      <c r="Z787" s="811"/>
    </row>
    <row r="788">
      <c r="A788" s="811"/>
      <c r="B788" s="854"/>
      <c r="C788" s="855"/>
      <c r="D788" s="811"/>
      <c r="E788" s="811"/>
      <c r="F788" s="816"/>
      <c r="G788" s="811"/>
      <c r="H788" s="811"/>
      <c r="I788" s="811"/>
      <c r="J788" s="811"/>
      <c r="K788" s="811"/>
      <c r="L788" s="816"/>
      <c r="M788" s="811"/>
      <c r="N788" s="811"/>
      <c r="O788" s="811"/>
      <c r="P788" s="811"/>
      <c r="Q788" s="811"/>
      <c r="R788" s="811"/>
      <c r="S788" s="811"/>
      <c r="T788" s="811"/>
      <c r="U788" s="811"/>
      <c r="V788" s="811"/>
      <c r="W788" s="811"/>
      <c r="X788" s="811"/>
      <c r="Y788" s="811"/>
      <c r="Z788" s="811"/>
    </row>
    <row r="789">
      <c r="A789" s="811"/>
      <c r="B789" s="854"/>
      <c r="C789" s="855"/>
      <c r="D789" s="811"/>
      <c r="E789" s="811"/>
      <c r="F789" s="816"/>
      <c r="G789" s="811"/>
      <c r="H789" s="811"/>
      <c r="I789" s="811"/>
      <c r="J789" s="811"/>
      <c r="K789" s="811"/>
      <c r="L789" s="816"/>
      <c r="M789" s="811"/>
      <c r="N789" s="811"/>
      <c r="O789" s="811"/>
      <c r="P789" s="811"/>
      <c r="Q789" s="811"/>
      <c r="R789" s="811"/>
      <c r="S789" s="811"/>
      <c r="T789" s="811"/>
      <c r="U789" s="811"/>
      <c r="V789" s="811"/>
      <c r="W789" s="811"/>
      <c r="X789" s="811"/>
      <c r="Y789" s="811"/>
      <c r="Z789" s="811"/>
    </row>
    <row r="790">
      <c r="A790" s="811"/>
      <c r="B790" s="854"/>
      <c r="C790" s="855"/>
      <c r="D790" s="811"/>
      <c r="E790" s="811"/>
      <c r="F790" s="816"/>
      <c r="G790" s="811"/>
      <c r="H790" s="811"/>
      <c r="I790" s="811"/>
      <c r="J790" s="811"/>
      <c r="K790" s="811"/>
      <c r="L790" s="816"/>
      <c r="M790" s="811"/>
      <c r="N790" s="811"/>
      <c r="O790" s="811"/>
      <c r="P790" s="811"/>
      <c r="Q790" s="811"/>
      <c r="R790" s="811"/>
      <c r="S790" s="811"/>
      <c r="T790" s="811"/>
      <c r="U790" s="811"/>
      <c r="V790" s="811"/>
      <c r="W790" s="811"/>
      <c r="X790" s="811"/>
      <c r="Y790" s="811"/>
      <c r="Z790" s="811"/>
    </row>
    <row r="791">
      <c r="A791" s="811"/>
      <c r="B791" s="854"/>
      <c r="C791" s="855"/>
      <c r="D791" s="811"/>
      <c r="E791" s="811"/>
      <c r="F791" s="816"/>
      <c r="G791" s="811"/>
      <c r="H791" s="811"/>
      <c r="I791" s="811"/>
      <c r="J791" s="811"/>
      <c r="K791" s="811"/>
      <c r="L791" s="816"/>
      <c r="M791" s="811"/>
      <c r="N791" s="811"/>
      <c r="O791" s="811"/>
      <c r="P791" s="811"/>
      <c r="Q791" s="811"/>
      <c r="R791" s="811"/>
      <c r="S791" s="811"/>
      <c r="T791" s="811"/>
      <c r="U791" s="811"/>
      <c r="V791" s="811"/>
      <c r="W791" s="811"/>
      <c r="X791" s="811"/>
      <c r="Y791" s="811"/>
      <c r="Z791" s="811"/>
    </row>
    <row r="792">
      <c r="A792" s="811"/>
      <c r="B792" s="854"/>
      <c r="C792" s="855"/>
      <c r="D792" s="811"/>
      <c r="E792" s="811"/>
      <c r="F792" s="816"/>
      <c r="G792" s="811"/>
      <c r="H792" s="811"/>
      <c r="I792" s="811"/>
      <c r="J792" s="811"/>
      <c r="K792" s="811"/>
      <c r="L792" s="816"/>
      <c r="M792" s="811"/>
      <c r="N792" s="811"/>
      <c r="O792" s="811"/>
      <c r="P792" s="811"/>
      <c r="Q792" s="811"/>
      <c r="R792" s="811"/>
      <c r="S792" s="811"/>
      <c r="T792" s="811"/>
      <c r="U792" s="811"/>
      <c r="V792" s="811"/>
      <c r="W792" s="811"/>
      <c r="X792" s="811"/>
      <c r="Y792" s="811"/>
      <c r="Z792" s="811"/>
    </row>
    <row r="793">
      <c r="A793" s="811"/>
      <c r="B793" s="854"/>
      <c r="C793" s="855"/>
      <c r="D793" s="811"/>
      <c r="E793" s="811"/>
      <c r="F793" s="816"/>
      <c r="G793" s="811"/>
      <c r="H793" s="811"/>
      <c r="I793" s="811"/>
      <c r="J793" s="811"/>
      <c r="K793" s="811"/>
      <c r="L793" s="816"/>
      <c r="M793" s="811"/>
      <c r="N793" s="811"/>
      <c r="O793" s="811"/>
      <c r="P793" s="811"/>
      <c r="Q793" s="811"/>
      <c r="R793" s="811"/>
      <c r="S793" s="811"/>
      <c r="T793" s="811"/>
      <c r="U793" s="811"/>
      <c r="V793" s="811"/>
      <c r="W793" s="811"/>
      <c r="X793" s="811"/>
      <c r="Y793" s="811"/>
      <c r="Z793" s="811"/>
    </row>
    <row r="794">
      <c r="A794" s="811"/>
      <c r="B794" s="854"/>
      <c r="C794" s="855"/>
      <c r="D794" s="811"/>
      <c r="E794" s="811"/>
      <c r="F794" s="816"/>
      <c r="G794" s="811"/>
      <c r="H794" s="811"/>
      <c r="I794" s="811"/>
      <c r="J794" s="811"/>
      <c r="K794" s="811"/>
      <c r="L794" s="816"/>
      <c r="M794" s="811"/>
      <c r="N794" s="811"/>
      <c r="O794" s="811"/>
      <c r="P794" s="811"/>
      <c r="Q794" s="811"/>
      <c r="R794" s="811"/>
      <c r="S794" s="811"/>
      <c r="T794" s="811"/>
      <c r="U794" s="811"/>
      <c r="V794" s="811"/>
      <c r="W794" s="811"/>
      <c r="X794" s="811"/>
      <c r="Y794" s="811"/>
      <c r="Z794" s="811"/>
    </row>
    <row r="795">
      <c r="A795" s="811"/>
      <c r="B795" s="854"/>
      <c r="C795" s="855"/>
      <c r="D795" s="811"/>
      <c r="E795" s="811"/>
      <c r="F795" s="816"/>
      <c r="G795" s="811"/>
      <c r="H795" s="811"/>
      <c r="I795" s="811"/>
      <c r="J795" s="811"/>
      <c r="K795" s="811"/>
      <c r="L795" s="816"/>
      <c r="M795" s="811"/>
      <c r="N795" s="811"/>
      <c r="O795" s="811"/>
      <c r="P795" s="811"/>
      <c r="Q795" s="811"/>
      <c r="R795" s="811"/>
      <c r="S795" s="811"/>
      <c r="T795" s="811"/>
      <c r="U795" s="811"/>
      <c r="V795" s="811"/>
      <c r="W795" s="811"/>
      <c r="X795" s="811"/>
      <c r="Y795" s="811"/>
      <c r="Z795" s="811"/>
    </row>
    <row r="796">
      <c r="A796" s="811"/>
      <c r="B796" s="854"/>
      <c r="C796" s="855"/>
      <c r="D796" s="811"/>
      <c r="E796" s="811"/>
      <c r="F796" s="816"/>
      <c r="G796" s="811"/>
      <c r="H796" s="811"/>
      <c r="I796" s="811"/>
      <c r="J796" s="811"/>
      <c r="K796" s="811"/>
      <c r="L796" s="816"/>
      <c r="M796" s="811"/>
      <c r="N796" s="811"/>
      <c r="O796" s="811"/>
      <c r="P796" s="811"/>
      <c r="Q796" s="811"/>
      <c r="R796" s="811"/>
      <c r="S796" s="811"/>
      <c r="T796" s="811"/>
      <c r="U796" s="811"/>
      <c r="V796" s="811"/>
      <c r="W796" s="811"/>
      <c r="X796" s="811"/>
      <c r="Y796" s="811"/>
      <c r="Z796" s="811"/>
    </row>
    <row r="797">
      <c r="A797" s="811"/>
      <c r="B797" s="854"/>
      <c r="C797" s="855"/>
      <c r="D797" s="811"/>
      <c r="E797" s="811"/>
      <c r="F797" s="816"/>
      <c r="G797" s="811"/>
      <c r="H797" s="811"/>
      <c r="I797" s="811"/>
      <c r="J797" s="811"/>
      <c r="K797" s="811"/>
      <c r="L797" s="816"/>
      <c r="M797" s="811"/>
      <c r="N797" s="811"/>
      <c r="O797" s="811"/>
      <c r="P797" s="811"/>
      <c r="Q797" s="811"/>
      <c r="R797" s="811"/>
      <c r="S797" s="811"/>
      <c r="T797" s="811"/>
      <c r="U797" s="811"/>
      <c r="V797" s="811"/>
      <c r="W797" s="811"/>
      <c r="X797" s="811"/>
      <c r="Y797" s="811"/>
      <c r="Z797" s="811"/>
    </row>
    <row r="798">
      <c r="A798" s="811"/>
      <c r="B798" s="854"/>
      <c r="C798" s="855"/>
      <c r="D798" s="811"/>
      <c r="E798" s="811"/>
      <c r="F798" s="816"/>
      <c r="G798" s="811"/>
      <c r="H798" s="811"/>
      <c r="I798" s="811"/>
      <c r="J798" s="811"/>
      <c r="K798" s="811"/>
      <c r="L798" s="816"/>
      <c r="M798" s="811"/>
      <c r="N798" s="811"/>
      <c r="O798" s="811"/>
      <c r="P798" s="811"/>
      <c r="Q798" s="811"/>
      <c r="R798" s="811"/>
      <c r="S798" s="811"/>
      <c r="T798" s="811"/>
      <c r="U798" s="811"/>
      <c r="V798" s="811"/>
      <c r="W798" s="811"/>
      <c r="X798" s="811"/>
      <c r="Y798" s="811"/>
      <c r="Z798" s="811"/>
    </row>
    <row r="799">
      <c r="A799" s="811"/>
      <c r="B799" s="854"/>
      <c r="C799" s="855"/>
      <c r="D799" s="811"/>
      <c r="E799" s="811"/>
      <c r="F799" s="816"/>
      <c r="G799" s="811"/>
      <c r="H799" s="811"/>
      <c r="I799" s="811"/>
      <c r="J799" s="811"/>
      <c r="K799" s="811"/>
      <c r="L799" s="816"/>
      <c r="M799" s="811"/>
      <c r="N799" s="811"/>
      <c r="O799" s="811"/>
      <c r="P799" s="811"/>
      <c r="Q799" s="811"/>
      <c r="R799" s="811"/>
      <c r="S799" s="811"/>
      <c r="T799" s="811"/>
      <c r="U799" s="811"/>
      <c r="V799" s="811"/>
      <c r="W799" s="811"/>
      <c r="X799" s="811"/>
      <c r="Y799" s="811"/>
      <c r="Z799" s="811"/>
    </row>
    <row r="800">
      <c r="A800" s="811"/>
      <c r="B800" s="854"/>
      <c r="C800" s="855"/>
      <c r="D800" s="811"/>
      <c r="E800" s="811"/>
      <c r="F800" s="816"/>
      <c r="G800" s="811"/>
      <c r="H800" s="811"/>
      <c r="I800" s="811"/>
      <c r="J800" s="811"/>
      <c r="K800" s="811"/>
      <c r="L800" s="816"/>
      <c r="M800" s="811"/>
      <c r="N800" s="811"/>
      <c r="O800" s="811"/>
      <c r="P800" s="811"/>
      <c r="Q800" s="811"/>
      <c r="R800" s="811"/>
      <c r="S800" s="811"/>
      <c r="T800" s="811"/>
      <c r="U800" s="811"/>
      <c r="V800" s="811"/>
      <c r="W800" s="811"/>
      <c r="X800" s="811"/>
      <c r="Y800" s="811"/>
      <c r="Z800" s="811"/>
    </row>
    <row r="801">
      <c r="A801" s="811"/>
      <c r="B801" s="854"/>
      <c r="C801" s="855"/>
      <c r="D801" s="811"/>
      <c r="E801" s="811"/>
      <c r="F801" s="816"/>
      <c r="G801" s="811"/>
      <c r="H801" s="811"/>
      <c r="I801" s="811"/>
      <c r="J801" s="811"/>
      <c r="K801" s="811"/>
      <c r="L801" s="816"/>
      <c r="M801" s="811"/>
      <c r="N801" s="811"/>
      <c r="O801" s="811"/>
      <c r="P801" s="811"/>
      <c r="Q801" s="811"/>
      <c r="R801" s="811"/>
      <c r="S801" s="811"/>
      <c r="T801" s="811"/>
      <c r="U801" s="811"/>
      <c r="V801" s="811"/>
      <c r="W801" s="811"/>
      <c r="X801" s="811"/>
      <c r="Y801" s="811"/>
      <c r="Z801" s="811"/>
    </row>
    <row r="802">
      <c r="A802" s="811"/>
      <c r="B802" s="854"/>
      <c r="C802" s="855"/>
      <c r="D802" s="811"/>
      <c r="E802" s="811"/>
      <c r="F802" s="816"/>
      <c r="G802" s="811"/>
      <c r="H802" s="811"/>
      <c r="I802" s="811"/>
      <c r="J802" s="811"/>
      <c r="K802" s="811"/>
      <c r="L802" s="816"/>
      <c r="M802" s="811"/>
      <c r="N802" s="811"/>
      <c r="O802" s="811"/>
      <c r="P802" s="811"/>
      <c r="Q802" s="811"/>
      <c r="R802" s="811"/>
      <c r="S802" s="811"/>
      <c r="T802" s="811"/>
      <c r="U802" s="811"/>
      <c r="V802" s="811"/>
      <c r="W802" s="811"/>
      <c r="X802" s="811"/>
      <c r="Y802" s="811"/>
      <c r="Z802" s="811"/>
    </row>
    <row r="803">
      <c r="A803" s="811"/>
      <c r="B803" s="854"/>
      <c r="C803" s="855"/>
      <c r="D803" s="811"/>
      <c r="E803" s="811"/>
      <c r="F803" s="816"/>
      <c r="G803" s="811"/>
      <c r="H803" s="811"/>
      <c r="I803" s="811"/>
      <c r="J803" s="811"/>
      <c r="K803" s="811"/>
      <c r="L803" s="816"/>
      <c r="M803" s="811"/>
      <c r="N803" s="811"/>
      <c r="O803" s="811"/>
      <c r="P803" s="811"/>
      <c r="Q803" s="811"/>
      <c r="R803" s="811"/>
      <c r="S803" s="811"/>
      <c r="T803" s="811"/>
      <c r="U803" s="811"/>
      <c r="V803" s="811"/>
      <c r="W803" s="811"/>
      <c r="X803" s="811"/>
      <c r="Y803" s="811"/>
      <c r="Z803" s="811"/>
    </row>
    <row r="804">
      <c r="A804" s="811"/>
      <c r="B804" s="854"/>
      <c r="C804" s="855"/>
      <c r="D804" s="811"/>
      <c r="E804" s="811"/>
      <c r="F804" s="816"/>
      <c r="G804" s="811"/>
      <c r="H804" s="811"/>
      <c r="I804" s="811"/>
      <c r="J804" s="811"/>
      <c r="K804" s="811"/>
      <c r="L804" s="816"/>
      <c r="M804" s="811"/>
      <c r="N804" s="811"/>
      <c r="O804" s="811"/>
      <c r="P804" s="811"/>
      <c r="Q804" s="811"/>
      <c r="R804" s="811"/>
      <c r="S804" s="811"/>
      <c r="T804" s="811"/>
      <c r="U804" s="811"/>
      <c r="V804" s="811"/>
      <c r="W804" s="811"/>
      <c r="X804" s="811"/>
      <c r="Y804" s="811"/>
      <c r="Z804" s="811"/>
    </row>
    <row r="805">
      <c r="A805" s="811"/>
      <c r="B805" s="854"/>
      <c r="C805" s="855"/>
      <c r="D805" s="811"/>
      <c r="E805" s="811"/>
      <c r="F805" s="816"/>
      <c r="G805" s="811"/>
      <c r="H805" s="811"/>
      <c r="I805" s="811"/>
      <c r="J805" s="811"/>
      <c r="K805" s="811"/>
      <c r="L805" s="816"/>
      <c r="M805" s="811"/>
      <c r="N805" s="811"/>
      <c r="O805" s="811"/>
      <c r="P805" s="811"/>
      <c r="Q805" s="811"/>
      <c r="R805" s="811"/>
      <c r="S805" s="811"/>
      <c r="T805" s="811"/>
      <c r="U805" s="811"/>
      <c r="V805" s="811"/>
      <c r="W805" s="811"/>
      <c r="X805" s="811"/>
      <c r="Y805" s="811"/>
      <c r="Z805" s="811"/>
    </row>
    <row r="806">
      <c r="A806" s="811"/>
      <c r="B806" s="854"/>
      <c r="C806" s="855"/>
      <c r="D806" s="811"/>
      <c r="E806" s="811"/>
      <c r="F806" s="816"/>
      <c r="G806" s="811"/>
      <c r="H806" s="811"/>
      <c r="I806" s="811"/>
      <c r="J806" s="811"/>
      <c r="K806" s="811"/>
      <c r="L806" s="816"/>
      <c r="M806" s="811"/>
      <c r="N806" s="811"/>
      <c r="O806" s="811"/>
      <c r="P806" s="811"/>
      <c r="Q806" s="811"/>
      <c r="R806" s="811"/>
      <c r="S806" s="811"/>
      <c r="T806" s="811"/>
      <c r="U806" s="811"/>
      <c r="V806" s="811"/>
      <c r="W806" s="811"/>
      <c r="X806" s="811"/>
      <c r="Y806" s="811"/>
      <c r="Z806" s="811"/>
    </row>
    <row r="807">
      <c r="A807" s="811"/>
      <c r="B807" s="854"/>
      <c r="C807" s="855"/>
      <c r="D807" s="811"/>
      <c r="E807" s="811"/>
      <c r="F807" s="816"/>
      <c r="G807" s="811"/>
      <c r="H807" s="811"/>
      <c r="I807" s="811"/>
      <c r="J807" s="811"/>
      <c r="K807" s="811"/>
      <c r="L807" s="816"/>
      <c r="M807" s="811"/>
      <c r="N807" s="811"/>
      <c r="O807" s="811"/>
      <c r="P807" s="811"/>
      <c r="Q807" s="811"/>
      <c r="R807" s="811"/>
      <c r="S807" s="811"/>
      <c r="T807" s="811"/>
      <c r="U807" s="811"/>
      <c r="V807" s="811"/>
      <c r="W807" s="811"/>
      <c r="X807" s="811"/>
      <c r="Y807" s="811"/>
      <c r="Z807" s="811"/>
    </row>
    <row r="808">
      <c r="A808" s="811"/>
      <c r="B808" s="854"/>
      <c r="C808" s="855"/>
      <c r="D808" s="811"/>
      <c r="E808" s="811"/>
      <c r="F808" s="816"/>
      <c r="G808" s="811"/>
      <c r="H808" s="811"/>
      <c r="I808" s="811"/>
      <c r="J808" s="811"/>
      <c r="K808" s="811"/>
      <c r="L808" s="816"/>
      <c r="M808" s="811"/>
      <c r="N808" s="811"/>
      <c r="O808" s="811"/>
      <c r="P808" s="811"/>
      <c r="Q808" s="811"/>
      <c r="R808" s="811"/>
      <c r="S808" s="811"/>
      <c r="T808" s="811"/>
      <c r="U808" s="811"/>
      <c r="V808" s="811"/>
      <c r="W808" s="811"/>
      <c r="X808" s="811"/>
      <c r="Y808" s="811"/>
      <c r="Z808" s="811"/>
    </row>
    <row r="809">
      <c r="A809" s="811"/>
      <c r="B809" s="854"/>
      <c r="C809" s="855"/>
      <c r="D809" s="811"/>
      <c r="E809" s="811"/>
      <c r="F809" s="816"/>
      <c r="G809" s="811"/>
      <c r="H809" s="811"/>
      <c r="I809" s="811"/>
      <c r="J809" s="811"/>
      <c r="K809" s="811"/>
      <c r="L809" s="816"/>
      <c r="M809" s="811"/>
      <c r="N809" s="811"/>
      <c r="O809" s="811"/>
      <c r="P809" s="811"/>
      <c r="Q809" s="811"/>
      <c r="R809" s="811"/>
      <c r="S809" s="811"/>
      <c r="T809" s="811"/>
      <c r="U809" s="811"/>
      <c r="V809" s="811"/>
      <c r="W809" s="811"/>
      <c r="X809" s="811"/>
      <c r="Y809" s="811"/>
      <c r="Z809" s="811"/>
    </row>
    <row r="810">
      <c r="A810" s="811"/>
      <c r="B810" s="854"/>
      <c r="C810" s="855"/>
      <c r="D810" s="811"/>
      <c r="E810" s="811"/>
      <c r="F810" s="816"/>
      <c r="G810" s="811"/>
      <c r="H810" s="811"/>
      <c r="I810" s="811"/>
      <c r="J810" s="811"/>
      <c r="K810" s="811"/>
      <c r="L810" s="816"/>
      <c r="M810" s="811"/>
      <c r="N810" s="811"/>
      <c r="O810" s="811"/>
      <c r="P810" s="811"/>
      <c r="Q810" s="811"/>
      <c r="R810" s="811"/>
      <c r="S810" s="811"/>
      <c r="T810" s="811"/>
      <c r="U810" s="811"/>
      <c r="V810" s="811"/>
      <c r="W810" s="811"/>
      <c r="X810" s="811"/>
      <c r="Y810" s="811"/>
      <c r="Z810" s="811"/>
    </row>
    <row r="811">
      <c r="A811" s="811"/>
      <c r="B811" s="854"/>
      <c r="C811" s="855"/>
      <c r="D811" s="811"/>
      <c r="E811" s="811"/>
      <c r="F811" s="816"/>
      <c r="G811" s="811"/>
      <c r="H811" s="811"/>
      <c r="I811" s="811"/>
      <c r="J811" s="811"/>
      <c r="K811" s="811"/>
      <c r="L811" s="816"/>
      <c r="M811" s="811"/>
      <c r="N811" s="811"/>
      <c r="O811" s="811"/>
      <c r="P811" s="811"/>
      <c r="Q811" s="811"/>
      <c r="R811" s="811"/>
      <c r="S811" s="811"/>
      <c r="T811" s="811"/>
      <c r="U811" s="811"/>
      <c r="V811" s="811"/>
      <c r="W811" s="811"/>
      <c r="X811" s="811"/>
      <c r="Y811" s="811"/>
      <c r="Z811" s="811"/>
    </row>
    <row r="812">
      <c r="A812" s="811"/>
      <c r="B812" s="854"/>
      <c r="C812" s="855"/>
      <c r="D812" s="811"/>
      <c r="E812" s="811"/>
      <c r="F812" s="816"/>
      <c r="G812" s="811"/>
      <c r="H812" s="811"/>
      <c r="I812" s="811"/>
      <c r="J812" s="811"/>
      <c r="K812" s="811"/>
      <c r="L812" s="816"/>
      <c r="M812" s="811"/>
      <c r="N812" s="811"/>
      <c r="O812" s="811"/>
      <c r="P812" s="811"/>
      <c r="Q812" s="811"/>
      <c r="R812" s="811"/>
      <c r="S812" s="811"/>
      <c r="T812" s="811"/>
      <c r="U812" s="811"/>
      <c r="V812" s="811"/>
      <c r="W812" s="811"/>
      <c r="X812" s="811"/>
      <c r="Y812" s="811"/>
      <c r="Z812" s="811"/>
    </row>
    <row r="813">
      <c r="A813" s="811"/>
      <c r="B813" s="854"/>
      <c r="C813" s="855"/>
      <c r="D813" s="811"/>
      <c r="E813" s="811"/>
      <c r="F813" s="816"/>
      <c r="G813" s="811"/>
      <c r="H813" s="811"/>
      <c r="I813" s="811"/>
      <c r="J813" s="811"/>
      <c r="K813" s="811"/>
      <c r="L813" s="816"/>
      <c r="M813" s="811"/>
      <c r="N813" s="811"/>
      <c r="O813" s="811"/>
      <c r="P813" s="811"/>
      <c r="Q813" s="811"/>
      <c r="R813" s="811"/>
      <c r="S813" s="811"/>
      <c r="T813" s="811"/>
      <c r="U813" s="811"/>
      <c r="V813" s="811"/>
      <c r="W813" s="811"/>
      <c r="X813" s="811"/>
      <c r="Y813" s="811"/>
      <c r="Z813" s="811"/>
    </row>
    <row r="814">
      <c r="A814" s="811"/>
      <c r="B814" s="854"/>
      <c r="C814" s="855"/>
      <c r="D814" s="811"/>
      <c r="E814" s="811"/>
      <c r="F814" s="816"/>
      <c r="G814" s="811"/>
      <c r="H814" s="811"/>
      <c r="I814" s="811"/>
      <c r="J814" s="811"/>
      <c r="K814" s="811"/>
      <c r="L814" s="816"/>
      <c r="M814" s="811"/>
      <c r="N814" s="811"/>
      <c r="O814" s="811"/>
      <c r="P814" s="811"/>
      <c r="Q814" s="811"/>
      <c r="R814" s="811"/>
      <c r="S814" s="811"/>
      <c r="T814" s="811"/>
      <c r="U814" s="811"/>
      <c r="V814" s="811"/>
      <c r="W814" s="811"/>
      <c r="X814" s="811"/>
      <c r="Y814" s="811"/>
      <c r="Z814" s="811"/>
    </row>
    <row r="815">
      <c r="A815" s="811"/>
      <c r="B815" s="854"/>
      <c r="C815" s="855"/>
      <c r="D815" s="811"/>
      <c r="E815" s="811"/>
      <c r="F815" s="816"/>
      <c r="G815" s="811"/>
      <c r="H815" s="811"/>
      <c r="I815" s="811"/>
      <c r="J815" s="811"/>
      <c r="K815" s="811"/>
      <c r="L815" s="816"/>
      <c r="M815" s="811"/>
      <c r="N815" s="811"/>
      <c r="O815" s="811"/>
      <c r="P815" s="811"/>
      <c r="Q815" s="811"/>
      <c r="R815" s="811"/>
      <c r="S815" s="811"/>
      <c r="T815" s="811"/>
      <c r="U815" s="811"/>
      <c r="V815" s="811"/>
      <c r="W815" s="811"/>
      <c r="X815" s="811"/>
      <c r="Y815" s="811"/>
      <c r="Z815" s="811"/>
    </row>
    <row r="816">
      <c r="A816" s="811"/>
      <c r="B816" s="854"/>
      <c r="C816" s="855"/>
      <c r="D816" s="811"/>
      <c r="E816" s="811"/>
      <c r="F816" s="816"/>
      <c r="G816" s="811"/>
      <c r="H816" s="811"/>
      <c r="I816" s="811"/>
      <c r="J816" s="811"/>
      <c r="K816" s="811"/>
      <c r="L816" s="816"/>
      <c r="M816" s="811"/>
      <c r="N816" s="811"/>
      <c r="O816" s="811"/>
      <c r="P816" s="811"/>
      <c r="Q816" s="811"/>
      <c r="R816" s="811"/>
      <c r="S816" s="811"/>
      <c r="T816" s="811"/>
      <c r="U816" s="811"/>
      <c r="V816" s="811"/>
      <c r="W816" s="811"/>
      <c r="X816" s="811"/>
      <c r="Y816" s="811"/>
      <c r="Z816" s="811"/>
    </row>
    <row r="817">
      <c r="A817" s="811"/>
      <c r="B817" s="854"/>
      <c r="C817" s="855"/>
      <c r="D817" s="811"/>
      <c r="E817" s="811"/>
      <c r="F817" s="816"/>
      <c r="G817" s="811"/>
      <c r="H817" s="811"/>
      <c r="I817" s="811"/>
      <c r="J817" s="811"/>
      <c r="K817" s="811"/>
      <c r="L817" s="816"/>
      <c r="M817" s="811"/>
      <c r="N817" s="811"/>
      <c r="O817" s="811"/>
      <c r="P817" s="811"/>
      <c r="Q817" s="811"/>
      <c r="R817" s="811"/>
      <c r="S817" s="811"/>
      <c r="T817" s="811"/>
      <c r="U817" s="811"/>
      <c r="V817" s="811"/>
      <c r="W817" s="811"/>
      <c r="X817" s="811"/>
      <c r="Y817" s="811"/>
      <c r="Z817" s="811"/>
    </row>
    <row r="818">
      <c r="A818" s="811"/>
      <c r="B818" s="854"/>
      <c r="C818" s="855"/>
      <c r="D818" s="811"/>
      <c r="E818" s="811"/>
      <c r="F818" s="816"/>
      <c r="G818" s="811"/>
      <c r="H818" s="811"/>
      <c r="I818" s="811"/>
      <c r="J818" s="811"/>
      <c r="K818" s="811"/>
      <c r="L818" s="816"/>
      <c r="M818" s="811"/>
      <c r="N818" s="811"/>
      <c r="O818" s="811"/>
      <c r="P818" s="811"/>
      <c r="Q818" s="811"/>
      <c r="R818" s="811"/>
      <c r="S818" s="811"/>
      <c r="T818" s="811"/>
      <c r="U818" s="811"/>
      <c r="V818" s="811"/>
      <c r="W818" s="811"/>
      <c r="X818" s="811"/>
      <c r="Y818" s="811"/>
      <c r="Z818" s="811"/>
    </row>
    <row r="819">
      <c r="A819" s="811"/>
      <c r="B819" s="854"/>
      <c r="C819" s="855"/>
      <c r="D819" s="811"/>
      <c r="E819" s="811"/>
      <c r="F819" s="816"/>
      <c r="G819" s="811"/>
      <c r="H819" s="811"/>
      <c r="I819" s="811"/>
      <c r="J819" s="811"/>
      <c r="K819" s="811"/>
      <c r="L819" s="816"/>
      <c r="M819" s="811"/>
      <c r="N819" s="811"/>
      <c r="O819" s="811"/>
      <c r="P819" s="811"/>
      <c r="Q819" s="811"/>
      <c r="R819" s="811"/>
      <c r="S819" s="811"/>
      <c r="T819" s="811"/>
      <c r="U819" s="811"/>
      <c r="V819" s="811"/>
      <c r="W819" s="811"/>
      <c r="X819" s="811"/>
      <c r="Y819" s="811"/>
      <c r="Z819" s="811"/>
    </row>
    <row r="820">
      <c r="A820" s="811"/>
      <c r="B820" s="854"/>
      <c r="C820" s="855"/>
      <c r="D820" s="811"/>
      <c r="E820" s="811"/>
      <c r="F820" s="816"/>
      <c r="G820" s="811"/>
      <c r="H820" s="811"/>
      <c r="I820" s="811"/>
      <c r="J820" s="811"/>
      <c r="K820" s="811"/>
      <c r="L820" s="816"/>
      <c r="M820" s="811"/>
      <c r="N820" s="811"/>
      <c r="O820" s="811"/>
      <c r="P820" s="811"/>
      <c r="Q820" s="811"/>
      <c r="R820" s="811"/>
      <c r="S820" s="811"/>
      <c r="T820" s="811"/>
      <c r="U820" s="811"/>
      <c r="V820" s="811"/>
      <c r="W820" s="811"/>
      <c r="X820" s="811"/>
      <c r="Y820" s="811"/>
      <c r="Z820" s="811"/>
    </row>
    <row r="821">
      <c r="A821" s="811"/>
      <c r="B821" s="854"/>
      <c r="C821" s="855"/>
      <c r="D821" s="811"/>
      <c r="E821" s="811"/>
      <c r="F821" s="816"/>
      <c r="G821" s="811"/>
      <c r="H821" s="811"/>
      <c r="I821" s="811"/>
      <c r="J821" s="811"/>
      <c r="K821" s="811"/>
      <c r="L821" s="816"/>
      <c r="M821" s="811"/>
      <c r="N821" s="811"/>
      <c r="O821" s="811"/>
      <c r="P821" s="811"/>
      <c r="Q821" s="811"/>
      <c r="R821" s="811"/>
      <c r="S821" s="811"/>
      <c r="T821" s="811"/>
      <c r="U821" s="811"/>
      <c r="V821" s="811"/>
      <c r="W821" s="811"/>
      <c r="X821" s="811"/>
      <c r="Y821" s="811"/>
      <c r="Z821" s="811"/>
    </row>
    <row r="822">
      <c r="A822" s="811"/>
      <c r="B822" s="854"/>
      <c r="C822" s="855"/>
      <c r="D822" s="811"/>
      <c r="E822" s="811"/>
      <c r="F822" s="816"/>
      <c r="G822" s="811"/>
      <c r="H822" s="811"/>
      <c r="I822" s="811"/>
      <c r="J822" s="811"/>
      <c r="K822" s="811"/>
      <c r="L822" s="816"/>
      <c r="M822" s="811"/>
      <c r="N822" s="811"/>
      <c r="O822" s="811"/>
      <c r="P822" s="811"/>
      <c r="Q822" s="811"/>
      <c r="R822" s="811"/>
      <c r="S822" s="811"/>
      <c r="T822" s="811"/>
      <c r="U822" s="811"/>
      <c r="V822" s="811"/>
      <c r="W822" s="811"/>
      <c r="X822" s="811"/>
      <c r="Y822" s="811"/>
      <c r="Z822" s="811"/>
    </row>
    <row r="823">
      <c r="A823" s="811"/>
      <c r="B823" s="854"/>
      <c r="C823" s="855"/>
      <c r="D823" s="811"/>
      <c r="E823" s="811"/>
      <c r="F823" s="816"/>
      <c r="G823" s="811"/>
      <c r="H823" s="811"/>
      <c r="I823" s="811"/>
      <c r="J823" s="811"/>
      <c r="K823" s="811"/>
      <c r="L823" s="816"/>
      <c r="M823" s="811"/>
      <c r="N823" s="811"/>
      <c r="O823" s="811"/>
      <c r="P823" s="811"/>
      <c r="Q823" s="811"/>
      <c r="R823" s="811"/>
      <c r="S823" s="811"/>
      <c r="T823" s="811"/>
      <c r="U823" s="811"/>
      <c r="V823" s="811"/>
      <c r="W823" s="811"/>
      <c r="X823" s="811"/>
      <c r="Y823" s="811"/>
      <c r="Z823" s="811"/>
    </row>
    <row r="824">
      <c r="A824" s="811"/>
      <c r="B824" s="854"/>
      <c r="C824" s="855"/>
      <c r="D824" s="811"/>
      <c r="E824" s="811"/>
      <c r="F824" s="816"/>
      <c r="G824" s="811"/>
      <c r="H824" s="811"/>
      <c r="I824" s="811"/>
      <c r="J824" s="811"/>
      <c r="K824" s="811"/>
      <c r="L824" s="816"/>
      <c r="M824" s="811"/>
      <c r="N824" s="811"/>
      <c r="O824" s="811"/>
      <c r="P824" s="811"/>
      <c r="Q824" s="811"/>
      <c r="R824" s="811"/>
      <c r="S824" s="811"/>
      <c r="T824" s="811"/>
      <c r="U824" s="811"/>
      <c r="V824" s="811"/>
      <c r="W824" s="811"/>
      <c r="X824" s="811"/>
      <c r="Y824" s="811"/>
      <c r="Z824" s="811"/>
    </row>
    <row r="825">
      <c r="A825" s="811"/>
      <c r="B825" s="854"/>
      <c r="C825" s="855"/>
      <c r="D825" s="811"/>
      <c r="E825" s="811"/>
      <c r="F825" s="816"/>
      <c r="G825" s="811"/>
      <c r="H825" s="811"/>
      <c r="I825" s="811"/>
      <c r="J825" s="811"/>
      <c r="K825" s="811"/>
      <c r="L825" s="816"/>
      <c r="M825" s="811"/>
      <c r="N825" s="811"/>
      <c r="O825" s="811"/>
      <c r="P825" s="811"/>
      <c r="Q825" s="811"/>
      <c r="R825" s="811"/>
      <c r="S825" s="811"/>
      <c r="T825" s="811"/>
      <c r="U825" s="811"/>
      <c r="V825" s="811"/>
      <c r="W825" s="811"/>
      <c r="X825" s="811"/>
      <c r="Y825" s="811"/>
      <c r="Z825" s="811"/>
    </row>
    <row r="826">
      <c r="A826" s="811"/>
      <c r="B826" s="854"/>
      <c r="C826" s="855"/>
      <c r="D826" s="811"/>
      <c r="E826" s="811"/>
      <c r="F826" s="816"/>
      <c r="G826" s="811"/>
      <c r="H826" s="811"/>
      <c r="I826" s="811"/>
      <c r="J826" s="811"/>
      <c r="K826" s="811"/>
      <c r="L826" s="816"/>
      <c r="M826" s="811"/>
      <c r="N826" s="811"/>
      <c r="O826" s="811"/>
      <c r="P826" s="811"/>
      <c r="Q826" s="811"/>
      <c r="R826" s="811"/>
      <c r="S826" s="811"/>
      <c r="T826" s="811"/>
      <c r="U826" s="811"/>
      <c r="V826" s="811"/>
      <c r="W826" s="811"/>
      <c r="X826" s="811"/>
      <c r="Y826" s="811"/>
      <c r="Z826" s="811"/>
    </row>
    <row r="827">
      <c r="A827" s="811"/>
      <c r="B827" s="854"/>
      <c r="C827" s="855"/>
      <c r="D827" s="811"/>
      <c r="E827" s="811"/>
      <c r="F827" s="816"/>
      <c r="G827" s="811"/>
      <c r="H827" s="811"/>
      <c r="I827" s="811"/>
      <c r="J827" s="811"/>
      <c r="K827" s="811"/>
      <c r="L827" s="816"/>
      <c r="M827" s="811"/>
      <c r="N827" s="811"/>
      <c r="O827" s="811"/>
      <c r="P827" s="811"/>
      <c r="Q827" s="811"/>
      <c r="R827" s="811"/>
      <c r="S827" s="811"/>
      <c r="T827" s="811"/>
      <c r="U827" s="811"/>
      <c r="V827" s="811"/>
      <c r="W827" s="811"/>
      <c r="X827" s="811"/>
      <c r="Y827" s="811"/>
      <c r="Z827" s="811"/>
    </row>
    <row r="828">
      <c r="A828" s="811"/>
      <c r="B828" s="854"/>
      <c r="C828" s="855"/>
      <c r="D828" s="811"/>
      <c r="E828" s="811"/>
      <c r="F828" s="816"/>
      <c r="G828" s="811"/>
      <c r="H828" s="811"/>
      <c r="I828" s="811"/>
      <c r="J828" s="811"/>
      <c r="K828" s="811"/>
      <c r="L828" s="816"/>
      <c r="M828" s="811"/>
      <c r="N828" s="811"/>
      <c r="O828" s="811"/>
      <c r="P828" s="811"/>
      <c r="Q828" s="811"/>
      <c r="R828" s="811"/>
      <c r="S828" s="811"/>
      <c r="T828" s="811"/>
      <c r="U828" s="811"/>
      <c r="V828" s="811"/>
      <c r="W828" s="811"/>
      <c r="X828" s="811"/>
      <c r="Y828" s="811"/>
      <c r="Z828" s="811"/>
    </row>
    <row r="829">
      <c r="A829" s="811"/>
      <c r="B829" s="854"/>
      <c r="C829" s="855"/>
      <c r="D829" s="811"/>
      <c r="E829" s="811"/>
      <c r="F829" s="816"/>
      <c r="G829" s="811"/>
      <c r="H829" s="811"/>
      <c r="I829" s="811"/>
      <c r="J829" s="811"/>
      <c r="K829" s="811"/>
      <c r="L829" s="816"/>
      <c r="M829" s="811"/>
      <c r="N829" s="811"/>
      <c r="O829" s="811"/>
      <c r="P829" s="811"/>
      <c r="Q829" s="811"/>
      <c r="R829" s="811"/>
      <c r="S829" s="811"/>
      <c r="T829" s="811"/>
      <c r="U829" s="811"/>
      <c r="V829" s="811"/>
      <c r="W829" s="811"/>
      <c r="X829" s="811"/>
      <c r="Y829" s="811"/>
      <c r="Z829" s="811"/>
    </row>
    <row r="830">
      <c r="A830" s="811"/>
      <c r="B830" s="854"/>
      <c r="C830" s="855"/>
      <c r="D830" s="811"/>
      <c r="E830" s="811"/>
      <c r="F830" s="816"/>
      <c r="G830" s="811"/>
      <c r="H830" s="811"/>
      <c r="I830" s="811"/>
      <c r="J830" s="811"/>
      <c r="K830" s="811"/>
      <c r="L830" s="816"/>
      <c r="M830" s="811"/>
      <c r="N830" s="811"/>
      <c r="O830" s="811"/>
      <c r="P830" s="811"/>
      <c r="Q830" s="811"/>
      <c r="R830" s="811"/>
      <c r="S830" s="811"/>
      <c r="T830" s="811"/>
      <c r="U830" s="811"/>
      <c r="V830" s="811"/>
      <c r="W830" s="811"/>
      <c r="X830" s="811"/>
      <c r="Y830" s="811"/>
      <c r="Z830" s="811"/>
    </row>
    <row r="831">
      <c r="A831" s="811"/>
      <c r="B831" s="854"/>
      <c r="C831" s="855"/>
      <c r="D831" s="811"/>
      <c r="E831" s="811"/>
      <c r="F831" s="816"/>
      <c r="G831" s="811"/>
      <c r="H831" s="811"/>
      <c r="I831" s="811"/>
      <c r="J831" s="811"/>
      <c r="K831" s="811"/>
      <c r="L831" s="816"/>
      <c r="M831" s="811"/>
      <c r="N831" s="811"/>
      <c r="O831" s="811"/>
      <c r="P831" s="811"/>
      <c r="Q831" s="811"/>
      <c r="R831" s="811"/>
      <c r="S831" s="811"/>
      <c r="T831" s="811"/>
      <c r="U831" s="811"/>
      <c r="V831" s="811"/>
      <c r="W831" s="811"/>
      <c r="X831" s="811"/>
      <c r="Y831" s="811"/>
      <c r="Z831" s="811"/>
    </row>
    <row r="832">
      <c r="A832" s="811"/>
      <c r="B832" s="854"/>
      <c r="C832" s="855"/>
      <c r="D832" s="811"/>
      <c r="E832" s="811"/>
      <c r="F832" s="816"/>
      <c r="G832" s="811"/>
      <c r="H832" s="811"/>
      <c r="I832" s="811"/>
      <c r="J832" s="811"/>
      <c r="K832" s="811"/>
      <c r="L832" s="816"/>
      <c r="M832" s="811"/>
      <c r="N832" s="811"/>
      <c r="O832" s="811"/>
      <c r="P832" s="811"/>
      <c r="Q832" s="811"/>
      <c r="R832" s="811"/>
      <c r="S832" s="811"/>
      <c r="T832" s="811"/>
      <c r="U832" s="811"/>
      <c r="V832" s="811"/>
      <c r="W832" s="811"/>
      <c r="X832" s="811"/>
      <c r="Y832" s="811"/>
      <c r="Z832" s="811"/>
    </row>
    <row r="833">
      <c r="A833" s="811"/>
      <c r="B833" s="854"/>
      <c r="C833" s="855"/>
      <c r="D833" s="811"/>
      <c r="E833" s="811"/>
      <c r="F833" s="816"/>
      <c r="G833" s="811"/>
      <c r="H833" s="811"/>
      <c r="I833" s="811"/>
      <c r="J833" s="811"/>
      <c r="K833" s="811"/>
      <c r="L833" s="816"/>
      <c r="M833" s="811"/>
      <c r="N833" s="811"/>
      <c r="O833" s="811"/>
      <c r="P833" s="811"/>
      <c r="Q833" s="811"/>
      <c r="R833" s="811"/>
      <c r="S833" s="811"/>
      <c r="T833" s="811"/>
      <c r="U833" s="811"/>
      <c r="V833" s="811"/>
      <c r="W833" s="811"/>
      <c r="X833" s="811"/>
      <c r="Y833" s="811"/>
      <c r="Z833" s="811"/>
    </row>
    <row r="834">
      <c r="A834" s="811"/>
      <c r="B834" s="854"/>
      <c r="C834" s="855"/>
      <c r="D834" s="811"/>
      <c r="E834" s="811"/>
      <c r="F834" s="816"/>
      <c r="G834" s="811"/>
      <c r="H834" s="811"/>
      <c r="I834" s="811"/>
      <c r="J834" s="811"/>
      <c r="K834" s="811"/>
      <c r="L834" s="816"/>
      <c r="M834" s="811"/>
      <c r="N834" s="811"/>
      <c r="O834" s="811"/>
      <c r="P834" s="811"/>
      <c r="Q834" s="811"/>
      <c r="R834" s="811"/>
      <c r="S834" s="811"/>
      <c r="T834" s="811"/>
      <c r="U834" s="811"/>
      <c r="V834" s="811"/>
      <c r="W834" s="811"/>
      <c r="X834" s="811"/>
      <c r="Y834" s="811"/>
      <c r="Z834" s="811"/>
    </row>
    <row r="835">
      <c r="A835" s="811"/>
      <c r="B835" s="854"/>
      <c r="C835" s="855"/>
      <c r="D835" s="811"/>
      <c r="E835" s="811"/>
      <c r="F835" s="816"/>
      <c r="G835" s="811"/>
      <c r="H835" s="811"/>
      <c r="I835" s="811"/>
      <c r="J835" s="811"/>
      <c r="K835" s="811"/>
      <c r="L835" s="816"/>
      <c r="M835" s="811"/>
      <c r="N835" s="811"/>
      <c r="O835" s="811"/>
      <c r="P835" s="811"/>
      <c r="Q835" s="811"/>
      <c r="R835" s="811"/>
      <c r="S835" s="811"/>
      <c r="T835" s="811"/>
      <c r="U835" s="811"/>
      <c r="V835" s="811"/>
      <c r="W835" s="811"/>
      <c r="X835" s="811"/>
      <c r="Y835" s="811"/>
      <c r="Z835" s="811"/>
    </row>
    <row r="836">
      <c r="A836" s="811"/>
      <c r="B836" s="854"/>
      <c r="C836" s="855"/>
      <c r="D836" s="811"/>
      <c r="E836" s="811"/>
      <c r="F836" s="816"/>
      <c r="G836" s="811"/>
      <c r="H836" s="811"/>
      <c r="I836" s="811"/>
      <c r="J836" s="811"/>
      <c r="K836" s="811"/>
      <c r="L836" s="816"/>
      <c r="M836" s="811"/>
      <c r="N836" s="811"/>
      <c r="O836" s="811"/>
      <c r="P836" s="811"/>
      <c r="Q836" s="811"/>
      <c r="R836" s="811"/>
      <c r="S836" s="811"/>
      <c r="T836" s="811"/>
      <c r="U836" s="811"/>
      <c r="V836" s="811"/>
      <c r="W836" s="811"/>
      <c r="X836" s="811"/>
      <c r="Y836" s="811"/>
      <c r="Z836" s="811"/>
    </row>
    <row r="837">
      <c r="A837" s="811"/>
      <c r="B837" s="854"/>
      <c r="C837" s="855"/>
      <c r="D837" s="811"/>
      <c r="E837" s="811"/>
      <c r="F837" s="816"/>
      <c r="G837" s="811"/>
      <c r="H837" s="811"/>
      <c r="I837" s="811"/>
      <c r="J837" s="811"/>
      <c r="K837" s="811"/>
      <c r="L837" s="816"/>
      <c r="M837" s="811"/>
      <c r="N837" s="811"/>
      <c r="O837" s="811"/>
      <c r="P837" s="811"/>
      <c r="Q837" s="811"/>
      <c r="R837" s="811"/>
      <c r="S837" s="811"/>
      <c r="T837" s="811"/>
      <c r="U837" s="811"/>
      <c r="V837" s="811"/>
      <c r="W837" s="811"/>
      <c r="X837" s="811"/>
      <c r="Y837" s="811"/>
      <c r="Z837" s="811"/>
    </row>
    <row r="838">
      <c r="A838" s="811"/>
      <c r="B838" s="854"/>
      <c r="C838" s="855"/>
      <c r="D838" s="811"/>
      <c r="E838" s="811"/>
      <c r="F838" s="816"/>
      <c r="G838" s="811"/>
      <c r="H838" s="811"/>
      <c r="I838" s="811"/>
      <c r="J838" s="811"/>
      <c r="K838" s="811"/>
      <c r="L838" s="816"/>
      <c r="M838" s="811"/>
      <c r="N838" s="811"/>
      <c r="O838" s="811"/>
      <c r="P838" s="811"/>
      <c r="Q838" s="811"/>
      <c r="R838" s="811"/>
      <c r="S838" s="811"/>
      <c r="T838" s="811"/>
      <c r="U838" s="811"/>
      <c r="V838" s="811"/>
      <c r="W838" s="811"/>
      <c r="X838" s="811"/>
      <c r="Y838" s="811"/>
      <c r="Z838" s="811"/>
    </row>
    <row r="839">
      <c r="A839" s="811"/>
      <c r="B839" s="854"/>
      <c r="C839" s="855"/>
      <c r="D839" s="811"/>
      <c r="E839" s="811"/>
      <c r="F839" s="816"/>
      <c r="G839" s="811"/>
      <c r="H839" s="811"/>
      <c r="I839" s="811"/>
      <c r="J839" s="811"/>
      <c r="K839" s="811"/>
      <c r="L839" s="816"/>
      <c r="M839" s="811"/>
      <c r="N839" s="811"/>
      <c r="O839" s="811"/>
      <c r="P839" s="811"/>
      <c r="Q839" s="811"/>
      <c r="R839" s="811"/>
      <c r="S839" s="811"/>
      <c r="T839" s="811"/>
      <c r="U839" s="811"/>
      <c r="V839" s="811"/>
      <c r="W839" s="811"/>
      <c r="X839" s="811"/>
      <c r="Y839" s="811"/>
      <c r="Z839" s="811"/>
    </row>
    <row r="840">
      <c r="A840" s="811"/>
      <c r="B840" s="854"/>
      <c r="C840" s="855"/>
      <c r="D840" s="811"/>
      <c r="E840" s="811"/>
      <c r="F840" s="816"/>
      <c r="G840" s="811"/>
      <c r="H840" s="811"/>
      <c r="I840" s="811"/>
      <c r="J840" s="811"/>
      <c r="K840" s="811"/>
      <c r="L840" s="816"/>
      <c r="M840" s="811"/>
      <c r="N840" s="811"/>
      <c r="O840" s="811"/>
      <c r="P840" s="811"/>
      <c r="Q840" s="811"/>
      <c r="R840" s="811"/>
      <c r="S840" s="811"/>
      <c r="T840" s="811"/>
      <c r="U840" s="811"/>
      <c r="V840" s="811"/>
      <c r="W840" s="811"/>
      <c r="X840" s="811"/>
      <c r="Y840" s="811"/>
      <c r="Z840" s="811"/>
    </row>
    <row r="841">
      <c r="A841" s="811"/>
      <c r="B841" s="854"/>
      <c r="C841" s="855"/>
      <c r="D841" s="811"/>
      <c r="E841" s="811"/>
      <c r="F841" s="816"/>
      <c r="G841" s="811"/>
      <c r="H841" s="811"/>
      <c r="I841" s="811"/>
      <c r="J841" s="811"/>
      <c r="K841" s="811"/>
      <c r="L841" s="816"/>
      <c r="M841" s="811"/>
      <c r="N841" s="811"/>
      <c r="O841" s="811"/>
      <c r="P841" s="811"/>
      <c r="Q841" s="811"/>
      <c r="R841" s="811"/>
      <c r="S841" s="811"/>
      <c r="T841" s="811"/>
      <c r="U841" s="811"/>
      <c r="V841" s="811"/>
      <c r="W841" s="811"/>
      <c r="X841" s="811"/>
      <c r="Y841" s="811"/>
      <c r="Z841" s="811"/>
    </row>
    <row r="842">
      <c r="A842" s="811"/>
      <c r="B842" s="854"/>
      <c r="C842" s="855"/>
      <c r="D842" s="811"/>
      <c r="E842" s="811"/>
      <c r="F842" s="816"/>
      <c r="G842" s="811"/>
      <c r="H842" s="811"/>
      <c r="I842" s="811"/>
      <c r="J842" s="811"/>
      <c r="K842" s="811"/>
      <c r="L842" s="816"/>
      <c r="M842" s="811"/>
      <c r="N842" s="811"/>
      <c r="O842" s="811"/>
      <c r="P842" s="811"/>
      <c r="Q842" s="811"/>
      <c r="R842" s="811"/>
      <c r="S842" s="811"/>
      <c r="T842" s="811"/>
      <c r="U842" s="811"/>
      <c r="V842" s="811"/>
      <c r="W842" s="811"/>
      <c r="X842" s="811"/>
      <c r="Y842" s="811"/>
      <c r="Z842" s="811"/>
    </row>
    <row r="843">
      <c r="A843" s="811"/>
      <c r="B843" s="854"/>
      <c r="C843" s="855"/>
      <c r="D843" s="811"/>
      <c r="E843" s="811"/>
      <c r="F843" s="816"/>
      <c r="G843" s="811"/>
      <c r="H843" s="811"/>
      <c r="I843" s="811"/>
      <c r="J843" s="811"/>
      <c r="K843" s="811"/>
      <c r="L843" s="816"/>
      <c r="M843" s="811"/>
      <c r="N843" s="811"/>
      <c r="O843" s="811"/>
      <c r="P843" s="811"/>
      <c r="Q843" s="811"/>
      <c r="R843" s="811"/>
      <c r="S843" s="811"/>
      <c r="T843" s="811"/>
      <c r="U843" s="811"/>
      <c r="V843" s="811"/>
      <c r="W843" s="811"/>
      <c r="X843" s="811"/>
      <c r="Y843" s="811"/>
      <c r="Z843" s="811"/>
    </row>
    <row r="844">
      <c r="A844" s="811"/>
      <c r="B844" s="854"/>
      <c r="C844" s="855"/>
      <c r="D844" s="811"/>
      <c r="E844" s="811"/>
      <c r="F844" s="816"/>
      <c r="G844" s="811"/>
      <c r="H844" s="811"/>
      <c r="I844" s="811"/>
      <c r="J844" s="811"/>
      <c r="K844" s="811"/>
      <c r="L844" s="816"/>
      <c r="M844" s="811"/>
      <c r="N844" s="811"/>
      <c r="O844" s="811"/>
      <c r="P844" s="811"/>
      <c r="Q844" s="811"/>
      <c r="R844" s="811"/>
      <c r="S844" s="811"/>
      <c r="T844" s="811"/>
      <c r="U844" s="811"/>
      <c r="V844" s="811"/>
      <c r="W844" s="811"/>
      <c r="X844" s="811"/>
      <c r="Y844" s="811"/>
      <c r="Z844" s="811"/>
    </row>
    <row r="845">
      <c r="A845" s="811"/>
      <c r="B845" s="854"/>
      <c r="C845" s="855"/>
      <c r="D845" s="811"/>
      <c r="E845" s="811"/>
      <c r="F845" s="816"/>
      <c r="G845" s="811"/>
      <c r="H845" s="811"/>
      <c r="I845" s="811"/>
      <c r="J845" s="811"/>
      <c r="K845" s="811"/>
      <c r="L845" s="816"/>
      <c r="M845" s="811"/>
      <c r="N845" s="811"/>
      <c r="O845" s="811"/>
      <c r="P845" s="811"/>
      <c r="Q845" s="811"/>
      <c r="R845" s="811"/>
      <c r="S845" s="811"/>
      <c r="T845" s="811"/>
      <c r="U845" s="811"/>
      <c r="V845" s="811"/>
      <c r="W845" s="811"/>
      <c r="X845" s="811"/>
      <c r="Y845" s="811"/>
      <c r="Z845" s="811"/>
    </row>
    <row r="846">
      <c r="A846" s="811"/>
      <c r="B846" s="854"/>
      <c r="C846" s="855"/>
      <c r="D846" s="811"/>
      <c r="E846" s="811"/>
      <c r="F846" s="816"/>
      <c r="G846" s="811"/>
      <c r="H846" s="811"/>
      <c r="I846" s="811"/>
      <c r="J846" s="811"/>
      <c r="K846" s="811"/>
      <c r="L846" s="816"/>
      <c r="M846" s="811"/>
      <c r="N846" s="811"/>
      <c r="O846" s="811"/>
      <c r="P846" s="811"/>
      <c r="Q846" s="811"/>
      <c r="R846" s="811"/>
      <c r="S846" s="811"/>
      <c r="T846" s="811"/>
      <c r="U846" s="811"/>
      <c r="V846" s="811"/>
      <c r="W846" s="811"/>
      <c r="X846" s="811"/>
      <c r="Y846" s="811"/>
      <c r="Z846" s="811"/>
    </row>
    <row r="847">
      <c r="A847" s="811"/>
      <c r="B847" s="854"/>
      <c r="C847" s="855"/>
      <c r="D847" s="811"/>
      <c r="E847" s="811"/>
      <c r="F847" s="816"/>
      <c r="G847" s="811"/>
      <c r="H847" s="811"/>
      <c r="I847" s="811"/>
      <c r="J847" s="811"/>
      <c r="K847" s="811"/>
      <c r="L847" s="816"/>
      <c r="M847" s="811"/>
      <c r="N847" s="811"/>
      <c r="O847" s="811"/>
      <c r="P847" s="811"/>
      <c r="Q847" s="811"/>
      <c r="R847" s="811"/>
      <c r="S847" s="811"/>
      <c r="T847" s="811"/>
      <c r="U847" s="811"/>
      <c r="V847" s="811"/>
      <c r="W847" s="811"/>
      <c r="X847" s="811"/>
      <c r="Y847" s="811"/>
      <c r="Z847" s="811"/>
    </row>
    <row r="848">
      <c r="A848" s="811"/>
      <c r="B848" s="854"/>
      <c r="C848" s="855"/>
      <c r="D848" s="811"/>
      <c r="E848" s="811"/>
      <c r="F848" s="816"/>
      <c r="G848" s="811"/>
      <c r="H848" s="811"/>
      <c r="I848" s="811"/>
      <c r="J848" s="811"/>
      <c r="K848" s="811"/>
      <c r="L848" s="816"/>
      <c r="M848" s="811"/>
      <c r="N848" s="811"/>
      <c r="O848" s="811"/>
      <c r="P848" s="811"/>
      <c r="Q848" s="811"/>
      <c r="R848" s="811"/>
      <c r="S848" s="811"/>
      <c r="T848" s="811"/>
      <c r="U848" s="811"/>
      <c r="V848" s="811"/>
      <c r="W848" s="811"/>
      <c r="X848" s="811"/>
      <c r="Y848" s="811"/>
      <c r="Z848" s="811"/>
    </row>
    <row r="849">
      <c r="A849" s="811"/>
      <c r="B849" s="854"/>
      <c r="C849" s="855"/>
      <c r="D849" s="811"/>
      <c r="E849" s="811"/>
      <c r="F849" s="816"/>
      <c r="G849" s="811"/>
      <c r="H849" s="811"/>
      <c r="I849" s="811"/>
      <c r="J849" s="811"/>
      <c r="K849" s="811"/>
      <c r="L849" s="816"/>
      <c r="M849" s="811"/>
      <c r="N849" s="811"/>
      <c r="O849" s="811"/>
      <c r="P849" s="811"/>
      <c r="Q849" s="811"/>
      <c r="R849" s="811"/>
      <c r="S849" s="811"/>
      <c r="T849" s="811"/>
      <c r="U849" s="811"/>
      <c r="V849" s="811"/>
      <c r="W849" s="811"/>
      <c r="X849" s="811"/>
      <c r="Y849" s="811"/>
      <c r="Z849" s="811"/>
    </row>
    <row r="850">
      <c r="A850" s="811"/>
      <c r="B850" s="854"/>
      <c r="C850" s="855"/>
      <c r="D850" s="811"/>
      <c r="E850" s="811"/>
      <c r="F850" s="816"/>
      <c r="G850" s="811"/>
      <c r="H850" s="811"/>
      <c r="I850" s="811"/>
      <c r="J850" s="811"/>
      <c r="K850" s="811"/>
      <c r="L850" s="816"/>
      <c r="M850" s="811"/>
      <c r="N850" s="811"/>
      <c r="O850" s="811"/>
      <c r="P850" s="811"/>
      <c r="Q850" s="811"/>
      <c r="R850" s="811"/>
      <c r="S850" s="811"/>
      <c r="T850" s="811"/>
      <c r="U850" s="811"/>
      <c r="V850" s="811"/>
      <c r="W850" s="811"/>
      <c r="X850" s="811"/>
      <c r="Y850" s="811"/>
      <c r="Z850" s="811"/>
    </row>
    <row r="851">
      <c r="A851" s="811"/>
      <c r="B851" s="854"/>
      <c r="C851" s="855"/>
      <c r="D851" s="811"/>
      <c r="E851" s="811"/>
      <c r="F851" s="816"/>
      <c r="G851" s="811"/>
      <c r="H851" s="811"/>
      <c r="I851" s="811"/>
      <c r="J851" s="811"/>
      <c r="K851" s="811"/>
      <c r="L851" s="816"/>
      <c r="M851" s="811"/>
      <c r="N851" s="811"/>
      <c r="O851" s="811"/>
      <c r="P851" s="811"/>
      <c r="Q851" s="811"/>
      <c r="R851" s="811"/>
      <c r="S851" s="811"/>
      <c r="T851" s="811"/>
      <c r="U851" s="811"/>
      <c r="V851" s="811"/>
      <c r="W851" s="811"/>
      <c r="X851" s="811"/>
      <c r="Y851" s="811"/>
      <c r="Z851" s="811"/>
    </row>
    <row r="852">
      <c r="A852" s="811"/>
      <c r="B852" s="854"/>
      <c r="C852" s="855"/>
      <c r="D852" s="811"/>
      <c r="E852" s="811"/>
      <c r="F852" s="816"/>
      <c r="G852" s="811"/>
      <c r="H852" s="811"/>
      <c r="I852" s="811"/>
      <c r="J852" s="811"/>
      <c r="K852" s="811"/>
      <c r="L852" s="816"/>
      <c r="M852" s="811"/>
      <c r="N852" s="811"/>
      <c r="O852" s="811"/>
      <c r="P852" s="811"/>
      <c r="Q852" s="811"/>
      <c r="R852" s="811"/>
      <c r="S852" s="811"/>
      <c r="T852" s="811"/>
      <c r="U852" s="811"/>
      <c r="V852" s="811"/>
      <c r="W852" s="811"/>
      <c r="X852" s="811"/>
      <c r="Y852" s="811"/>
      <c r="Z852" s="811"/>
    </row>
    <row r="853">
      <c r="A853" s="811"/>
      <c r="B853" s="854"/>
      <c r="C853" s="855"/>
      <c r="D853" s="811"/>
      <c r="E853" s="811"/>
      <c r="F853" s="816"/>
      <c r="G853" s="811"/>
      <c r="H853" s="811"/>
      <c r="I853" s="811"/>
      <c r="J853" s="811"/>
      <c r="K853" s="811"/>
      <c r="L853" s="816"/>
      <c r="M853" s="811"/>
      <c r="N853" s="811"/>
      <c r="O853" s="811"/>
      <c r="P853" s="811"/>
      <c r="Q853" s="811"/>
      <c r="R853" s="811"/>
      <c r="S853" s="811"/>
      <c r="T853" s="811"/>
      <c r="U853" s="811"/>
      <c r="V853" s="811"/>
      <c r="W853" s="811"/>
      <c r="X853" s="811"/>
      <c r="Y853" s="811"/>
      <c r="Z853" s="811"/>
    </row>
    <row r="854">
      <c r="A854" s="811"/>
      <c r="B854" s="854"/>
      <c r="C854" s="855"/>
      <c r="D854" s="811"/>
      <c r="E854" s="811"/>
      <c r="F854" s="816"/>
      <c r="G854" s="811"/>
      <c r="H854" s="811"/>
      <c r="I854" s="811"/>
      <c r="J854" s="811"/>
      <c r="K854" s="811"/>
      <c r="L854" s="816"/>
      <c r="M854" s="811"/>
      <c r="N854" s="811"/>
      <c r="O854" s="811"/>
      <c r="P854" s="811"/>
      <c r="Q854" s="811"/>
      <c r="R854" s="811"/>
      <c r="S854" s="811"/>
      <c r="T854" s="811"/>
      <c r="U854" s="811"/>
      <c r="V854" s="811"/>
      <c r="W854" s="811"/>
      <c r="X854" s="811"/>
      <c r="Y854" s="811"/>
      <c r="Z854" s="811"/>
    </row>
    <row r="855">
      <c r="A855" s="811"/>
      <c r="B855" s="854"/>
      <c r="C855" s="855"/>
      <c r="D855" s="811"/>
      <c r="E855" s="811"/>
      <c r="F855" s="816"/>
      <c r="G855" s="811"/>
      <c r="H855" s="811"/>
      <c r="I855" s="811"/>
      <c r="J855" s="811"/>
      <c r="K855" s="811"/>
      <c r="L855" s="816"/>
      <c r="M855" s="811"/>
      <c r="N855" s="811"/>
      <c r="O855" s="811"/>
      <c r="P855" s="811"/>
      <c r="Q855" s="811"/>
      <c r="R855" s="811"/>
      <c r="S855" s="811"/>
      <c r="T855" s="811"/>
      <c r="U855" s="811"/>
      <c r="V855" s="811"/>
      <c r="W855" s="811"/>
      <c r="X855" s="811"/>
      <c r="Y855" s="811"/>
      <c r="Z855" s="811"/>
    </row>
    <row r="856">
      <c r="A856" s="811"/>
      <c r="B856" s="854"/>
      <c r="C856" s="855"/>
      <c r="D856" s="811"/>
      <c r="E856" s="811"/>
      <c r="F856" s="816"/>
      <c r="G856" s="811"/>
      <c r="H856" s="811"/>
      <c r="I856" s="811"/>
      <c r="J856" s="811"/>
      <c r="K856" s="811"/>
      <c r="L856" s="816"/>
      <c r="M856" s="811"/>
      <c r="N856" s="811"/>
      <c r="O856" s="811"/>
      <c r="P856" s="811"/>
      <c r="Q856" s="811"/>
      <c r="R856" s="811"/>
      <c r="S856" s="811"/>
      <c r="T856" s="811"/>
      <c r="U856" s="811"/>
      <c r="V856" s="811"/>
      <c r="W856" s="811"/>
      <c r="X856" s="811"/>
      <c r="Y856" s="811"/>
      <c r="Z856" s="811"/>
    </row>
    <row r="857">
      <c r="A857" s="811"/>
      <c r="B857" s="854"/>
      <c r="C857" s="855"/>
      <c r="D857" s="811"/>
      <c r="E857" s="811"/>
      <c r="F857" s="816"/>
      <c r="G857" s="811"/>
      <c r="H857" s="811"/>
      <c r="I857" s="811"/>
      <c r="J857" s="811"/>
      <c r="K857" s="811"/>
      <c r="L857" s="816"/>
      <c r="M857" s="811"/>
      <c r="N857" s="811"/>
      <c r="O857" s="811"/>
      <c r="P857" s="811"/>
      <c r="Q857" s="811"/>
      <c r="R857" s="811"/>
      <c r="S857" s="811"/>
      <c r="T857" s="811"/>
      <c r="U857" s="811"/>
      <c r="V857" s="811"/>
      <c r="W857" s="811"/>
      <c r="X857" s="811"/>
      <c r="Y857" s="811"/>
      <c r="Z857" s="811"/>
    </row>
    <row r="858">
      <c r="A858" s="811"/>
      <c r="B858" s="854"/>
      <c r="C858" s="855"/>
      <c r="D858" s="811"/>
      <c r="E858" s="811"/>
      <c r="F858" s="816"/>
      <c r="G858" s="811"/>
      <c r="H858" s="811"/>
      <c r="I858" s="811"/>
      <c r="J858" s="811"/>
      <c r="K858" s="811"/>
      <c r="L858" s="816"/>
      <c r="M858" s="811"/>
      <c r="N858" s="811"/>
      <c r="O858" s="811"/>
      <c r="P858" s="811"/>
      <c r="Q858" s="811"/>
      <c r="R858" s="811"/>
      <c r="S858" s="811"/>
      <c r="T858" s="811"/>
      <c r="U858" s="811"/>
      <c r="V858" s="811"/>
      <c r="W858" s="811"/>
      <c r="X858" s="811"/>
      <c r="Y858" s="811"/>
      <c r="Z858" s="811"/>
    </row>
    <row r="859">
      <c r="A859" s="811"/>
      <c r="B859" s="854"/>
      <c r="C859" s="855"/>
      <c r="D859" s="811"/>
      <c r="E859" s="811"/>
      <c r="F859" s="816"/>
      <c r="G859" s="811"/>
      <c r="H859" s="811"/>
      <c r="I859" s="811"/>
      <c r="J859" s="811"/>
      <c r="K859" s="811"/>
      <c r="L859" s="816"/>
      <c r="M859" s="811"/>
      <c r="N859" s="811"/>
      <c r="O859" s="811"/>
      <c r="P859" s="811"/>
      <c r="Q859" s="811"/>
      <c r="R859" s="811"/>
      <c r="S859" s="811"/>
      <c r="T859" s="811"/>
      <c r="U859" s="811"/>
      <c r="V859" s="811"/>
      <c r="W859" s="811"/>
      <c r="X859" s="811"/>
      <c r="Y859" s="811"/>
      <c r="Z859" s="811"/>
    </row>
    <row r="860">
      <c r="A860" s="811"/>
      <c r="B860" s="854"/>
      <c r="C860" s="855"/>
      <c r="D860" s="811"/>
      <c r="E860" s="811"/>
      <c r="F860" s="816"/>
      <c r="G860" s="811"/>
      <c r="H860" s="811"/>
      <c r="I860" s="811"/>
      <c r="J860" s="811"/>
      <c r="K860" s="811"/>
      <c r="L860" s="816"/>
      <c r="M860" s="811"/>
      <c r="N860" s="811"/>
      <c r="O860" s="811"/>
      <c r="P860" s="811"/>
      <c r="Q860" s="811"/>
      <c r="R860" s="811"/>
      <c r="S860" s="811"/>
      <c r="T860" s="811"/>
      <c r="U860" s="811"/>
      <c r="V860" s="811"/>
      <c r="W860" s="811"/>
      <c r="X860" s="811"/>
      <c r="Y860" s="811"/>
      <c r="Z860" s="811"/>
    </row>
    <row r="861">
      <c r="A861" s="811"/>
      <c r="B861" s="854"/>
      <c r="C861" s="855"/>
      <c r="D861" s="811"/>
      <c r="E861" s="811"/>
      <c r="F861" s="816"/>
      <c r="G861" s="811"/>
      <c r="H861" s="811"/>
      <c r="I861" s="811"/>
      <c r="J861" s="811"/>
      <c r="K861" s="811"/>
      <c r="L861" s="816"/>
      <c r="M861" s="811"/>
      <c r="N861" s="811"/>
      <c r="O861" s="811"/>
      <c r="P861" s="811"/>
      <c r="Q861" s="811"/>
      <c r="R861" s="811"/>
      <c r="S861" s="811"/>
      <c r="T861" s="811"/>
      <c r="U861" s="811"/>
      <c r="V861" s="811"/>
      <c r="W861" s="811"/>
      <c r="X861" s="811"/>
      <c r="Y861" s="811"/>
      <c r="Z861" s="811"/>
    </row>
    <row r="862">
      <c r="A862" s="811"/>
      <c r="B862" s="854"/>
      <c r="C862" s="855"/>
      <c r="D862" s="811"/>
      <c r="E862" s="811"/>
      <c r="F862" s="816"/>
      <c r="G862" s="811"/>
      <c r="H862" s="811"/>
      <c r="I862" s="811"/>
      <c r="J862" s="811"/>
      <c r="K862" s="811"/>
      <c r="L862" s="816"/>
      <c r="M862" s="811"/>
      <c r="N862" s="811"/>
      <c r="O862" s="811"/>
      <c r="P862" s="811"/>
      <c r="Q862" s="811"/>
      <c r="R862" s="811"/>
      <c r="S862" s="811"/>
      <c r="T862" s="811"/>
      <c r="U862" s="811"/>
      <c r="V862" s="811"/>
      <c r="W862" s="811"/>
      <c r="X862" s="811"/>
      <c r="Y862" s="811"/>
      <c r="Z862" s="811"/>
    </row>
    <row r="863">
      <c r="A863" s="811"/>
      <c r="B863" s="854"/>
      <c r="C863" s="855"/>
      <c r="D863" s="811"/>
      <c r="E863" s="811"/>
      <c r="F863" s="816"/>
      <c r="G863" s="811"/>
      <c r="H863" s="811"/>
      <c r="I863" s="811"/>
      <c r="J863" s="811"/>
      <c r="K863" s="811"/>
      <c r="L863" s="816"/>
      <c r="M863" s="811"/>
      <c r="N863" s="811"/>
      <c r="O863" s="811"/>
      <c r="P863" s="811"/>
      <c r="Q863" s="811"/>
      <c r="R863" s="811"/>
      <c r="S863" s="811"/>
      <c r="T863" s="811"/>
      <c r="U863" s="811"/>
      <c r="V863" s="811"/>
      <c r="W863" s="811"/>
      <c r="X863" s="811"/>
      <c r="Y863" s="811"/>
      <c r="Z863" s="811"/>
    </row>
    <row r="864">
      <c r="A864" s="811"/>
      <c r="B864" s="854"/>
      <c r="C864" s="855"/>
      <c r="D864" s="811"/>
      <c r="E864" s="811"/>
      <c r="F864" s="816"/>
      <c r="G864" s="811"/>
      <c r="H864" s="811"/>
      <c r="I864" s="811"/>
      <c r="J864" s="811"/>
      <c r="K864" s="811"/>
      <c r="L864" s="816"/>
      <c r="M864" s="811"/>
      <c r="N864" s="811"/>
      <c r="O864" s="811"/>
      <c r="P864" s="811"/>
      <c r="Q864" s="811"/>
      <c r="R864" s="811"/>
      <c r="S864" s="811"/>
      <c r="T864" s="811"/>
      <c r="U864" s="811"/>
      <c r="V864" s="811"/>
      <c r="W864" s="811"/>
      <c r="X864" s="811"/>
      <c r="Y864" s="811"/>
      <c r="Z864" s="811"/>
    </row>
    <row r="865">
      <c r="A865" s="811"/>
      <c r="B865" s="854"/>
      <c r="C865" s="855"/>
      <c r="D865" s="811"/>
      <c r="E865" s="811"/>
      <c r="F865" s="816"/>
      <c r="G865" s="811"/>
      <c r="H865" s="811"/>
      <c r="I865" s="811"/>
      <c r="J865" s="811"/>
      <c r="K865" s="811"/>
      <c r="L865" s="816"/>
      <c r="M865" s="811"/>
      <c r="N865" s="811"/>
      <c r="O865" s="811"/>
      <c r="P865" s="811"/>
      <c r="Q865" s="811"/>
      <c r="R865" s="811"/>
      <c r="S865" s="811"/>
      <c r="T865" s="811"/>
      <c r="U865" s="811"/>
      <c r="V865" s="811"/>
      <c r="W865" s="811"/>
      <c r="X865" s="811"/>
      <c r="Y865" s="811"/>
      <c r="Z865" s="811"/>
    </row>
    <row r="866">
      <c r="A866" s="811"/>
      <c r="B866" s="854"/>
      <c r="C866" s="855"/>
      <c r="D866" s="811"/>
      <c r="E866" s="811"/>
      <c r="F866" s="816"/>
      <c r="G866" s="811"/>
      <c r="H866" s="811"/>
      <c r="I866" s="811"/>
      <c r="J866" s="811"/>
      <c r="K866" s="811"/>
      <c r="L866" s="816"/>
      <c r="M866" s="811"/>
      <c r="N866" s="811"/>
      <c r="O866" s="811"/>
      <c r="P866" s="811"/>
      <c r="Q866" s="811"/>
      <c r="R866" s="811"/>
      <c r="S866" s="811"/>
      <c r="T866" s="811"/>
      <c r="U866" s="811"/>
      <c r="V866" s="811"/>
      <c r="W866" s="811"/>
      <c r="X866" s="811"/>
      <c r="Y866" s="811"/>
      <c r="Z866" s="811"/>
    </row>
    <row r="867">
      <c r="A867" s="811"/>
      <c r="B867" s="854"/>
      <c r="C867" s="855"/>
      <c r="D867" s="811"/>
      <c r="E867" s="811"/>
      <c r="F867" s="816"/>
      <c r="G867" s="811"/>
      <c r="H867" s="811"/>
      <c r="I867" s="811"/>
      <c r="J867" s="811"/>
      <c r="K867" s="811"/>
      <c r="L867" s="816"/>
      <c r="M867" s="811"/>
      <c r="N867" s="811"/>
      <c r="O867" s="811"/>
      <c r="P867" s="811"/>
      <c r="Q867" s="811"/>
      <c r="R867" s="811"/>
      <c r="S867" s="811"/>
      <c r="T867" s="811"/>
      <c r="U867" s="811"/>
      <c r="V867" s="811"/>
      <c r="W867" s="811"/>
      <c r="X867" s="811"/>
      <c r="Y867" s="811"/>
      <c r="Z867" s="811"/>
    </row>
    <row r="868">
      <c r="A868" s="811"/>
      <c r="B868" s="854"/>
      <c r="C868" s="855"/>
      <c r="D868" s="811"/>
      <c r="E868" s="811"/>
      <c r="F868" s="816"/>
      <c r="G868" s="811"/>
      <c r="H868" s="811"/>
      <c r="I868" s="811"/>
      <c r="J868" s="811"/>
      <c r="K868" s="811"/>
      <c r="L868" s="816"/>
      <c r="M868" s="811"/>
      <c r="N868" s="811"/>
      <c r="O868" s="811"/>
      <c r="P868" s="811"/>
      <c r="Q868" s="811"/>
      <c r="R868" s="811"/>
      <c r="S868" s="811"/>
      <c r="T868" s="811"/>
      <c r="U868" s="811"/>
      <c r="V868" s="811"/>
      <c r="W868" s="811"/>
      <c r="X868" s="811"/>
      <c r="Y868" s="811"/>
      <c r="Z868" s="811"/>
    </row>
    <row r="869">
      <c r="A869" s="811"/>
      <c r="B869" s="854"/>
      <c r="C869" s="855"/>
      <c r="D869" s="811"/>
      <c r="E869" s="811"/>
      <c r="F869" s="816"/>
      <c r="G869" s="811"/>
      <c r="H869" s="811"/>
      <c r="I869" s="811"/>
      <c r="J869" s="811"/>
      <c r="K869" s="811"/>
      <c r="L869" s="816"/>
      <c r="M869" s="811"/>
      <c r="N869" s="811"/>
      <c r="O869" s="811"/>
      <c r="P869" s="811"/>
      <c r="Q869" s="811"/>
      <c r="R869" s="811"/>
      <c r="S869" s="811"/>
      <c r="T869" s="811"/>
      <c r="U869" s="811"/>
      <c r="V869" s="811"/>
      <c r="W869" s="811"/>
      <c r="X869" s="811"/>
      <c r="Y869" s="811"/>
      <c r="Z869" s="811"/>
    </row>
    <row r="870">
      <c r="A870" s="811"/>
      <c r="B870" s="854"/>
      <c r="C870" s="855"/>
      <c r="D870" s="811"/>
      <c r="E870" s="811"/>
      <c r="F870" s="816"/>
      <c r="G870" s="811"/>
      <c r="H870" s="811"/>
      <c r="I870" s="811"/>
      <c r="J870" s="811"/>
      <c r="K870" s="811"/>
      <c r="L870" s="816"/>
      <c r="M870" s="811"/>
      <c r="N870" s="811"/>
      <c r="O870" s="811"/>
      <c r="P870" s="811"/>
      <c r="Q870" s="811"/>
      <c r="R870" s="811"/>
      <c r="S870" s="811"/>
      <c r="T870" s="811"/>
      <c r="U870" s="811"/>
      <c r="V870" s="811"/>
      <c r="W870" s="811"/>
      <c r="X870" s="811"/>
      <c r="Y870" s="811"/>
      <c r="Z870" s="811"/>
    </row>
    <row r="871">
      <c r="A871" s="811"/>
      <c r="B871" s="854"/>
      <c r="C871" s="855"/>
      <c r="D871" s="811"/>
      <c r="E871" s="811"/>
      <c r="F871" s="816"/>
      <c r="G871" s="811"/>
      <c r="H871" s="811"/>
      <c r="I871" s="811"/>
      <c r="J871" s="811"/>
      <c r="K871" s="811"/>
      <c r="L871" s="816"/>
      <c r="M871" s="811"/>
      <c r="N871" s="811"/>
      <c r="O871" s="811"/>
      <c r="P871" s="811"/>
      <c r="Q871" s="811"/>
      <c r="R871" s="811"/>
      <c r="S871" s="811"/>
      <c r="T871" s="811"/>
      <c r="U871" s="811"/>
      <c r="V871" s="811"/>
      <c r="W871" s="811"/>
      <c r="X871" s="811"/>
      <c r="Y871" s="811"/>
      <c r="Z871" s="811"/>
    </row>
    <row r="872">
      <c r="A872" s="811"/>
      <c r="B872" s="854"/>
      <c r="C872" s="855"/>
      <c r="D872" s="811"/>
      <c r="E872" s="811"/>
      <c r="F872" s="816"/>
      <c r="G872" s="811"/>
      <c r="H872" s="811"/>
      <c r="I872" s="811"/>
      <c r="J872" s="811"/>
      <c r="K872" s="811"/>
      <c r="L872" s="816"/>
      <c r="M872" s="811"/>
      <c r="N872" s="811"/>
      <c r="O872" s="811"/>
      <c r="P872" s="811"/>
      <c r="Q872" s="811"/>
      <c r="R872" s="811"/>
      <c r="S872" s="811"/>
      <c r="T872" s="811"/>
      <c r="U872" s="811"/>
      <c r="V872" s="811"/>
      <c r="W872" s="811"/>
      <c r="X872" s="811"/>
      <c r="Y872" s="811"/>
      <c r="Z872" s="811"/>
    </row>
    <row r="873">
      <c r="A873" s="811"/>
      <c r="B873" s="854"/>
      <c r="C873" s="855"/>
      <c r="D873" s="811"/>
      <c r="E873" s="811"/>
      <c r="F873" s="816"/>
      <c r="G873" s="811"/>
      <c r="H873" s="811"/>
      <c r="I873" s="811"/>
      <c r="J873" s="811"/>
      <c r="K873" s="811"/>
      <c r="L873" s="816"/>
      <c r="M873" s="811"/>
      <c r="N873" s="811"/>
      <c r="O873" s="811"/>
      <c r="P873" s="811"/>
      <c r="Q873" s="811"/>
      <c r="R873" s="811"/>
      <c r="S873" s="811"/>
      <c r="T873" s="811"/>
      <c r="U873" s="811"/>
      <c r="V873" s="811"/>
      <c r="W873" s="811"/>
      <c r="X873" s="811"/>
      <c r="Y873" s="811"/>
      <c r="Z873" s="811"/>
    </row>
    <row r="874">
      <c r="A874" s="811"/>
      <c r="B874" s="854"/>
      <c r="C874" s="855"/>
      <c r="D874" s="811"/>
      <c r="E874" s="811"/>
      <c r="F874" s="816"/>
      <c r="G874" s="811"/>
      <c r="H874" s="811"/>
      <c r="I874" s="811"/>
      <c r="J874" s="811"/>
      <c r="K874" s="811"/>
      <c r="L874" s="816"/>
      <c r="M874" s="811"/>
      <c r="N874" s="811"/>
      <c r="O874" s="811"/>
      <c r="P874" s="811"/>
      <c r="Q874" s="811"/>
      <c r="R874" s="811"/>
      <c r="S874" s="811"/>
      <c r="T874" s="811"/>
      <c r="U874" s="811"/>
      <c r="V874" s="811"/>
      <c r="W874" s="811"/>
      <c r="X874" s="811"/>
      <c r="Y874" s="811"/>
      <c r="Z874" s="811"/>
    </row>
    <row r="875">
      <c r="A875" s="811"/>
      <c r="B875" s="854"/>
      <c r="C875" s="855"/>
      <c r="D875" s="811"/>
      <c r="E875" s="811"/>
      <c r="F875" s="816"/>
      <c r="G875" s="811"/>
      <c r="H875" s="811"/>
      <c r="I875" s="811"/>
      <c r="J875" s="811"/>
      <c r="K875" s="811"/>
      <c r="L875" s="816"/>
      <c r="M875" s="811"/>
      <c r="N875" s="811"/>
      <c r="O875" s="811"/>
      <c r="P875" s="811"/>
      <c r="Q875" s="811"/>
      <c r="R875" s="811"/>
      <c r="S875" s="811"/>
      <c r="T875" s="811"/>
      <c r="U875" s="811"/>
      <c r="V875" s="811"/>
      <c r="W875" s="811"/>
      <c r="X875" s="811"/>
      <c r="Y875" s="811"/>
      <c r="Z875" s="811"/>
    </row>
    <row r="876">
      <c r="A876" s="811"/>
      <c r="B876" s="854"/>
      <c r="C876" s="855"/>
      <c r="D876" s="811"/>
      <c r="E876" s="811"/>
      <c r="F876" s="816"/>
      <c r="G876" s="811"/>
      <c r="H876" s="811"/>
      <c r="I876" s="811"/>
      <c r="J876" s="811"/>
      <c r="K876" s="811"/>
      <c r="L876" s="816"/>
      <c r="M876" s="811"/>
      <c r="N876" s="811"/>
      <c r="O876" s="811"/>
      <c r="P876" s="811"/>
      <c r="Q876" s="811"/>
      <c r="R876" s="811"/>
      <c r="S876" s="811"/>
      <c r="T876" s="811"/>
      <c r="U876" s="811"/>
      <c r="V876" s="811"/>
      <c r="W876" s="811"/>
      <c r="X876" s="811"/>
      <c r="Y876" s="811"/>
      <c r="Z876" s="811"/>
    </row>
    <row r="877">
      <c r="A877" s="811"/>
      <c r="B877" s="854"/>
      <c r="C877" s="855"/>
      <c r="D877" s="811"/>
      <c r="E877" s="811"/>
      <c r="F877" s="816"/>
      <c r="G877" s="811"/>
      <c r="H877" s="811"/>
      <c r="I877" s="811"/>
      <c r="J877" s="811"/>
      <c r="K877" s="811"/>
      <c r="L877" s="816"/>
      <c r="M877" s="811"/>
      <c r="N877" s="811"/>
      <c r="O877" s="811"/>
      <c r="P877" s="811"/>
      <c r="Q877" s="811"/>
      <c r="R877" s="811"/>
      <c r="S877" s="811"/>
      <c r="T877" s="811"/>
      <c r="U877" s="811"/>
      <c r="V877" s="811"/>
      <c r="W877" s="811"/>
      <c r="X877" s="811"/>
      <c r="Y877" s="811"/>
      <c r="Z877" s="811"/>
    </row>
    <row r="878">
      <c r="A878" s="811"/>
      <c r="B878" s="854"/>
      <c r="C878" s="855"/>
      <c r="D878" s="811"/>
      <c r="E878" s="811"/>
      <c r="F878" s="816"/>
      <c r="G878" s="811"/>
      <c r="H878" s="811"/>
      <c r="I878" s="811"/>
      <c r="J878" s="811"/>
      <c r="K878" s="811"/>
      <c r="L878" s="816"/>
      <c r="M878" s="811"/>
      <c r="N878" s="811"/>
      <c r="O878" s="811"/>
      <c r="P878" s="811"/>
      <c r="Q878" s="811"/>
      <c r="R878" s="811"/>
      <c r="S878" s="811"/>
      <c r="T878" s="811"/>
      <c r="U878" s="811"/>
      <c r="V878" s="811"/>
      <c r="W878" s="811"/>
      <c r="X878" s="811"/>
      <c r="Y878" s="811"/>
      <c r="Z878" s="811"/>
    </row>
    <row r="879">
      <c r="A879" s="811"/>
      <c r="B879" s="854"/>
      <c r="C879" s="855"/>
      <c r="D879" s="811"/>
      <c r="E879" s="811"/>
      <c r="F879" s="816"/>
      <c r="G879" s="811"/>
      <c r="H879" s="811"/>
      <c r="I879" s="811"/>
      <c r="J879" s="811"/>
      <c r="K879" s="811"/>
      <c r="L879" s="816"/>
      <c r="M879" s="811"/>
      <c r="N879" s="811"/>
      <c r="O879" s="811"/>
      <c r="P879" s="811"/>
      <c r="Q879" s="811"/>
      <c r="R879" s="811"/>
      <c r="S879" s="811"/>
      <c r="T879" s="811"/>
      <c r="U879" s="811"/>
      <c r="V879" s="811"/>
      <c r="W879" s="811"/>
      <c r="X879" s="811"/>
      <c r="Y879" s="811"/>
      <c r="Z879" s="811"/>
    </row>
    <row r="880">
      <c r="A880" s="811"/>
      <c r="B880" s="854"/>
      <c r="C880" s="855"/>
      <c r="D880" s="811"/>
      <c r="E880" s="811"/>
      <c r="F880" s="816"/>
      <c r="G880" s="811"/>
      <c r="H880" s="811"/>
      <c r="I880" s="811"/>
      <c r="J880" s="811"/>
      <c r="K880" s="811"/>
      <c r="L880" s="816"/>
      <c r="M880" s="811"/>
      <c r="N880" s="811"/>
      <c r="O880" s="811"/>
      <c r="P880" s="811"/>
      <c r="Q880" s="811"/>
      <c r="R880" s="811"/>
      <c r="S880" s="811"/>
      <c r="T880" s="811"/>
      <c r="U880" s="811"/>
      <c r="V880" s="811"/>
      <c r="W880" s="811"/>
      <c r="X880" s="811"/>
      <c r="Y880" s="811"/>
      <c r="Z880" s="811"/>
    </row>
    <row r="881">
      <c r="A881" s="811"/>
      <c r="B881" s="854"/>
      <c r="C881" s="855"/>
      <c r="D881" s="811"/>
      <c r="E881" s="811"/>
      <c r="F881" s="816"/>
      <c r="G881" s="811"/>
      <c r="H881" s="811"/>
      <c r="I881" s="811"/>
      <c r="J881" s="811"/>
      <c r="K881" s="811"/>
      <c r="L881" s="816"/>
      <c r="M881" s="811"/>
      <c r="N881" s="811"/>
      <c r="O881" s="811"/>
      <c r="P881" s="811"/>
      <c r="Q881" s="811"/>
      <c r="R881" s="811"/>
      <c r="S881" s="811"/>
      <c r="T881" s="811"/>
      <c r="U881" s="811"/>
      <c r="V881" s="811"/>
      <c r="W881" s="811"/>
      <c r="X881" s="811"/>
      <c r="Y881" s="811"/>
      <c r="Z881" s="811"/>
    </row>
    <row r="882">
      <c r="A882" s="811"/>
      <c r="B882" s="854"/>
      <c r="C882" s="855"/>
      <c r="D882" s="811"/>
      <c r="E882" s="811"/>
      <c r="F882" s="816"/>
      <c r="G882" s="811"/>
      <c r="H882" s="811"/>
      <c r="I882" s="811"/>
      <c r="J882" s="811"/>
      <c r="K882" s="811"/>
      <c r="L882" s="816"/>
      <c r="M882" s="811"/>
      <c r="N882" s="811"/>
      <c r="O882" s="811"/>
      <c r="P882" s="811"/>
      <c r="Q882" s="811"/>
      <c r="R882" s="811"/>
      <c r="S882" s="811"/>
      <c r="T882" s="811"/>
      <c r="U882" s="811"/>
      <c r="V882" s="811"/>
      <c r="W882" s="811"/>
      <c r="X882" s="811"/>
      <c r="Y882" s="811"/>
      <c r="Z882" s="811"/>
    </row>
    <row r="883">
      <c r="A883" s="811"/>
      <c r="B883" s="854"/>
      <c r="C883" s="855"/>
      <c r="D883" s="811"/>
      <c r="E883" s="811"/>
      <c r="F883" s="816"/>
      <c r="G883" s="811"/>
      <c r="H883" s="811"/>
      <c r="I883" s="811"/>
      <c r="J883" s="811"/>
      <c r="K883" s="811"/>
      <c r="L883" s="816"/>
      <c r="M883" s="811"/>
      <c r="N883" s="811"/>
      <c r="O883" s="811"/>
      <c r="P883" s="811"/>
      <c r="Q883" s="811"/>
      <c r="R883" s="811"/>
      <c r="S883" s="811"/>
      <c r="T883" s="811"/>
      <c r="U883" s="811"/>
      <c r="V883" s="811"/>
      <c r="W883" s="811"/>
      <c r="X883" s="811"/>
      <c r="Y883" s="811"/>
      <c r="Z883" s="811"/>
    </row>
    <row r="884">
      <c r="A884" s="811"/>
      <c r="B884" s="854"/>
      <c r="C884" s="855"/>
      <c r="D884" s="811"/>
      <c r="E884" s="811"/>
      <c r="F884" s="816"/>
      <c r="G884" s="811"/>
      <c r="H884" s="811"/>
      <c r="I884" s="811"/>
      <c r="J884" s="811"/>
      <c r="K884" s="811"/>
      <c r="L884" s="816"/>
      <c r="M884" s="811"/>
      <c r="N884" s="811"/>
      <c r="O884" s="811"/>
      <c r="P884" s="811"/>
      <c r="Q884" s="811"/>
      <c r="R884" s="811"/>
      <c r="S884" s="811"/>
      <c r="T884" s="811"/>
      <c r="U884" s="811"/>
      <c r="V884" s="811"/>
      <c r="W884" s="811"/>
      <c r="X884" s="811"/>
      <c r="Y884" s="811"/>
      <c r="Z884" s="811"/>
    </row>
    <row r="885">
      <c r="A885" s="811"/>
      <c r="B885" s="854"/>
      <c r="C885" s="855"/>
      <c r="D885" s="811"/>
      <c r="E885" s="811"/>
      <c r="F885" s="816"/>
      <c r="G885" s="811"/>
      <c r="H885" s="811"/>
      <c r="I885" s="811"/>
      <c r="J885" s="811"/>
      <c r="K885" s="811"/>
      <c r="L885" s="816"/>
      <c r="M885" s="811"/>
      <c r="N885" s="811"/>
      <c r="O885" s="811"/>
      <c r="P885" s="811"/>
      <c r="Q885" s="811"/>
      <c r="R885" s="811"/>
      <c r="S885" s="811"/>
      <c r="T885" s="811"/>
      <c r="U885" s="811"/>
      <c r="V885" s="811"/>
      <c r="W885" s="811"/>
      <c r="X885" s="811"/>
      <c r="Y885" s="811"/>
      <c r="Z885" s="811"/>
    </row>
    <row r="886">
      <c r="A886" s="811"/>
      <c r="B886" s="854"/>
      <c r="C886" s="855"/>
      <c r="D886" s="811"/>
      <c r="E886" s="811"/>
      <c r="F886" s="816"/>
      <c r="G886" s="811"/>
      <c r="H886" s="811"/>
      <c r="I886" s="811"/>
      <c r="J886" s="811"/>
      <c r="K886" s="811"/>
      <c r="L886" s="816"/>
      <c r="M886" s="811"/>
      <c r="N886" s="811"/>
      <c r="O886" s="811"/>
      <c r="P886" s="811"/>
      <c r="Q886" s="811"/>
      <c r="R886" s="811"/>
      <c r="S886" s="811"/>
      <c r="T886" s="811"/>
      <c r="U886" s="811"/>
      <c r="V886" s="811"/>
      <c r="W886" s="811"/>
      <c r="X886" s="811"/>
      <c r="Y886" s="811"/>
      <c r="Z886" s="811"/>
    </row>
    <row r="887">
      <c r="A887" s="811"/>
      <c r="B887" s="854"/>
      <c r="C887" s="855"/>
      <c r="D887" s="811"/>
      <c r="E887" s="811"/>
      <c r="F887" s="816"/>
      <c r="G887" s="811"/>
      <c r="H887" s="811"/>
      <c r="I887" s="811"/>
      <c r="J887" s="811"/>
      <c r="K887" s="811"/>
      <c r="L887" s="816"/>
      <c r="M887" s="811"/>
      <c r="N887" s="811"/>
      <c r="O887" s="811"/>
      <c r="P887" s="811"/>
      <c r="Q887" s="811"/>
      <c r="R887" s="811"/>
      <c r="S887" s="811"/>
      <c r="T887" s="811"/>
      <c r="U887" s="811"/>
      <c r="V887" s="811"/>
      <c r="W887" s="811"/>
      <c r="X887" s="811"/>
      <c r="Y887" s="811"/>
      <c r="Z887" s="811"/>
    </row>
    <row r="888">
      <c r="A888" s="811"/>
      <c r="B888" s="854"/>
      <c r="C888" s="855"/>
      <c r="D888" s="811"/>
      <c r="E888" s="811"/>
      <c r="F888" s="816"/>
      <c r="G888" s="811"/>
      <c r="H888" s="811"/>
      <c r="I888" s="811"/>
      <c r="J888" s="811"/>
      <c r="K888" s="811"/>
      <c r="L888" s="816"/>
      <c r="M888" s="811"/>
      <c r="N888" s="811"/>
      <c r="O888" s="811"/>
      <c r="P888" s="811"/>
      <c r="Q888" s="811"/>
      <c r="R888" s="811"/>
      <c r="S888" s="811"/>
      <c r="T888" s="811"/>
      <c r="U888" s="811"/>
      <c r="V888" s="811"/>
      <c r="W888" s="811"/>
      <c r="X888" s="811"/>
      <c r="Y888" s="811"/>
      <c r="Z888" s="811"/>
    </row>
    <row r="889">
      <c r="A889" s="811"/>
      <c r="B889" s="854"/>
      <c r="C889" s="855"/>
      <c r="D889" s="811"/>
      <c r="E889" s="811"/>
      <c r="F889" s="816"/>
      <c r="G889" s="811"/>
      <c r="H889" s="811"/>
      <c r="I889" s="811"/>
      <c r="J889" s="811"/>
      <c r="K889" s="811"/>
      <c r="L889" s="816"/>
      <c r="M889" s="811"/>
      <c r="N889" s="811"/>
      <c r="O889" s="811"/>
      <c r="P889" s="811"/>
      <c r="Q889" s="811"/>
      <c r="R889" s="811"/>
      <c r="S889" s="811"/>
      <c r="T889" s="811"/>
      <c r="U889" s="811"/>
      <c r="V889" s="811"/>
      <c r="W889" s="811"/>
      <c r="X889" s="811"/>
      <c r="Y889" s="811"/>
      <c r="Z889" s="811"/>
    </row>
    <row r="890">
      <c r="A890" s="811"/>
      <c r="B890" s="854"/>
      <c r="C890" s="855"/>
      <c r="D890" s="811"/>
      <c r="E890" s="811"/>
      <c r="F890" s="816"/>
      <c r="G890" s="811"/>
      <c r="H890" s="811"/>
      <c r="I890" s="811"/>
      <c r="J890" s="811"/>
      <c r="K890" s="811"/>
      <c r="L890" s="816"/>
      <c r="M890" s="811"/>
      <c r="N890" s="811"/>
      <c r="O890" s="811"/>
      <c r="P890" s="811"/>
      <c r="Q890" s="811"/>
      <c r="R890" s="811"/>
      <c r="S890" s="811"/>
      <c r="T890" s="811"/>
      <c r="U890" s="811"/>
      <c r="V890" s="811"/>
      <c r="W890" s="811"/>
      <c r="X890" s="811"/>
      <c r="Y890" s="811"/>
      <c r="Z890" s="811"/>
    </row>
    <row r="891">
      <c r="A891" s="811"/>
      <c r="B891" s="854"/>
      <c r="C891" s="855"/>
      <c r="D891" s="811"/>
      <c r="E891" s="811"/>
      <c r="F891" s="816"/>
      <c r="G891" s="811"/>
      <c r="H891" s="811"/>
      <c r="I891" s="811"/>
      <c r="J891" s="811"/>
      <c r="K891" s="811"/>
      <c r="L891" s="816"/>
      <c r="M891" s="811"/>
      <c r="N891" s="811"/>
      <c r="O891" s="811"/>
      <c r="P891" s="811"/>
      <c r="Q891" s="811"/>
      <c r="R891" s="811"/>
      <c r="S891" s="811"/>
      <c r="T891" s="811"/>
      <c r="U891" s="811"/>
      <c r="V891" s="811"/>
      <c r="W891" s="811"/>
      <c r="X891" s="811"/>
      <c r="Y891" s="811"/>
      <c r="Z891" s="811"/>
    </row>
    <row r="892">
      <c r="A892" s="811"/>
      <c r="B892" s="854"/>
      <c r="C892" s="855"/>
      <c r="D892" s="811"/>
      <c r="E892" s="811"/>
      <c r="F892" s="816"/>
      <c r="G892" s="811"/>
      <c r="H892" s="811"/>
      <c r="I892" s="811"/>
      <c r="J892" s="811"/>
      <c r="K892" s="811"/>
      <c r="L892" s="816"/>
      <c r="M892" s="811"/>
      <c r="N892" s="811"/>
      <c r="O892" s="811"/>
      <c r="P892" s="811"/>
      <c r="Q892" s="811"/>
      <c r="R892" s="811"/>
      <c r="S892" s="811"/>
      <c r="T892" s="811"/>
      <c r="U892" s="811"/>
      <c r="V892" s="811"/>
      <c r="W892" s="811"/>
      <c r="X892" s="811"/>
      <c r="Y892" s="811"/>
      <c r="Z892" s="811"/>
    </row>
    <row r="893">
      <c r="A893" s="811"/>
      <c r="B893" s="854"/>
      <c r="C893" s="855"/>
      <c r="D893" s="811"/>
      <c r="E893" s="811"/>
      <c r="F893" s="816"/>
      <c r="G893" s="811"/>
      <c r="H893" s="811"/>
      <c r="I893" s="811"/>
      <c r="J893" s="811"/>
      <c r="K893" s="811"/>
      <c r="L893" s="816"/>
      <c r="M893" s="811"/>
      <c r="N893" s="811"/>
      <c r="O893" s="811"/>
      <c r="P893" s="811"/>
      <c r="Q893" s="811"/>
      <c r="R893" s="811"/>
      <c r="S893" s="811"/>
      <c r="T893" s="811"/>
      <c r="U893" s="811"/>
      <c r="V893" s="811"/>
      <c r="W893" s="811"/>
      <c r="X893" s="811"/>
      <c r="Y893" s="811"/>
      <c r="Z893" s="811"/>
    </row>
    <row r="894">
      <c r="A894" s="811"/>
      <c r="B894" s="854"/>
      <c r="C894" s="855"/>
      <c r="D894" s="811"/>
      <c r="E894" s="811"/>
      <c r="F894" s="816"/>
      <c r="G894" s="811"/>
      <c r="H894" s="811"/>
      <c r="I894" s="811"/>
      <c r="J894" s="811"/>
      <c r="K894" s="811"/>
      <c r="L894" s="816"/>
      <c r="M894" s="811"/>
      <c r="N894" s="811"/>
      <c r="O894" s="811"/>
      <c r="P894" s="811"/>
      <c r="Q894" s="811"/>
      <c r="R894" s="811"/>
      <c r="S894" s="811"/>
      <c r="T894" s="811"/>
      <c r="U894" s="811"/>
      <c r="V894" s="811"/>
      <c r="W894" s="811"/>
      <c r="X894" s="811"/>
      <c r="Y894" s="811"/>
      <c r="Z894" s="811"/>
    </row>
    <row r="895">
      <c r="A895" s="811"/>
      <c r="B895" s="854"/>
      <c r="C895" s="855"/>
      <c r="D895" s="811"/>
      <c r="E895" s="811"/>
      <c r="F895" s="816"/>
      <c r="G895" s="811"/>
      <c r="H895" s="811"/>
      <c r="I895" s="811"/>
      <c r="J895" s="811"/>
      <c r="K895" s="811"/>
      <c r="L895" s="816"/>
      <c r="M895" s="811"/>
      <c r="N895" s="811"/>
      <c r="O895" s="811"/>
      <c r="P895" s="811"/>
      <c r="Q895" s="811"/>
      <c r="R895" s="811"/>
      <c r="S895" s="811"/>
      <c r="T895" s="811"/>
      <c r="U895" s="811"/>
      <c r="V895" s="811"/>
      <c r="W895" s="811"/>
      <c r="X895" s="811"/>
      <c r="Y895" s="811"/>
      <c r="Z895" s="811"/>
    </row>
    <row r="896">
      <c r="A896" s="811"/>
      <c r="B896" s="854"/>
      <c r="C896" s="855"/>
      <c r="D896" s="811"/>
      <c r="E896" s="811"/>
      <c r="F896" s="816"/>
      <c r="G896" s="811"/>
      <c r="H896" s="811"/>
      <c r="I896" s="811"/>
      <c r="J896" s="811"/>
      <c r="K896" s="811"/>
      <c r="L896" s="816"/>
      <c r="M896" s="811"/>
      <c r="N896" s="811"/>
      <c r="O896" s="811"/>
      <c r="P896" s="811"/>
      <c r="Q896" s="811"/>
      <c r="R896" s="811"/>
      <c r="S896" s="811"/>
      <c r="T896" s="811"/>
      <c r="U896" s="811"/>
      <c r="V896" s="811"/>
      <c r="W896" s="811"/>
      <c r="X896" s="811"/>
      <c r="Y896" s="811"/>
      <c r="Z896" s="811"/>
    </row>
    <row r="897">
      <c r="A897" s="811"/>
      <c r="B897" s="854"/>
      <c r="C897" s="855"/>
      <c r="D897" s="811"/>
      <c r="E897" s="811"/>
      <c r="F897" s="816"/>
      <c r="G897" s="811"/>
      <c r="H897" s="811"/>
      <c r="I897" s="811"/>
      <c r="J897" s="811"/>
      <c r="K897" s="811"/>
      <c r="L897" s="816"/>
      <c r="M897" s="811"/>
      <c r="N897" s="811"/>
      <c r="O897" s="811"/>
      <c r="P897" s="811"/>
      <c r="Q897" s="811"/>
      <c r="R897" s="811"/>
      <c r="S897" s="811"/>
      <c r="T897" s="811"/>
      <c r="U897" s="811"/>
      <c r="V897" s="811"/>
      <c r="W897" s="811"/>
      <c r="X897" s="811"/>
      <c r="Y897" s="811"/>
      <c r="Z897" s="811"/>
    </row>
    <row r="898">
      <c r="A898" s="811"/>
      <c r="B898" s="854"/>
      <c r="C898" s="855"/>
      <c r="D898" s="811"/>
      <c r="E898" s="811"/>
      <c r="F898" s="816"/>
      <c r="G898" s="811"/>
      <c r="H898" s="811"/>
      <c r="I898" s="811"/>
      <c r="J898" s="811"/>
      <c r="K898" s="811"/>
      <c r="L898" s="816"/>
      <c r="M898" s="811"/>
      <c r="N898" s="811"/>
      <c r="O898" s="811"/>
      <c r="P898" s="811"/>
      <c r="Q898" s="811"/>
      <c r="R898" s="811"/>
      <c r="S898" s="811"/>
      <c r="T898" s="811"/>
      <c r="U898" s="811"/>
      <c r="V898" s="811"/>
      <c r="W898" s="811"/>
      <c r="X898" s="811"/>
      <c r="Y898" s="811"/>
      <c r="Z898" s="811"/>
    </row>
    <row r="899">
      <c r="A899" s="811"/>
      <c r="B899" s="854"/>
      <c r="C899" s="855"/>
      <c r="D899" s="811"/>
      <c r="E899" s="811"/>
      <c r="F899" s="816"/>
      <c r="G899" s="811"/>
      <c r="H899" s="811"/>
      <c r="I899" s="811"/>
      <c r="J899" s="811"/>
      <c r="K899" s="811"/>
      <c r="L899" s="816"/>
      <c r="M899" s="811"/>
      <c r="N899" s="811"/>
      <c r="O899" s="811"/>
      <c r="P899" s="811"/>
      <c r="Q899" s="811"/>
      <c r="R899" s="811"/>
      <c r="S899" s="811"/>
      <c r="T899" s="811"/>
      <c r="U899" s="811"/>
      <c r="V899" s="811"/>
      <c r="W899" s="811"/>
      <c r="X899" s="811"/>
      <c r="Y899" s="811"/>
      <c r="Z899" s="811"/>
    </row>
    <row r="900">
      <c r="A900" s="811"/>
      <c r="B900" s="854"/>
      <c r="C900" s="855"/>
      <c r="D900" s="811"/>
      <c r="E900" s="811"/>
      <c r="F900" s="816"/>
      <c r="G900" s="811"/>
      <c r="H900" s="811"/>
      <c r="I900" s="811"/>
      <c r="J900" s="811"/>
      <c r="K900" s="811"/>
      <c r="L900" s="816"/>
      <c r="M900" s="811"/>
      <c r="N900" s="811"/>
      <c r="O900" s="811"/>
      <c r="P900" s="811"/>
      <c r="Q900" s="811"/>
      <c r="R900" s="811"/>
      <c r="S900" s="811"/>
      <c r="T900" s="811"/>
      <c r="U900" s="811"/>
      <c r="V900" s="811"/>
      <c r="W900" s="811"/>
      <c r="X900" s="811"/>
      <c r="Y900" s="811"/>
      <c r="Z900" s="811"/>
    </row>
    <row r="901">
      <c r="A901" s="811"/>
      <c r="B901" s="854"/>
      <c r="C901" s="855"/>
      <c r="D901" s="811"/>
      <c r="E901" s="811"/>
      <c r="F901" s="816"/>
      <c r="G901" s="811"/>
      <c r="H901" s="811"/>
      <c r="I901" s="811"/>
      <c r="J901" s="811"/>
      <c r="K901" s="811"/>
      <c r="L901" s="816"/>
      <c r="M901" s="811"/>
      <c r="N901" s="811"/>
      <c r="O901" s="811"/>
      <c r="P901" s="811"/>
      <c r="Q901" s="811"/>
      <c r="R901" s="811"/>
      <c r="S901" s="811"/>
      <c r="T901" s="811"/>
      <c r="U901" s="811"/>
      <c r="V901" s="811"/>
      <c r="W901" s="811"/>
      <c r="X901" s="811"/>
      <c r="Y901" s="811"/>
      <c r="Z901" s="811"/>
    </row>
    <row r="902">
      <c r="A902" s="811"/>
      <c r="B902" s="854"/>
      <c r="C902" s="855"/>
      <c r="D902" s="811"/>
      <c r="E902" s="811"/>
      <c r="F902" s="816"/>
      <c r="G902" s="811"/>
      <c r="H902" s="811"/>
      <c r="I902" s="811"/>
      <c r="J902" s="811"/>
      <c r="K902" s="811"/>
      <c r="L902" s="816"/>
      <c r="M902" s="811"/>
      <c r="N902" s="811"/>
      <c r="O902" s="811"/>
      <c r="P902" s="811"/>
      <c r="Q902" s="811"/>
      <c r="R902" s="811"/>
      <c r="S902" s="811"/>
      <c r="T902" s="811"/>
      <c r="U902" s="811"/>
      <c r="V902" s="811"/>
      <c r="W902" s="811"/>
      <c r="X902" s="811"/>
      <c r="Y902" s="811"/>
      <c r="Z902" s="811"/>
    </row>
    <row r="903">
      <c r="A903" s="811"/>
      <c r="B903" s="854"/>
      <c r="C903" s="855"/>
      <c r="D903" s="811"/>
      <c r="E903" s="811"/>
      <c r="F903" s="816"/>
      <c r="G903" s="811"/>
      <c r="H903" s="811"/>
      <c r="I903" s="811"/>
      <c r="J903" s="811"/>
      <c r="K903" s="811"/>
      <c r="L903" s="816"/>
      <c r="M903" s="811"/>
      <c r="N903" s="811"/>
      <c r="O903" s="811"/>
      <c r="P903" s="811"/>
      <c r="Q903" s="811"/>
      <c r="R903" s="811"/>
      <c r="S903" s="811"/>
      <c r="T903" s="811"/>
      <c r="U903" s="811"/>
      <c r="V903" s="811"/>
      <c r="W903" s="811"/>
      <c r="X903" s="811"/>
      <c r="Y903" s="811"/>
      <c r="Z903" s="811"/>
    </row>
    <row r="904">
      <c r="A904" s="811"/>
      <c r="B904" s="854"/>
      <c r="C904" s="855"/>
      <c r="D904" s="811"/>
      <c r="E904" s="811"/>
      <c r="F904" s="816"/>
      <c r="G904" s="811"/>
      <c r="H904" s="811"/>
      <c r="I904" s="811"/>
      <c r="J904" s="811"/>
      <c r="K904" s="811"/>
      <c r="L904" s="816"/>
      <c r="M904" s="811"/>
      <c r="N904" s="811"/>
      <c r="O904" s="811"/>
      <c r="P904" s="811"/>
      <c r="Q904" s="811"/>
      <c r="R904" s="811"/>
      <c r="S904" s="811"/>
      <c r="T904" s="811"/>
      <c r="U904" s="811"/>
      <c r="V904" s="811"/>
      <c r="W904" s="811"/>
      <c r="X904" s="811"/>
      <c r="Y904" s="811"/>
      <c r="Z904" s="811"/>
    </row>
    <row r="905">
      <c r="A905" s="811"/>
      <c r="B905" s="854"/>
      <c r="C905" s="855"/>
      <c r="D905" s="811"/>
      <c r="E905" s="811"/>
      <c r="F905" s="816"/>
      <c r="G905" s="811"/>
      <c r="H905" s="811"/>
      <c r="I905" s="811"/>
      <c r="J905" s="811"/>
      <c r="K905" s="811"/>
      <c r="L905" s="816"/>
      <c r="M905" s="811"/>
      <c r="N905" s="811"/>
      <c r="O905" s="811"/>
      <c r="P905" s="811"/>
      <c r="Q905" s="811"/>
      <c r="R905" s="811"/>
      <c r="S905" s="811"/>
      <c r="T905" s="811"/>
      <c r="U905" s="811"/>
      <c r="V905" s="811"/>
      <c r="W905" s="811"/>
      <c r="X905" s="811"/>
      <c r="Y905" s="811"/>
      <c r="Z905" s="811"/>
    </row>
    <row r="906">
      <c r="A906" s="811"/>
      <c r="B906" s="854"/>
      <c r="C906" s="855"/>
      <c r="D906" s="811"/>
      <c r="E906" s="811"/>
      <c r="F906" s="816"/>
      <c r="G906" s="811"/>
      <c r="H906" s="811"/>
      <c r="I906" s="811"/>
      <c r="J906" s="811"/>
      <c r="K906" s="811"/>
      <c r="L906" s="816"/>
      <c r="M906" s="811"/>
      <c r="N906" s="811"/>
      <c r="O906" s="811"/>
      <c r="P906" s="811"/>
      <c r="Q906" s="811"/>
      <c r="R906" s="811"/>
      <c r="S906" s="811"/>
      <c r="T906" s="811"/>
      <c r="U906" s="811"/>
      <c r="V906" s="811"/>
      <c r="W906" s="811"/>
      <c r="X906" s="811"/>
      <c r="Y906" s="811"/>
      <c r="Z906" s="811"/>
    </row>
    <row r="907">
      <c r="A907" s="811"/>
      <c r="B907" s="854"/>
      <c r="C907" s="855"/>
      <c r="D907" s="811"/>
      <c r="E907" s="811"/>
      <c r="F907" s="816"/>
      <c r="G907" s="811"/>
      <c r="H907" s="811"/>
      <c r="I907" s="811"/>
      <c r="J907" s="811"/>
      <c r="K907" s="811"/>
      <c r="L907" s="816"/>
      <c r="M907" s="811"/>
      <c r="N907" s="811"/>
      <c r="O907" s="811"/>
      <c r="P907" s="811"/>
      <c r="Q907" s="811"/>
      <c r="R907" s="811"/>
      <c r="S907" s="811"/>
      <c r="T907" s="811"/>
      <c r="U907" s="811"/>
      <c r="V907" s="811"/>
      <c r="W907" s="811"/>
      <c r="X907" s="811"/>
      <c r="Y907" s="811"/>
      <c r="Z907" s="811"/>
    </row>
    <row r="908">
      <c r="A908" s="811"/>
      <c r="B908" s="854"/>
      <c r="C908" s="855"/>
      <c r="D908" s="811"/>
      <c r="E908" s="811"/>
      <c r="F908" s="816"/>
      <c r="G908" s="811"/>
      <c r="H908" s="811"/>
      <c r="I908" s="811"/>
      <c r="J908" s="811"/>
      <c r="K908" s="811"/>
      <c r="L908" s="816"/>
      <c r="M908" s="811"/>
      <c r="N908" s="811"/>
      <c r="O908" s="811"/>
      <c r="P908" s="811"/>
      <c r="Q908" s="811"/>
      <c r="R908" s="811"/>
      <c r="S908" s="811"/>
      <c r="T908" s="811"/>
      <c r="U908" s="811"/>
      <c r="V908" s="811"/>
      <c r="W908" s="811"/>
      <c r="X908" s="811"/>
      <c r="Y908" s="811"/>
      <c r="Z908" s="811"/>
    </row>
    <row r="909">
      <c r="A909" s="811"/>
      <c r="B909" s="854"/>
      <c r="C909" s="855"/>
      <c r="D909" s="811"/>
      <c r="E909" s="811"/>
      <c r="F909" s="816"/>
      <c r="G909" s="811"/>
      <c r="H909" s="811"/>
      <c r="I909" s="811"/>
      <c r="J909" s="811"/>
      <c r="K909" s="811"/>
      <c r="L909" s="816"/>
      <c r="M909" s="811"/>
      <c r="N909" s="811"/>
      <c r="O909" s="811"/>
      <c r="P909" s="811"/>
      <c r="Q909" s="811"/>
      <c r="R909" s="811"/>
      <c r="S909" s="811"/>
      <c r="T909" s="811"/>
      <c r="U909" s="811"/>
      <c r="V909" s="811"/>
      <c r="W909" s="811"/>
      <c r="X909" s="811"/>
      <c r="Y909" s="811"/>
      <c r="Z909" s="811"/>
    </row>
    <row r="910">
      <c r="A910" s="811"/>
      <c r="B910" s="854"/>
      <c r="C910" s="855"/>
      <c r="D910" s="811"/>
      <c r="E910" s="811"/>
      <c r="F910" s="816"/>
      <c r="G910" s="811"/>
      <c r="H910" s="811"/>
      <c r="I910" s="811"/>
      <c r="J910" s="811"/>
      <c r="K910" s="811"/>
      <c r="L910" s="816"/>
      <c r="M910" s="811"/>
      <c r="N910" s="811"/>
      <c r="O910" s="811"/>
      <c r="P910" s="811"/>
      <c r="Q910" s="811"/>
      <c r="R910" s="811"/>
      <c r="S910" s="811"/>
      <c r="T910" s="811"/>
      <c r="U910" s="811"/>
      <c r="V910" s="811"/>
      <c r="W910" s="811"/>
      <c r="X910" s="811"/>
      <c r="Y910" s="811"/>
      <c r="Z910" s="811"/>
    </row>
    <row r="911">
      <c r="A911" s="811"/>
      <c r="B911" s="854"/>
      <c r="C911" s="855"/>
      <c r="D911" s="811"/>
      <c r="E911" s="811"/>
      <c r="F911" s="816"/>
      <c r="G911" s="811"/>
      <c r="H911" s="811"/>
      <c r="I911" s="811"/>
      <c r="J911" s="811"/>
      <c r="K911" s="811"/>
      <c r="L911" s="816"/>
      <c r="M911" s="811"/>
      <c r="N911" s="811"/>
      <c r="O911" s="811"/>
      <c r="P911" s="811"/>
      <c r="Q911" s="811"/>
      <c r="R911" s="811"/>
      <c r="S911" s="811"/>
      <c r="T911" s="811"/>
      <c r="U911" s="811"/>
      <c r="V911" s="811"/>
      <c r="W911" s="811"/>
      <c r="X911" s="811"/>
      <c r="Y911" s="811"/>
      <c r="Z911" s="811"/>
    </row>
    <row r="912">
      <c r="A912" s="811"/>
      <c r="B912" s="854"/>
      <c r="C912" s="855"/>
      <c r="D912" s="811"/>
      <c r="E912" s="811"/>
      <c r="F912" s="816"/>
      <c r="G912" s="811"/>
      <c r="H912" s="811"/>
      <c r="I912" s="811"/>
      <c r="J912" s="811"/>
      <c r="K912" s="811"/>
      <c r="L912" s="816"/>
      <c r="M912" s="811"/>
      <c r="N912" s="811"/>
      <c r="O912" s="811"/>
      <c r="P912" s="811"/>
      <c r="Q912" s="811"/>
      <c r="R912" s="811"/>
      <c r="S912" s="811"/>
      <c r="T912" s="811"/>
      <c r="U912" s="811"/>
      <c r="V912" s="811"/>
      <c r="W912" s="811"/>
      <c r="X912" s="811"/>
      <c r="Y912" s="811"/>
      <c r="Z912" s="811"/>
    </row>
    <row r="913">
      <c r="A913" s="811"/>
      <c r="B913" s="854"/>
      <c r="C913" s="855"/>
      <c r="D913" s="811"/>
      <c r="E913" s="811"/>
      <c r="F913" s="816"/>
      <c r="G913" s="811"/>
      <c r="H913" s="811"/>
      <c r="I913" s="811"/>
      <c r="J913" s="811"/>
      <c r="K913" s="811"/>
      <c r="L913" s="816"/>
      <c r="M913" s="811"/>
      <c r="N913" s="811"/>
      <c r="O913" s="811"/>
      <c r="P913" s="811"/>
      <c r="Q913" s="811"/>
      <c r="R913" s="811"/>
      <c r="S913" s="811"/>
      <c r="T913" s="811"/>
      <c r="U913" s="811"/>
      <c r="V913" s="811"/>
      <c r="W913" s="811"/>
      <c r="X913" s="811"/>
      <c r="Y913" s="811"/>
      <c r="Z913" s="811"/>
    </row>
    <row r="914">
      <c r="A914" s="811"/>
      <c r="B914" s="854"/>
      <c r="C914" s="855"/>
      <c r="D914" s="811"/>
      <c r="E914" s="811"/>
      <c r="F914" s="816"/>
      <c r="G914" s="811"/>
      <c r="H914" s="811"/>
      <c r="I914" s="811"/>
      <c r="J914" s="811"/>
      <c r="K914" s="811"/>
      <c r="L914" s="816"/>
      <c r="M914" s="811"/>
      <c r="N914" s="811"/>
      <c r="O914" s="811"/>
      <c r="P914" s="811"/>
      <c r="Q914" s="811"/>
      <c r="R914" s="811"/>
      <c r="S914" s="811"/>
      <c r="T914" s="811"/>
      <c r="U914" s="811"/>
      <c r="V914" s="811"/>
      <c r="W914" s="811"/>
      <c r="X914" s="811"/>
      <c r="Y914" s="811"/>
      <c r="Z914" s="811"/>
    </row>
    <row r="915">
      <c r="A915" s="811"/>
      <c r="B915" s="854"/>
      <c r="C915" s="855"/>
      <c r="D915" s="811"/>
      <c r="E915" s="811"/>
      <c r="F915" s="816"/>
      <c r="G915" s="811"/>
      <c r="H915" s="811"/>
      <c r="I915" s="811"/>
      <c r="J915" s="811"/>
      <c r="K915" s="811"/>
      <c r="L915" s="816"/>
      <c r="M915" s="811"/>
      <c r="N915" s="811"/>
      <c r="O915" s="811"/>
      <c r="P915" s="811"/>
      <c r="Q915" s="811"/>
      <c r="R915" s="811"/>
      <c r="S915" s="811"/>
      <c r="T915" s="811"/>
      <c r="U915" s="811"/>
      <c r="V915" s="811"/>
      <c r="W915" s="811"/>
      <c r="X915" s="811"/>
      <c r="Y915" s="811"/>
      <c r="Z915" s="811"/>
    </row>
    <row r="916">
      <c r="A916" s="811"/>
      <c r="B916" s="854"/>
      <c r="C916" s="855"/>
      <c r="D916" s="811"/>
      <c r="E916" s="811"/>
      <c r="F916" s="816"/>
      <c r="G916" s="811"/>
      <c r="H916" s="811"/>
      <c r="I916" s="811"/>
      <c r="J916" s="811"/>
      <c r="K916" s="811"/>
      <c r="L916" s="816"/>
      <c r="M916" s="811"/>
      <c r="N916" s="811"/>
      <c r="O916" s="811"/>
      <c r="P916" s="811"/>
      <c r="Q916" s="811"/>
      <c r="R916" s="811"/>
      <c r="S916" s="811"/>
      <c r="T916" s="811"/>
      <c r="U916" s="811"/>
      <c r="V916" s="811"/>
      <c r="W916" s="811"/>
      <c r="X916" s="811"/>
      <c r="Y916" s="811"/>
      <c r="Z916" s="811"/>
    </row>
    <row r="917">
      <c r="A917" s="811"/>
      <c r="B917" s="854"/>
      <c r="C917" s="855"/>
      <c r="D917" s="811"/>
      <c r="E917" s="811"/>
      <c r="F917" s="816"/>
      <c r="G917" s="811"/>
      <c r="H917" s="811"/>
      <c r="I917" s="811"/>
      <c r="J917" s="811"/>
      <c r="K917" s="811"/>
      <c r="L917" s="816"/>
      <c r="M917" s="811"/>
      <c r="N917" s="811"/>
      <c r="O917" s="811"/>
      <c r="P917" s="811"/>
      <c r="Q917" s="811"/>
      <c r="R917" s="811"/>
      <c r="S917" s="811"/>
      <c r="T917" s="811"/>
      <c r="U917" s="811"/>
      <c r="V917" s="811"/>
      <c r="W917" s="811"/>
      <c r="X917" s="811"/>
      <c r="Y917" s="811"/>
      <c r="Z917" s="811"/>
    </row>
    <row r="918">
      <c r="A918" s="811"/>
      <c r="B918" s="854"/>
      <c r="C918" s="855"/>
      <c r="D918" s="811"/>
      <c r="E918" s="811"/>
      <c r="F918" s="816"/>
      <c r="G918" s="811"/>
      <c r="H918" s="811"/>
      <c r="I918" s="811"/>
      <c r="J918" s="811"/>
      <c r="K918" s="811"/>
      <c r="L918" s="816"/>
      <c r="M918" s="811"/>
      <c r="N918" s="811"/>
      <c r="O918" s="811"/>
      <c r="P918" s="811"/>
      <c r="Q918" s="811"/>
      <c r="R918" s="811"/>
      <c r="S918" s="811"/>
      <c r="T918" s="811"/>
      <c r="U918" s="811"/>
      <c r="V918" s="811"/>
      <c r="W918" s="811"/>
      <c r="X918" s="811"/>
      <c r="Y918" s="811"/>
      <c r="Z918" s="811"/>
    </row>
    <row r="919">
      <c r="A919" s="811"/>
      <c r="B919" s="854"/>
      <c r="C919" s="855"/>
      <c r="D919" s="811"/>
      <c r="E919" s="811"/>
      <c r="F919" s="816"/>
      <c r="G919" s="811"/>
      <c r="H919" s="811"/>
      <c r="I919" s="811"/>
      <c r="J919" s="811"/>
      <c r="K919" s="811"/>
      <c r="L919" s="816"/>
      <c r="M919" s="811"/>
      <c r="N919" s="811"/>
      <c r="O919" s="811"/>
      <c r="P919" s="811"/>
      <c r="Q919" s="811"/>
      <c r="R919" s="811"/>
      <c r="S919" s="811"/>
      <c r="T919" s="811"/>
      <c r="U919" s="811"/>
      <c r="V919" s="811"/>
      <c r="W919" s="811"/>
      <c r="X919" s="811"/>
      <c r="Y919" s="811"/>
      <c r="Z919" s="811"/>
    </row>
    <row r="920">
      <c r="A920" s="811"/>
      <c r="B920" s="854"/>
      <c r="C920" s="855"/>
      <c r="D920" s="811"/>
      <c r="E920" s="811"/>
      <c r="F920" s="816"/>
      <c r="G920" s="811"/>
      <c r="H920" s="811"/>
      <c r="I920" s="811"/>
      <c r="J920" s="811"/>
      <c r="K920" s="811"/>
      <c r="L920" s="816"/>
      <c r="M920" s="811"/>
      <c r="N920" s="811"/>
      <c r="O920" s="811"/>
      <c r="P920" s="811"/>
      <c r="Q920" s="811"/>
      <c r="R920" s="811"/>
      <c r="S920" s="811"/>
      <c r="T920" s="811"/>
      <c r="U920" s="811"/>
      <c r="V920" s="811"/>
      <c r="W920" s="811"/>
      <c r="X920" s="811"/>
      <c r="Y920" s="811"/>
      <c r="Z920" s="811"/>
    </row>
    <row r="921">
      <c r="A921" s="811"/>
      <c r="B921" s="854"/>
      <c r="C921" s="855"/>
      <c r="D921" s="811"/>
      <c r="E921" s="811"/>
      <c r="F921" s="816"/>
      <c r="G921" s="811"/>
      <c r="H921" s="811"/>
      <c r="I921" s="811"/>
      <c r="J921" s="811"/>
      <c r="K921" s="811"/>
      <c r="L921" s="816"/>
      <c r="M921" s="811"/>
      <c r="N921" s="811"/>
      <c r="O921" s="811"/>
      <c r="P921" s="811"/>
      <c r="Q921" s="811"/>
      <c r="R921" s="811"/>
      <c r="S921" s="811"/>
      <c r="T921" s="811"/>
      <c r="U921" s="811"/>
      <c r="V921" s="811"/>
      <c r="W921" s="811"/>
      <c r="X921" s="811"/>
      <c r="Y921" s="811"/>
      <c r="Z921" s="811"/>
    </row>
    <row r="922">
      <c r="A922" s="811"/>
      <c r="B922" s="854"/>
      <c r="C922" s="855"/>
      <c r="D922" s="811"/>
      <c r="E922" s="811"/>
      <c r="F922" s="816"/>
      <c r="G922" s="811"/>
      <c r="H922" s="811"/>
      <c r="I922" s="811"/>
      <c r="J922" s="811"/>
      <c r="K922" s="811"/>
      <c r="L922" s="816"/>
      <c r="M922" s="811"/>
      <c r="N922" s="811"/>
      <c r="O922" s="811"/>
      <c r="P922" s="811"/>
      <c r="Q922" s="811"/>
      <c r="R922" s="811"/>
      <c r="S922" s="811"/>
      <c r="T922" s="811"/>
      <c r="U922" s="811"/>
      <c r="V922" s="811"/>
      <c r="W922" s="811"/>
      <c r="X922" s="811"/>
      <c r="Y922" s="811"/>
      <c r="Z922" s="811"/>
    </row>
    <row r="923">
      <c r="A923" s="811"/>
      <c r="B923" s="854"/>
      <c r="C923" s="855"/>
      <c r="D923" s="811"/>
      <c r="E923" s="811"/>
      <c r="F923" s="816"/>
      <c r="G923" s="811"/>
      <c r="H923" s="811"/>
      <c r="I923" s="811"/>
      <c r="J923" s="811"/>
      <c r="K923" s="811"/>
      <c r="L923" s="816"/>
      <c r="M923" s="811"/>
      <c r="N923" s="811"/>
      <c r="O923" s="811"/>
      <c r="P923" s="811"/>
      <c r="Q923" s="811"/>
      <c r="R923" s="811"/>
      <c r="S923" s="811"/>
      <c r="T923" s="811"/>
      <c r="U923" s="811"/>
      <c r="V923" s="811"/>
      <c r="W923" s="811"/>
      <c r="X923" s="811"/>
      <c r="Y923" s="811"/>
      <c r="Z923" s="811"/>
    </row>
    <row r="924">
      <c r="A924" s="811"/>
      <c r="B924" s="854"/>
      <c r="C924" s="855"/>
      <c r="D924" s="811"/>
      <c r="E924" s="811"/>
      <c r="F924" s="816"/>
      <c r="G924" s="811"/>
      <c r="H924" s="811"/>
      <c r="I924" s="811"/>
      <c r="J924" s="811"/>
      <c r="K924" s="811"/>
      <c r="L924" s="816"/>
      <c r="M924" s="811"/>
      <c r="N924" s="811"/>
      <c r="O924" s="811"/>
      <c r="P924" s="811"/>
      <c r="Q924" s="811"/>
      <c r="R924" s="811"/>
      <c r="S924" s="811"/>
      <c r="T924" s="811"/>
      <c r="U924" s="811"/>
      <c r="V924" s="811"/>
      <c r="W924" s="811"/>
      <c r="X924" s="811"/>
      <c r="Y924" s="811"/>
      <c r="Z924" s="811"/>
    </row>
    <row r="925">
      <c r="A925" s="811"/>
      <c r="B925" s="854"/>
      <c r="C925" s="855"/>
      <c r="D925" s="811"/>
      <c r="E925" s="811"/>
      <c r="F925" s="816"/>
      <c r="G925" s="811"/>
      <c r="H925" s="811"/>
      <c r="I925" s="811"/>
      <c r="J925" s="811"/>
      <c r="K925" s="811"/>
      <c r="L925" s="816"/>
      <c r="M925" s="811"/>
      <c r="N925" s="811"/>
      <c r="O925" s="811"/>
      <c r="P925" s="811"/>
      <c r="Q925" s="811"/>
      <c r="R925" s="811"/>
      <c r="S925" s="811"/>
      <c r="T925" s="811"/>
      <c r="U925" s="811"/>
      <c r="V925" s="811"/>
      <c r="W925" s="811"/>
      <c r="X925" s="811"/>
      <c r="Y925" s="811"/>
      <c r="Z925" s="811"/>
    </row>
    <row r="926">
      <c r="A926" s="811"/>
      <c r="B926" s="854"/>
      <c r="C926" s="855"/>
      <c r="D926" s="811"/>
      <c r="E926" s="811"/>
      <c r="F926" s="816"/>
      <c r="G926" s="811"/>
      <c r="H926" s="811"/>
      <c r="I926" s="811"/>
      <c r="J926" s="811"/>
      <c r="K926" s="811"/>
      <c r="L926" s="816"/>
      <c r="M926" s="811"/>
      <c r="N926" s="811"/>
      <c r="O926" s="811"/>
      <c r="P926" s="811"/>
      <c r="Q926" s="811"/>
      <c r="R926" s="811"/>
      <c r="S926" s="811"/>
      <c r="T926" s="811"/>
      <c r="U926" s="811"/>
      <c r="V926" s="811"/>
      <c r="W926" s="811"/>
      <c r="X926" s="811"/>
      <c r="Y926" s="811"/>
      <c r="Z926" s="811"/>
    </row>
    <row r="927">
      <c r="A927" s="811"/>
      <c r="B927" s="854"/>
      <c r="C927" s="855"/>
      <c r="D927" s="811"/>
      <c r="E927" s="811"/>
      <c r="F927" s="816"/>
      <c r="G927" s="811"/>
      <c r="H927" s="811"/>
      <c r="I927" s="811"/>
      <c r="J927" s="811"/>
      <c r="K927" s="811"/>
      <c r="L927" s="816"/>
      <c r="M927" s="811"/>
      <c r="N927" s="811"/>
      <c r="O927" s="811"/>
      <c r="P927" s="811"/>
      <c r="Q927" s="811"/>
      <c r="R927" s="811"/>
      <c r="S927" s="811"/>
      <c r="T927" s="811"/>
      <c r="U927" s="811"/>
      <c r="V927" s="811"/>
      <c r="W927" s="811"/>
      <c r="X927" s="811"/>
      <c r="Y927" s="811"/>
      <c r="Z927" s="811"/>
    </row>
    <row r="928">
      <c r="A928" s="811"/>
      <c r="B928" s="854"/>
      <c r="C928" s="855"/>
      <c r="D928" s="811"/>
      <c r="E928" s="811"/>
      <c r="F928" s="816"/>
      <c r="G928" s="811"/>
      <c r="H928" s="811"/>
      <c r="I928" s="811"/>
      <c r="J928" s="811"/>
      <c r="K928" s="811"/>
      <c r="L928" s="816"/>
      <c r="M928" s="811"/>
      <c r="N928" s="811"/>
      <c r="O928" s="811"/>
      <c r="P928" s="811"/>
      <c r="Q928" s="811"/>
      <c r="R928" s="811"/>
      <c r="S928" s="811"/>
      <c r="T928" s="811"/>
      <c r="U928" s="811"/>
      <c r="V928" s="811"/>
      <c r="W928" s="811"/>
      <c r="X928" s="811"/>
      <c r="Y928" s="811"/>
      <c r="Z928" s="811"/>
    </row>
    <row r="929">
      <c r="A929" s="811"/>
      <c r="B929" s="854"/>
      <c r="C929" s="855"/>
      <c r="D929" s="811"/>
      <c r="E929" s="811"/>
      <c r="F929" s="816"/>
      <c r="G929" s="811"/>
      <c r="H929" s="811"/>
      <c r="I929" s="811"/>
      <c r="J929" s="811"/>
      <c r="K929" s="811"/>
      <c r="L929" s="816"/>
      <c r="M929" s="811"/>
      <c r="N929" s="811"/>
      <c r="O929" s="811"/>
      <c r="P929" s="811"/>
      <c r="Q929" s="811"/>
      <c r="R929" s="811"/>
      <c r="S929" s="811"/>
      <c r="T929" s="811"/>
      <c r="U929" s="811"/>
      <c r="V929" s="811"/>
      <c r="W929" s="811"/>
      <c r="X929" s="811"/>
      <c r="Y929" s="811"/>
      <c r="Z929" s="811"/>
    </row>
    <row r="930">
      <c r="A930" s="811"/>
      <c r="B930" s="854"/>
      <c r="C930" s="855"/>
      <c r="D930" s="811"/>
      <c r="E930" s="811"/>
      <c r="F930" s="816"/>
      <c r="G930" s="811"/>
      <c r="H930" s="811"/>
      <c r="I930" s="811"/>
      <c r="J930" s="811"/>
      <c r="K930" s="811"/>
      <c r="L930" s="816"/>
      <c r="M930" s="811"/>
      <c r="N930" s="811"/>
      <c r="O930" s="811"/>
      <c r="P930" s="811"/>
      <c r="Q930" s="811"/>
      <c r="R930" s="811"/>
      <c r="S930" s="811"/>
      <c r="T930" s="811"/>
      <c r="U930" s="811"/>
      <c r="V930" s="811"/>
      <c r="W930" s="811"/>
      <c r="X930" s="811"/>
      <c r="Y930" s="811"/>
      <c r="Z930" s="811"/>
    </row>
    <row r="931">
      <c r="A931" s="811"/>
      <c r="B931" s="854"/>
      <c r="C931" s="855"/>
      <c r="D931" s="811"/>
      <c r="E931" s="811"/>
      <c r="F931" s="816"/>
      <c r="G931" s="811"/>
      <c r="H931" s="811"/>
      <c r="I931" s="811"/>
      <c r="J931" s="811"/>
      <c r="K931" s="811"/>
      <c r="L931" s="816"/>
      <c r="M931" s="811"/>
      <c r="N931" s="811"/>
      <c r="O931" s="811"/>
      <c r="P931" s="811"/>
      <c r="Q931" s="811"/>
      <c r="R931" s="811"/>
      <c r="S931" s="811"/>
      <c r="T931" s="811"/>
      <c r="U931" s="811"/>
      <c r="V931" s="811"/>
      <c r="W931" s="811"/>
      <c r="X931" s="811"/>
      <c r="Y931" s="811"/>
      <c r="Z931" s="811"/>
    </row>
    <row r="932">
      <c r="A932" s="811"/>
      <c r="B932" s="854"/>
      <c r="C932" s="855"/>
      <c r="D932" s="811"/>
      <c r="E932" s="811"/>
      <c r="F932" s="816"/>
      <c r="G932" s="811"/>
      <c r="H932" s="811"/>
      <c r="I932" s="811"/>
      <c r="J932" s="811"/>
      <c r="K932" s="811"/>
      <c r="L932" s="816"/>
      <c r="M932" s="811"/>
      <c r="N932" s="811"/>
      <c r="O932" s="811"/>
      <c r="P932" s="811"/>
      <c r="Q932" s="811"/>
      <c r="R932" s="811"/>
      <c r="S932" s="811"/>
      <c r="T932" s="811"/>
      <c r="U932" s="811"/>
      <c r="V932" s="811"/>
      <c r="W932" s="811"/>
      <c r="X932" s="811"/>
      <c r="Y932" s="811"/>
      <c r="Z932" s="811"/>
    </row>
    <row r="933">
      <c r="A933" s="811"/>
      <c r="B933" s="854"/>
      <c r="C933" s="855"/>
      <c r="D933" s="811"/>
      <c r="E933" s="811"/>
      <c r="F933" s="816"/>
      <c r="G933" s="811"/>
      <c r="H933" s="811"/>
      <c r="I933" s="811"/>
      <c r="J933" s="811"/>
      <c r="K933" s="811"/>
      <c r="L933" s="816"/>
      <c r="M933" s="811"/>
      <c r="N933" s="811"/>
      <c r="O933" s="811"/>
      <c r="P933" s="811"/>
      <c r="Q933" s="811"/>
      <c r="R933" s="811"/>
      <c r="S933" s="811"/>
      <c r="T933" s="811"/>
      <c r="U933" s="811"/>
      <c r="V933" s="811"/>
      <c r="W933" s="811"/>
      <c r="X933" s="811"/>
      <c r="Y933" s="811"/>
      <c r="Z933" s="811"/>
    </row>
    <row r="934">
      <c r="A934" s="811"/>
      <c r="B934" s="854"/>
      <c r="C934" s="855"/>
      <c r="D934" s="811"/>
      <c r="E934" s="811"/>
      <c r="F934" s="816"/>
      <c r="G934" s="811"/>
      <c r="H934" s="811"/>
      <c r="I934" s="811"/>
      <c r="J934" s="811"/>
      <c r="K934" s="811"/>
      <c r="L934" s="816"/>
      <c r="M934" s="811"/>
      <c r="N934" s="811"/>
      <c r="O934" s="811"/>
      <c r="P934" s="811"/>
      <c r="Q934" s="811"/>
      <c r="R934" s="811"/>
      <c r="S934" s="811"/>
      <c r="T934" s="811"/>
      <c r="U934" s="811"/>
      <c r="V934" s="811"/>
      <c r="W934" s="811"/>
      <c r="X934" s="811"/>
      <c r="Y934" s="811"/>
      <c r="Z934" s="811"/>
    </row>
    <row r="935">
      <c r="A935" s="811"/>
      <c r="B935" s="854"/>
      <c r="C935" s="855"/>
      <c r="D935" s="811"/>
      <c r="E935" s="811"/>
      <c r="F935" s="816"/>
      <c r="G935" s="811"/>
      <c r="H935" s="811"/>
      <c r="I935" s="811"/>
      <c r="J935" s="811"/>
      <c r="K935" s="811"/>
      <c r="L935" s="816"/>
      <c r="M935" s="811"/>
      <c r="N935" s="811"/>
      <c r="O935" s="811"/>
      <c r="P935" s="811"/>
      <c r="Q935" s="811"/>
      <c r="R935" s="811"/>
      <c r="S935" s="811"/>
      <c r="T935" s="811"/>
      <c r="U935" s="811"/>
      <c r="V935" s="811"/>
      <c r="W935" s="811"/>
      <c r="X935" s="811"/>
      <c r="Y935" s="811"/>
      <c r="Z935" s="811"/>
    </row>
    <row r="936">
      <c r="A936" s="811"/>
      <c r="B936" s="854"/>
      <c r="C936" s="855"/>
      <c r="D936" s="811"/>
      <c r="E936" s="811"/>
      <c r="F936" s="816"/>
      <c r="G936" s="811"/>
      <c r="H936" s="811"/>
      <c r="I936" s="811"/>
      <c r="J936" s="811"/>
      <c r="K936" s="811"/>
      <c r="L936" s="816"/>
      <c r="M936" s="811"/>
      <c r="N936" s="811"/>
      <c r="O936" s="811"/>
      <c r="P936" s="811"/>
      <c r="Q936" s="811"/>
      <c r="R936" s="811"/>
      <c r="S936" s="811"/>
      <c r="T936" s="811"/>
      <c r="U936" s="811"/>
      <c r="V936" s="811"/>
      <c r="W936" s="811"/>
      <c r="X936" s="811"/>
      <c r="Y936" s="811"/>
      <c r="Z936" s="811"/>
    </row>
    <row r="937">
      <c r="A937" s="811"/>
      <c r="B937" s="854"/>
      <c r="C937" s="855"/>
      <c r="D937" s="811"/>
      <c r="E937" s="811"/>
      <c r="F937" s="816"/>
      <c r="G937" s="811"/>
      <c r="H937" s="811"/>
      <c r="I937" s="811"/>
      <c r="J937" s="811"/>
      <c r="K937" s="811"/>
      <c r="L937" s="816"/>
      <c r="M937" s="811"/>
      <c r="N937" s="811"/>
      <c r="O937" s="811"/>
      <c r="P937" s="811"/>
      <c r="Q937" s="811"/>
      <c r="R937" s="811"/>
      <c r="S937" s="811"/>
      <c r="T937" s="811"/>
      <c r="U937" s="811"/>
      <c r="V937" s="811"/>
      <c r="W937" s="811"/>
      <c r="X937" s="811"/>
      <c r="Y937" s="811"/>
      <c r="Z937" s="811"/>
    </row>
    <row r="938">
      <c r="A938" s="811"/>
      <c r="B938" s="854"/>
      <c r="C938" s="855"/>
      <c r="D938" s="811"/>
      <c r="E938" s="811"/>
      <c r="F938" s="816"/>
      <c r="G938" s="811"/>
      <c r="H938" s="811"/>
      <c r="I938" s="811"/>
      <c r="J938" s="811"/>
      <c r="K938" s="811"/>
      <c r="L938" s="816"/>
      <c r="M938" s="811"/>
      <c r="N938" s="811"/>
      <c r="O938" s="811"/>
      <c r="P938" s="811"/>
      <c r="Q938" s="811"/>
      <c r="R938" s="811"/>
      <c r="S938" s="811"/>
      <c r="T938" s="811"/>
      <c r="U938" s="811"/>
      <c r="V938" s="811"/>
      <c r="W938" s="811"/>
      <c r="X938" s="811"/>
      <c r="Y938" s="811"/>
      <c r="Z938" s="811"/>
    </row>
    <row r="939">
      <c r="A939" s="811"/>
      <c r="B939" s="854"/>
      <c r="C939" s="855"/>
      <c r="D939" s="811"/>
      <c r="E939" s="811"/>
      <c r="F939" s="816"/>
      <c r="G939" s="811"/>
      <c r="H939" s="811"/>
      <c r="I939" s="811"/>
      <c r="J939" s="811"/>
      <c r="K939" s="811"/>
      <c r="L939" s="816"/>
      <c r="M939" s="811"/>
      <c r="N939" s="811"/>
      <c r="O939" s="811"/>
      <c r="P939" s="811"/>
      <c r="Q939" s="811"/>
      <c r="R939" s="811"/>
      <c r="S939" s="811"/>
      <c r="T939" s="811"/>
      <c r="U939" s="811"/>
      <c r="V939" s="811"/>
      <c r="W939" s="811"/>
      <c r="X939" s="811"/>
      <c r="Y939" s="811"/>
      <c r="Z939" s="811"/>
    </row>
    <row r="940">
      <c r="A940" s="811"/>
      <c r="B940" s="854"/>
      <c r="C940" s="855"/>
      <c r="D940" s="811"/>
      <c r="E940" s="811"/>
      <c r="F940" s="816"/>
      <c r="G940" s="811"/>
      <c r="H940" s="811"/>
      <c r="I940" s="811"/>
      <c r="J940" s="811"/>
      <c r="K940" s="811"/>
      <c r="L940" s="816"/>
      <c r="M940" s="811"/>
      <c r="N940" s="811"/>
      <c r="O940" s="811"/>
      <c r="P940" s="811"/>
      <c r="Q940" s="811"/>
      <c r="R940" s="811"/>
      <c r="S940" s="811"/>
      <c r="T940" s="811"/>
      <c r="U940" s="811"/>
      <c r="V940" s="811"/>
      <c r="W940" s="811"/>
      <c r="X940" s="811"/>
      <c r="Y940" s="811"/>
      <c r="Z940" s="811"/>
    </row>
    <row r="941">
      <c r="A941" s="811"/>
      <c r="B941" s="854"/>
      <c r="C941" s="855"/>
      <c r="D941" s="811"/>
      <c r="E941" s="811"/>
      <c r="F941" s="816"/>
      <c r="G941" s="811"/>
      <c r="H941" s="811"/>
      <c r="I941" s="811"/>
      <c r="J941" s="811"/>
      <c r="K941" s="811"/>
      <c r="L941" s="816"/>
      <c r="M941" s="811"/>
      <c r="N941" s="811"/>
      <c r="O941" s="811"/>
      <c r="P941" s="811"/>
      <c r="Q941" s="811"/>
      <c r="R941" s="811"/>
      <c r="S941" s="811"/>
      <c r="T941" s="811"/>
      <c r="U941" s="811"/>
      <c r="V941" s="811"/>
      <c r="W941" s="811"/>
      <c r="X941" s="811"/>
      <c r="Y941" s="811"/>
      <c r="Z941" s="811"/>
    </row>
    <row r="942">
      <c r="A942" s="811"/>
      <c r="B942" s="854"/>
      <c r="C942" s="855"/>
      <c r="D942" s="811"/>
      <c r="E942" s="811"/>
      <c r="F942" s="816"/>
      <c r="G942" s="811"/>
      <c r="H942" s="811"/>
      <c r="I942" s="811"/>
      <c r="J942" s="811"/>
      <c r="K942" s="811"/>
      <c r="L942" s="816"/>
      <c r="M942" s="811"/>
      <c r="N942" s="811"/>
      <c r="O942" s="811"/>
      <c r="P942" s="811"/>
      <c r="Q942" s="811"/>
      <c r="R942" s="811"/>
      <c r="S942" s="811"/>
      <c r="T942" s="811"/>
      <c r="U942" s="811"/>
      <c r="V942" s="811"/>
      <c r="W942" s="811"/>
      <c r="X942" s="811"/>
      <c r="Y942" s="811"/>
      <c r="Z942" s="811"/>
    </row>
    <row r="943">
      <c r="A943" s="811"/>
      <c r="B943" s="854"/>
      <c r="C943" s="855"/>
      <c r="D943" s="811"/>
      <c r="E943" s="811"/>
      <c r="F943" s="816"/>
      <c r="G943" s="811"/>
      <c r="H943" s="811"/>
      <c r="I943" s="811"/>
      <c r="J943" s="811"/>
      <c r="K943" s="811"/>
      <c r="L943" s="816"/>
      <c r="M943" s="811"/>
      <c r="N943" s="811"/>
      <c r="O943" s="811"/>
      <c r="P943" s="811"/>
      <c r="Q943" s="811"/>
      <c r="R943" s="811"/>
      <c r="S943" s="811"/>
      <c r="T943" s="811"/>
      <c r="U943" s="811"/>
      <c r="V943" s="811"/>
      <c r="W943" s="811"/>
      <c r="X943" s="811"/>
      <c r="Y943" s="811"/>
      <c r="Z943" s="811"/>
    </row>
    <row r="944">
      <c r="A944" s="811"/>
      <c r="B944" s="854"/>
      <c r="C944" s="855"/>
      <c r="D944" s="811"/>
      <c r="E944" s="811"/>
      <c r="F944" s="816"/>
      <c r="G944" s="811"/>
      <c r="H944" s="811"/>
      <c r="I944" s="811"/>
      <c r="J944" s="811"/>
      <c r="K944" s="811"/>
      <c r="L944" s="816"/>
      <c r="M944" s="811"/>
      <c r="N944" s="811"/>
      <c r="O944" s="811"/>
      <c r="P944" s="811"/>
      <c r="Q944" s="811"/>
      <c r="R944" s="811"/>
      <c r="S944" s="811"/>
      <c r="T944" s="811"/>
      <c r="U944" s="811"/>
      <c r="V944" s="811"/>
      <c r="W944" s="811"/>
      <c r="X944" s="811"/>
      <c r="Y944" s="811"/>
      <c r="Z944" s="811"/>
    </row>
    <row r="945">
      <c r="A945" s="811"/>
      <c r="B945" s="854"/>
      <c r="C945" s="855"/>
      <c r="D945" s="811"/>
      <c r="E945" s="811"/>
      <c r="F945" s="816"/>
      <c r="G945" s="811"/>
      <c r="H945" s="811"/>
      <c r="I945" s="811"/>
      <c r="J945" s="811"/>
      <c r="K945" s="811"/>
      <c r="L945" s="816"/>
      <c r="M945" s="811"/>
      <c r="N945" s="811"/>
      <c r="O945" s="811"/>
      <c r="P945" s="811"/>
      <c r="Q945" s="811"/>
      <c r="R945" s="811"/>
      <c r="S945" s="811"/>
      <c r="T945" s="811"/>
      <c r="U945" s="811"/>
      <c r="V945" s="811"/>
      <c r="W945" s="811"/>
      <c r="X945" s="811"/>
      <c r="Y945" s="811"/>
      <c r="Z945" s="811"/>
    </row>
    <row r="946">
      <c r="A946" s="811"/>
      <c r="B946" s="854"/>
      <c r="C946" s="855"/>
      <c r="D946" s="811"/>
      <c r="E946" s="811"/>
      <c r="F946" s="816"/>
      <c r="G946" s="811"/>
      <c r="H946" s="811"/>
      <c r="I946" s="811"/>
      <c r="J946" s="811"/>
      <c r="K946" s="811"/>
      <c r="L946" s="816"/>
      <c r="M946" s="811"/>
      <c r="N946" s="811"/>
      <c r="O946" s="811"/>
      <c r="P946" s="811"/>
      <c r="Q946" s="811"/>
      <c r="R946" s="811"/>
      <c r="S946" s="811"/>
      <c r="T946" s="811"/>
      <c r="U946" s="811"/>
      <c r="V946" s="811"/>
      <c r="W946" s="811"/>
      <c r="X946" s="811"/>
      <c r="Y946" s="811"/>
      <c r="Z946" s="811"/>
    </row>
    <row r="947">
      <c r="A947" s="811"/>
      <c r="B947" s="854"/>
      <c r="C947" s="855"/>
      <c r="D947" s="811"/>
      <c r="E947" s="811"/>
      <c r="F947" s="816"/>
      <c r="G947" s="811"/>
      <c r="H947" s="811"/>
      <c r="I947" s="811"/>
      <c r="J947" s="811"/>
      <c r="K947" s="811"/>
      <c r="L947" s="816"/>
      <c r="M947" s="811"/>
      <c r="N947" s="811"/>
      <c r="O947" s="811"/>
      <c r="P947" s="811"/>
      <c r="Q947" s="811"/>
      <c r="R947" s="811"/>
      <c r="S947" s="811"/>
      <c r="T947" s="811"/>
      <c r="U947" s="811"/>
      <c r="V947" s="811"/>
      <c r="W947" s="811"/>
      <c r="X947" s="811"/>
      <c r="Y947" s="811"/>
      <c r="Z947" s="811"/>
    </row>
    <row r="948">
      <c r="A948" s="811"/>
      <c r="B948" s="854"/>
      <c r="C948" s="855"/>
      <c r="D948" s="811"/>
      <c r="E948" s="811"/>
      <c r="F948" s="816"/>
      <c r="G948" s="811"/>
      <c r="H948" s="811"/>
      <c r="I948" s="811"/>
      <c r="J948" s="811"/>
      <c r="K948" s="811"/>
      <c r="L948" s="816"/>
      <c r="M948" s="811"/>
      <c r="N948" s="811"/>
      <c r="O948" s="811"/>
      <c r="P948" s="811"/>
      <c r="Q948" s="811"/>
      <c r="R948" s="811"/>
      <c r="S948" s="811"/>
      <c r="T948" s="811"/>
      <c r="U948" s="811"/>
      <c r="V948" s="811"/>
      <c r="W948" s="811"/>
      <c r="X948" s="811"/>
      <c r="Y948" s="811"/>
      <c r="Z948" s="811"/>
    </row>
    <row r="949">
      <c r="A949" s="811"/>
      <c r="B949" s="854"/>
      <c r="C949" s="855"/>
      <c r="D949" s="811"/>
      <c r="E949" s="811"/>
      <c r="F949" s="816"/>
      <c r="G949" s="811"/>
      <c r="H949" s="811"/>
      <c r="I949" s="811"/>
      <c r="J949" s="811"/>
      <c r="K949" s="811"/>
      <c r="L949" s="816"/>
      <c r="M949" s="811"/>
      <c r="N949" s="811"/>
      <c r="O949" s="811"/>
      <c r="P949" s="811"/>
      <c r="Q949" s="811"/>
      <c r="R949" s="811"/>
      <c r="S949" s="811"/>
      <c r="T949" s="811"/>
      <c r="U949" s="811"/>
      <c r="V949" s="811"/>
      <c r="W949" s="811"/>
      <c r="X949" s="811"/>
      <c r="Y949" s="811"/>
      <c r="Z949" s="811"/>
    </row>
    <row r="950">
      <c r="A950" s="811"/>
      <c r="B950" s="854"/>
      <c r="C950" s="855"/>
      <c r="D950" s="811"/>
      <c r="E950" s="811"/>
      <c r="F950" s="816"/>
      <c r="G950" s="811"/>
      <c r="H950" s="811"/>
      <c r="I950" s="811"/>
      <c r="J950" s="811"/>
      <c r="K950" s="811"/>
      <c r="L950" s="816"/>
      <c r="M950" s="811"/>
      <c r="N950" s="811"/>
      <c r="O950" s="811"/>
      <c r="P950" s="811"/>
      <c r="Q950" s="811"/>
      <c r="R950" s="811"/>
      <c r="S950" s="811"/>
      <c r="T950" s="811"/>
      <c r="U950" s="811"/>
      <c r="V950" s="811"/>
      <c r="W950" s="811"/>
      <c r="X950" s="811"/>
      <c r="Y950" s="811"/>
      <c r="Z950" s="811"/>
    </row>
    <row r="951">
      <c r="A951" s="811"/>
      <c r="B951" s="854"/>
      <c r="C951" s="855"/>
      <c r="D951" s="811"/>
      <c r="E951" s="811"/>
      <c r="F951" s="816"/>
      <c r="G951" s="811"/>
      <c r="H951" s="811"/>
      <c r="I951" s="811"/>
      <c r="J951" s="811"/>
      <c r="K951" s="811"/>
      <c r="L951" s="816"/>
      <c r="M951" s="811"/>
      <c r="N951" s="811"/>
      <c r="O951" s="811"/>
      <c r="P951" s="811"/>
      <c r="Q951" s="811"/>
      <c r="R951" s="811"/>
      <c r="S951" s="811"/>
      <c r="T951" s="811"/>
      <c r="U951" s="811"/>
      <c r="V951" s="811"/>
      <c r="W951" s="811"/>
      <c r="X951" s="811"/>
      <c r="Y951" s="811"/>
      <c r="Z951" s="811"/>
    </row>
    <row r="952">
      <c r="A952" s="811"/>
      <c r="B952" s="854"/>
      <c r="C952" s="855"/>
      <c r="D952" s="811"/>
      <c r="E952" s="811"/>
      <c r="F952" s="816"/>
      <c r="G952" s="811"/>
      <c r="H952" s="811"/>
      <c r="I952" s="811"/>
      <c r="J952" s="811"/>
      <c r="K952" s="811"/>
      <c r="L952" s="816"/>
      <c r="M952" s="811"/>
      <c r="N952" s="811"/>
      <c r="O952" s="811"/>
      <c r="P952" s="811"/>
      <c r="Q952" s="811"/>
      <c r="R952" s="811"/>
      <c r="S952" s="811"/>
      <c r="T952" s="811"/>
      <c r="U952" s="811"/>
      <c r="V952" s="811"/>
      <c r="W952" s="811"/>
      <c r="X952" s="811"/>
      <c r="Y952" s="811"/>
      <c r="Z952" s="811"/>
    </row>
    <row r="953">
      <c r="A953" s="811"/>
      <c r="B953" s="854"/>
      <c r="C953" s="855"/>
      <c r="D953" s="811"/>
      <c r="E953" s="811"/>
      <c r="F953" s="816"/>
      <c r="G953" s="811"/>
      <c r="H953" s="811"/>
      <c r="I953" s="811"/>
      <c r="J953" s="811"/>
      <c r="K953" s="811"/>
      <c r="L953" s="816"/>
      <c r="M953" s="811"/>
      <c r="N953" s="811"/>
      <c r="O953" s="811"/>
      <c r="P953" s="811"/>
      <c r="Q953" s="811"/>
      <c r="R953" s="811"/>
      <c r="S953" s="811"/>
      <c r="T953" s="811"/>
      <c r="U953" s="811"/>
      <c r="V953" s="811"/>
      <c r="W953" s="811"/>
      <c r="X953" s="811"/>
      <c r="Y953" s="811"/>
      <c r="Z953" s="811"/>
    </row>
    <row r="954">
      <c r="A954" s="811"/>
      <c r="B954" s="854"/>
      <c r="C954" s="855"/>
      <c r="D954" s="811"/>
      <c r="E954" s="811"/>
      <c r="F954" s="816"/>
      <c r="G954" s="811"/>
      <c r="H954" s="811"/>
      <c r="I954" s="811"/>
      <c r="J954" s="811"/>
      <c r="K954" s="811"/>
      <c r="L954" s="816"/>
      <c r="M954" s="811"/>
      <c r="N954" s="811"/>
      <c r="O954" s="811"/>
      <c r="P954" s="811"/>
      <c r="Q954" s="811"/>
      <c r="R954" s="811"/>
      <c r="S954" s="811"/>
      <c r="T954" s="811"/>
      <c r="U954" s="811"/>
      <c r="V954" s="811"/>
      <c r="W954" s="811"/>
      <c r="X954" s="811"/>
      <c r="Y954" s="811"/>
      <c r="Z954" s="811"/>
    </row>
    <row r="955">
      <c r="A955" s="811"/>
      <c r="B955" s="854"/>
      <c r="C955" s="855"/>
      <c r="D955" s="811"/>
      <c r="E955" s="811"/>
      <c r="F955" s="816"/>
      <c r="G955" s="811"/>
      <c r="H955" s="811"/>
      <c r="I955" s="811"/>
      <c r="J955" s="811"/>
      <c r="K955" s="811"/>
      <c r="L955" s="816"/>
      <c r="M955" s="811"/>
      <c r="N955" s="811"/>
      <c r="O955" s="811"/>
      <c r="P955" s="811"/>
      <c r="Q955" s="811"/>
      <c r="R955" s="811"/>
      <c r="S955" s="811"/>
      <c r="T955" s="811"/>
      <c r="U955" s="811"/>
      <c r="V955" s="811"/>
      <c r="W955" s="811"/>
      <c r="X955" s="811"/>
      <c r="Y955" s="811"/>
      <c r="Z955" s="811"/>
    </row>
    <row r="956">
      <c r="A956" s="811"/>
      <c r="B956" s="854"/>
      <c r="C956" s="855"/>
      <c r="D956" s="811"/>
      <c r="E956" s="811"/>
      <c r="F956" s="816"/>
      <c r="G956" s="811"/>
      <c r="H956" s="811"/>
      <c r="I956" s="811"/>
      <c r="J956" s="811"/>
      <c r="K956" s="811"/>
      <c r="L956" s="816"/>
      <c r="M956" s="811"/>
      <c r="N956" s="811"/>
      <c r="O956" s="811"/>
      <c r="P956" s="811"/>
      <c r="Q956" s="811"/>
      <c r="R956" s="811"/>
      <c r="S956" s="811"/>
      <c r="T956" s="811"/>
      <c r="U956" s="811"/>
      <c r="V956" s="811"/>
      <c r="W956" s="811"/>
      <c r="X956" s="811"/>
      <c r="Y956" s="811"/>
      <c r="Z956" s="811"/>
    </row>
    <row r="957">
      <c r="A957" s="811"/>
      <c r="B957" s="854"/>
      <c r="C957" s="855"/>
      <c r="D957" s="811"/>
      <c r="E957" s="811"/>
      <c r="F957" s="816"/>
      <c r="G957" s="811"/>
      <c r="H957" s="811"/>
      <c r="I957" s="811"/>
      <c r="J957" s="811"/>
      <c r="K957" s="811"/>
      <c r="L957" s="816"/>
      <c r="M957" s="811"/>
      <c r="N957" s="811"/>
      <c r="O957" s="811"/>
      <c r="P957" s="811"/>
      <c r="Q957" s="811"/>
      <c r="R957" s="811"/>
      <c r="S957" s="811"/>
      <c r="T957" s="811"/>
      <c r="U957" s="811"/>
      <c r="V957" s="811"/>
      <c r="W957" s="811"/>
      <c r="X957" s="811"/>
      <c r="Y957" s="811"/>
      <c r="Z957" s="811"/>
    </row>
    <row r="958">
      <c r="A958" s="811"/>
      <c r="B958" s="854"/>
      <c r="C958" s="855"/>
      <c r="D958" s="811"/>
      <c r="E958" s="811"/>
      <c r="F958" s="816"/>
      <c r="G958" s="811"/>
      <c r="H958" s="811"/>
      <c r="I958" s="811"/>
      <c r="J958" s="811"/>
      <c r="K958" s="811"/>
      <c r="L958" s="816"/>
      <c r="M958" s="811"/>
      <c r="N958" s="811"/>
      <c r="O958" s="811"/>
      <c r="P958" s="811"/>
      <c r="Q958" s="811"/>
      <c r="R958" s="811"/>
      <c r="S958" s="811"/>
      <c r="T958" s="811"/>
      <c r="U958" s="811"/>
      <c r="V958" s="811"/>
      <c r="W958" s="811"/>
      <c r="X958" s="811"/>
      <c r="Y958" s="811"/>
      <c r="Z958" s="811"/>
    </row>
    <row r="959">
      <c r="A959" s="811"/>
      <c r="B959" s="854"/>
      <c r="C959" s="855"/>
      <c r="D959" s="811"/>
      <c r="E959" s="811"/>
      <c r="F959" s="816"/>
      <c r="G959" s="811"/>
      <c r="H959" s="811"/>
      <c r="I959" s="811"/>
      <c r="J959" s="811"/>
      <c r="K959" s="811"/>
      <c r="L959" s="816"/>
      <c r="M959" s="811"/>
      <c r="N959" s="811"/>
      <c r="O959" s="811"/>
      <c r="P959" s="811"/>
      <c r="Q959" s="811"/>
      <c r="R959" s="811"/>
      <c r="S959" s="811"/>
      <c r="T959" s="811"/>
      <c r="U959" s="811"/>
      <c r="V959" s="811"/>
      <c r="W959" s="811"/>
      <c r="X959" s="811"/>
      <c r="Y959" s="811"/>
      <c r="Z959" s="811"/>
    </row>
    <row r="960">
      <c r="A960" s="811"/>
      <c r="B960" s="854"/>
      <c r="C960" s="855"/>
      <c r="D960" s="811"/>
      <c r="E960" s="811"/>
      <c r="F960" s="816"/>
      <c r="G960" s="811"/>
      <c r="H960" s="811"/>
      <c r="I960" s="811"/>
      <c r="J960" s="811"/>
      <c r="K960" s="811"/>
      <c r="L960" s="816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</row>
    <row r="961">
      <c r="A961" s="811"/>
      <c r="B961" s="854"/>
      <c r="C961" s="855"/>
      <c r="D961" s="811"/>
      <c r="E961" s="811"/>
      <c r="F961" s="816"/>
      <c r="G961" s="811"/>
      <c r="H961" s="811"/>
      <c r="I961" s="811"/>
      <c r="J961" s="811"/>
      <c r="K961" s="811"/>
      <c r="L961" s="816"/>
      <c r="M961" s="811"/>
      <c r="N961" s="811"/>
      <c r="O961" s="811"/>
      <c r="P961" s="811"/>
      <c r="Q961" s="811"/>
      <c r="R961" s="811"/>
      <c r="S961" s="811"/>
      <c r="T961" s="811"/>
      <c r="U961" s="811"/>
      <c r="V961" s="811"/>
      <c r="W961" s="811"/>
      <c r="X961" s="811"/>
      <c r="Y961" s="811"/>
      <c r="Z961" s="811"/>
    </row>
    <row r="962">
      <c r="A962" s="811"/>
      <c r="B962" s="854"/>
      <c r="C962" s="855"/>
      <c r="D962" s="811"/>
      <c r="E962" s="811"/>
      <c r="F962" s="816"/>
      <c r="G962" s="811"/>
      <c r="H962" s="811"/>
      <c r="I962" s="811"/>
      <c r="J962" s="811"/>
      <c r="K962" s="811"/>
      <c r="L962" s="816"/>
      <c r="M962" s="811"/>
      <c r="N962" s="811"/>
      <c r="O962" s="811"/>
      <c r="P962" s="811"/>
      <c r="Q962" s="811"/>
      <c r="R962" s="811"/>
      <c r="S962" s="811"/>
      <c r="T962" s="811"/>
      <c r="U962" s="811"/>
      <c r="V962" s="811"/>
      <c r="W962" s="811"/>
      <c r="X962" s="811"/>
      <c r="Y962" s="811"/>
      <c r="Z962" s="811"/>
    </row>
    <row r="963">
      <c r="A963" s="811"/>
      <c r="B963" s="854"/>
      <c r="C963" s="855"/>
      <c r="D963" s="811"/>
      <c r="E963" s="811"/>
      <c r="F963" s="816"/>
      <c r="G963" s="811"/>
      <c r="H963" s="811"/>
      <c r="I963" s="811"/>
      <c r="J963" s="811"/>
      <c r="K963" s="811"/>
      <c r="L963" s="816"/>
      <c r="M963" s="811"/>
      <c r="N963" s="811"/>
      <c r="O963" s="811"/>
      <c r="P963" s="811"/>
      <c r="Q963" s="811"/>
      <c r="R963" s="811"/>
      <c r="S963" s="811"/>
      <c r="T963" s="811"/>
      <c r="U963" s="811"/>
      <c r="V963" s="811"/>
      <c r="W963" s="811"/>
      <c r="X963" s="811"/>
      <c r="Y963" s="811"/>
      <c r="Z963" s="811"/>
    </row>
    <row r="964">
      <c r="A964" s="811"/>
      <c r="B964" s="854"/>
      <c r="C964" s="855"/>
      <c r="D964" s="811"/>
      <c r="E964" s="811"/>
      <c r="F964" s="816"/>
      <c r="G964" s="811"/>
      <c r="H964" s="811"/>
      <c r="I964" s="811"/>
      <c r="J964" s="811"/>
      <c r="K964" s="811"/>
      <c r="L964" s="816"/>
      <c r="M964" s="811"/>
      <c r="N964" s="811"/>
      <c r="O964" s="811"/>
      <c r="P964" s="811"/>
      <c r="Q964" s="811"/>
      <c r="R964" s="811"/>
      <c r="S964" s="811"/>
      <c r="T964" s="811"/>
      <c r="U964" s="811"/>
      <c r="V964" s="811"/>
      <c r="W964" s="811"/>
      <c r="X964" s="811"/>
      <c r="Y964" s="811"/>
      <c r="Z964" s="811"/>
    </row>
    <row r="965">
      <c r="A965" s="811"/>
      <c r="B965" s="854"/>
      <c r="C965" s="855"/>
      <c r="D965" s="811"/>
      <c r="E965" s="811"/>
      <c r="F965" s="816"/>
      <c r="G965" s="811"/>
      <c r="H965" s="811"/>
      <c r="I965" s="811"/>
      <c r="J965" s="811"/>
      <c r="K965" s="811"/>
      <c r="L965" s="816"/>
      <c r="M965" s="811"/>
      <c r="N965" s="811"/>
      <c r="O965" s="811"/>
      <c r="P965" s="811"/>
      <c r="Q965" s="811"/>
      <c r="R965" s="811"/>
      <c r="S965" s="811"/>
      <c r="T965" s="811"/>
      <c r="U965" s="811"/>
      <c r="V965" s="811"/>
      <c r="W965" s="811"/>
      <c r="X965" s="811"/>
      <c r="Y965" s="811"/>
      <c r="Z965" s="811"/>
    </row>
    <row r="966">
      <c r="A966" s="811"/>
      <c r="B966" s="854"/>
      <c r="C966" s="855"/>
      <c r="D966" s="811"/>
      <c r="E966" s="811"/>
      <c r="F966" s="816"/>
      <c r="G966" s="811"/>
      <c r="H966" s="811"/>
      <c r="I966" s="811"/>
      <c r="J966" s="811"/>
      <c r="K966" s="811"/>
      <c r="L966" s="816"/>
      <c r="M966" s="811"/>
      <c r="N966" s="811"/>
      <c r="O966" s="811"/>
      <c r="P966" s="811"/>
      <c r="Q966" s="811"/>
      <c r="R966" s="811"/>
      <c r="S966" s="811"/>
      <c r="T966" s="811"/>
      <c r="U966" s="811"/>
      <c r="V966" s="811"/>
      <c r="W966" s="811"/>
      <c r="X966" s="811"/>
      <c r="Y966" s="811"/>
      <c r="Z966" s="811"/>
    </row>
    <row r="967">
      <c r="A967" s="811"/>
      <c r="B967" s="854"/>
      <c r="C967" s="855"/>
      <c r="D967" s="811"/>
      <c r="E967" s="811"/>
      <c r="F967" s="816"/>
      <c r="G967" s="811"/>
      <c r="H967" s="811"/>
      <c r="I967" s="811"/>
      <c r="J967" s="811"/>
      <c r="K967" s="811"/>
      <c r="L967" s="816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</row>
    <row r="968">
      <c r="A968" s="811"/>
      <c r="B968" s="854"/>
      <c r="C968" s="855"/>
      <c r="D968" s="811"/>
      <c r="E968" s="811"/>
      <c r="F968" s="816"/>
      <c r="G968" s="811"/>
      <c r="H968" s="811"/>
      <c r="I968" s="811"/>
      <c r="J968" s="811"/>
      <c r="K968" s="811"/>
      <c r="L968" s="816"/>
      <c r="M968" s="811"/>
      <c r="N968" s="811"/>
      <c r="O968" s="811"/>
      <c r="P968" s="811"/>
      <c r="Q968" s="811"/>
      <c r="R968" s="811"/>
      <c r="S968" s="811"/>
      <c r="T968" s="811"/>
      <c r="U968" s="811"/>
      <c r="V968" s="811"/>
      <c r="W968" s="811"/>
      <c r="X968" s="811"/>
      <c r="Y968" s="811"/>
      <c r="Z968" s="811"/>
    </row>
    <row r="969">
      <c r="A969" s="811"/>
      <c r="B969" s="854"/>
      <c r="C969" s="855"/>
      <c r="D969" s="811"/>
      <c r="E969" s="811"/>
      <c r="F969" s="816"/>
      <c r="G969" s="811"/>
      <c r="H969" s="811"/>
      <c r="I969" s="811"/>
      <c r="J969" s="811"/>
      <c r="K969" s="811"/>
      <c r="L969" s="816"/>
      <c r="M969" s="811"/>
      <c r="N969" s="811"/>
      <c r="O969" s="811"/>
      <c r="P969" s="811"/>
      <c r="Q969" s="811"/>
      <c r="R969" s="811"/>
      <c r="S969" s="811"/>
      <c r="T969" s="811"/>
      <c r="U969" s="811"/>
      <c r="V969" s="811"/>
      <c r="W969" s="811"/>
      <c r="X969" s="811"/>
      <c r="Y969" s="811"/>
      <c r="Z969" s="811"/>
    </row>
    <row r="970">
      <c r="A970" s="811"/>
      <c r="B970" s="854"/>
      <c r="C970" s="855"/>
      <c r="D970" s="811"/>
      <c r="E970" s="811"/>
      <c r="F970" s="816"/>
      <c r="G970" s="811"/>
      <c r="H970" s="811"/>
      <c r="I970" s="811"/>
      <c r="J970" s="811"/>
      <c r="K970" s="811"/>
      <c r="L970" s="816"/>
      <c r="M970" s="811"/>
      <c r="N970" s="811"/>
      <c r="O970" s="811"/>
      <c r="P970" s="811"/>
      <c r="Q970" s="811"/>
      <c r="R970" s="811"/>
      <c r="S970" s="811"/>
      <c r="T970" s="811"/>
      <c r="U970" s="811"/>
      <c r="V970" s="811"/>
      <c r="W970" s="811"/>
      <c r="X970" s="811"/>
      <c r="Y970" s="811"/>
      <c r="Z970" s="811"/>
    </row>
    <row r="971">
      <c r="A971" s="811"/>
      <c r="B971" s="854"/>
      <c r="C971" s="855"/>
      <c r="D971" s="811"/>
      <c r="E971" s="811"/>
      <c r="F971" s="816"/>
      <c r="G971" s="811"/>
      <c r="H971" s="811"/>
      <c r="I971" s="811"/>
      <c r="J971" s="811"/>
      <c r="K971" s="811"/>
      <c r="L971" s="816"/>
      <c r="M971" s="811"/>
      <c r="N971" s="811"/>
      <c r="O971" s="811"/>
      <c r="P971" s="811"/>
      <c r="Q971" s="811"/>
      <c r="R971" s="811"/>
      <c r="S971" s="811"/>
      <c r="T971" s="811"/>
      <c r="U971" s="811"/>
      <c r="V971" s="811"/>
      <c r="W971" s="811"/>
      <c r="X971" s="811"/>
      <c r="Y971" s="811"/>
      <c r="Z971" s="811"/>
    </row>
    <row r="972">
      <c r="A972" s="811"/>
      <c r="B972" s="854"/>
      <c r="C972" s="855"/>
      <c r="D972" s="811"/>
      <c r="E972" s="811"/>
      <c r="F972" s="816"/>
      <c r="G972" s="811"/>
      <c r="H972" s="811"/>
      <c r="I972" s="811"/>
      <c r="J972" s="811"/>
      <c r="K972" s="811"/>
      <c r="L972" s="816"/>
      <c r="M972" s="811"/>
      <c r="N972" s="811"/>
      <c r="O972" s="811"/>
      <c r="P972" s="811"/>
      <c r="Q972" s="811"/>
      <c r="R972" s="811"/>
      <c r="S972" s="811"/>
      <c r="T972" s="811"/>
      <c r="U972" s="811"/>
      <c r="V972" s="811"/>
      <c r="W972" s="811"/>
      <c r="X972" s="811"/>
      <c r="Y972" s="811"/>
      <c r="Z972" s="811"/>
    </row>
    <row r="973">
      <c r="A973" s="811"/>
      <c r="B973" s="854"/>
      <c r="C973" s="855"/>
      <c r="D973" s="811"/>
      <c r="E973" s="811"/>
      <c r="F973" s="816"/>
      <c r="G973" s="811"/>
      <c r="H973" s="811"/>
      <c r="I973" s="811"/>
      <c r="J973" s="811"/>
      <c r="K973" s="811"/>
      <c r="L973" s="816"/>
      <c r="M973" s="811"/>
      <c r="N973" s="811"/>
      <c r="O973" s="811"/>
      <c r="P973" s="811"/>
      <c r="Q973" s="811"/>
      <c r="R973" s="811"/>
      <c r="S973" s="811"/>
      <c r="T973" s="811"/>
      <c r="U973" s="811"/>
      <c r="V973" s="811"/>
      <c r="W973" s="811"/>
      <c r="X973" s="811"/>
      <c r="Y973" s="811"/>
      <c r="Z973" s="811"/>
    </row>
    <row r="974">
      <c r="A974" s="811"/>
      <c r="B974" s="854"/>
      <c r="C974" s="855"/>
      <c r="D974" s="811"/>
      <c r="E974" s="811"/>
      <c r="F974" s="816"/>
      <c r="G974" s="811"/>
      <c r="H974" s="811"/>
      <c r="I974" s="811"/>
      <c r="J974" s="811"/>
      <c r="K974" s="811"/>
      <c r="L974" s="816"/>
      <c r="M974" s="811"/>
      <c r="N974" s="811"/>
      <c r="O974" s="811"/>
      <c r="P974" s="811"/>
      <c r="Q974" s="811"/>
      <c r="R974" s="811"/>
      <c r="S974" s="811"/>
      <c r="T974" s="811"/>
      <c r="U974" s="811"/>
      <c r="V974" s="811"/>
      <c r="W974" s="811"/>
      <c r="X974" s="811"/>
      <c r="Y974" s="811"/>
      <c r="Z974" s="811"/>
    </row>
    <row r="975">
      <c r="A975" s="811"/>
      <c r="B975" s="854"/>
      <c r="C975" s="855"/>
      <c r="D975" s="811"/>
      <c r="E975" s="811"/>
      <c r="F975" s="816"/>
      <c r="G975" s="811"/>
      <c r="H975" s="811"/>
      <c r="I975" s="811"/>
      <c r="J975" s="811"/>
      <c r="K975" s="811"/>
      <c r="L975" s="816"/>
      <c r="M975" s="811"/>
      <c r="N975" s="811"/>
      <c r="O975" s="811"/>
      <c r="P975" s="811"/>
      <c r="Q975" s="811"/>
      <c r="R975" s="811"/>
      <c r="S975" s="811"/>
      <c r="T975" s="811"/>
      <c r="U975" s="811"/>
      <c r="V975" s="811"/>
      <c r="W975" s="811"/>
      <c r="X975" s="811"/>
      <c r="Y975" s="811"/>
      <c r="Z975" s="811"/>
    </row>
    <row r="976">
      <c r="A976" s="811"/>
      <c r="B976" s="854"/>
      <c r="C976" s="855"/>
      <c r="D976" s="811"/>
      <c r="E976" s="811"/>
      <c r="F976" s="816"/>
      <c r="G976" s="811"/>
      <c r="H976" s="811"/>
      <c r="I976" s="811"/>
      <c r="J976" s="811"/>
      <c r="K976" s="811"/>
      <c r="L976" s="816"/>
      <c r="M976" s="811"/>
      <c r="N976" s="811"/>
      <c r="O976" s="811"/>
      <c r="P976" s="811"/>
      <c r="Q976" s="811"/>
      <c r="R976" s="811"/>
      <c r="S976" s="811"/>
      <c r="T976" s="811"/>
      <c r="U976" s="811"/>
      <c r="V976" s="811"/>
      <c r="W976" s="811"/>
      <c r="X976" s="811"/>
      <c r="Y976" s="811"/>
      <c r="Z976" s="811"/>
    </row>
    <row r="977">
      <c r="A977" s="811"/>
      <c r="B977" s="854"/>
      <c r="C977" s="855"/>
      <c r="D977" s="811"/>
      <c r="E977" s="811"/>
      <c r="F977" s="816"/>
      <c r="G977" s="811"/>
      <c r="H977" s="811"/>
      <c r="I977" s="811"/>
      <c r="J977" s="811"/>
      <c r="K977" s="811"/>
      <c r="L977" s="816"/>
      <c r="M977" s="811"/>
      <c r="N977" s="811"/>
      <c r="O977" s="811"/>
      <c r="P977" s="811"/>
      <c r="Q977" s="811"/>
      <c r="R977" s="811"/>
      <c r="S977" s="811"/>
      <c r="T977" s="811"/>
      <c r="U977" s="811"/>
      <c r="V977" s="811"/>
      <c r="W977" s="811"/>
      <c r="X977" s="811"/>
      <c r="Y977" s="811"/>
      <c r="Z977" s="811"/>
    </row>
    <row r="978">
      <c r="A978" s="811"/>
      <c r="B978" s="854"/>
      <c r="C978" s="855"/>
      <c r="D978" s="811"/>
      <c r="E978" s="811"/>
      <c r="F978" s="816"/>
      <c r="G978" s="811"/>
      <c r="H978" s="811"/>
      <c r="I978" s="811"/>
      <c r="J978" s="811"/>
      <c r="K978" s="811"/>
      <c r="L978" s="816"/>
      <c r="M978" s="811"/>
      <c r="N978" s="811"/>
      <c r="O978" s="811"/>
      <c r="P978" s="811"/>
      <c r="Q978" s="811"/>
      <c r="R978" s="811"/>
      <c r="S978" s="811"/>
      <c r="T978" s="811"/>
      <c r="U978" s="811"/>
      <c r="V978" s="811"/>
      <c r="W978" s="811"/>
      <c r="X978" s="811"/>
      <c r="Y978" s="811"/>
      <c r="Z978" s="811"/>
    </row>
    <row r="979">
      <c r="A979" s="811"/>
      <c r="B979" s="854"/>
      <c r="C979" s="855"/>
      <c r="D979" s="811"/>
      <c r="E979" s="811"/>
      <c r="F979" s="816"/>
      <c r="G979" s="811"/>
      <c r="H979" s="811"/>
      <c r="I979" s="811"/>
      <c r="J979" s="811"/>
      <c r="K979" s="811"/>
      <c r="L979" s="816"/>
      <c r="M979" s="811"/>
      <c r="N979" s="811"/>
      <c r="O979" s="811"/>
      <c r="P979" s="811"/>
      <c r="Q979" s="811"/>
      <c r="R979" s="811"/>
      <c r="S979" s="811"/>
      <c r="T979" s="811"/>
      <c r="U979" s="811"/>
      <c r="V979" s="811"/>
      <c r="W979" s="811"/>
      <c r="X979" s="811"/>
      <c r="Y979" s="811"/>
      <c r="Z979" s="811"/>
    </row>
    <row r="980">
      <c r="A980" s="811"/>
      <c r="B980" s="854"/>
      <c r="C980" s="855"/>
      <c r="D980" s="811"/>
      <c r="E980" s="811"/>
      <c r="F980" s="816"/>
      <c r="G980" s="811"/>
      <c r="H980" s="811"/>
      <c r="I980" s="811"/>
      <c r="J980" s="811"/>
      <c r="K980" s="811"/>
      <c r="L980" s="816"/>
      <c r="M980" s="811"/>
      <c r="N980" s="811"/>
      <c r="O980" s="811"/>
      <c r="P980" s="811"/>
      <c r="Q980" s="811"/>
      <c r="R980" s="811"/>
      <c r="S980" s="811"/>
      <c r="T980" s="811"/>
      <c r="U980" s="811"/>
      <c r="V980" s="811"/>
      <c r="W980" s="811"/>
      <c r="X980" s="811"/>
      <c r="Y980" s="811"/>
      <c r="Z980" s="811"/>
    </row>
    <row r="981">
      <c r="A981" s="811"/>
      <c r="B981" s="854"/>
      <c r="C981" s="855"/>
      <c r="D981" s="811"/>
      <c r="E981" s="811"/>
      <c r="F981" s="816"/>
      <c r="G981" s="811"/>
      <c r="H981" s="811"/>
      <c r="I981" s="811"/>
      <c r="J981" s="811"/>
      <c r="K981" s="811"/>
      <c r="L981" s="816"/>
      <c r="M981" s="811"/>
      <c r="N981" s="811"/>
      <c r="O981" s="811"/>
      <c r="P981" s="811"/>
      <c r="Q981" s="811"/>
      <c r="R981" s="811"/>
      <c r="S981" s="811"/>
      <c r="T981" s="811"/>
      <c r="U981" s="811"/>
      <c r="V981" s="811"/>
      <c r="W981" s="811"/>
      <c r="X981" s="811"/>
      <c r="Y981" s="811"/>
      <c r="Z981" s="811"/>
    </row>
    <row r="982">
      <c r="A982" s="811"/>
      <c r="B982" s="854"/>
      <c r="C982" s="855"/>
      <c r="D982" s="811"/>
      <c r="E982" s="811"/>
      <c r="F982" s="816"/>
      <c r="G982" s="811"/>
      <c r="H982" s="811"/>
      <c r="I982" s="811"/>
      <c r="J982" s="811"/>
      <c r="K982" s="811"/>
      <c r="L982" s="816"/>
      <c r="M982" s="811"/>
      <c r="N982" s="811"/>
      <c r="O982" s="811"/>
      <c r="P982" s="811"/>
      <c r="Q982" s="811"/>
      <c r="R982" s="811"/>
      <c r="S982" s="811"/>
      <c r="T982" s="811"/>
      <c r="U982" s="811"/>
      <c r="V982" s="811"/>
      <c r="W982" s="811"/>
      <c r="X982" s="811"/>
      <c r="Y982" s="811"/>
      <c r="Z982" s="811"/>
    </row>
    <row r="983">
      <c r="A983" s="811"/>
      <c r="B983" s="854"/>
      <c r="C983" s="855"/>
      <c r="D983" s="811"/>
      <c r="E983" s="811"/>
      <c r="F983" s="816"/>
      <c r="G983" s="811"/>
      <c r="H983" s="811"/>
      <c r="I983" s="811"/>
      <c r="J983" s="811"/>
      <c r="K983" s="811"/>
      <c r="L983" s="816"/>
      <c r="M983" s="811"/>
      <c r="N983" s="811"/>
      <c r="O983" s="811"/>
      <c r="P983" s="811"/>
      <c r="Q983" s="811"/>
      <c r="R983" s="811"/>
      <c r="S983" s="811"/>
      <c r="T983" s="811"/>
      <c r="U983" s="811"/>
      <c r="V983" s="811"/>
      <c r="W983" s="811"/>
      <c r="X983" s="811"/>
      <c r="Y983" s="811"/>
      <c r="Z983" s="811"/>
    </row>
    <row r="984">
      <c r="A984" s="811"/>
      <c r="B984" s="854"/>
      <c r="C984" s="855"/>
      <c r="D984" s="811"/>
      <c r="E984" s="811"/>
      <c r="F984" s="816"/>
      <c r="G984" s="811"/>
      <c r="H984" s="811"/>
      <c r="I984" s="811"/>
      <c r="J984" s="811"/>
      <c r="K984" s="811"/>
      <c r="L984" s="816"/>
      <c r="M984" s="811"/>
      <c r="N984" s="811"/>
      <c r="O984" s="811"/>
      <c r="P984" s="811"/>
      <c r="Q984" s="811"/>
      <c r="R984" s="811"/>
      <c r="S984" s="811"/>
      <c r="T984" s="811"/>
      <c r="U984" s="811"/>
      <c r="V984" s="811"/>
      <c r="W984" s="811"/>
      <c r="X984" s="811"/>
      <c r="Y984" s="811"/>
      <c r="Z984" s="811"/>
    </row>
    <row r="985">
      <c r="A985" s="811"/>
      <c r="B985" s="854"/>
      <c r="C985" s="855"/>
      <c r="D985" s="811"/>
      <c r="E985" s="811"/>
      <c r="F985" s="816"/>
      <c r="G985" s="811"/>
      <c r="H985" s="811"/>
      <c r="I985" s="811"/>
      <c r="J985" s="811"/>
      <c r="K985" s="811"/>
      <c r="L985" s="816"/>
      <c r="M985" s="811"/>
      <c r="N985" s="811"/>
      <c r="O985" s="811"/>
      <c r="P985" s="811"/>
      <c r="Q985" s="811"/>
      <c r="R985" s="811"/>
      <c r="S985" s="811"/>
      <c r="T985" s="811"/>
      <c r="U985" s="811"/>
      <c r="V985" s="811"/>
      <c r="W985" s="811"/>
      <c r="X985" s="811"/>
      <c r="Y985" s="811"/>
      <c r="Z985" s="811"/>
    </row>
    <row r="986">
      <c r="A986" s="811"/>
      <c r="B986" s="854"/>
      <c r="C986" s="855"/>
      <c r="D986" s="811"/>
      <c r="E986" s="811"/>
      <c r="F986" s="816"/>
      <c r="G986" s="811"/>
      <c r="H986" s="811"/>
      <c r="I986" s="811"/>
      <c r="J986" s="811"/>
      <c r="K986" s="811"/>
      <c r="L986" s="816"/>
      <c r="M986" s="811"/>
      <c r="N986" s="811"/>
      <c r="O986" s="811"/>
      <c r="P986" s="811"/>
      <c r="Q986" s="811"/>
      <c r="R986" s="811"/>
      <c r="S986" s="811"/>
      <c r="T986" s="811"/>
      <c r="U986" s="811"/>
      <c r="V986" s="811"/>
      <c r="W986" s="811"/>
      <c r="X986" s="811"/>
      <c r="Y986" s="811"/>
      <c r="Z986" s="811"/>
    </row>
    <row r="987">
      <c r="A987" s="811"/>
      <c r="B987" s="854"/>
      <c r="C987" s="855"/>
      <c r="D987" s="811"/>
      <c r="E987" s="811"/>
      <c r="F987" s="816"/>
      <c r="G987" s="811"/>
      <c r="H987" s="811"/>
      <c r="I987" s="811"/>
      <c r="J987" s="811"/>
      <c r="K987" s="811"/>
      <c r="L987" s="816"/>
      <c r="M987" s="811"/>
      <c r="N987" s="811"/>
      <c r="O987" s="811"/>
      <c r="P987" s="811"/>
      <c r="Q987" s="811"/>
      <c r="R987" s="811"/>
      <c r="S987" s="811"/>
      <c r="T987" s="811"/>
      <c r="U987" s="811"/>
      <c r="V987" s="811"/>
      <c r="W987" s="811"/>
      <c r="X987" s="811"/>
      <c r="Y987" s="811"/>
      <c r="Z987" s="811"/>
    </row>
    <row r="988">
      <c r="A988" s="811"/>
      <c r="B988" s="854"/>
      <c r="C988" s="855"/>
      <c r="D988" s="811"/>
      <c r="E988" s="811"/>
      <c r="F988" s="816"/>
      <c r="G988" s="811"/>
      <c r="H988" s="811"/>
      <c r="I988" s="811"/>
      <c r="J988" s="811"/>
      <c r="K988" s="811"/>
      <c r="L988" s="816"/>
      <c r="M988" s="811"/>
      <c r="N988" s="811"/>
      <c r="O988" s="811"/>
      <c r="P988" s="811"/>
      <c r="Q988" s="811"/>
      <c r="R988" s="811"/>
      <c r="S988" s="811"/>
      <c r="T988" s="811"/>
      <c r="U988" s="811"/>
      <c r="V988" s="811"/>
      <c r="W988" s="811"/>
      <c r="X988" s="811"/>
      <c r="Y988" s="811"/>
      <c r="Z988" s="811"/>
    </row>
    <row r="989">
      <c r="A989" s="811"/>
      <c r="B989" s="854"/>
      <c r="C989" s="855"/>
      <c r="D989" s="811"/>
      <c r="E989" s="811"/>
      <c r="F989" s="816"/>
      <c r="G989" s="811"/>
      <c r="H989" s="811"/>
      <c r="I989" s="811"/>
      <c r="J989" s="811"/>
      <c r="K989" s="811"/>
      <c r="L989" s="816"/>
      <c r="M989" s="811"/>
      <c r="N989" s="811"/>
      <c r="O989" s="811"/>
      <c r="P989" s="811"/>
      <c r="Q989" s="811"/>
      <c r="R989" s="811"/>
      <c r="S989" s="811"/>
      <c r="T989" s="811"/>
      <c r="U989" s="811"/>
      <c r="V989" s="811"/>
      <c r="W989" s="811"/>
      <c r="X989" s="811"/>
      <c r="Y989" s="811"/>
      <c r="Z989" s="811"/>
    </row>
    <row r="990">
      <c r="A990" s="811"/>
      <c r="B990" s="854"/>
      <c r="C990" s="855"/>
      <c r="D990" s="811"/>
      <c r="E990" s="811"/>
      <c r="F990" s="816"/>
      <c r="G990" s="811"/>
      <c r="H990" s="811"/>
      <c r="I990" s="811"/>
      <c r="J990" s="811"/>
      <c r="K990" s="811"/>
      <c r="L990" s="816"/>
      <c r="M990" s="811"/>
      <c r="N990" s="811"/>
      <c r="O990" s="811"/>
      <c r="P990" s="811"/>
      <c r="Q990" s="811"/>
      <c r="R990" s="811"/>
      <c r="S990" s="811"/>
      <c r="T990" s="811"/>
      <c r="U990" s="811"/>
      <c r="V990" s="811"/>
      <c r="W990" s="811"/>
      <c r="X990" s="811"/>
      <c r="Y990" s="811"/>
      <c r="Z990" s="811"/>
    </row>
    <row r="991">
      <c r="A991" s="811"/>
      <c r="B991" s="854"/>
      <c r="C991" s="855"/>
      <c r="D991" s="811"/>
      <c r="E991" s="811"/>
      <c r="F991" s="816"/>
      <c r="G991" s="811"/>
      <c r="H991" s="811"/>
      <c r="I991" s="811"/>
      <c r="J991" s="811"/>
      <c r="K991" s="811"/>
      <c r="L991" s="816"/>
      <c r="M991" s="811"/>
      <c r="N991" s="811"/>
      <c r="O991" s="811"/>
      <c r="P991" s="811"/>
      <c r="Q991" s="811"/>
      <c r="R991" s="811"/>
      <c r="S991" s="811"/>
      <c r="T991" s="811"/>
      <c r="U991" s="811"/>
      <c r="V991" s="811"/>
      <c r="W991" s="811"/>
      <c r="X991" s="811"/>
      <c r="Y991" s="811"/>
      <c r="Z991" s="811"/>
    </row>
    <row r="992">
      <c r="A992" s="811"/>
      <c r="B992" s="854"/>
      <c r="C992" s="855"/>
      <c r="D992" s="811"/>
      <c r="E992" s="811"/>
      <c r="F992" s="816"/>
      <c r="G992" s="811"/>
      <c r="H992" s="811"/>
      <c r="I992" s="811"/>
      <c r="J992" s="811"/>
      <c r="K992" s="811"/>
      <c r="L992" s="816"/>
      <c r="M992" s="811"/>
      <c r="N992" s="811"/>
      <c r="O992" s="811"/>
      <c r="P992" s="811"/>
      <c r="Q992" s="811"/>
      <c r="R992" s="811"/>
      <c r="S992" s="811"/>
      <c r="T992" s="811"/>
      <c r="U992" s="811"/>
      <c r="V992" s="811"/>
      <c r="W992" s="811"/>
      <c r="X992" s="811"/>
      <c r="Y992" s="811"/>
      <c r="Z992" s="811"/>
    </row>
    <row r="993">
      <c r="A993" s="811"/>
      <c r="B993" s="854"/>
      <c r="C993" s="855"/>
      <c r="D993" s="811"/>
      <c r="E993" s="811"/>
      <c r="F993" s="816"/>
      <c r="G993" s="811"/>
      <c r="H993" s="811"/>
      <c r="I993" s="811"/>
      <c r="J993" s="811"/>
      <c r="K993" s="811"/>
      <c r="L993" s="816"/>
      <c r="M993" s="811"/>
      <c r="N993" s="811"/>
      <c r="O993" s="811"/>
      <c r="P993" s="811"/>
      <c r="Q993" s="811"/>
      <c r="R993" s="811"/>
      <c r="S993" s="811"/>
      <c r="T993" s="811"/>
      <c r="U993" s="811"/>
      <c r="V993" s="811"/>
      <c r="W993" s="811"/>
      <c r="X993" s="811"/>
      <c r="Y993" s="811"/>
      <c r="Z993" s="811"/>
    </row>
    <row r="994">
      <c r="A994" s="811"/>
      <c r="B994" s="854"/>
      <c r="C994" s="855"/>
      <c r="D994" s="811"/>
      <c r="E994" s="811"/>
      <c r="F994" s="816"/>
      <c r="G994" s="811"/>
      <c r="H994" s="811"/>
      <c r="I994" s="811"/>
      <c r="J994" s="811"/>
      <c r="K994" s="811"/>
      <c r="L994" s="816"/>
      <c r="M994" s="811"/>
      <c r="N994" s="811"/>
      <c r="O994" s="811"/>
      <c r="P994" s="811"/>
      <c r="Q994" s="811"/>
      <c r="R994" s="811"/>
      <c r="S994" s="811"/>
      <c r="T994" s="811"/>
      <c r="U994" s="811"/>
      <c r="V994" s="811"/>
      <c r="W994" s="811"/>
      <c r="X994" s="811"/>
      <c r="Y994" s="811"/>
      <c r="Z994" s="811"/>
    </row>
    <row r="995">
      <c r="A995" s="811"/>
      <c r="B995" s="854"/>
      <c r="C995" s="855"/>
      <c r="D995" s="811"/>
      <c r="E995" s="811"/>
      <c r="F995" s="816"/>
      <c r="G995" s="811"/>
      <c r="H995" s="811"/>
      <c r="I995" s="811"/>
      <c r="J995" s="811"/>
      <c r="K995" s="811"/>
      <c r="L995" s="816"/>
      <c r="M995" s="811"/>
      <c r="N995" s="811"/>
      <c r="O995" s="811"/>
      <c r="P995" s="811"/>
      <c r="Q995" s="811"/>
      <c r="R995" s="811"/>
      <c r="S995" s="811"/>
      <c r="T995" s="811"/>
      <c r="U995" s="811"/>
      <c r="V995" s="811"/>
      <c r="W995" s="811"/>
      <c r="X995" s="811"/>
      <c r="Y995" s="811"/>
      <c r="Z995" s="811"/>
    </row>
    <row r="996">
      <c r="A996" s="811"/>
      <c r="B996" s="854"/>
      <c r="C996" s="855"/>
      <c r="D996" s="811"/>
      <c r="E996" s="811"/>
      <c r="F996" s="816"/>
      <c r="G996" s="811"/>
      <c r="H996" s="811"/>
      <c r="I996" s="811"/>
      <c r="J996" s="811"/>
      <c r="K996" s="811"/>
      <c r="L996" s="816"/>
      <c r="M996" s="811"/>
      <c r="N996" s="811"/>
      <c r="O996" s="811"/>
      <c r="P996" s="811"/>
      <c r="Q996" s="811"/>
      <c r="R996" s="811"/>
      <c r="S996" s="811"/>
      <c r="T996" s="811"/>
      <c r="U996" s="811"/>
      <c r="V996" s="811"/>
      <c r="W996" s="811"/>
      <c r="X996" s="811"/>
      <c r="Y996" s="811"/>
      <c r="Z996" s="811"/>
    </row>
    <row r="997">
      <c r="A997" s="811"/>
      <c r="B997" s="854"/>
      <c r="C997" s="855"/>
      <c r="D997" s="811"/>
      <c r="E997" s="811"/>
      <c r="F997" s="816"/>
      <c r="G997" s="811"/>
      <c r="H997" s="811"/>
      <c r="I997" s="811"/>
      <c r="J997" s="811"/>
      <c r="K997" s="811"/>
      <c r="L997" s="816"/>
      <c r="M997" s="811"/>
      <c r="N997" s="811"/>
      <c r="O997" s="811"/>
      <c r="P997" s="811"/>
      <c r="Q997" s="811"/>
      <c r="R997" s="811"/>
      <c r="S997" s="811"/>
      <c r="T997" s="811"/>
      <c r="U997" s="811"/>
      <c r="V997" s="811"/>
      <c r="W997" s="811"/>
      <c r="X997" s="811"/>
      <c r="Y997" s="811"/>
      <c r="Z997" s="811"/>
    </row>
    <row r="998">
      <c r="A998" s="811"/>
      <c r="B998" s="854"/>
      <c r="C998" s="855"/>
      <c r="D998" s="811"/>
      <c r="E998" s="811"/>
      <c r="F998" s="816"/>
      <c r="G998" s="811"/>
      <c r="H998" s="811"/>
      <c r="I998" s="811"/>
      <c r="J998" s="811"/>
      <c r="K998" s="811"/>
      <c r="L998" s="816"/>
      <c r="M998" s="811"/>
      <c r="N998" s="811"/>
      <c r="O998" s="811"/>
      <c r="P998" s="811"/>
      <c r="Q998" s="811"/>
      <c r="R998" s="811"/>
      <c r="S998" s="811"/>
      <c r="T998" s="811"/>
      <c r="U998" s="811"/>
      <c r="V998" s="811"/>
      <c r="W998" s="811"/>
      <c r="X998" s="811"/>
      <c r="Y998" s="811"/>
      <c r="Z998" s="811"/>
    </row>
    <row r="999">
      <c r="A999" s="811"/>
      <c r="B999" s="854"/>
      <c r="C999" s="855"/>
      <c r="D999" s="811"/>
      <c r="E999" s="811"/>
      <c r="F999" s="816"/>
      <c r="G999" s="811"/>
      <c r="H999" s="811"/>
      <c r="I999" s="811"/>
      <c r="J999" s="811"/>
      <c r="K999" s="811"/>
      <c r="L999" s="816"/>
      <c r="M999" s="811"/>
      <c r="N999" s="811"/>
      <c r="O999" s="811"/>
      <c r="P999" s="811"/>
      <c r="Q999" s="811"/>
      <c r="R999" s="811"/>
      <c r="S999" s="811"/>
      <c r="T999" s="811"/>
      <c r="U999" s="811"/>
      <c r="V999" s="811"/>
      <c r="W999" s="811"/>
      <c r="X999" s="811"/>
      <c r="Y999" s="811"/>
      <c r="Z999" s="811"/>
    </row>
    <row r="1000">
      <c r="A1000" s="811"/>
      <c r="B1000" s="854"/>
      <c r="C1000" s="855"/>
      <c r="D1000" s="811"/>
      <c r="E1000" s="811"/>
      <c r="F1000" s="816"/>
      <c r="G1000" s="811"/>
      <c r="H1000" s="811"/>
      <c r="I1000" s="811"/>
      <c r="J1000" s="811"/>
      <c r="K1000" s="811"/>
      <c r="L1000" s="816"/>
      <c r="M1000" s="811"/>
      <c r="N1000" s="811"/>
      <c r="O1000" s="811"/>
      <c r="P1000" s="811"/>
      <c r="Q1000" s="811"/>
      <c r="R1000" s="811"/>
      <c r="S1000" s="811"/>
      <c r="T1000" s="811"/>
      <c r="U1000" s="811"/>
      <c r="V1000" s="811"/>
      <c r="W1000" s="811"/>
      <c r="X1000" s="811"/>
      <c r="Y1000" s="811"/>
      <c r="Z1000" s="811"/>
    </row>
  </sheetData>
  <mergeCells count="1">
    <mergeCell ref="A1:C1"/>
  </mergeCells>
  <hyperlinks>
    <hyperlink r:id="rId1" ref="L7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1.22" defaultRowHeight="15.75"/>
  <cols>
    <col customWidth="1" min="1" max="1" width="7.67"/>
    <col customWidth="1" min="2" max="2" width="9.89"/>
    <col customWidth="1" min="3" max="3" width="8.0"/>
    <col customWidth="1" min="4" max="4" width="9.33"/>
    <col customWidth="1" min="5" max="5" width="9.22"/>
    <col customWidth="1" min="6" max="7" width="10.22"/>
    <col customWidth="1" min="11" max="11" width="2.67"/>
    <col customWidth="1" min="12" max="12" width="7.89"/>
    <col customWidth="1" min="13" max="13" width="8.44"/>
    <col customWidth="1" min="14" max="14" width="8.56"/>
    <col customWidth="1" min="15" max="16" width="7.78"/>
    <col customWidth="1" min="18" max="18" width="16.33"/>
    <col customWidth="1" min="19" max="19" width="17.0"/>
  </cols>
  <sheetData>
    <row r="1">
      <c r="A1" s="53" t="s">
        <v>32</v>
      </c>
      <c r="B1" s="189">
        <f>IntelligentData!C4</f>
        <v>96202.86587</v>
      </c>
      <c r="G1" s="856"/>
    </row>
    <row r="2">
      <c r="A2" s="53" t="s">
        <v>33</v>
      </c>
      <c r="B2" s="189">
        <f>IntelligentData!C5</f>
        <v>3376.77542</v>
      </c>
      <c r="D2" s="857"/>
      <c r="E2" s="189"/>
      <c r="G2" s="856"/>
      <c r="H2" s="809">
        <v>45628.0</v>
      </c>
      <c r="R2" s="53" t="s">
        <v>641</v>
      </c>
      <c r="S2" s="53" t="s">
        <v>642</v>
      </c>
    </row>
    <row r="3">
      <c r="G3" s="856"/>
      <c r="H3" s="858">
        <f>H2+547</f>
        <v>46175</v>
      </c>
      <c r="R3" s="53" t="s">
        <v>643</v>
      </c>
      <c r="S3" s="53">
        <v>7.0</v>
      </c>
    </row>
    <row r="4">
      <c r="A4" s="53" t="s">
        <v>644</v>
      </c>
      <c r="G4" s="856"/>
      <c r="R4" s="53" t="s">
        <v>645</v>
      </c>
      <c r="S4" s="795">
        <f>now()</f>
        <v>45664.89611</v>
      </c>
    </row>
    <row r="5">
      <c r="A5" s="53"/>
      <c r="G5" s="856"/>
      <c r="R5" s="53" t="s">
        <v>646</v>
      </c>
      <c r="S5" s="859">
        <v>45565.0</v>
      </c>
    </row>
    <row r="6">
      <c r="A6" s="53" t="s">
        <v>647</v>
      </c>
      <c r="F6" s="189">
        <f>Assets!I16</f>
        <v>33589.59956</v>
      </c>
      <c r="G6" s="856"/>
      <c r="R6" s="53" t="s">
        <v>648</v>
      </c>
      <c r="S6" s="646">
        <f>S5-S4</f>
        <v>-99.89611277</v>
      </c>
    </row>
    <row r="7" ht="33.75" customHeight="1">
      <c r="A7" s="860" t="s">
        <v>649</v>
      </c>
      <c r="B7" s="861">
        <v>0.005</v>
      </c>
      <c r="C7" s="860" t="s">
        <v>650</v>
      </c>
      <c r="D7" s="860" t="s">
        <v>651</v>
      </c>
      <c r="E7" s="860" t="s">
        <v>652</v>
      </c>
      <c r="F7" s="860" t="s">
        <v>652</v>
      </c>
      <c r="G7" s="862" t="s">
        <v>653</v>
      </c>
      <c r="H7" s="863"/>
      <c r="I7" s="863"/>
      <c r="J7" s="863"/>
      <c r="K7" s="863"/>
      <c r="L7" s="863"/>
      <c r="M7" s="863"/>
      <c r="N7" s="863"/>
      <c r="O7" s="863"/>
      <c r="P7" s="863"/>
      <c r="Q7" s="863"/>
      <c r="R7" s="53" t="s">
        <v>654</v>
      </c>
      <c r="S7" s="646">
        <f>S6/S3</f>
        <v>-14.27087325</v>
      </c>
      <c r="T7" s="863"/>
      <c r="U7" s="863"/>
      <c r="V7" s="863"/>
      <c r="W7" s="863"/>
      <c r="X7" s="863"/>
      <c r="Y7" s="863"/>
      <c r="Z7" s="863"/>
      <c r="AA7" s="863"/>
      <c r="AB7" s="863"/>
      <c r="AC7" s="863"/>
    </row>
    <row r="8">
      <c r="A8" s="53">
        <v>56200.0</v>
      </c>
      <c r="B8" s="864">
        <f t="shared" ref="B8:B12" si="1">A8+A8*$B$7</f>
        <v>56481</v>
      </c>
      <c r="C8" s="53">
        <v>56650.0</v>
      </c>
      <c r="D8" s="865">
        <v>0.9</v>
      </c>
      <c r="E8" s="192">
        <v>0.2</v>
      </c>
      <c r="F8" s="864">
        <f t="shared" ref="F8:F13" si="2">$F$6*E8</f>
        <v>6717.919912</v>
      </c>
      <c r="G8" s="856">
        <f t="shared" ref="G8:G12" si="3">F8/C8</f>
        <v>0.1185864062</v>
      </c>
      <c r="N8" s="646">
        <f>287833-128000</f>
        <v>159833</v>
      </c>
      <c r="R8" s="53" t="s">
        <v>655</v>
      </c>
      <c r="S8" s="199">
        <f>J33/S7</f>
        <v>-1.529503883</v>
      </c>
    </row>
    <row r="9">
      <c r="A9" s="53">
        <v>53150.0</v>
      </c>
      <c r="B9" s="864">
        <f t="shared" si="1"/>
        <v>53415.75</v>
      </c>
      <c r="C9" s="53">
        <v>53400.0</v>
      </c>
      <c r="D9" s="865">
        <v>0.7</v>
      </c>
      <c r="E9" s="192">
        <v>0.2</v>
      </c>
      <c r="F9" s="864">
        <f t="shared" si="2"/>
        <v>6717.919912</v>
      </c>
      <c r="G9" s="856">
        <f t="shared" si="3"/>
        <v>0.1258037437</v>
      </c>
    </row>
    <row r="10">
      <c r="A10" s="866">
        <v>50500.0</v>
      </c>
      <c r="B10" s="867">
        <f t="shared" si="1"/>
        <v>50752.5</v>
      </c>
      <c r="C10" s="866">
        <v>50750.0</v>
      </c>
      <c r="D10" s="868">
        <v>0.4</v>
      </c>
      <c r="E10" s="869">
        <v>0.25</v>
      </c>
      <c r="F10" s="867">
        <f t="shared" si="2"/>
        <v>8397.39989</v>
      </c>
      <c r="G10" s="870">
        <f t="shared" si="3"/>
        <v>0.1654660077</v>
      </c>
      <c r="H10" s="860" t="s">
        <v>656</v>
      </c>
    </row>
    <row r="11">
      <c r="A11" s="866">
        <v>49000.0</v>
      </c>
      <c r="B11" s="867">
        <f t="shared" si="1"/>
        <v>49245</v>
      </c>
      <c r="C11" s="866">
        <v>49300.0</v>
      </c>
      <c r="D11" s="868">
        <v>0.35</v>
      </c>
      <c r="E11" s="869">
        <v>0.25</v>
      </c>
      <c r="F11" s="867">
        <f t="shared" si="2"/>
        <v>8397.39989</v>
      </c>
      <c r="G11" s="870">
        <f t="shared" si="3"/>
        <v>0.170332655</v>
      </c>
    </row>
    <row r="12">
      <c r="A12" s="53">
        <v>45900.0</v>
      </c>
      <c r="B12" s="864">
        <f t="shared" si="1"/>
        <v>46129.5</v>
      </c>
      <c r="C12" s="53">
        <v>46150.0</v>
      </c>
      <c r="D12" s="865">
        <v>0.1</v>
      </c>
      <c r="E12" s="192">
        <v>0.1</v>
      </c>
      <c r="F12" s="864">
        <f t="shared" si="2"/>
        <v>3358.959956</v>
      </c>
      <c r="G12" s="856">
        <f t="shared" si="3"/>
        <v>0.07278353101</v>
      </c>
    </row>
    <row r="13">
      <c r="E13" s="195">
        <f>SUM(E8:E12)</f>
        <v>1</v>
      </c>
      <c r="F13" s="864">
        <f t="shared" si="2"/>
        <v>33589.59956</v>
      </c>
      <c r="G13" s="856"/>
    </row>
    <row r="14">
      <c r="G14" s="856"/>
    </row>
    <row r="15">
      <c r="G15" s="856"/>
      <c r="P15" s="53" t="s">
        <v>657</v>
      </c>
      <c r="Q15" s="53" t="s">
        <v>33</v>
      </c>
      <c r="R15" s="53" t="s">
        <v>3</v>
      </c>
    </row>
    <row r="16">
      <c r="G16" s="856"/>
      <c r="Q16" s="53">
        <v>1.0</v>
      </c>
      <c r="R16" s="646">
        <f>Q16*B2</f>
        <v>3376.77542</v>
      </c>
    </row>
    <row r="17">
      <c r="G17" s="856"/>
    </row>
    <row r="18">
      <c r="G18" s="856"/>
    </row>
    <row r="19">
      <c r="G19" s="856"/>
    </row>
    <row r="20">
      <c r="G20" s="856"/>
    </row>
    <row r="21">
      <c r="G21" s="856"/>
    </row>
    <row r="22">
      <c r="G22" s="856"/>
    </row>
    <row r="23">
      <c r="G23" s="856"/>
    </row>
    <row r="24">
      <c r="G24" s="856"/>
    </row>
    <row r="25">
      <c r="G25" s="856"/>
    </row>
    <row r="26">
      <c r="G26" s="856"/>
    </row>
    <row r="27">
      <c r="G27" s="856"/>
    </row>
    <row r="28">
      <c r="G28" s="856"/>
    </row>
    <row r="29">
      <c r="B29" s="53" t="s">
        <v>658</v>
      </c>
      <c r="C29" s="871">
        <f>Assets!C2</f>
        <v>967879.9936</v>
      </c>
      <c r="E29" s="195">
        <f>SUM(E31:E34)</f>
        <v>1</v>
      </c>
      <c r="G29" s="856"/>
    </row>
    <row r="30" ht="29.25" customHeight="1">
      <c r="B30" s="872" t="s">
        <v>659</v>
      </c>
      <c r="C30" s="872" t="s">
        <v>660</v>
      </c>
      <c r="E30" s="872" t="s">
        <v>661</v>
      </c>
      <c r="F30" s="873" t="s">
        <v>662</v>
      </c>
      <c r="G30" s="874" t="s">
        <v>663</v>
      </c>
      <c r="H30" s="872" t="s">
        <v>664</v>
      </c>
      <c r="I30" s="872" t="s">
        <v>665</v>
      </c>
      <c r="J30" s="872" t="s">
        <v>666</v>
      </c>
      <c r="L30" s="860"/>
      <c r="M30" s="863"/>
      <c r="N30" s="863"/>
      <c r="O30" s="860"/>
    </row>
    <row r="31">
      <c r="B31" s="53" t="s">
        <v>667</v>
      </c>
      <c r="C31" s="189">
        <f>Assets!C8+Assets!C9</f>
        <v>33589.59956</v>
      </c>
      <c r="D31" s="195">
        <f t="shared" ref="D31:D34" si="4">C31/$C$29</f>
        <v>0.03470430196</v>
      </c>
      <c r="E31" s="875">
        <v>0.0</v>
      </c>
      <c r="F31" s="876">
        <f t="shared" ref="F31:F34" si="5">E31-(C31/$C$29)</f>
        <v>-0.03470430196</v>
      </c>
      <c r="G31" s="856"/>
      <c r="H31" s="189">
        <f t="shared" ref="H31:H34" si="6">C31+I31</f>
        <v>0</v>
      </c>
      <c r="I31" s="189">
        <f t="shared" ref="I31:I34" si="7">$C$29*F31</f>
        <v>-33589.59956</v>
      </c>
    </row>
    <row r="32">
      <c r="B32" s="53" t="s">
        <v>32</v>
      </c>
      <c r="C32" s="189">
        <f>Assets!C10</f>
        <v>482511.6577</v>
      </c>
      <c r="D32" s="195">
        <f t="shared" si="4"/>
        <v>0.4985242601</v>
      </c>
      <c r="E32" s="877">
        <v>0.58</v>
      </c>
      <c r="F32" s="876">
        <f t="shared" si="5"/>
        <v>0.08147573989</v>
      </c>
      <c r="G32" s="856">
        <f t="shared" ref="G32:G33" si="8">H32/B1</f>
        <v>5.835277268</v>
      </c>
      <c r="H32" s="189">
        <f t="shared" si="6"/>
        <v>561370.3963</v>
      </c>
      <c r="I32" s="189">
        <f t="shared" si="7"/>
        <v>78858.7386</v>
      </c>
      <c r="J32" s="200">
        <f t="shared" ref="J32:J33" si="9">I32/B1</f>
        <v>0.8197129876</v>
      </c>
      <c r="L32" s="192"/>
      <c r="M32" s="192"/>
      <c r="N32" s="192"/>
      <c r="O32" s="192"/>
    </row>
    <row r="33">
      <c r="B33" s="53" t="s">
        <v>33</v>
      </c>
      <c r="C33" s="189">
        <f>Assets!C11</f>
        <v>332803.5179</v>
      </c>
      <c r="D33" s="195">
        <f t="shared" si="4"/>
        <v>0.3438479151</v>
      </c>
      <c r="E33" s="877">
        <v>0.42</v>
      </c>
      <c r="F33" s="876">
        <f t="shared" si="5"/>
        <v>0.07615208486</v>
      </c>
      <c r="G33" s="856">
        <f t="shared" si="8"/>
        <v>120.3839601</v>
      </c>
      <c r="H33" s="189">
        <f t="shared" si="6"/>
        <v>406509.5973</v>
      </c>
      <c r="I33" s="189">
        <f t="shared" si="7"/>
        <v>73706.07941</v>
      </c>
      <c r="J33" s="703">
        <f t="shared" si="9"/>
        <v>21.82735605</v>
      </c>
      <c r="L33" s="878"/>
      <c r="M33" s="878"/>
      <c r="N33" s="878"/>
      <c r="O33" s="878"/>
    </row>
    <row r="34">
      <c r="B34" s="53" t="s">
        <v>34</v>
      </c>
      <c r="C34" s="781">
        <f>Assets!C12</f>
        <v>99734.64527</v>
      </c>
      <c r="D34" s="195">
        <f t="shared" si="4"/>
        <v>0.1030444331</v>
      </c>
      <c r="E34" s="875">
        <v>0.0</v>
      </c>
      <c r="F34" s="876">
        <f t="shared" si="5"/>
        <v>-0.1030444331</v>
      </c>
      <c r="G34" s="856"/>
      <c r="H34" s="189">
        <f t="shared" si="6"/>
        <v>0</v>
      </c>
      <c r="I34" s="189">
        <f t="shared" si="7"/>
        <v>-99734.64527</v>
      </c>
      <c r="J34" s="199"/>
    </row>
    <row r="35">
      <c r="G35" s="856"/>
    </row>
    <row r="36">
      <c r="G36" s="856"/>
      <c r="S36" s="199"/>
    </row>
    <row r="37">
      <c r="G37" s="856"/>
    </row>
    <row r="38">
      <c r="G38" s="856"/>
    </row>
    <row r="39">
      <c r="G39" s="856"/>
    </row>
    <row r="40">
      <c r="G40" s="856"/>
    </row>
    <row r="41">
      <c r="G41" s="856"/>
    </row>
    <row r="42">
      <c r="G42" s="856"/>
    </row>
    <row r="43">
      <c r="G43" s="856"/>
    </row>
    <row r="44">
      <c r="G44" s="856"/>
    </row>
    <row r="45">
      <c r="G45" s="856"/>
    </row>
    <row r="46">
      <c r="G46" s="856"/>
    </row>
    <row r="47">
      <c r="G47" s="856"/>
    </row>
    <row r="48">
      <c r="G48" s="856"/>
    </row>
    <row r="49">
      <c r="G49" s="856"/>
    </row>
    <row r="50">
      <c r="G50" s="856"/>
    </row>
    <row r="51">
      <c r="G51" s="856"/>
    </row>
    <row r="52">
      <c r="G52" s="856"/>
    </row>
    <row r="53">
      <c r="G53" s="856"/>
    </row>
    <row r="54">
      <c r="G54" s="856"/>
    </row>
    <row r="55">
      <c r="G55" s="856"/>
    </row>
    <row r="56">
      <c r="G56" s="856"/>
    </row>
    <row r="57">
      <c r="G57" s="856"/>
    </row>
    <row r="58">
      <c r="G58" s="856"/>
    </row>
    <row r="59">
      <c r="E59" s="879"/>
      <c r="G59" s="856"/>
    </row>
    <row r="60">
      <c r="E60" s="879"/>
      <c r="G60" s="856"/>
    </row>
    <row r="61">
      <c r="B61" s="240" t="s">
        <v>668</v>
      </c>
      <c r="C61" s="267"/>
      <c r="D61" s="240" t="s">
        <v>669</v>
      </c>
      <c r="E61" s="880">
        <v>60.0</v>
      </c>
      <c r="F61" s="267"/>
      <c r="G61" s="881"/>
      <c r="H61" s="267"/>
      <c r="I61" s="267"/>
      <c r="J61" s="267"/>
      <c r="K61" s="267"/>
      <c r="L61" s="267"/>
    </row>
    <row r="62">
      <c r="B62" s="240" t="s">
        <v>33</v>
      </c>
      <c r="C62" s="241">
        <f>'2024 Transazioni'!M10+'2024 Transazioni'!N10</f>
        <v>0.0731729224</v>
      </c>
      <c r="D62" s="638">
        <f>C62*B2</f>
        <v>247.0885258</v>
      </c>
      <c r="E62" s="882"/>
      <c r="F62" s="240" t="s">
        <v>670</v>
      </c>
      <c r="G62" s="883">
        <v>0.0195</v>
      </c>
      <c r="H62" s="267"/>
      <c r="I62" s="240" t="s">
        <v>671</v>
      </c>
      <c r="J62" s="883">
        <v>0.8</v>
      </c>
      <c r="K62" s="267"/>
      <c r="L62" s="267"/>
      <c r="M62" s="53" t="s">
        <v>672</v>
      </c>
      <c r="N62" s="189">
        <f>((D62*G62)/365)*$E$61</f>
        <v>0.7920371922</v>
      </c>
    </row>
    <row r="63">
      <c r="B63" s="267"/>
      <c r="C63" s="267"/>
      <c r="D63" s="267"/>
      <c r="E63" s="882"/>
      <c r="F63" s="267"/>
      <c r="G63" s="881"/>
      <c r="H63" s="267"/>
      <c r="I63" s="267"/>
      <c r="J63" s="267"/>
      <c r="K63" s="267"/>
      <c r="L63" s="267"/>
    </row>
    <row r="64">
      <c r="H64" s="267"/>
      <c r="I64" s="882"/>
      <c r="J64" s="267"/>
      <c r="K64" s="267"/>
      <c r="L64" s="267"/>
    </row>
    <row r="65">
      <c r="B65" s="240" t="s">
        <v>673</v>
      </c>
      <c r="D65" s="638">
        <f>D62*J62</f>
        <v>197.6708206</v>
      </c>
      <c r="E65" s="267"/>
      <c r="F65" s="240" t="s">
        <v>674</v>
      </c>
      <c r="G65" s="883">
        <v>0.0634</v>
      </c>
      <c r="H65" s="267"/>
      <c r="I65" s="267"/>
      <c r="J65" s="267"/>
      <c r="K65" s="267"/>
      <c r="L65" s="267"/>
      <c r="M65" s="53" t="s">
        <v>675</v>
      </c>
      <c r="N65" s="189">
        <f>((D65*G65)/365)*$E$61</f>
        <v>2.060109046</v>
      </c>
    </row>
    <row r="66">
      <c r="B66" s="884"/>
      <c r="C66" s="267"/>
      <c r="D66" s="267"/>
      <c r="E66" s="267"/>
      <c r="F66" s="267"/>
      <c r="G66" s="881"/>
      <c r="H66" s="885"/>
      <c r="I66" s="267"/>
      <c r="J66" s="267"/>
      <c r="K66" s="267"/>
      <c r="L66" s="267"/>
    </row>
    <row r="67">
      <c r="B67" s="240" t="s">
        <v>676</v>
      </c>
      <c r="C67" s="267"/>
      <c r="D67" s="638">
        <f>D65</f>
        <v>197.6708206</v>
      </c>
      <c r="E67" s="267"/>
      <c r="F67" s="267"/>
      <c r="G67" s="886">
        <v>0.15</v>
      </c>
      <c r="H67" s="267"/>
      <c r="I67" s="267"/>
      <c r="J67" s="267"/>
      <c r="K67" s="267"/>
      <c r="L67" s="267"/>
      <c r="M67" s="53" t="s">
        <v>672</v>
      </c>
      <c r="N67" s="189">
        <f>((D67*G67)/365)*$E$61</f>
        <v>4.874075029</v>
      </c>
    </row>
    <row r="68">
      <c r="B68" s="884"/>
      <c r="C68" s="267"/>
      <c r="D68" s="267"/>
      <c r="E68" s="267"/>
      <c r="F68" s="267"/>
      <c r="G68" s="881"/>
      <c r="H68" s="267"/>
      <c r="I68" s="267"/>
      <c r="J68" s="267"/>
    </row>
    <row r="69">
      <c r="B69" s="267"/>
      <c r="C69" s="267"/>
      <c r="D69" s="267"/>
      <c r="E69" s="267"/>
      <c r="F69" s="267"/>
      <c r="G69" s="881"/>
      <c r="H69" s="267"/>
      <c r="I69" s="267"/>
      <c r="J69" s="267"/>
      <c r="M69" s="53" t="s">
        <v>677</v>
      </c>
      <c r="N69" s="189">
        <f>N67-N65+N62</f>
        <v>3.606003176</v>
      </c>
      <c r="O69" s="53" t="s">
        <v>678</v>
      </c>
      <c r="P69" s="195">
        <f>N69/D62</f>
        <v>0.0145939726</v>
      </c>
    </row>
    <row r="70">
      <c r="B70" s="267"/>
      <c r="C70" s="267"/>
      <c r="D70" s="267"/>
      <c r="E70" s="267"/>
      <c r="F70" s="267"/>
      <c r="G70" s="881"/>
      <c r="H70" s="267"/>
      <c r="I70" s="267"/>
      <c r="J70" s="267"/>
      <c r="O70" s="53" t="s">
        <v>679</v>
      </c>
      <c r="P70" s="195">
        <f>(P69/E61)*365</f>
        <v>0.08878</v>
      </c>
    </row>
    <row r="71">
      <c r="B71" s="267"/>
      <c r="C71" s="267"/>
      <c r="D71" s="267"/>
      <c r="E71" s="267"/>
      <c r="F71" s="267"/>
      <c r="G71" s="881"/>
      <c r="H71" s="267"/>
      <c r="I71" s="267"/>
      <c r="J71" s="267"/>
    </row>
    <row r="72">
      <c r="B72" s="267"/>
      <c r="C72" s="267"/>
      <c r="D72" s="267"/>
      <c r="E72" s="267"/>
      <c r="F72" s="267"/>
      <c r="G72" s="881"/>
      <c r="H72" s="267"/>
      <c r="I72" s="267"/>
      <c r="J72" s="267"/>
    </row>
    <row r="73">
      <c r="B73" s="267"/>
      <c r="C73" s="267"/>
      <c r="D73" s="267"/>
      <c r="E73" s="267"/>
      <c r="F73" s="267"/>
      <c r="G73" s="881"/>
      <c r="H73" s="267"/>
      <c r="I73" s="267"/>
      <c r="J73" s="267"/>
    </row>
    <row r="74">
      <c r="B74" s="267"/>
      <c r="C74" s="267"/>
      <c r="D74" s="267"/>
      <c r="E74" s="267"/>
      <c r="F74" s="267"/>
      <c r="G74" s="881"/>
      <c r="H74" s="267"/>
      <c r="I74" s="267"/>
      <c r="J74" s="267"/>
    </row>
    <row r="75">
      <c r="B75" s="267"/>
      <c r="C75" s="267"/>
      <c r="D75" s="267"/>
      <c r="E75" s="267"/>
      <c r="F75" s="267"/>
      <c r="G75" s="881"/>
      <c r="H75" s="267"/>
      <c r="I75" s="267"/>
      <c r="J75" s="267"/>
    </row>
    <row r="76">
      <c r="G76" s="856"/>
    </row>
    <row r="77">
      <c r="G77" s="856"/>
    </row>
    <row r="78">
      <c r="G78" s="856"/>
    </row>
    <row r="79">
      <c r="G79" s="856"/>
    </row>
    <row r="80">
      <c r="G80" s="856"/>
    </row>
    <row r="81">
      <c r="G81" s="856"/>
    </row>
    <row r="82">
      <c r="G82" s="856"/>
    </row>
    <row r="83">
      <c r="G83" s="856"/>
    </row>
    <row r="84">
      <c r="G84" s="856"/>
    </row>
    <row r="85">
      <c r="G85" s="856"/>
    </row>
    <row r="86">
      <c r="G86" s="856"/>
    </row>
    <row r="87">
      <c r="G87" s="856"/>
    </row>
    <row r="88">
      <c r="G88" s="856"/>
    </row>
    <row r="89">
      <c r="G89" s="856"/>
    </row>
    <row r="90">
      <c r="G90" s="856"/>
    </row>
    <row r="91">
      <c r="G91" s="856"/>
    </row>
    <row r="92">
      <c r="G92" s="856"/>
    </row>
    <row r="93">
      <c r="G93" s="856"/>
    </row>
    <row r="94">
      <c r="G94" s="856"/>
    </row>
    <row r="95">
      <c r="G95" s="856"/>
    </row>
    <row r="96">
      <c r="G96" s="856"/>
    </row>
    <row r="97">
      <c r="G97" s="856"/>
    </row>
    <row r="98">
      <c r="G98" s="856"/>
    </row>
    <row r="99">
      <c r="G99" s="856"/>
    </row>
    <row r="100">
      <c r="G100" s="856"/>
    </row>
    <row r="101">
      <c r="G101" s="856"/>
    </row>
    <row r="102">
      <c r="G102" s="856"/>
    </row>
    <row r="103">
      <c r="G103" s="856"/>
    </row>
    <row r="104">
      <c r="G104" s="856"/>
    </row>
    <row r="105">
      <c r="G105" s="856"/>
    </row>
    <row r="106">
      <c r="G106" s="856"/>
    </row>
    <row r="107">
      <c r="G107" s="856"/>
    </row>
    <row r="108">
      <c r="G108" s="856"/>
    </row>
    <row r="109">
      <c r="G109" s="856"/>
    </row>
    <row r="110">
      <c r="G110" s="856"/>
    </row>
    <row r="111">
      <c r="G111" s="856"/>
    </row>
    <row r="112">
      <c r="G112" s="856"/>
    </row>
    <row r="113">
      <c r="G113" s="856"/>
    </row>
    <row r="114">
      <c r="G114" s="856"/>
    </row>
    <row r="115">
      <c r="G115" s="856"/>
    </row>
    <row r="116">
      <c r="G116" s="856"/>
    </row>
    <row r="117">
      <c r="G117" s="856"/>
    </row>
    <row r="118">
      <c r="G118" s="856"/>
    </row>
    <row r="119">
      <c r="G119" s="856"/>
    </row>
    <row r="120">
      <c r="G120" s="856"/>
    </row>
    <row r="121">
      <c r="G121" s="856"/>
    </row>
    <row r="122">
      <c r="G122" s="856"/>
    </row>
    <row r="123">
      <c r="G123" s="856"/>
    </row>
    <row r="124">
      <c r="G124" s="856"/>
    </row>
    <row r="125">
      <c r="G125" s="856"/>
    </row>
    <row r="126">
      <c r="G126" s="856"/>
    </row>
    <row r="127">
      <c r="G127" s="856"/>
    </row>
    <row r="128">
      <c r="G128" s="856"/>
    </row>
    <row r="129">
      <c r="G129" s="856"/>
    </row>
    <row r="130">
      <c r="G130" s="856"/>
    </row>
    <row r="131">
      <c r="G131" s="856"/>
    </row>
    <row r="132">
      <c r="G132" s="856"/>
    </row>
    <row r="133">
      <c r="G133" s="856"/>
    </row>
    <row r="134">
      <c r="G134" s="856"/>
    </row>
    <row r="135">
      <c r="G135" s="856"/>
    </row>
    <row r="136">
      <c r="G136" s="856"/>
    </row>
    <row r="137">
      <c r="G137" s="856"/>
    </row>
    <row r="138">
      <c r="G138" s="856"/>
    </row>
    <row r="139">
      <c r="G139" s="856"/>
    </row>
    <row r="140">
      <c r="G140" s="856"/>
    </row>
    <row r="141">
      <c r="G141" s="856"/>
    </row>
    <row r="142">
      <c r="G142" s="856"/>
    </row>
    <row r="143">
      <c r="G143" s="856"/>
    </row>
    <row r="144">
      <c r="G144" s="856"/>
    </row>
    <row r="145">
      <c r="G145" s="856"/>
    </row>
    <row r="146">
      <c r="G146" s="856"/>
    </row>
    <row r="147">
      <c r="G147" s="856"/>
    </row>
    <row r="148">
      <c r="G148" s="856"/>
    </row>
    <row r="149">
      <c r="G149" s="856"/>
    </row>
    <row r="150">
      <c r="G150" s="856"/>
    </row>
    <row r="151">
      <c r="G151" s="856"/>
    </row>
    <row r="152">
      <c r="G152" s="856"/>
    </row>
    <row r="153">
      <c r="G153" s="856"/>
    </row>
    <row r="154">
      <c r="G154" s="856"/>
    </row>
    <row r="155">
      <c r="G155" s="856"/>
    </row>
    <row r="156">
      <c r="G156" s="856"/>
    </row>
    <row r="157">
      <c r="G157" s="856"/>
    </row>
    <row r="158">
      <c r="G158" s="856"/>
    </row>
    <row r="159">
      <c r="G159" s="856"/>
    </row>
    <row r="160">
      <c r="G160" s="856"/>
    </row>
    <row r="161">
      <c r="G161" s="856"/>
    </row>
    <row r="162">
      <c r="G162" s="856"/>
    </row>
    <row r="163">
      <c r="G163" s="856"/>
    </row>
    <row r="164">
      <c r="G164" s="856"/>
    </row>
    <row r="165">
      <c r="G165" s="856"/>
    </row>
    <row r="166">
      <c r="G166" s="856"/>
    </row>
    <row r="167">
      <c r="G167" s="856"/>
    </row>
    <row r="168">
      <c r="G168" s="856"/>
    </row>
    <row r="169">
      <c r="G169" s="856"/>
    </row>
    <row r="170">
      <c r="G170" s="856"/>
    </row>
    <row r="171">
      <c r="G171" s="856"/>
    </row>
    <row r="172">
      <c r="G172" s="856"/>
    </row>
    <row r="173">
      <c r="G173" s="856"/>
    </row>
    <row r="174">
      <c r="G174" s="856"/>
    </row>
    <row r="175">
      <c r="G175" s="856"/>
    </row>
    <row r="176">
      <c r="G176" s="856"/>
    </row>
    <row r="177">
      <c r="G177" s="856"/>
    </row>
    <row r="178">
      <c r="G178" s="856"/>
    </row>
    <row r="179">
      <c r="G179" s="856"/>
    </row>
    <row r="180">
      <c r="G180" s="856"/>
    </row>
    <row r="181">
      <c r="G181" s="856"/>
    </row>
    <row r="182">
      <c r="G182" s="856"/>
    </row>
    <row r="183">
      <c r="G183" s="856"/>
    </row>
    <row r="184">
      <c r="G184" s="856"/>
    </row>
    <row r="185">
      <c r="G185" s="856"/>
    </row>
    <row r="186">
      <c r="G186" s="856"/>
    </row>
    <row r="187">
      <c r="G187" s="856"/>
    </row>
    <row r="188">
      <c r="G188" s="856"/>
    </row>
    <row r="189">
      <c r="G189" s="856"/>
    </row>
    <row r="190">
      <c r="G190" s="856"/>
    </row>
    <row r="191">
      <c r="G191" s="856"/>
    </row>
    <row r="192">
      <c r="G192" s="856"/>
    </row>
    <row r="193">
      <c r="G193" s="856"/>
    </row>
    <row r="194">
      <c r="G194" s="856"/>
    </row>
    <row r="195">
      <c r="G195" s="856"/>
    </row>
    <row r="196">
      <c r="G196" s="856"/>
    </row>
    <row r="197">
      <c r="G197" s="856"/>
    </row>
    <row r="198">
      <c r="G198" s="856"/>
    </row>
    <row r="199">
      <c r="G199" s="856"/>
    </row>
    <row r="200">
      <c r="G200" s="856"/>
    </row>
    <row r="201">
      <c r="G201" s="856"/>
    </row>
    <row r="202">
      <c r="G202" s="856"/>
    </row>
    <row r="203">
      <c r="G203" s="856"/>
    </row>
    <row r="204">
      <c r="G204" s="856"/>
    </row>
    <row r="205">
      <c r="G205" s="856"/>
    </row>
    <row r="206">
      <c r="G206" s="856"/>
    </row>
    <row r="207">
      <c r="G207" s="856"/>
    </row>
    <row r="208">
      <c r="G208" s="856"/>
    </row>
    <row r="209">
      <c r="G209" s="856"/>
    </row>
    <row r="210">
      <c r="G210" s="856"/>
    </row>
    <row r="211">
      <c r="G211" s="856"/>
    </row>
    <row r="212">
      <c r="G212" s="856"/>
    </row>
    <row r="213">
      <c r="G213" s="856"/>
    </row>
    <row r="214">
      <c r="G214" s="856"/>
    </row>
    <row r="215">
      <c r="G215" s="856"/>
    </row>
    <row r="216">
      <c r="G216" s="856"/>
    </row>
    <row r="217">
      <c r="G217" s="856"/>
    </row>
    <row r="218">
      <c r="G218" s="856"/>
    </row>
    <row r="219">
      <c r="G219" s="856"/>
    </row>
    <row r="220">
      <c r="G220" s="856"/>
    </row>
    <row r="221">
      <c r="G221" s="856"/>
    </row>
    <row r="222">
      <c r="G222" s="856"/>
    </row>
    <row r="223">
      <c r="G223" s="856"/>
    </row>
    <row r="224">
      <c r="G224" s="856"/>
    </row>
    <row r="225">
      <c r="G225" s="856"/>
    </row>
    <row r="226">
      <c r="G226" s="856"/>
    </row>
    <row r="227">
      <c r="G227" s="856"/>
    </row>
    <row r="228">
      <c r="G228" s="856"/>
    </row>
    <row r="229">
      <c r="G229" s="856"/>
    </row>
    <row r="230">
      <c r="G230" s="856"/>
    </row>
    <row r="231">
      <c r="G231" s="856"/>
    </row>
    <row r="232">
      <c r="G232" s="856"/>
    </row>
    <row r="233">
      <c r="G233" s="856"/>
    </row>
    <row r="234">
      <c r="G234" s="856"/>
    </row>
    <row r="235">
      <c r="G235" s="856"/>
    </row>
    <row r="236">
      <c r="G236" s="856"/>
    </row>
    <row r="237">
      <c r="G237" s="856"/>
    </row>
    <row r="238">
      <c r="G238" s="856"/>
    </row>
    <row r="239">
      <c r="G239" s="856"/>
    </row>
    <row r="240">
      <c r="G240" s="856"/>
    </row>
    <row r="241">
      <c r="G241" s="856"/>
    </row>
    <row r="242">
      <c r="G242" s="856"/>
    </row>
    <row r="243">
      <c r="G243" s="856"/>
    </row>
    <row r="244">
      <c r="G244" s="856"/>
    </row>
    <row r="245">
      <c r="G245" s="856"/>
    </row>
    <row r="246">
      <c r="G246" s="856"/>
    </row>
    <row r="247">
      <c r="G247" s="856"/>
    </row>
    <row r="248">
      <c r="G248" s="856"/>
    </row>
    <row r="249">
      <c r="G249" s="856"/>
    </row>
    <row r="250">
      <c r="G250" s="856"/>
    </row>
    <row r="251">
      <c r="G251" s="856"/>
    </row>
    <row r="252">
      <c r="G252" s="856"/>
    </row>
    <row r="253">
      <c r="G253" s="856"/>
    </row>
    <row r="254">
      <c r="G254" s="856"/>
    </row>
    <row r="255">
      <c r="G255" s="856"/>
    </row>
    <row r="256">
      <c r="G256" s="856"/>
    </row>
    <row r="257">
      <c r="G257" s="856"/>
    </row>
    <row r="258">
      <c r="G258" s="856"/>
    </row>
    <row r="259">
      <c r="G259" s="856"/>
    </row>
    <row r="260">
      <c r="G260" s="856"/>
    </row>
    <row r="261">
      <c r="G261" s="856"/>
    </row>
    <row r="262">
      <c r="G262" s="856"/>
    </row>
    <row r="263">
      <c r="G263" s="856"/>
    </row>
    <row r="264">
      <c r="G264" s="856"/>
    </row>
    <row r="265">
      <c r="G265" s="856"/>
    </row>
    <row r="266">
      <c r="G266" s="856"/>
    </row>
    <row r="267">
      <c r="G267" s="856"/>
    </row>
    <row r="268">
      <c r="G268" s="856"/>
    </row>
    <row r="269">
      <c r="G269" s="856"/>
    </row>
    <row r="270">
      <c r="G270" s="856"/>
    </row>
    <row r="271">
      <c r="G271" s="856"/>
    </row>
    <row r="272">
      <c r="G272" s="856"/>
    </row>
    <row r="273">
      <c r="G273" s="856"/>
    </row>
    <row r="274">
      <c r="G274" s="856"/>
    </row>
    <row r="275">
      <c r="G275" s="856"/>
    </row>
    <row r="276">
      <c r="G276" s="856"/>
    </row>
    <row r="277">
      <c r="G277" s="856"/>
    </row>
    <row r="278">
      <c r="G278" s="856"/>
    </row>
    <row r="279">
      <c r="G279" s="856"/>
    </row>
    <row r="280">
      <c r="G280" s="856"/>
    </row>
    <row r="281">
      <c r="G281" s="856"/>
    </row>
    <row r="282">
      <c r="G282" s="856"/>
    </row>
    <row r="283">
      <c r="G283" s="856"/>
    </row>
    <row r="284">
      <c r="G284" s="856"/>
    </row>
    <row r="285">
      <c r="G285" s="856"/>
    </row>
    <row r="286">
      <c r="G286" s="856"/>
    </row>
    <row r="287">
      <c r="G287" s="856"/>
    </row>
    <row r="288">
      <c r="G288" s="856"/>
    </row>
    <row r="289">
      <c r="G289" s="856"/>
    </row>
    <row r="290">
      <c r="G290" s="856"/>
    </row>
    <row r="291">
      <c r="G291" s="856"/>
    </row>
    <row r="292">
      <c r="G292" s="856"/>
    </row>
    <row r="293">
      <c r="G293" s="856"/>
    </row>
    <row r="294">
      <c r="G294" s="856"/>
    </row>
    <row r="295">
      <c r="G295" s="856"/>
    </row>
    <row r="296">
      <c r="G296" s="856"/>
    </row>
    <row r="297">
      <c r="G297" s="856"/>
    </row>
    <row r="298">
      <c r="G298" s="856"/>
    </row>
    <row r="299">
      <c r="G299" s="856"/>
    </row>
    <row r="300">
      <c r="G300" s="856"/>
    </row>
    <row r="301">
      <c r="G301" s="856"/>
    </row>
    <row r="302">
      <c r="G302" s="856"/>
    </row>
    <row r="303">
      <c r="G303" s="856"/>
    </row>
    <row r="304">
      <c r="G304" s="856"/>
    </row>
    <row r="305">
      <c r="G305" s="856"/>
    </row>
    <row r="306">
      <c r="G306" s="856"/>
    </row>
    <row r="307">
      <c r="G307" s="856"/>
    </row>
    <row r="308">
      <c r="G308" s="856"/>
    </row>
    <row r="309">
      <c r="G309" s="856"/>
    </row>
    <row r="310">
      <c r="G310" s="856"/>
    </row>
    <row r="311">
      <c r="G311" s="856"/>
    </row>
    <row r="312">
      <c r="G312" s="856"/>
    </row>
    <row r="313">
      <c r="G313" s="856"/>
    </row>
    <row r="314">
      <c r="G314" s="856"/>
    </row>
    <row r="315">
      <c r="G315" s="856"/>
    </row>
    <row r="316">
      <c r="G316" s="856"/>
    </row>
    <row r="317">
      <c r="G317" s="856"/>
    </row>
    <row r="318">
      <c r="G318" s="856"/>
    </row>
    <row r="319">
      <c r="G319" s="856"/>
    </row>
    <row r="320">
      <c r="G320" s="856"/>
    </row>
    <row r="321">
      <c r="G321" s="856"/>
    </row>
    <row r="322">
      <c r="G322" s="856"/>
    </row>
    <row r="323">
      <c r="G323" s="856"/>
    </row>
    <row r="324">
      <c r="G324" s="856"/>
    </row>
    <row r="325">
      <c r="G325" s="856"/>
    </row>
    <row r="326">
      <c r="G326" s="856"/>
    </row>
    <row r="327">
      <c r="G327" s="856"/>
    </row>
    <row r="328">
      <c r="G328" s="856"/>
    </row>
    <row r="329">
      <c r="G329" s="856"/>
    </row>
    <row r="330">
      <c r="G330" s="856"/>
    </row>
    <row r="331">
      <c r="G331" s="856"/>
    </row>
    <row r="332">
      <c r="G332" s="856"/>
    </row>
    <row r="333">
      <c r="G333" s="856"/>
    </row>
    <row r="334">
      <c r="G334" s="856"/>
    </row>
    <row r="335">
      <c r="G335" s="856"/>
    </row>
    <row r="336">
      <c r="G336" s="856"/>
    </row>
    <row r="337">
      <c r="G337" s="856"/>
    </row>
    <row r="338">
      <c r="G338" s="856"/>
    </row>
    <row r="339">
      <c r="G339" s="856"/>
    </row>
    <row r="340">
      <c r="G340" s="856"/>
    </row>
    <row r="341">
      <c r="G341" s="856"/>
    </row>
    <row r="342">
      <c r="G342" s="856"/>
    </row>
    <row r="343">
      <c r="G343" s="856"/>
    </row>
    <row r="344">
      <c r="G344" s="856"/>
    </row>
    <row r="345">
      <c r="G345" s="856"/>
    </row>
    <row r="346">
      <c r="G346" s="856"/>
    </row>
    <row r="347">
      <c r="G347" s="856"/>
    </row>
    <row r="348">
      <c r="G348" s="856"/>
    </row>
    <row r="349">
      <c r="G349" s="856"/>
    </row>
    <row r="350">
      <c r="G350" s="856"/>
    </row>
    <row r="351">
      <c r="G351" s="856"/>
    </row>
    <row r="352">
      <c r="G352" s="856"/>
    </row>
    <row r="353">
      <c r="G353" s="856"/>
    </row>
    <row r="354">
      <c r="G354" s="856"/>
    </row>
    <row r="355">
      <c r="G355" s="856"/>
    </row>
    <row r="356">
      <c r="G356" s="856"/>
    </row>
    <row r="357">
      <c r="G357" s="856"/>
    </row>
    <row r="358">
      <c r="G358" s="856"/>
    </row>
    <row r="359">
      <c r="G359" s="856"/>
    </row>
    <row r="360">
      <c r="G360" s="856"/>
    </row>
    <row r="361">
      <c r="G361" s="856"/>
    </row>
    <row r="362">
      <c r="G362" s="856"/>
    </row>
    <row r="363">
      <c r="G363" s="856"/>
    </row>
    <row r="364">
      <c r="G364" s="856"/>
    </row>
    <row r="365">
      <c r="G365" s="856"/>
    </row>
    <row r="366">
      <c r="G366" s="856"/>
    </row>
    <row r="367">
      <c r="G367" s="856"/>
    </row>
    <row r="368">
      <c r="G368" s="856"/>
    </row>
    <row r="369">
      <c r="G369" s="856"/>
    </row>
    <row r="370">
      <c r="G370" s="856"/>
    </row>
    <row r="371">
      <c r="G371" s="856"/>
    </row>
    <row r="372">
      <c r="G372" s="856"/>
    </row>
    <row r="373">
      <c r="G373" s="856"/>
    </row>
    <row r="374">
      <c r="G374" s="856"/>
    </row>
    <row r="375">
      <c r="G375" s="856"/>
    </row>
    <row r="376">
      <c r="G376" s="856"/>
    </row>
    <row r="377">
      <c r="G377" s="856"/>
    </row>
    <row r="378">
      <c r="G378" s="856"/>
    </row>
    <row r="379">
      <c r="G379" s="856"/>
    </row>
    <row r="380">
      <c r="G380" s="856"/>
    </row>
    <row r="381">
      <c r="G381" s="856"/>
    </row>
    <row r="382">
      <c r="G382" s="856"/>
    </row>
    <row r="383">
      <c r="G383" s="856"/>
    </row>
    <row r="384">
      <c r="G384" s="856"/>
    </row>
    <row r="385">
      <c r="G385" s="856"/>
    </row>
    <row r="386">
      <c r="G386" s="856"/>
    </row>
    <row r="387">
      <c r="G387" s="856"/>
    </row>
    <row r="388">
      <c r="G388" s="856"/>
    </row>
    <row r="389">
      <c r="G389" s="856"/>
    </row>
    <row r="390">
      <c r="G390" s="856"/>
    </row>
    <row r="391">
      <c r="G391" s="856"/>
    </row>
    <row r="392">
      <c r="G392" s="856"/>
    </row>
    <row r="393">
      <c r="G393" s="856"/>
    </row>
    <row r="394">
      <c r="G394" s="856"/>
    </row>
    <row r="395">
      <c r="G395" s="856"/>
    </row>
    <row r="396">
      <c r="G396" s="856"/>
    </row>
    <row r="397">
      <c r="G397" s="856"/>
    </row>
    <row r="398">
      <c r="G398" s="856"/>
    </row>
    <row r="399">
      <c r="G399" s="856"/>
    </row>
    <row r="400">
      <c r="G400" s="856"/>
    </row>
    <row r="401">
      <c r="G401" s="856"/>
    </row>
    <row r="402">
      <c r="G402" s="856"/>
    </row>
    <row r="403">
      <c r="G403" s="856"/>
    </row>
    <row r="404">
      <c r="G404" s="856"/>
    </row>
    <row r="405">
      <c r="G405" s="856"/>
    </row>
    <row r="406">
      <c r="G406" s="856"/>
    </row>
    <row r="407">
      <c r="G407" s="856"/>
    </row>
    <row r="408">
      <c r="G408" s="856"/>
    </row>
    <row r="409">
      <c r="G409" s="856"/>
    </row>
    <row r="410">
      <c r="G410" s="856"/>
    </row>
    <row r="411">
      <c r="G411" s="856"/>
    </row>
    <row r="412">
      <c r="G412" s="856"/>
    </row>
    <row r="413">
      <c r="G413" s="856"/>
    </row>
    <row r="414">
      <c r="G414" s="856"/>
    </row>
    <row r="415">
      <c r="G415" s="856"/>
    </row>
    <row r="416">
      <c r="G416" s="856"/>
    </row>
    <row r="417">
      <c r="G417" s="856"/>
    </row>
    <row r="418">
      <c r="G418" s="856"/>
    </row>
    <row r="419">
      <c r="G419" s="856"/>
    </row>
    <row r="420">
      <c r="G420" s="856"/>
    </row>
    <row r="421">
      <c r="G421" s="856"/>
    </row>
    <row r="422">
      <c r="G422" s="856"/>
    </row>
    <row r="423">
      <c r="G423" s="856"/>
    </row>
    <row r="424">
      <c r="G424" s="856"/>
    </row>
    <row r="425">
      <c r="G425" s="856"/>
    </row>
    <row r="426">
      <c r="G426" s="856"/>
    </row>
    <row r="427">
      <c r="G427" s="856"/>
    </row>
    <row r="428">
      <c r="G428" s="856"/>
    </row>
    <row r="429">
      <c r="G429" s="856"/>
    </row>
    <row r="430">
      <c r="G430" s="856"/>
    </row>
    <row r="431">
      <c r="G431" s="856"/>
    </row>
    <row r="432">
      <c r="G432" s="856"/>
    </row>
    <row r="433">
      <c r="G433" s="856"/>
    </row>
    <row r="434">
      <c r="G434" s="856"/>
    </row>
    <row r="435">
      <c r="G435" s="856"/>
    </row>
    <row r="436">
      <c r="G436" s="856"/>
    </row>
    <row r="437">
      <c r="G437" s="856"/>
    </row>
    <row r="438">
      <c r="G438" s="856"/>
    </row>
    <row r="439">
      <c r="G439" s="856"/>
    </row>
    <row r="440">
      <c r="G440" s="856"/>
    </row>
    <row r="441">
      <c r="G441" s="856"/>
    </row>
    <row r="442">
      <c r="G442" s="856"/>
    </row>
    <row r="443">
      <c r="G443" s="856"/>
    </row>
    <row r="444">
      <c r="G444" s="856"/>
    </row>
    <row r="445">
      <c r="G445" s="856"/>
    </row>
    <row r="446">
      <c r="G446" s="856"/>
    </row>
    <row r="447">
      <c r="G447" s="856"/>
    </row>
    <row r="448">
      <c r="G448" s="856"/>
    </row>
    <row r="449">
      <c r="G449" s="856"/>
    </row>
    <row r="450">
      <c r="G450" s="856"/>
    </row>
    <row r="451">
      <c r="G451" s="856"/>
    </row>
    <row r="452">
      <c r="G452" s="856"/>
    </row>
    <row r="453">
      <c r="G453" s="856"/>
    </row>
    <row r="454">
      <c r="G454" s="856"/>
    </row>
    <row r="455">
      <c r="G455" s="856"/>
    </row>
    <row r="456">
      <c r="G456" s="856"/>
    </row>
    <row r="457">
      <c r="G457" s="856"/>
    </row>
    <row r="458">
      <c r="G458" s="856"/>
    </row>
    <row r="459">
      <c r="G459" s="856"/>
    </row>
    <row r="460">
      <c r="G460" s="856"/>
    </row>
    <row r="461">
      <c r="G461" s="856"/>
    </row>
    <row r="462">
      <c r="G462" s="856"/>
    </row>
    <row r="463">
      <c r="G463" s="856"/>
    </row>
    <row r="464">
      <c r="G464" s="856"/>
    </row>
    <row r="465">
      <c r="G465" s="856"/>
    </row>
    <row r="466">
      <c r="G466" s="856"/>
    </row>
    <row r="467">
      <c r="G467" s="856"/>
    </row>
    <row r="468">
      <c r="G468" s="856"/>
    </row>
    <row r="469">
      <c r="G469" s="856"/>
    </row>
    <row r="470">
      <c r="G470" s="856"/>
    </row>
    <row r="471">
      <c r="G471" s="856"/>
    </row>
    <row r="472">
      <c r="G472" s="856"/>
    </row>
    <row r="473">
      <c r="G473" s="856"/>
    </row>
    <row r="474">
      <c r="G474" s="856"/>
    </row>
    <row r="475">
      <c r="G475" s="856"/>
    </row>
    <row r="476">
      <c r="G476" s="856"/>
    </row>
    <row r="477">
      <c r="G477" s="856"/>
    </row>
    <row r="478">
      <c r="G478" s="856"/>
    </row>
    <row r="479">
      <c r="G479" s="856"/>
    </row>
    <row r="480">
      <c r="G480" s="856"/>
    </row>
    <row r="481">
      <c r="G481" s="856"/>
    </row>
    <row r="482">
      <c r="G482" s="856"/>
    </row>
    <row r="483">
      <c r="G483" s="856"/>
    </row>
    <row r="484">
      <c r="G484" s="856"/>
    </row>
    <row r="485">
      <c r="G485" s="856"/>
    </row>
    <row r="486">
      <c r="G486" s="856"/>
    </row>
    <row r="487">
      <c r="G487" s="856"/>
    </row>
    <row r="488">
      <c r="G488" s="856"/>
    </row>
    <row r="489">
      <c r="G489" s="856"/>
    </row>
    <row r="490">
      <c r="G490" s="856"/>
    </row>
    <row r="491">
      <c r="G491" s="856"/>
    </row>
    <row r="492">
      <c r="G492" s="856"/>
    </row>
    <row r="493">
      <c r="G493" s="856"/>
    </row>
    <row r="494">
      <c r="G494" s="856"/>
    </row>
    <row r="495">
      <c r="G495" s="856"/>
    </row>
    <row r="496">
      <c r="G496" s="856"/>
    </row>
    <row r="497">
      <c r="G497" s="856"/>
    </row>
    <row r="498">
      <c r="G498" s="856"/>
    </row>
    <row r="499">
      <c r="G499" s="856"/>
    </row>
    <row r="500">
      <c r="G500" s="856"/>
    </row>
    <row r="501">
      <c r="G501" s="856"/>
    </row>
    <row r="502">
      <c r="G502" s="856"/>
    </row>
    <row r="503">
      <c r="G503" s="856"/>
    </row>
    <row r="504">
      <c r="G504" s="856"/>
    </row>
    <row r="505">
      <c r="G505" s="856"/>
    </row>
    <row r="506">
      <c r="G506" s="856"/>
    </row>
    <row r="507">
      <c r="G507" s="856"/>
    </row>
    <row r="508">
      <c r="G508" s="856"/>
    </row>
    <row r="509">
      <c r="G509" s="856"/>
    </row>
    <row r="510">
      <c r="G510" s="856"/>
    </row>
    <row r="511">
      <c r="G511" s="856"/>
    </row>
    <row r="512">
      <c r="G512" s="856"/>
    </row>
    <row r="513">
      <c r="G513" s="856"/>
    </row>
    <row r="514">
      <c r="G514" s="856"/>
    </row>
    <row r="515">
      <c r="G515" s="856"/>
    </row>
    <row r="516">
      <c r="G516" s="856"/>
    </row>
    <row r="517">
      <c r="G517" s="856"/>
    </row>
    <row r="518">
      <c r="G518" s="856"/>
    </row>
    <row r="519">
      <c r="G519" s="856"/>
    </row>
    <row r="520">
      <c r="G520" s="856"/>
    </row>
    <row r="521">
      <c r="G521" s="856"/>
    </row>
    <row r="522">
      <c r="G522" s="856"/>
    </row>
    <row r="523">
      <c r="G523" s="856"/>
    </row>
    <row r="524">
      <c r="G524" s="856"/>
    </row>
    <row r="525">
      <c r="G525" s="856"/>
    </row>
    <row r="526">
      <c r="G526" s="856"/>
    </row>
    <row r="527">
      <c r="G527" s="856"/>
    </row>
    <row r="528">
      <c r="G528" s="856"/>
    </row>
    <row r="529">
      <c r="G529" s="856"/>
    </row>
    <row r="530">
      <c r="G530" s="856"/>
    </row>
    <row r="531">
      <c r="G531" s="856"/>
    </row>
    <row r="532">
      <c r="G532" s="856"/>
    </row>
    <row r="533">
      <c r="G533" s="856"/>
    </row>
    <row r="534">
      <c r="G534" s="856"/>
    </row>
    <row r="535">
      <c r="G535" s="856"/>
    </row>
    <row r="536">
      <c r="G536" s="856"/>
    </row>
    <row r="537">
      <c r="G537" s="856"/>
    </row>
    <row r="538">
      <c r="G538" s="856"/>
    </row>
    <row r="539">
      <c r="G539" s="856"/>
    </row>
    <row r="540">
      <c r="G540" s="856"/>
    </row>
    <row r="541">
      <c r="G541" s="856"/>
    </row>
    <row r="542">
      <c r="G542" s="856"/>
    </row>
    <row r="543">
      <c r="G543" s="856"/>
    </row>
    <row r="544">
      <c r="G544" s="856"/>
    </row>
    <row r="545">
      <c r="G545" s="856"/>
    </row>
    <row r="546">
      <c r="G546" s="856"/>
    </row>
    <row r="547">
      <c r="G547" s="856"/>
    </row>
    <row r="548">
      <c r="G548" s="856"/>
    </row>
    <row r="549">
      <c r="G549" s="856"/>
    </row>
    <row r="550">
      <c r="G550" s="856"/>
    </row>
    <row r="551">
      <c r="G551" s="856"/>
    </row>
    <row r="552">
      <c r="G552" s="856"/>
    </row>
    <row r="553">
      <c r="G553" s="856"/>
    </row>
    <row r="554">
      <c r="G554" s="856"/>
    </row>
    <row r="555">
      <c r="G555" s="856"/>
    </row>
    <row r="556">
      <c r="G556" s="856"/>
    </row>
    <row r="557">
      <c r="G557" s="856"/>
    </row>
    <row r="558">
      <c r="G558" s="856"/>
    </row>
    <row r="559">
      <c r="G559" s="856"/>
    </row>
    <row r="560">
      <c r="G560" s="856"/>
    </row>
    <row r="561">
      <c r="G561" s="856"/>
    </row>
    <row r="562">
      <c r="G562" s="856"/>
    </row>
    <row r="563">
      <c r="G563" s="856"/>
    </row>
    <row r="564">
      <c r="G564" s="856"/>
    </row>
    <row r="565">
      <c r="G565" s="856"/>
    </row>
    <row r="566">
      <c r="G566" s="856"/>
    </row>
    <row r="567">
      <c r="G567" s="856"/>
    </row>
    <row r="568">
      <c r="G568" s="856"/>
    </row>
    <row r="569">
      <c r="G569" s="856"/>
    </row>
    <row r="570">
      <c r="G570" s="856"/>
    </row>
    <row r="571">
      <c r="G571" s="856"/>
    </row>
    <row r="572">
      <c r="G572" s="856"/>
    </row>
    <row r="573">
      <c r="G573" s="856"/>
    </row>
    <row r="574">
      <c r="G574" s="856"/>
    </row>
    <row r="575">
      <c r="G575" s="856"/>
    </row>
    <row r="576">
      <c r="G576" s="856"/>
    </row>
    <row r="577">
      <c r="G577" s="856"/>
    </row>
    <row r="578">
      <c r="G578" s="856"/>
    </row>
    <row r="579">
      <c r="G579" s="856"/>
    </row>
    <row r="580">
      <c r="G580" s="856"/>
    </row>
    <row r="581">
      <c r="G581" s="856"/>
    </row>
    <row r="582">
      <c r="G582" s="856"/>
    </row>
    <row r="583">
      <c r="G583" s="856"/>
    </row>
    <row r="584">
      <c r="G584" s="856"/>
    </row>
    <row r="585">
      <c r="G585" s="856"/>
    </row>
    <row r="586">
      <c r="G586" s="856"/>
    </row>
    <row r="587">
      <c r="G587" s="856"/>
    </row>
    <row r="588">
      <c r="G588" s="856"/>
    </row>
    <row r="589">
      <c r="G589" s="856"/>
    </row>
    <row r="590">
      <c r="G590" s="856"/>
    </row>
    <row r="591">
      <c r="G591" s="856"/>
    </row>
    <row r="592">
      <c r="G592" s="856"/>
    </row>
    <row r="593">
      <c r="G593" s="856"/>
    </row>
    <row r="594">
      <c r="G594" s="856"/>
    </row>
    <row r="595">
      <c r="G595" s="856"/>
    </row>
    <row r="596">
      <c r="G596" s="856"/>
    </row>
    <row r="597">
      <c r="G597" s="856"/>
    </row>
    <row r="598">
      <c r="G598" s="856"/>
    </row>
    <row r="599">
      <c r="G599" s="856"/>
    </row>
    <row r="600">
      <c r="G600" s="856"/>
    </row>
    <row r="601">
      <c r="G601" s="856"/>
    </row>
    <row r="602">
      <c r="G602" s="856"/>
    </row>
    <row r="603">
      <c r="G603" s="856"/>
    </row>
    <row r="604">
      <c r="G604" s="856"/>
    </row>
    <row r="605">
      <c r="G605" s="856"/>
    </row>
    <row r="606">
      <c r="G606" s="856"/>
    </row>
    <row r="607">
      <c r="G607" s="856"/>
    </row>
    <row r="608">
      <c r="G608" s="856"/>
    </row>
    <row r="609">
      <c r="G609" s="856"/>
    </row>
    <row r="610">
      <c r="G610" s="856"/>
    </row>
    <row r="611">
      <c r="G611" s="856"/>
    </row>
    <row r="612">
      <c r="G612" s="856"/>
    </row>
    <row r="613">
      <c r="G613" s="856"/>
    </row>
    <row r="614">
      <c r="G614" s="856"/>
    </row>
    <row r="615">
      <c r="G615" s="856"/>
    </row>
    <row r="616">
      <c r="G616" s="856"/>
    </row>
    <row r="617">
      <c r="G617" s="856"/>
    </row>
    <row r="618">
      <c r="G618" s="856"/>
    </row>
    <row r="619">
      <c r="G619" s="856"/>
    </row>
    <row r="620">
      <c r="G620" s="856"/>
    </row>
    <row r="621">
      <c r="G621" s="856"/>
    </row>
    <row r="622">
      <c r="G622" s="856"/>
    </row>
    <row r="623">
      <c r="G623" s="856"/>
    </row>
    <row r="624">
      <c r="G624" s="856"/>
    </row>
    <row r="625">
      <c r="G625" s="856"/>
    </row>
    <row r="626">
      <c r="G626" s="856"/>
    </row>
    <row r="627">
      <c r="G627" s="856"/>
    </row>
    <row r="628">
      <c r="G628" s="856"/>
    </row>
    <row r="629">
      <c r="G629" s="856"/>
    </row>
    <row r="630">
      <c r="G630" s="856"/>
    </row>
    <row r="631">
      <c r="G631" s="856"/>
    </row>
    <row r="632">
      <c r="G632" s="856"/>
    </row>
    <row r="633">
      <c r="G633" s="856"/>
    </row>
    <row r="634">
      <c r="G634" s="856"/>
    </row>
    <row r="635">
      <c r="G635" s="856"/>
    </row>
    <row r="636">
      <c r="G636" s="856"/>
    </row>
    <row r="637">
      <c r="G637" s="856"/>
    </row>
    <row r="638">
      <c r="G638" s="856"/>
    </row>
    <row r="639">
      <c r="G639" s="856"/>
    </row>
    <row r="640">
      <c r="G640" s="856"/>
    </row>
    <row r="641">
      <c r="G641" s="856"/>
    </row>
    <row r="642">
      <c r="G642" s="856"/>
    </row>
    <row r="643">
      <c r="G643" s="856"/>
    </row>
    <row r="644">
      <c r="G644" s="856"/>
    </row>
    <row r="645">
      <c r="G645" s="856"/>
    </row>
    <row r="646">
      <c r="G646" s="856"/>
    </row>
    <row r="647">
      <c r="G647" s="856"/>
    </row>
    <row r="648">
      <c r="G648" s="856"/>
    </row>
    <row r="649">
      <c r="G649" s="856"/>
    </row>
    <row r="650">
      <c r="G650" s="856"/>
    </row>
    <row r="651">
      <c r="G651" s="856"/>
    </row>
    <row r="652">
      <c r="G652" s="856"/>
    </row>
    <row r="653">
      <c r="G653" s="856"/>
    </row>
    <row r="654">
      <c r="G654" s="856"/>
    </row>
    <row r="655">
      <c r="G655" s="856"/>
    </row>
    <row r="656">
      <c r="G656" s="856"/>
    </row>
    <row r="657">
      <c r="G657" s="856"/>
    </row>
    <row r="658">
      <c r="G658" s="856"/>
    </row>
    <row r="659">
      <c r="G659" s="856"/>
    </row>
    <row r="660">
      <c r="G660" s="856"/>
    </row>
    <row r="661">
      <c r="G661" s="856"/>
    </row>
    <row r="662">
      <c r="G662" s="856"/>
    </row>
    <row r="663">
      <c r="G663" s="856"/>
    </row>
    <row r="664">
      <c r="G664" s="856"/>
    </row>
    <row r="665">
      <c r="G665" s="856"/>
    </row>
    <row r="666">
      <c r="G666" s="856"/>
    </row>
    <row r="667">
      <c r="G667" s="856"/>
    </row>
    <row r="668">
      <c r="G668" s="856"/>
    </row>
    <row r="669">
      <c r="G669" s="856"/>
    </row>
    <row r="670">
      <c r="G670" s="856"/>
    </row>
    <row r="671">
      <c r="G671" s="856"/>
    </row>
    <row r="672">
      <c r="G672" s="856"/>
    </row>
    <row r="673">
      <c r="G673" s="856"/>
    </row>
    <row r="674">
      <c r="G674" s="856"/>
    </row>
    <row r="675">
      <c r="G675" s="856"/>
    </row>
    <row r="676">
      <c r="G676" s="856"/>
    </row>
    <row r="677">
      <c r="G677" s="856"/>
    </row>
    <row r="678">
      <c r="G678" s="856"/>
    </row>
    <row r="679">
      <c r="G679" s="856"/>
    </row>
    <row r="680">
      <c r="G680" s="856"/>
    </row>
    <row r="681">
      <c r="G681" s="856"/>
    </row>
    <row r="682">
      <c r="G682" s="856"/>
    </row>
    <row r="683">
      <c r="G683" s="856"/>
    </row>
    <row r="684">
      <c r="G684" s="856"/>
    </row>
    <row r="685">
      <c r="G685" s="856"/>
    </row>
    <row r="686">
      <c r="G686" s="856"/>
    </row>
    <row r="687">
      <c r="G687" s="856"/>
    </row>
    <row r="688">
      <c r="G688" s="856"/>
    </row>
    <row r="689">
      <c r="G689" s="856"/>
    </row>
    <row r="690">
      <c r="G690" s="856"/>
    </row>
    <row r="691">
      <c r="G691" s="856"/>
    </row>
    <row r="692">
      <c r="G692" s="856"/>
    </row>
    <row r="693">
      <c r="G693" s="856"/>
    </row>
    <row r="694">
      <c r="G694" s="856"/>
    </row>
    <row r="695">
      <c r="G695" s="856"/>
    </row>
    <row r="696">
      <c r="G696" s="856"/>
    </row>
    <row r="697">
      <c r="G697" s="856"/>
    </row>
    <row r="698">
      <c r="G698" s="856"/>
    </row>
    <row r="699">
      <c r="G699" s="856"/>
    </row>
    <row r="700">
      <c r="G700" s="856"/>
    </row>
    <row r="701">
      <c r="G701" s="856"/>
    </row>
    <row r="702">
      <c r="G702" s="856"/>
    </row>
    <row r="703">
      <c r="G703" s="856"/>
    </row>
    <row r="704">
      <c r="G704" s="856"/>
    </row>
    <row r="705">
      <c r="G705" s="856"/>
    </row>
    <row r="706">
      <c r="G706" s="856"/>
    </row>
    <row r="707">
      <c r="G707" s="856"/>
    </row>
    <row r="708">
      <c r="G708" s="856"/>
    </row>
    <row r="709">
      <c r="G709" s="856"/>
    </row>
    <row r="710">
      <c r="G710" s="856"/>
    </row>
    <row r="711">
      <c r="G711" s="856"/>
    </row>
    <row r="712">
      <c r="G712" s="856"/>
    </row>
    <row r="713">
      <c r="G713" s="856"/>
    </row>
    <row r="714">
      <c r="G714" s="856"/>
    </row>
    <row r="715">
      <c r="G715" s="856"/>
    </row>
    <row r="716">
      <c r="G716" s="856"/>
    </row>
    <row r="717">
      <c r="G717" s="856"/>
    </row>
    <row r="718">
      <c r="G718" s="856"/>
    </row>
    <row r="719">
      <c r="G719" s="856"/>
    </row>
    <row r="720">
      <c r="G720" s="856"/>
    </row>
    <row r="721">
      <c r="G721" s="856"/>
    </row>
    <row r="722">
      <c r="G722" s="856"/>
    </row>
    <row r="723">
      <c r="G723" s="856"/>
    </row>
    <row r="724">
      <c r="G724" s="856"/>
    </row>
    <row r="725">
      <c r="G725" s="856"/>
    </row>
    <row r="726">
      <c r="G726" s="856"/>
    </row>
    <row r="727">
      <c r="G727" s="856"/>
    </row>
    <row r="728">
      <c r="G728" s="856"/>
    </row>
    <row r="729">
      <c r="G729" s="856"/>
    </row>
    <row r="730">
      <c r="G730" s="856"/>
    </row>
    <row r="731">
      <c r="G731" s="856"/>
    </row>
    <row r="732">
      <c r="G732" s="856"/>
    </row>
    <row r="733">
      <c r="G733" s="856"/>
    </row>
    <row r="734">
      <c r="G734" s="856"/>
    </row>
    <row r="735">
      <c r="G735" s="856"/>
    </row>
    <row r="736">
      <c r="G736" s="856"/>
    </row>
    <row r="737">
      <c r="G737" s="856"/>
    </row>
    <row r="738">
      <c r="G738" s="856"/>
    </row>
    <row r="739">
      <c r="G739" s="856"/>
    </row>
    <row r="740">
      <c r="G740" s="856"/>
    </row>
    <row r="741">
      <c r="G741" s="856"/>
    </row>
    <row r="742">
      <c r="G742" s="856"/>
    </row>
    <row r="743">
      <c r="G743" s="856"/>
    </row>
    <row r="744">
      <c r="G744" s="856"/>
    </row>
    <row r="745">
      <c r="G745" s="856"/>
    </row>
    <row r="746">
      <c r="G746" s="856"/>
    </row>
    <row r="747">
      <c r="G747" s="856"/>
    </row>
    <row r="748">
      <c r="G748" s="856"/>
    </row>
    <row r="749">
      <c r="G749" s="856"/>
    </row>
    <row r="750">
      <c r="G750" s="856"/>
    </row>
    <row r="751">
      <c r="G751" s="856"/>
    </row>
    <row r="752">
      <c r="G752" s="856"/>
    </row>
    <row r="753">
      <c r="G753" s="856"/>
    </row>
    <row r="754">
      <c r="G754" s="856"/>
    </row>
    <row r="755">
      <c r="G755" s="856"/>
    </row>
    <row r="756">
      <c r="G756" s="856"/>
    </row>
    <row r="757">
      <c r="G757" s="856"/>
    </row>
    <row r="758">
      <c r="G758" s="856"/>
    </row>
    <row r="759">
      <c r="G759" s="856"/>
    </row>
    <row r="760">
      <c r="G760" s="856"/>
    </row>
    <row r="761">
      <c r="G761" s="856"/>
    </row>
    <row r="762">
      <c r="G762" s="856"/>
    </row>
    <row r="763">
      <c r="G763" s="856"/>
    </row>
    <row r="764">
      <c r="G764" s="856"/>
    </row>
    <row r="765">
      <c r="G765" s="856"/>
    </row>
    <row r="766">
      <c r="G766" s="856"/>
    </row>
    <row r="767">
      <c r="G767" s="856"/>
    </row>
    <row r="768">
      <c r="G768" s="856"/>
    </row>
    <row r="769">
      <c r="G769" s="856"/>
    </row>
    <row r="770">
      <c r="G770" s="856"/>
    </row>
    <row r="771">
      <c r="G771" s="856"/>
    </row>
    <row r="772">
      <c r="G772" s="856"/>
    </row>
    <row r="773">
      <c r="G773" s="856"/>
    </row>
    <row r="774">
      <c r="G774" s="856"/>
    </row>
    <row r="775">
      <c r="G775" s="856"/>
    </row>
    <row r="776">
      <c r="G776" s="856"/>
    </row>
    <row r="777">
      <c r="G777" s="856"/>
    </row>
    <row r="778">
      <c r="G778" s="856"/>
    </row>
    <row r="779">
      <c r="G779" s="856"/>
    </row>
    <row r="780">
      <c r="G780" s="856"/>
    </row>
    <row r="781">
      <c r="G781" s="856"/>
    </row>
    <row r="782">
      <c r="G782" s="856"/>
    </row>
    <row r="783">
      <c r="G783" s="856"/>
    </row>
    <row r="784">
      <c r="G784" s="856"/>
    </row>
    <row r="785">
      <c r="G785" s="856"/>
    </row>
    <row r="786">
      <c r="G786" s="856"/>
    </row>
    <row r="787">
      <c r="G787" s="856"/>
    </row>
    <row r="788">
      <c r="G788" s="856"/>
    </row>
    <row r="789">
      <c r="G789" s="856"/>
    </row>
    <row r="790">
      <c r="G790" s="856"/>
    </row>
    <row r="791">
      <c r="G791" s="856"/>
    </row>
    <row r="792">
      <c r="G792" s="856"/>
    </row>
    <row r="793">
      <c r="G793" s="856"/>
    </row>
    <row r="794">
      <c r="G794" s="856"/>
    </row>
    <row r="795">
      <c r="G795" s="856"/>
    </row>
    <row r="796">
      <c r="G796" s="856"/>
    </row>
    <row r="797">
      <c r="G797" s="856"/>
    </row>
    <row r="798">
      <c r="G798" s="856"/>
    </row>
    <row r="799">
      <c r="G799" s="856"/>
    </row>
    <row r="800">
      <c r="G800" s="856"/>
    </row>
    <row r="801">
      <c r="G801" s="856"/>
    </row>
    <row r="802">
      <c r="G802" s="856"/>
    </row>
    <row r="803">
      <c r="G803" s="856"/>
    </row>
    <row r="804">
      <c r="G804" s="856"/>
    </row>
    <row r="805">
      <c r="G805" s="856"/>
    </row>
    <row r="806">
      <c r="G806" s="856"/>
    </row>
    <row r="807">
      <c r="G807" s="856"/>
    </row>
    <row r="808">
      <c r="G808" s="856"/>
    </row>
    <row r="809">
      <c r="G809" s="856"/>
    </row>
    <row r="810">
      <c r="G810" s="856"/>
    </row>
    <row r="811">
      <c r="G811" s="856"/>
    </row>
    <row r="812">
      <c r="G812" s="856"/>
    </row>
    <row r="813">
      <c r="G813" s="856"/>
    </row>
    <row r="814">
      <c r="G814" s="856"/>
    </row>
    <row r="815">
      <c r="G815" s="856"/>
    </row>
    <row r="816">
      <c r="G816" s="856"/>
    </row>
    <row r="817">
      <c r="G817" s="856"/>
    </row>
    <row r="818">
      <c r="G818" s="856"/>
    </row>
    <row r="819">
      <c r="G819" s="856"/>
    </row>
    <row r="820">
      <c r="G820" s="856"/>
    </row>
    <row r="821">
      <c r="G821" s="856"/>
    </row>
    <row r="822">
      <c r="G822" s="856"/>
    </row>
    <row r="823">
      <c r="G823" s="856"/>
    </row>
    <row r="824">
      <c r="G824" s="856"/>
    </row>
    <row r="825">
      <c r="G825" s="856"/>
    </row>
    <row r="826">
      <c r="G826" s="856"/>
    </row>
    <row r="827">
      <c r="G827" s="856"/>
    </row>
    <row r="828">
      <c r="G828" s="856"/>
    </row>
    <row r="829">
      <c r="G829" s="856"/>
    </row>
    <row r="830">
      <c r="G830" s="856"/>
    </row>
    <row r="831">
      <c r="G831" s="856"/>
    </row>
    <row r="832">
      <c r="G832" s="856"/>
    </row>
    <row r="833">
      <c r="G833" s="856"/>
    </row>
    <row r="834">
      <c r="G834" s="856"/>
    </row>
    <row r="835">
      <c r="G835" s="856"/>
    </row>
    <row r="836">
      <c r="G836" s="856"/>
    </row>
    <row r="837">
      <c r="G837" s="856"/>
    </row>
    <row r="838">
      <c r="G838" s="856"/>
    </row>
    <row r="839">
      <c r="G839" s="856"/>
    </row>
    <row r="840">
      <c r="G840" s="856"/>
    </row>
    <row r="841">
      <c r="G841" s="856"/>
    </row>
    <row r="842">
      <c r="G842" s="856"/>
    </row>
    <row r="843">
      <c r="G843" s="856"/>
    </row>
    <row r="844">
      <c r="G844" s="856"/>
    </row>
    <row r="845">
      <c r="G845" s="856"/>
    </row>
    <row r="846">
      <c r="G846" s="856"/>
    </row>
    <row r="847">
      <c r="G847" s="856"/>
    </row>
    <row r="848">
      <c r="G848" s="856"/>
    </row>
    <row r="849">
      <c r="G849" s="856"/>
    </row>
    <row r="850">
      <c r="G850" s="856"/>
    </row>
    <row r="851">
      <c r="G851" s="856"/>
    </row>
    <row r="852">
      <c r="G852" s="856"/>
    </row>
    <row r="853">
      <c r="G853" s="856"/>
    </row>
    <row r="854">
      <c r="G854" s="856"/>
    </row>
    <row r="855">
      <c r="G855" s="856"/>
    </row>
    <row r="856">
      <c r="G856" s="856"/>
    </row>
    <row r="857">
      <c r="G857" s="856"/>
    </row>
    <row r="858">
      <c r="G858" s="856"/>
    </row>
    <row r="859">
      <c r="G859" s="856"/>
    </row>
    <row r="860">
      <c r="G860" s="856"/>
    </row>
    <row r="861">
      <c r="G861" s="856"/>
    </row>
    <row r="862">
      <c r="G862" s="856"/>
    </row>
    <row r="863">
      <c r="G863" s="856"/>
    </row>
    <row r="864">
      <c r="G864" s="856"/>
    </row>
    <row r="865">
      <c r="G865" s="856"/>
    </row>
    <row r="866">
      <c r="G866" s="856"/>
    </row>
    <row r="867">
      <c r="G867" s="856"/>
    </row>
    <row r="868">
      <c r="G868" s="856"/>
    </row>
    <row r="869">
      <c r="G869" s="856"/>
    </row>
    <row r="870">
      <c r="G870" s="856"/>
    </row>
    <row r="871">
      <c r="G871" s="856"/>
    </row>
    <row r="872">
      <c r="G872" s="856"/>
    </row>
    <row r="873">
      <c r="G873" s="856"/>
    </row>
    <row r="874">
      <c r="G874" s="856"/>
    </row>
    <row r="875">
      <c r="G875" s="856"/>
    </row>
    <row r="876">
      <c r="G876" s="856"/>
    </row>
    <row r="877">
      <c r="G877" s="856"/>
    </row>
    <row r="878">
      <c r="G878" s="856"/>
    </row>
    <row r="879">
      <c r="G879" s="856"/>
    </row>
    <row r="880">
      <c r="G880" s="856"/>
    </row>
    <row r="881">
      <c r="G881" s="856"/>
    </row>
    <row r="882">
      <c r="G882" s="856"/>
    </row>
    <row r="883">
      <c r="G883" s="856"/>
    </row>
    <row r="884">
      <c r="G884" s="856"/>
    </row>
    <row r="885">
      <c r="G885" s="856"/>
    </row>
    <row r="886">
      <c r="G886" s="856"/>
    </row>
    <row r="887">
      <c r="G887" s="856"/>
    </row>
    <row r="888">
      <c r="G888" s="856"/>
    </row>
    <row r="889">
      <c r="G889" s="856"/>
    </row>
    <row r="890">
      <c r="G890" s="856"/>
    </row>
    <row r="891">
      <c r="G891" s="856"/>
    </row>
    <row r="892">
      <c r="G892" s="856"/>
    </row>
    <row r="893">
      <c r="G893" s="856"/>
    </row>
    <row r="894">
      <c r="G894" s="856"/>
    </row>
    <row r="895">
      <c r="G895" s="856"/>
    </row>
    <row r="896">
      <c r="G896" s="856"/>
    </row>
    <row r="897">
      <c r="G897" s="856"/>
    </row>
    <row r="898">
      <c r="G898" s="856"/>
    </row>
    <row r="899">
      <c r="G899" s="856"/>
    </row>
    <row r="900">
      <c r="G900" s="856"/>
    </row>
    <row r="901">
      <c r="G901" s="856"/>
    </row>
    <row r="902">
      <c r="G902" s="856"/>
    </row>
    <row r="903">
      <c r="G903" s="856"/>
    </row>
    <row r="904">
      <c r="G904" s="856"/>
    </row>
    <row r="905">
      <c r="G905" s="856"/>
    </row>
    <row r="906">
      <c r="G906" s="856"/>
    </row>
    <row r="907">
      <c r="G907" s="856"/>
    </row>
    <row r="908">
      <c r="G908" s="856"/>
    </row>
    <row r="909">
      <c r="G909" s="856"/>
    </row>
    <row r="910">
      <c r="G910" s="856"/>
    </row>
    <row r="911">
      <c r="G911" s="856"/>
    </row>
    <row r="912">
      <c r="G912" s="856"/>
    </row>
    <row r="913">
      <c r="G913" s="856"/>
    </row>
    <row r="914">
      <c r="G914" s="856"/>
    </row>
    <row r="915">
      <c r="G915" s="856"/>
    </row>
    <row r="916">
      <c r="G916" s="856"/>
    </row>
    <row r="917">
      <c r="G917" s="856"/>
    </row>
    <row r="918">
      <c r="G918" s="856"/>
    </row>
    <row r="919">
      <c r="G919" s="856"/>
    </row>
    <row r="920">
      <c r="G920" s="856"/>
    </row>
    <row r="921">
      <c r="G921" s="856"/>
    </row>
    <row r="922">
      <c r="G922" s="856"/>
    </row>
    <row r="923">
      <c r="G923" s="856"/>
    </row>
    <row r="924">
      <c r="G924" s="856"/>
    </row>
    <row r="925">
      <c r="G925" s="856"/>
    </row>
    <row r="926">
      <c r="G926" s="856"/>
    </row>
    <row r="927">
      <c r="G927" s="856"/>
    </row>
    <row r="928">
      <c r="G928" s="856"/>
    </row>
    <row r="929">
      <c r="G929" s="856"/>
    </row>
    <row r="930">
      <c r="G930" s="856"/>
    </row>
    <row r="931">
      <c r="G931" s="856"/>
    </row>
    <row r="932">
      <c r="G932" s="856"/>
    </row>
    <row r="933">
      <c r="G933" s="856"/>
    </row>
    <row r="934">
      <c r="G934" s="856"/>
    </row>
    <row r="935">
      <c r="G935" s="856"/>
    </row>
    <row r="936">
      <c r="G936" s="856"/>
    </row>
    <row r="937">
      <c r="G937" s="856"/>
    </row>
    <row r="938">
      <c r="G938" s="856"/>
    </row>
    <row r="939">
      <c r="G939" s="856"/>
    </row>
    <row r="940">
      <c r="G940" s="856"/>
    </row>
    <row r="941">
      <c r="G941" s="856"/>
    </row>
    <row r="942">
      <c r="G942" s="856"/>
    </row>
    <row r="943">
      <c r="G943" s="856"/>
    </row>
    <row r="944">
      <c r="G944" s="856"/>
    </row>
    <row r="945">
      <c r="G945" s="856"/>
    </row>
    <row r="946">
      <c r="G946" s="856"/>
    </row>
    <row r="947">
      <c r="G947" s="856"/>
    </row>
    <row r="948">
      <c r="G948" s="856"/>
    </row>
    <row r="949">
      <c r="G949" s="856"/>
    </row>
    <row r="950">
      <c r="G950" s="856"/>
    </row>
    <row r="951">
      <c r="G951" s="856"/>
    </row>
    <row r="952">
      <c r="G952" s="856"/>
    </row>
    <row r="953">
      <c r="G953" s="856"/>
    </row>
    <row r="954">
      <c r="G954" s="856"/>
    </row>
    <row r="955">
      <c r="G955" s="856"/>
    </row>
    <row r="956">
      <c r="G956" s="856"/>
    </row>
    <row r="957">
      <c r="G957" s="856"/>
    </row>
    <row r="958">
      <c r="G958" s="856"/>
    </row>
    <row r="959">
      <c r="G959" s="856"/>
    </row>
    <row r="960">
      <c r="G960" s="856"/>
    </row>
    <row r="961">
      <c r="G961" s="856"/>
    </row>
    <row r="962">
      <c r="G962" s="856"/>
    </row>
    <row r="963">
      <c r="G963" s="856"/>
    </row>
    <row r="964">
      <c r="G964" s="856"/>
    </row>
    <row r="965">
      <c r="G965" s="856"/>
    </row>
    <row r="966">
      <c r="G966" s="856"/>
    </row>
    <row r="967">
      <c r="G967" s="856"/>
    </row>
    <row r="968">
      <c r="G968" s="856"/>
    </row>
    <row r="969">
      <c r="G969" s="856"/>
    </row>
    <row r="970">
      <c r="G970" s="856"/>
    </row>
    <row r="971">
      <c r="G971" s="856"/>
    </row>
    <row r="972">
      <c r="G972" s="856"/>
    </row>
    <row r="973">
      <c r="G973" s="856"/>
    </row>
    <row r="974">
      <c r="G974" s="856"/>
    </row>
    <row r="975">
      <c r="G975" s="856"/>
    </row>
    <row r="976">
      <c r="G976" s="856"/>
    </row>
    <row r="977">
      <c r="G977" s="856"/>
    </row>
    <row r="978">
      <c r="G978" s="856"/>
    </row>
    <row r="979">
      <c r="G979" s="856"/>
    </row>
    <row r="980">
      <c r="G980" s="856"/>
    </row>
    <row r="981">
      <c r="G981" s="856"/>
    </row>
    <row r="982">
      <c r="G982" s="856"/>
    </row>
    <row r="983">
      <c r="G983" s="856"/>
    </row>
    <row r="984">
      <c r="G984" s="856"/>
    </row>
    <row r="985">
      <c r="G985" s="856"/>
    </row>
    <row r="986">
      <c r="G986" s="856"/>
    </row>
    <row r="987">
      <c r="G987" s="856"/>
    </row>
    <row r="988">
      <c r="G988" s="856"/>
    </row>
    <row r="989">
      <c r="G989" s="856"/>
    </row>
    <row r="990">
      <c r="G990" s="856"/>
    </row>
    <row r="991">
      <c r="G991" s="856"/>
    </row>
    <row r="992">
      <c r="G992" s="856"/>
    </row>
    <row r="993">
      <c r="G993" s="856"/>
    </row>
    <row r="994">
      <c r="G994" s="856"/>
    </row>
    <row r="995">
      <c r="G995" s="856"/>
    </row>
    <row r="996">
      <c r="G996" s="856"/>
    </row>
    <row r="997">
      <c r="G997" s="856"/>
    </row>
    <row r="998">
      <c r="G998" s="856"/>
    </row>
    <row r="999">
      <c r="G999" s="856"/>
    </row>
    <row r="1000">
      <c r="G1000" s="856"/>
    </row>
    <row r="1001">
      <c r="G1001" s="856"/>
    </row>
    <row r="1002">
      <c r="G1002" s="856"/>
    </row>
    <row r="1003">
      <c r="G1003" s="856"/>
    </row>
    <row r="1004">
      <c r="G1004" s="856"/>
    </row>
    <row r="1005">
      <c r="G1005" s="856"/>
    </row>
    <row r="1006">
      <c r="G1006" s="856"/>
    </row>
    <row r="1007">
      <c r="G1007" s="856"/>
    </row>
    <row r="1008">
      <c r="G1008" s="856"/>
    </row>
    <row r="1009">
      <c r="G1009" s="856"/>
    </row>
    <row r="1010">
      <c r="G1010" s="856"/>
    </row>
    <row r="1011">
      <c r="G1011" s="856"/>
    </row>
    <row r="1012">
      <c r="G1012" s="856"/>
    </row>
    <row r="1013">
      <c r="G1013" s="856"/>
    </row>
    <row r="1014">
      <c r="G1014" s="856"/>
    </row>
    <row r="1015">
      <c r="G1015" s="856"/>
    </row>
    <row r="1016">
      <c r="G1016" s="856"/>
    </row>
    <row r="1017">
      <c r="G1017" s="856"/>
    </row>
    <row r="1018">
      <c r="G1018" s="856"/>
    </row>
    <row r="1019">
      <c r="G1019" s="856"/>
    </row>
    <row r="1020">
      <c r="G1020" s="856"/>
    </row>
    <row r="1021">
      <c r="G1021" s="856"/>
    </row>
    <row r="1022">
      <c r="G1022" s="856"/>
    </row>
    <row r="1023">
      <c r="G1023" s="856"/>
    </row>
    <row r="1024">
      <c r="G1024" s="856"/>
    </row>
  </sheetData>
  <mergeCells count="2">
    <mergeCell ref="H10:J11"/>
    <mergeCell ref="L29:O2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3" width="19.67"/>
    <col customWidth="1" min="4" max="4" width="26.89"/>
    <col customWidth="1" min="5" max="5" width="9.22"/>
    <col customWidth="1" min="6" max="6" width="11.78"/>
    <col customWidth="1" min="7" max="7" width="12.0"/>
    <col customWidth="1" min="8" max="14" width="6.78"/>
    <col customWidth="1" min="15" max="15" width="9.67"/>
    <col customWidth="1" min="16" max="16" width="17.22"/>
    <col customWidth="1" min="17" max="17" width="16.0"/>
    <col customWidth="1" min="18" max="18" width="6.78"/>
    <col customWidth="1" min="19" max="19" width="8.0"/>
    <col customWidth="1" min="20" max="20" width="7.22"/>
    <col customWidth="1" min="21" max="21" width="8.78"/>
    <col customWidth="1" min="22" max="23" width="8.0"/>
    <col customWidth="1" min="24" max="28" width="6.78"/>
  </cols>
  <sheetData>
    <row r="1">
      <c r="A1" s="887" t="s">
        <v>680</v>
      </c>
      <c r="B1" s="887" t="s">
        <v>681</v>
      </c>
      <c r="C1" s="888" t="s">
        <v>682</v>
      </c>
      <c r="D1" s="888"/>
      <c r="E1" s="889"/>
      <c r="F1" s="888"/>
      <c r="G1" s="888" t="s">
        <v>683</v>
      </c>
      <c r="H1" s="889"/>
      <c r="I1" s="890" t="s">
        <v>684</v>
      </c>
      <c r="J1" s="890" t="s">
        <v>685</v>
      </c>
      <c r="K1" s="891" t="s">
        <v>686</v>
      </c>
      <c r="L1" s="887" t="s">
        <v>687</v>
      </c>
      <c r="M1" s="889"/>
      <c r="N1" s="889"/>
      <c r="O1" s="889"/>
      <c r="P1" s="892"/>
      <c r="Q1" s="893">
        <v>44412.47606035879</v>
      </c>
      <c r="R1" s="893">
        <v>44235.402784826394</v>
      </c>
      <c r="S1" s="894">
        <v>44203.54579912037</v>
      </c>
      <c r="T1" s="889"/>
      <c r="U1" s="889"/>
      <c r="V1" s="889"/>
      <c r="W1" s="889"/>
      <c r="X1" s="889"/>
      <c r="Y1" s="889"/>
      <c r="Z1" s="889"/>
      <c r="AA1" s="889"/>
      <c r="AB1" s="889"/>
    </row>
    <row r="2" ht="25.5" customHeight="1">
      <c r="A2" s="895"/>
      <c r="B2" s="895"/>
      <c r="C2" s="895" t="s">
        <v>688</v>
      </c>
      <c r="D2" s="895" t="s">
        <v>689</v>
      </c>
      <c r="E2" s="895" t="s">
        <v>690</v>
      </c>
      <c r="F2" s="895"/>
      <c r="G2" s="896"/>
      <c r="H2" s="897"/>
      <c r="I2" s="895"/>
      <c r="J2" s="898"/>
      <c r="K2" s="899"/>
      <c r="L2" s="895" t="s">
        <v>691</v>
      </c>
      <c r="M2" s="900"/>
      <c r="N2" s="900"/>
      <c r="O2" s="900"/>
      <c r="P2" s="901"/>
      <c r="Q2" s="900"/>
      <c r="R2" s="900"/>
      <c r="S2" s="900"/>
      <c r="T2" s="900"/>
      <c r="U2" s="900"/>
      <c r="V2" s="900"/>
      <c r="W2" s="900"/>
      <c r="X2" s="900"/>
      <c r="Y2" s="900"/>
      <c r="Z2" s="900"/>
      <c r="AA2" s="900"/>
      <c r="AB2" s="900"/>
    </row>
    <row r="3" ht="25.5" customHeight="1">
      <c r="A3" s="895"/>
      <c r="B3" s="895"/>
      <c r="C3" s="895" t="s">
        <v>692</v>
      </c>
      <c r="D3" s="895" t="s">
        <v>693</v>
      </c>
      <c r="E3" s="895" t="s">
        <v>16</v>
      </c>
      <c r="F3" s="895" t="s">
        <v>694</v>
      </c>
      <c r="G3" s="896">
        <v>45175.0</v>
      </c>
      <c r="H3" s="897"/>
      <c r="I3" s="895"/>
      <c r="J3" s="898"/>
      <c r="K3" s="899"/>
      <c r="L3" s="895" t="s">
        <v>695</v>
      </c>
      <c r="M3" s="900"/>
      <c r="N3" s="900"/>
      <c r="O3" s="900"/>
      <c r="P3" s="901"/>
      <c r="Q3" s="900"/>
      <c r="R3" s="900"/>
      <c r="S3" s="900"/>
      <c r="T3" s="900"/>
      <c r="U3" s="900"/>
      <c r="V3" s="900"/>
      <c r="W3" s="900"/>
      <c r="X3" s="900"/>
      <c r="Y3" s="900"/>
      <c r="Z3" s="900"/>
      <c r="AA3" s="900"/>
      <c r="AB3" s="900"/>
    </row>
    <row r="4" ht="25.5" customHeight="1">
      <c r="A4" s="895"/>
      <c r="B4" s="895"/>
      <c r="C4" s="895" t="s">
        <v>696</v>
      </c>
      <c r="D4" s="895" t="s">
        <v>697</v>
      </c>
      <c r="E4" s="895"/>
      <c r="F4" s="900"/>
      <c r="G4" s="902"/>
      <c r="H4" s="897"/>
      <c r="I4" s="895"/>
      <c r="J4" s="898"/>
      <c r="K4" s="899"/>
      <c r="L4" s="895"/>
      <c r="M4" s="900"/>
      <c r="N4" s="900"/>
      <c r="O4" s="900"/>
      <c r="P4" s="901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</row>
    <row r="5" ht="25.5" customHeight="1">
      <c r="A5" s="895"/>
      <c r="B5" s="895"/>
      <c r="C5" s="895" t="s">
        <v>698</v>
      </c>
      <c r="D5" s="895" t="s">
        <v>699</v>
      </c>
      <c r="E5" s="895"/>
      <c r="F5" s="900"/>
      <c r="G5" s="902"/>
      <c r="H5" s="897"/>
      <c r="I5" s="895" t="s">
        <v>700</v>
      </c>
      <c r="J5" s="898"/>
      <c r="K5" s="899"/>
      <c r="L5" s="895"/>
      <c r="M5" s="900"/>
      <c r="N5" s="900"/>
      <c r="O5" s="900"/>
      <c r="P5" s="901"/>
      <c r="Q5" s="900"/>
      <c r="R5" s="900"/>
      <c r="S5" s="900"/>
      <c r="T5" s="900"/>
      <c r="U5" s="900"/>
      <c r="V5" s="900"/>
      <c r="W5" s="900"/>
      <c r="X5" s="900"/>
      <c r="Y5" s="900"/>
      <c r="Z5" s="900"/>
      <c r="AA5" s="900"/>
      <c r="AB5" s="900"/>
    </row>
    <row r="6" ht="25.5" customHeight="1">
      <c r="A6" s="895"/>
      <c r="B6" s="895"/>
      <c r="C6" s="895" t="s">
        <v>701</v>
      </c>
      <c r="D6" s="895" t="s">
        <v>702</v>
      </c>
      <c r="E6" s="895" t="s">
        <v>703</v>
      </c>
      <c r="F6" s="900"/>
      <c r="G6" s="902"/>
      <c r="H6" s="897"/>
      <c r="I6" s="898"/>
      <c r="J6" s="898"/>
      <c r="K6" s="899"/>
      <c r="L6" s="895"/>
      <c r="M6" s="900"/>
      <c r="N6" s="900"/>
      <c r="O6" s="900"/>
      <c r="P6" s="901"/>
      <c r="Q6" s="900"/>
      <c r="R6" s="900"/>
      <c r="S6" s="900"/>
      <c r="T6" s="900"/>
      <c r="U6" s="900"/>
      <c r="V6" s="900"/>
      <c r="W6" s="900"/>
      <c r="X6" s="900"/>
      <c r="Y6" s="900"/>
      <c r="Z6" s="900"/>
      <c r="AA6" s="900"/>
      <c r="AB6" s="900"/>
    </row>
    <row r="7" ht="25.5" customHeight="1">
      <c r="A7" s="895">
        <v>1.0</v>
      </c>
      <c r="B7" s="895">
        <v>1.0</v>
      </c>
      <c r="C7" s="900" t="s">
        <v>704</v>
      </c>
      <c r="D7" s="903" t="s">
        <v>705</v>
      </c>
      <c r="E7" s="900"/>
      <c r="F7" s="900" t="s">
        <v>706</v>
      </c>
      <c r="G7" s="902">
        <v>44044.0</v>
      </c>
      <c r="H7" s="897" t="s">
        <v>707</v>
      </c>
      <c r="I7" s="898">
        <v>0.0075</v>
      </c>
      <c r="J7" s="898">
        <v>0.0075</v>
      </c>
      <c r="K7" s="899">
        <v>0.8</v>
      </c>
      <c r="L7" s="895" t="s">
        <v>708</v>
      </c>
      <c r="M7" s="900"/>
      <c r="N7" s="900"/>
      <c r="O7" s="900"/>
      <c r="P7" s="901"/>
      <c r="Q7" s="900"/>
      <c r="R7" s="900"/>
      <c r="S7" s="900"/>
      <c r="T7" s="900"/>
      <c r="U7" s="900"/>
      <c r="V7" s="900"/>
      <c r="W7" s="900"/>
      <c r="X7" s="900"/>
      <c r="Y7" s="900"/>
      <c r="Z7" s="900"/>
      <c r="AA7" s="900"/>
      <c r="AB7" s="900"/>
    </row>
    <row r="8" ht="25.5" customHeight="1">
      <c r="A8" s="895">
        <v>1.0</v>
      </c>
      <c r="B8" s="895">
        <v>2.0</v>
      </c>
      <c r="C8" s="895" t="s">
        <v>709</v>
      </c>
      <c r="D8" s="900"/>
      <c r="E8" s="900"/>
      <c r="F8" s="900"/>
      <c r="G8" s="900"/>
      <c r="H8" s="900"/>
      <c r="I8" s="898">
        <v>0.005</v>
      </c>
      <c r="J8" s="898">
        <v>0.005</v>
      </c>
      <c r="K8" s="899">
        <v>0.15</v>
      </c>
      <c r="L8" s="900"/>
      <c r="M8" s="900"/>
      <c r="N8" s="900"/>
      <c r="O8" s="895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</row>
    <row r="9" ht="25.5" customHeight="1">
      <c r="A9" s="895" t="s">
        <v>710</v>
      </c>
      <c r="B9" s="895">
        <v>3.0</v>
      </c>
      <c r="C9" s="904" t="s">
        <v>711</v>
      </c>
      <c r="D9" s="897" t="s">
        <v>705</v>
      </c>
      <c r="E9" s="900"/>
      <c r="F9" s="897" t="s">
        <v>712</v>
      </c>
      <c r="G9" s="902">
        <v>44044.0</v>
      </c>
      <c r="H9" s="900"/>
      <c r="I9" s="905"/>
      <c r="J9" s="905"/>
      <c r="K9" s="906"/>
      <c r="L9" s="900"/>
      <c r="M9" s="900"/>
      <c r="N9" s="900"/>
      <c r="O9" s="900"/>
      <c r="P9" s="900"/>
      <c r="Q9" s="900"/>
      <c r="R9" s="900"/>
      <c r="S9" s="900"/>
      <c r="T9" s="900"/>
      <c r="U9" s="900"/>
      <c r="V9" s="900"/>
      <c r="W9" s="900"/>
      <c r="X9" s="900"/>
      <c r="Y9" s="900"/>
      <c r="Z9" s="900"/>
      <c r="AA9" s="900"/>
      <c r="AB9" s="900"/>
    </row>
    <row r="10" ht="25.5" customHeight="1">
      <c r="A10" s="895" t="s">
        <v>710</v>
      </c>
      <c r="B10" s="895">
        <v>4.0</v>
      </c>
      <c r="C10" s="904" t="s">
        <v>713</v>
      </c>
      <c r="D10" s="897" t="s">
        <v>714</v>
      </c>
      <c r="E10" s="900"/>
      <c r="F10" s="900"/>
      <c r="G10" s="902">
        <v>44044.0</v>
      </c>
      <c r="H10" s="900"/>
      <c r="I10" s="905"/>
      <c r="J10" s="905"/>
      <c r="K10" s="906"/>
      <c r="L10" s="900"/>
      <c r="M10" s="900"/>
      <c r="N10" s="900"/>
      <c r="O10" s="900"/>
      <c r="P10" s="900"/>
      <c r="Q10" s="900"/>
      <c r="R10" s="900"/>
      <c r="S10" s="900"/>
      <c r="T10" s="900"/>
      <c r="U10" s="900"/>
      <c r="V10" s="900"/>
      <c r="W10" s="900"/>
      <c r="X10" s="900"/>
      <c r="Y10" s="900"/>
      <c r="Z10" s="900"/>
      <c r="AA10" s="900"/>
      <c r="AB10" s="900"/>
    </row>
    <row r="11" ht="25.5" customHeight="1">
      <c r="A11" s="895" t="s">
        <v>710</v>
      </c>
      <c r="B11" s="895">
        <v>5.0</v>
      </c>
      <c r="C11" s="897" t="s">
        <v>715</v>
      </c>
      <c r="D11" s="897" t="s">
        <v>716</v>
      </c>
      <c r="E11" s="900"/>
      <c r="F11" s="900"/>
      <c r="G11" s="902">
        <v>44075.0</v>
      </c>
      <c r="H11" s="900"/>
      <c r="I11" s="905"/>
      <c r="J11" s="905"/>
      <c r="K11" s="906"/>
      <c r="L11" s="900"/>
      <c r="M11" s="900"/>
      <c r="N11" s="900"/>
      <c r="O11" s="900"/>
      <c r="P11" s="900"/>
      <c r="Q11" s="900"/>
      <c r="R11" s="900"/>
      <c r="S11" s="900"/>
      <c r="T11" s="900"/>
      <c r="U11" s="900"/>
      <c r="V11" s="900"/>
      <c r="W11" s="900"/>
      <c r="X11" s="900"/>
      <c r="Y11" s="900"/>
      <c r="Z11" s="900"/>
      <c r="AA11" s="900"/>
      <c r="AB11" s="900"/>
    </row>
    <row r="12" ht="25.5" customHeight="1">
      <c r="A12" s="895" t="s">
        <v>710</v>
      </c>
      <c r="B12" s="895">
        <v>6.0</v>
      </c>
      <c r="C12" s="897" t="s">
        <v>717</v>
      </c>
      <c r="D12" s="897" t="s">
        <v>718</v>
      </c>
      <c r="E12" s="900"/>
      <c r="F12" s="900"/>
      <c r="G12" s="900"/>
      <c r="H12" s="900"/>
      <c r="I12" s="905"/>
      <c r="J12" s="905"/>
      <c r="K12" s="906"/>
      <c r="L12" s="900"/>
      <c r="M12" s="900"/>
      <c r="N12" s="900"/>
      <c r="O12" s="900"/>
      <c r="P12" s="900"/>
      <c r="Q12" s="900"/>
      <c r="R12" s="900"/>
      <c r="S12" s="900"/>
      <c r="T12" s="900"/>
      <c r="U12" s="900"/>
      <c r="V12" s="900"/>
      <c r="W12" s="900"/>
      <c r="X12" s="900"/>
      <c r="Y12" s="900"/>
      <c r="Z12" s="900"/>
      <c r="AA12" s="900"/>
      <c r="AB12" s="900"/>
    </row>
    <row r="13" ht="25.5" customHeight="1">
      <c r="A13" s="895"/>
      <c r="B13" s="897"/>
      <c r="C13" s="895" t="s">
        <v>719</v>
      </c>
      <c r="D13" s="895" t="s">
        <v>720</v>
      </c>
      <c r="E13" s="900"/>
      <c r="F13" s="900"/>
      <c r="G13" s="896">
        <v>44259.0</v>
      </c>
      <c r="H13" s="900"/>
      <c r="I13" s="905"/>
      <c r="J13" s="905"/>
      <c r="K13" s="906"/>
      <c r="L13" s="900"/>
      <c r="M13" s="900"/>
      <c r="N13" s="900"/>
      <c r="O13" s="900"/>
      <c r="P13" s="900"/>
      <c r="Q13" s="900"/>
      <c r="R13" s="900"/>
      <c r="S13" s="900"/>
      <c r="T13" s="900"/>
      <c r="U13" s="900"/>
      <c r="V13" s="900"/>
      <c r="W13" s="900"/>
      <c r="X13" s="900"/>
      <c r="Y13" s="900"/>
      <c r="Z13" s="900"/>
      <c r="AA13" s="900"/>
      <c r="AB13" s="900"/>
    </row>
    <row r="14" ht="25.5" customHeight="1">
      <c r="A14" s="895">
        <v>1.0</v>
      </c>
      <c r="B14" s="897"/>
      <c r="C14" s="904" t="s">
        <v>721</v>
      </c>
      <c r="D14" s="897"/>
      <c r="E14" s="900"/>
      <c r="F14" s="900" t="s">
        <v>712</v>
      </c>
      <c r="G14" s="902">
        <v>44044.0</v>
      </c>
      <c r="H14" s="900"/>
      <c r="I14" s="905"/>
      <c r="J14" s="905"/>
      <c r="K14" s="906"/>
      <c r="L14" s="900"/>
      <c r="M14" s="900"/>
      <c r="N14" s="900"/>
      <c r="O14" s="900"/>
      <c r="P14" s="900"/>
      <c r="Q14" s="900"/>
      <c r="R14" s="900"/>
      <c r="S14" s="900"/>
      <c r="T14" s="900"/>
      <c r="U14" s="900"/>
      <c r="V14" s="900"/>
      <c r="W14" s="900"/>
      <c r="X14" s="900"/>
      <c r="Y14" s="900"/>
      <c r="Z14" s="900"/>
      <c r="AA14" s="900"/>
      <c r="AB14" s="900"/>
    </row>
    <row r="15" ht="25.5" customHeight="1">
      <c r="A15" s="897"/>
      <c r="B15" s="897"/>
      <c r="C15" s="897" t="s">
        <v>722</v>
      </c>
      <c r="D15" s="897" t="s">
        <v>723</v>
      </c>
      <c r="E15" s="897" t="s">
        <v>724</v>
      </c>
      <c r="F15" s="900"/>
      <c r="G15" s="907">
        <v>44105.0</v>
      </c>
      <c r="H15" s="900"/>
      <c r="I15" s="905"/>
      <c r="J15" s="905"/>
      <c r="K15" s="906"/>
      <c r="L15" s="900"/>
      <c r="M15" s="900"/>
      <c r="N15" s="900"/>
      <c r="O15" s="900"/>
      <c r="P15" s="900"/>
      <c r="Q15" s="900"/>
      <c r="R15" s="900"/>
      <c r="S15" s="900"/>
      <c r="T15" s="900"/>
      <c r="U15" s="900"/>
      <c r="V15" s="900"/>
      <c r="W15" s="900"/>
      <c r="X15" s="900"/>
      <c r="Y15" s="900"/>
      <c r="Z15" s="900"/>
      <c r="AA15" s="900"/>
      <c r="AB15" s="900"/>
    </row>
    <row r="16" ht="25.5" customHeight="1">
      <c r="A16" s="897"/>
      <c r="B16" s="897"/>
      <c r="C16" s="904" t="s">
        <v>725</v>
      </c>
      <c r="D16" s="897" t="s">
        <v>726</v>
      </c>
      <c r="E16" s="897" t="s">
        <v>727</v>
      </c>
      <c r="F16" s="900"/>
      <c r="G16" s="908">
        <v>44182.0</v>
      </c>
      <c r="H16" s="900"/>
      <c r="I16" s="905"/>
      <c r="J16" s="905"/>
      <c r="K16" s="906"/>
      <c r="L16" s="900"/>
      <c r="M16" s="900"/>
      <c r="N16" s="900"/>
      <c r="O16" s="900"/>
      <c r="P16" s="900"/>
      <c r="Q16" s="900"/>
      <c r="R16" s="900"/>
      <c r="S16" s="900"/>
      <c r="T16" s="900"/>
      <c r="U16" s="900"/>
      <c r="V16" s="900"/>
      <c r="W16" s="900"/>
      <c r="X16" s="900"/>
      <c r="Y16" s="900"/>
      <c r="Z16" s="900"/>
      <c r="AA16" s="900"/>
      <c r="AB16" s="900"/>
    </row>
    <row r="17" ht="25.5" customHeight="1">
      <c r="A17" s="897"/>
      <c r="B17" s="897"/>
      <c r="C17" s="895" t="s">
        <v>728</v>
      </c>
      <c r="D17" s="897" t="s">
        <v>723</v>
      </c>
      <c r="E17" s="900"/>
      <c r="F17" s="900"/>
      <c r="G17" s="908">
        <v>44182.0</v>
      </c>
      <c r="H17" s="900"/>
      <c r="I17" s="905"/>
      <c r="J17" s="905"/>
      <c r="K17" s="906"/>
      <c r="L17" s="900"/>
      <c r="M17" s="900"/>
      <c r="N17" s="900"/>
      <c r="O17" s="900"/>
      <c r="P17" s="900"/>
      <c r="Q17" s="900"/>
      <c r="R17" s="900"/>
      <c r="S17" s="900"/>
      <c r="T17" s="900"/>
      <c r="U17" s="900"/>
      <c r="V17" s="900"/>
      <c r="W17" s="900"/>
      <c r="X17" s="900"/>
      <c r="Y17" s="900"/>
      <c r="Z17" s="900"/>
      <c r="AA17" s="900"/>
      <c r="AB17" s="900"/>
    </row>
    <row r="18" ht="25.5" customHeight="1">
      <c r="A18" s="895" t="s">
        <v>729</v>
      </c>
      <c r="B18" s="897"/>
      <c r="C18" s="895" t="s">
        <v>730</v>
      </c>
      <c r="D18" s="895" t="s">
        <v>731</v>
      </c>
      <c r="E18" s="900"/>
      <c r="F18" s="900"/>
      <c r="G18" s="909">
        <v>44232.0</v>
      </c>
      <c r="H18" s="895" t="s">
        <v>732</v>
      </c>
      <c r="I18" s="905"/>
      <c r="J18" s="905"/>
      <c r="K18" s="906"/>
      <c r="L18" s="900"/>
      <c r="M18" s="900"/>
      <c r="N18" s="900"/>
      <c r="O18" s="900"/>
      <c r="P18" s="900"/>
      <c r="Q18" s="900"/>
      <c r="R18" s="900"/>
      <c r="S18" s="900"/>
      <c r="T18" s="900"/>
      <c r="U18" s="900"/>
      <c r="V18" s="900"/>
      <c r="W18" s="900"/>
      <c r="X18" s="900"/>
      <c r="Y18" s="900"/>
      <c r="Z18" s="900"/>
      <c r="AA18" s="900"/>
      <c r="AB18" s="900"/>
    </row>
    <row r="19" ht="25.5" customHeight="1">
      <c r="B19" s="897"/>
      <c r="C19" s="895" t="s">
        <v>733</v>
      </c>
      <c r="D19" s="895" t="s">
        <v>731</v>
      </c>
      <c r="E19" s="900"/>
      <c r="F19" s="900"/>
      <c r="G19" s="900"/>
      <c r="H19" s="900"/>
      <c r="I19" s="905"/>
      <c r="J19" s="905"/>
      <c r="K19" s="906"/>
      <c r="L19" s="900"/>
      <c r="M19" s="900"/>
      <c r="N19" s="900"/>
      <c r="O19" s="900"/>
      <c r="P19" s="900"/>
      <c r="Q19" s="900"/>
      <c r="R19" s="900"/>
      <c r="S19" s="900"/>
      <c r="T19" s="900"/>
      <c r="U19" s="900"/>
      <c r="V19" s="900"/>
      <c r="W19" s="900"/>
      <c r="X19" s="900"/>
      <c r="Y19" s="900"/>
      <c r="Z19" s="900"/>
      <c r="AA19" s="900"/>
      <c r="AB19" s="900"/>
    </row>
    <row r="20" ht="25.5" customHeight="1">
      <c r="A20" s="897"/>
      <c r="B20" s="897"/>
      <c r="C20" s="895" t="s">
        <v>734</v>
      </c>
      <c r="D20" s="895" t="s">
        <v>735</v>
      </c>
      <c r="E20" s="900"/>
      <c r="F20" s="900"/>
      <c r="G20" s="900"/>
      <c r="H20" s="900"/>
      <c r="I20" s="905"/>
      <c r="J20" s="905"/>
      <c r="K20" s="906"/>
      <c r="L20" s="900"/>
      <c r="M20" s="900"/>
      <c r="N20" s="900"/>
      <c r="O20" s="900"/>
      <c r="P20" s="900"/>
      <c r="Q20" s="900"/>
      <c r="R20" s="900"/>
      <c r="S20" s="900"/>
      <c r="T20" s="900"/>
      <c r="U20" s="900"/>
      <c r="V20" s="900"/>
      <c r="W20" s="900"/>
      <c r="X20" s="900"/>
      <c r="Y20" s="900"/>
      <c r="Z20" s="900"/>
      <c r="AA20" s="900"/>
      <c r="AB20" s="900"/>
    </row>
    <row r="21" ht="25.5" customHeight="1">
      <c r="A21" s="897"/>
      <c r="B21" s="897"/>
      <c r="C21" s="904" t="s">
        <v>736</v>
      </c>
      <c r="D21" s="897" t="s">
        <v>705</v>
      </c>
      <c r="E21" s="900"/>
      <c r="F21" s="900"/>
      <c r="G21" s="909">
        <v>44232.0</v>
      </c>
      <c r="H21" s="895" t="s">
        <v>737</v>
      </c>
      <c r="I21" s="905"/>
      <c r="J21" s="905"/>
      <c r="K21" s="906"/>
      <c r="L21" s="900"/>
      <c r="M21" s="900"/>
      <c r="N21" s="900"/>
      <c r="O21" s="900"/>
      <c r="P21" s="900"/>
      <c r="Q21" s="900"/>
      <c r="R21" s="900"/>
      <c r="S21" s="900"/>
      <c r="T21" s="900"/>
      <c r="U21" s="900"/>
      <c r="V21" s="900"/>
      <c r="W21" s="900"/>
      <c r="X21" s="900"/>
      <c r="Y21" s="900"/>
      <c r="Z21" s="900"/>
      <c r="AA21" s="900"/>
      <c r="AB21" s="900"/>
    </row>
    <row r="22" ht="25.5" customHeight="1">
      <c r="A22" s="900"/>
      <c r="B22" s="900"/>
      <c r="C22" s="900" t="s">
        <v>738</v>
      </c>
      <c r="D22" s="900" t="s">
        <v>739</v>
      </c>
      <c r="E22" s="900" t="s">
        <v>740</v>
      </c>
      <c r="F22" s="900"/>
      <c r="G22" s="900"/>
      <c r="H22" s="900"/>
      <c r="I22" s="905"/>
      <c r="J22" s="905"/>
      <c r="K22" s="906"/>
      <c r="L22" s="900"/>
      <c r="M22" s="900"/>
      <c r="N22" s="900"/>
      <c r="O22" s="900"/>
      <c r="P22" s="900"/>
      <c r="Q22" s="900"/>
      <c r="R22" s="900"/>
      <c r="S22" s="900"/>
      <c r="T22" s="900"/>
      <c r="U22" s="900"/>
      <c r="V22" s="900"/>
      <c r="W22" s="900"/>
      <c r="X22" s="900"/>
      <c r="Y22" s="900"/>
      <c r="Z22" s="900"/>
      <c r="AA22" s="900"/>
      <c r="AB22" s="900"/>
    </row>
    <row r="23" ht="25.5" customHeight="1">
      <c r="A23" s="900"/>
      <c r="B23" s="900"/>
      <c r="C23" s="900" t="s">
        <v>741</v>
      </c>
      <c r="D23" s="903" t="s">
        <v>705</v>
      </c>
      <c r="E23" s="900"/>
      <c r="F23" s="900"/>
      <c r="G23" s="900"/>
      <c r="H23" s="900"/>
      <c r="I23" s="905"/>
      <c r="J23" s="905"/>
      <c r="K23" s="906"/>
      <c r="L23" s="900"/>
      <c r="M23" s="900"/>
      <c r="N23" s="900"/>
      <c r="O23" s="900"/>
      <c r="P23" s="900"/>
      <c r="Q23" s="900"/>
      <c r="R23" s="900"/>
      <c r="S23" s="900"/>
      <c r="T23" s="900"/>
      <c r="U23" s="900"/>
      <c r="V23" s="900"/>
      <c r="W23" s="900"/>
      <c r="X23" s="900"/>
      <c r="Y23" s="900"/>
      <c r="Z23" s="900"/>
      <c r="AA23" s="900"/>
      <c r="AB23" s="900"/>
    </row>
    <row r="24" ht="25.5" customHeight="1">
      <c r="A24" s="897"/>
      <c r="B24" s="897"/>
      <c r="C24" s="897" t="s">
        <v>742</v>
      </c>
      <c r="D24" s="903" t="s">
        <v>705</v>
      </c>
      <c r="E24" s="900"/>
      <c r="F24" s="900"/>
      <c r="G24" s="900" t="s">
        <v>739</v>
      </c>
      <c r="H24" s="897" t="s">
        <v>743</v>
      </c>
      <c r="I24" s="905"/>
      <c r="J24" s="905"/>
      <c r="K24" s="906"/>
      <c r="L24" s="900"/>
      <c r="M24" s="900"/>
      <c r="N24" s="900"/>
      <c r="O24" s="900"/>
      <c r="P24" s="900"/>
      <c r="Q24" s="900"/>
      <c r="R24" s="900"/>
      <c r="S24" s="900"/>
      <c r="T24" s="900"/>
      <c r="U24" s="900"/>
      <c r="V24" s="900"/>
      <c r="W24" s="900"/>
      <c r="X24" s="900"/>
      <c r="Y24" s="900"/>
      <c r="Z24" s="900"/>
      <c r="AA24" s="900"/>
      <c r="AB24" s="900"/>
    </row>
    <row r="25" ht="25.5" customHeight="1">
      <c r="A25" s="897"/>
      <c r="B25" s="897"/>
      <c r="C25" s="904" t="s">
        <v>744</v>
      </c>
      <c r="D25" s="900"/>
      <c r="E25" s="900"/>
      <c r="F25" s="900"/>
      <c r="G25" s="900"/>
      <c r="H25" s="900"/>
      <c r="I25" s="905"/>
      <c r="J25" s="905"/>
      <c r="K25" s="906"/>
      <c r="L25" s="900"/>
      <c r="M25" s="900"/>
      <c r="N25" s="900"/>
      <c r="O25" s="900"/>
      <c r="P25" s="900"/>
      <c r="Q25" s="900"/>
      <c r="R25" s="900"/>
      <c r="S25" s="900"/>
      <c r="T25" s="900"/>
      <c r="U25" s="900"/>
      <c r="V25" s="900"/>
      <c r="W25" s="900"/>
      <c r="X25" s="900"/>
      <c r="Y25" s="900"/>
      <c r="Z25" s="900"/>
      <c r="AA25" s="900"/>
      <c r="AB25" s="900"/>
    </row>
    <row r="26" ht="25.5" customHeight="1">
      <c r="A26" s="897"/>
      <c r="B26" s="897"/>
      <c r="C26" s="904" t="s">
        <v>745</v>
      </c>
      <c r="D26" s="900"/>
      <c r="E26" s="900"/>
      <c r="F26" s="900"/>
      <c r="G26" s="900"/>
      <c r="H26" s="900"/>
      <c r="I26" s="905"/>
      <c r="J26" s="905"/>
      <c r="K26" s="906"/>
      <c r="L26" s="900"/>
      <c r="M26" s="900"/>
      <c r="N26" s="900"/>
      <c r="O26" s="900"/>
      <c r="P26" s="900"/>
      <c r="Q26" s="900"/>
      <c r="R26" s="900"/>
      <c r="S26" s="901"/>
      <c r="T26" s="900"/>
      <c r="U26" s="900"/>
      <c r="V26" s="900"/>
      <c r="W26" s="900"/>
      <c r="X26" s="900"/>
      <c r="Y26" s="900"/>
      <c r="Z26" s="900"/>
      <c r="AA26" s="900"/>
      <c r="AB26" s="900"/>
    </row>
    <row r="28" ht="25.5" customHeight="1">
      <c r="A28" s="897"/>
      <c r="B28" s="897"/>
      <c r="C28" s="897" t="s">
        <v>746</v>
      </c>
      <c r="D28" s="900"/>
      <c r="E28" s="900"/>
      <c r="F28" s="900"/>
      <c r="G28" s="900"/>
      <c r="H28" s="900"/>
      <c r="I28" s="905"/>
      <c r="J28" s="905"/>
      <c r="K28" s="906"/>
      <c r="L28" s="900"/>
      <c r="M28" s="900"/>
      <c r="N28" s="900"/>
      <c r="O28" s="900"/>
      <c r="P28" s="900"/>
      <c r="Q28" s="900"/>
      <c r="R28" s="900"/>
      <c r="S28" s="900"/>
      <c r="T28" s="900"/>
      <c r="U28" s="900"/>
      <c r="V28" s="900"/>
      <c r="W28" s="900"/>
      <c r="X28" s="900"/>
      <c r="Y28" s="900"/>
      <c r="Z28" s="900"/>
      <c r="AA28" s="900"/>
      <c r="AB28" s="900"/>
    </row>
    <row r="29" ht="25.5" customHeight="1">
      <c r="A29" s="897"/>
      <c r="B29" s="897"/>
      <c r="C29" s="897" t="s">
        <v>747</v>
      </c>
      <c r="D29" s="900"/>
      <c r="E29" s="900"/>
      <c r="F29" s="900"/>
      <c r="G29" s="900"/>
      <c r="H29" s="900"/>
      <c r="I29" s="905"/>
      <c r="J29" s="905"/>
      <c r="K29" s="906"/>
      <c r="L29" s="900"/>
      <c r="M29" s="900"/>
      <c r="N29" s="900"/>
      <c r="O29" s="900"/>
      <c r="P29" s="900"/>
      <c r="Q29" s="900"/>
      <c r="R29" s="900"/>
      <c r="S29" s="900"/>
      <c r="T29" s="900"/>
      <c r="U29" s="900"/>
      <c r="V29" s="900"/>
      <c r="W29" s="900"/>
      <c r="X29" s="900"/>
      <c r="Y29" s="900"/>
      <c r="Z29" s="900"/>
      <c r="AA29" s="900"/>
      <c r="AB29" s="900"/>
    </row>
    <row r="30" ht="25.5" customHeight="1">
      <c r="A30" s="897"/>
      <c r="B30" s="897"/>
      <c r="C30" s="897" t="s">
        <v>748</v>
      </c>
      <c r="D30" s="904" t="s">
        <v>749</v>
      </c>
      <c r="E30" s="900"/>
      <c r="F30" s="897" t="s">
        <v>705</v>
      </c>
      <c r="G30" s="900"/>
      <c r="H30" s="910" t="s">
        <v>750</v>
      </c>
      <c r="I30" s="905"/>
      <c r="J30" s="905"/>
      <c r="K30" s="906"/>
      <c r="L30" s="900"/>
      <c r="M30" s="900"/>
      <c r="N30" s="900"/>
      <c r="O30" s="900"/>
      <c r="P30" s="900"/>
      <c r="Q30" s="900"/>
      <c r="R30" s="900"/>
      <c r="S30" s="900"/>
      <c r="T30" s="900"/>
      <c r="U30" s="900"/>
      <c r="V30" s="900"/>
      <c r="W30" s="900"/>
      <c r="X30" s="900"/>
      <c r="Y30" s="900"/>
      <c r="Z30" s="900"/>
      <c r="AA30" s="900"/>
      <c r="AB30" s="900"/>
    </row>
    <row r="31">
      <c r="A31" s="900"/>
      <c r="B31" s="900"/>
      <c r="C31" s="911" t="s">
        <v>751</v>
      </c>
      <c r="D31" s="895" t="s">
        <v>739</v>
      </c>
      <c r="E31" s="895" t="s">
        <v>752</v>
      </c>
      <c r="F31" s="900"/>
      <c r="G31" s="895" t="s">
        <v>697</v>
      </c>
      <c r="H31" s="895" t="s">
        <v>753</v>
      </c>
      <c r="I31" s="895" t="s">
        <v>754</v>
      </c>
      <c r="J31" s="905"/>
      <c r="K31" s="906"/>
      <c r="L31" s="900"/>
      <c r="M31" s="900"/>
      <c r="N31" s="900"/>
      <c r="O31" s="900"/>
      <c r="P31" s="900"/>
      <c r="Q31" s="900"/>
      <c r="R31" s="900"/>
      <c r="S31" s="900"/>
      <c r="T31" s="900"/>
      <c r="U31" s="900"/>
      <c r="V31" s="900"/>
      <c r="W31" s="900"/>
      <c r="X31" s="900"/>
      <c r="Y31" s="900"/>
      <c r="Z31" s="900"/>
      <c r="AA31" s="900"/>
      <c r="AB31" s="900"/>
    </row>
    <row r="32">
      <c r="A32" s="900"/>
      <c r="B32" s="900"/>
      <c r="C32" s="895" t="s">
        <v>755</v>
      </c>
      <c r="D32" s="895">
        <v>3.404584778E9</v>
      </c>
      <c r="E32" s="895" t="s">
        <v>756</v>
      </c>
      <c r="F32" s="900"/>
      <c r="G32" s="900"/>
      <c r="H32" s="900"/>
      <c r="I32" s="905"/>
      <c r="J32" s="905"/>
      <c r="K32" s="906"/>
      <c r="L32" s="900"/>
      <c r="M32" s="900"/>
      <c r="N32" s="900"/>
      <c r="O32" s="900"/>
      <c r="P32" s="900"/>
      <c r="Q32" s="900"/>
      <c r="R32" s="900"/>
      <c r="S32" s="900"/>
      <c r="T32" s="900"/>
      <c r="U32" s="900"/>
      <c r="V32" s="900"/>
      <c r="W32" s="900"/>
      <c r="X32" s="900"/>
      <c r="Y32" s="900"/>
      <c r="Z32" s="900"/>
      <c r="AA32" s="900"/>
      <c r="AB32" s="900"/>
    </row>
    <row r="33">
      <c r="A33" s="897"/>
      <c r="B33" s="897"/>
      <c r="C33" s="897"/>
      <c r="D33" s="897"/>
      <c r="E33" s="897"/>
      <c r="F33" s="900"/>
      <c r="G33" s="900"/>
      <c r="H33" s="900"/>
      <c r="I33" s="905"/>
      <c r="J33" s="905"/>
      <c r="K33" s="906"/>
      <c r="L33" s="900"/>
      <c r="M33" s="900"/>
      <c r="N33" s="900"/>
      <c r="O33" s="900"/>
      <c r="P33" s="900"/>
      <c r="Q33" s="900"/>
      <c r="R33" s="900"/>
      <c r="S33" s="900"/>
      <c r="T33" s="900"/>
      <c r="U33" s="900"/>
      <c r="V33" s="900"/>
      <c r="W33" s="900"/>
      <c r="X33" s="900"/>
      <c r="Y33" s="900"/>
      <c r="Z33" s="900"/>
      <c r="AA33" s="900"/>
      <c r="AB33" s="900"/>
    </row>
    <row r="34">
      <c r="A34" s="897"/>
      <c r="B34" s="897"/>
      <c r="C34" s="897"/>
      <c r="D34" s="897"/>
      <c r="E34" s="897"/>
      <c r="F34" s="900"/>
      <c r="G34" s="900"/>
      <c r="H34" s="900"/>
      <c r="I34" s="905"/>
      <c r="J34" s="905"/>
      <c r="K34" s="906"/>
      <c r="L34" s="900"/>
      <c r="M34" s="900"/>
      <c r="N34" s="900"/>
      <c r="O34" s="900"/>
      <c r="P34" s="900"/>
      <c r="Q34" s="900"/>
      <c r="R34" s="900"/>
      <c r="S34" s="900"/>
      <c r="T34" s="900"/>
      <c r="U34" s="900"/>
      <c r="V34" s="900"/>
      <c r="W34" s="900"/>
      <c r="X34" s="900"/>
      <c r="Y34" s="900"/>
      <c r="Z34" s="900"/>
      <c r="AA34" s="900"/>
      <c r="AB34" s="900"/>
    </row>
    <row r="35">
      <c r="A35" s="897"/>
      <c r="B35" s="897"/>
      <c r="C35" s="897"/>
      <c r="D35" s="897"/>
      <c r="E35" s="897"/>
      <c r="F35" s="900"/>
      <c r="G35" s="900"/>
      <c r="H35" s="900"/>
      <c r="I35" s="905"/>
      <c r="J35" s="905"/>
      <c r="K35" s="906"/>
      <c r="L35" s="900"/>
      <c r="M35" s="900"/>
      <c r="N35" s="900"/>
      <c r="O35" s="900"/>
      <c r="P35" s="900"/>
      <c r="Q35" s="900"/>
      <c r="R35" s="912"/>
      <c r="S35" s="900"/>
      <c r="T35" s="901"/>
      <c r="U35" s="901"/>
      <c r="V35" s="901"/>
      <c r="W35" s="901"/>
      <c r="X35" s="900"/>
      <c r="Y35" s="900"/>
      <c r="Z35" s="900"/>
      <c r="AA35" s="900"/>
      <c r="AB35" s="900"/>
    </row>
    <row r="36">
      <c r="A36" s="897"/>
      <c r="B36" s="897"/>
      <c r="C36" s="897"/>
      <c r="D36" s="897"/>
      <c r="E36" s="897"/>
      <c r="F36" s="900"/>
      <c r="G36" s="900"/>
      <c r="H36" s="900"/>
      <c r="I36" s="905"/>
      <c r="J36" s="905"/>
      <c r="K36" s="906"/>
      <c r="L36" s="900"/>
      <c r="M36" s="900"/>
      <c r="N36" s="900"/>
      <c r="O36" s="900"/>
      <c r="P36" s="900"/>
      <c r="Q36" s="900"/>
      <c r="R36" s="912"/>
      <c r="S36" s="900"/>
      <c r="T36" s="901"/>
      <c r="U36" s="901"/>
      <c r="V36" s="901"/>
      <c r="W36" s="901"/>
      <c r="X36" s="900"/>
      <c r="Y36" s="900"/>
      <c r="Z36" s="900"/>
      <c r="AA36" s="900"/>
      <c r="AB36" s="900"/>
    </row>
    <row r="37">
      <c r="A37" s="900"/>
      <c r="B37" s="900"/>
      <c r="C37" s="900"/>
      <c r="D37" s="900"/>
      <c r="E37" s="900"/>
      <c r="F37" s="900"/>
      <c r="G37" s="900"/>
      <c r="H37" s="900"/>
      <c r="I37" s="905"/>
      <c r="J37" s="905"/>
      <c r="K37" s="906"/>
      <c r="L37" s="900"/>
      <c r="M37" s="900"/>
      <c r="N37" s="900"/>
      <c r="O37" s="900"/>
      <c r="P37" s="900"/>
      <c r="Q37" s="900"/>
      <c r="R37" s="912"/>
      <c r="S37" s="900"/>
      <c r="T37" s="901"/>
      <c r="U37" s="901"/>
      <c r="V37" s="901"/>
      <c r="W37" s="901"/>
      <c r="X37" s="900"/>
      <c r="Y37" s="900"/>
      <c r="Z37" s="900"/>
      <c r="AA37" s="900"/>
      <c r="AB37" s="900"/>
    </row>
    <row r="38">
      <c r="A38" s="900"/>
      <c r="B38" s="900"/>
      <c r="C38" s="900"/>
      <c r="D38" s="900"/>
      <c r="E38" s="900"/>
      <c r="F38" s="900"/>
      <c r="G38" s="900"/>
      <c r="H38" s="900"/>
      <c r="I38" s="905"/>
      <c r="J38" s="905"/>
      <c r="K38" s="906"/>
      <c r="L38" s="900"/>
      <c r="M38" s="900"/>
      <c r="N38" s="900"/>
      <c r="O38" s="900"/>
      <c r="P38" s="900"/>
      <c r="Q38" s="900"/>
      <c r="R38" s="900"/>
      <c r="S38" s="900"/>
      <c r="T38" s="900"/>
      <c r="U38" s="900"/>
      <c r="V38" s="900"/>
      <c r="W38" s="900"/>
      <c r="X38" s="900"/>
      <c r="Y38" s="900"/>
      <c r="Z38" s="900"/>
      <c r="AA38" s="900"/>
      <c r="AB38" s="900"/>
    </row>
    <row r="39">
      <c r="A39" s="900"/>
      <c r="B39" s="900"/>
      <c r="C39" s="900"/>
      <c r="D39" s="900"/>
      <c r="E39" s="900"/>
      <c r="F39" s="900"/>
      <c r="G39" s="900"/>
      <c r="H39" s="900"/>
      <c r="I39" s="905"/>
      <c r="J39" s="905"/>
      <c r="K39" s="906"/>
      <c r="L39" s="900"/>
      <c r="M39" s="900"/>
      <c r="N39" s="900"/>
      <c r="O39" s="900"/>
      <c r="P39" s="900"/>
      <c r="Q39" s="900"/>
      <c r="R39" s="900"/>
      <c r="S39" s="900"/>
      <c r="T39" s="900"/>
      <c r="U39" s="900"/>
      <c r="V39" s="900"/>
      <c r="W39" s="900"/>
      <c r="X39" s="900"/>
      <c r="Y39" s="900"/>
      <c r="Z39" s="900"/>
      <c r="AA39" s="900"/>
      <c r="AB39" s="900"/>
    </row>
    <row r="40">
      <c r="A40" s="900"/>
      <c r="B40" s="900"/>
      <c r="C40" s="900"/>
      <c r="D40" s="900"/>
      <c r="E40" s="900"/>
      <c r="F40" s="900"/>
      <c r="G40" s="900"/>
      <c r="H40" s="900"/>
      <c r="I40" s="905"/>
      <c r="J40" s="905"/>
      <c r="K40" s="906"/>
      <c r="L40" s="900"/>
      <c r="M40" s="900"/>
      <c r="N40" s="900"/>
      <c r="O40" s="900"/>
      <c r="P40" s="900"/>
      <c r="Q40" s="900"/>
      <c r="R40" s="900"/>
      <c r="S40" s="900"/>
      <c r="T40" s="900"/>
      <c r="U40" s="900"/>
      <c r="V40" s="900"/>
      <c r="W40" s="900"/>
      <c r="X40" s="900"/>
      <c r="Y40" s="900"/>
      <c r="Z40" s="900"/>
      <c r="AA40" s="900"/>
      <c r="AB40" s="900"/>
    </row>
    <row r="41">
      <c r="A41" s="900"/>
      <c r="B41" s="900"/>
      <c r="C41" s="900"/>
      <c r="D41" s="900"/>
      <c r="E41" s="900"/>
      <c r="F41" s="900"/>
      <c r="G41" s="900"/>
      <c r="H41" s="900"/>
      <c r="I41" s="905"/>
      <c r="J41" s="905"/>
      <c r="K41" s="906"/>
      <c r="L41" s="900"/>
      <c r="M41" s="900"/>
      <c r="N41" s="900"/>
      <c r="O41" s="900"/>
      <c r="P41" s="900"/>
      <c r="Q41" s="900"/>
      <c r="R41" s="900"/>
      <c r="S41" s="900"/>
      <c r="T41" s="900"/>
      <c r="U41" s="900"/>
      <c r="V41" s="900"/>
      <c r="W41" s="900"/>
      <c r="X41" s="900"/>
      <c r="Y41" s="900"/>
      <c r="Z41" s="900"/>
      <c r="AA41" s="900"/>
      <c r="AB41" s="900"/>
    </row>
    <row r="42">
      <c r="A42" s="900"/>
      <c r="B42" s="900"/>
      <c r="C42" s="900"/>
      <c r="D42" s="900"/>
      <c r="E42" s="900"/>
      <c r="F42" s="900"/>
      <c r="G42" s="900"/>
      <c r="H42" s="900"/>
      <c r="I42" s="905"/>
      <c r="J42" s="905"/>
      <c r="K42" s="906"/>
      <c r="L42" s="900"/>
      <c r="M42" s="900"/>
      <c r="N42" s="900"/>
      <c r="O42" s="900"/>
      <c r="P42" s="900"/>
      <c r="Q42" s="900"/>
      <c r="R42" s="900"/>
      <c r="S42" s="900"/>
      <c r="T42" s="900"/>
      <c r="U42" s="900"/>
      <c r="V42" s="900"/>
      <c r="W42" s="900"/>
      <c r="X42" s="900"/>
      <c r="Y42" s="900"/>
      <c r="Z42" s="900"/>
      <c r="AA42" s="900"/>
      <c r="AB42" s="900"/>
    </row>
    <row r="43">
      <c r="A43" s="900"/>
      <c r="B43" s="900"/>
      <c r="C43" s="900"/>
      <c r="D43" s="900"/>
      <c r="E43" s="900"/>
      <c r="F43" s="900"/>
      <c r="G43" s="900"/>
      <c r="H43" s="900"/>
      <c r="I43" s="905"/>
      <c r="J43" s="905"/>
      <c r="K43" s="906"/>
      <c r="L43" s="900"/>
      <c r="M43" s="900"/>
      <c r="N43" s="900"/>
      <c r="O43" s="900"/>
      <c r="P43" s="900"/>
      <c r="Q43" s="900"/>
      <c r="R43" s="900"/>
      <c r="S43" s="900"/>
      <c r="T43" s="900"/>
      <c r="U43" s="900"/>
      <c r="V43" s="900"/>
      <c r="W43" s="900"/>
      <c r="X43" s="900"/>
      <c r="Y43" s="900"/>
      <c r="Z43" s="900"/>
      <c r="AA43" s="900"/>
      <c r="AB43" s="900"/>
    </row>
    <row r="44">
      <c r="A44" s="900"/>
      <c r="B44" s="900"/>
      <c r="C44" s="900"/>
      <c r="D44" s="900"/>
      <c r="E44" s="900"/>
      <c r="F44" s="900"/>
      <c r="G44" s="900"/>
      <c r="H44" s="900"/>
      <c r="I44" s="905"/>
      <c r="J44" s="905"/>
      <c r="K44" s="906"/>
      <c r="L44" s="905"/>
      <c r="M44" s="900"/>
      <c r="N44" s="900"/>
      <c r="O44" s="900"/>
      <c r="P44" s="900"/>
      <c r="Q44" s="900"/>
      <c r="R44" s="900"/>
      <c r="S44" s="900"/>
      <c r="T44" s="900"/>
      <c r="U44" s="900"/>
      <c r="V44" s="900"/>
      <c r="W44" s="900"/>
      <c r="X44" s="900"/>
      <c r="Y44" s="900"/>
      <c r="Z44" s="900"/>
      <c r="AA44" s="900"/>
      <c r="AB44" s="900"/>
    </row>
    <row r="45">
      <c r="A45" s="900"/>
      <c r="B45" s="900"/>
      <c r="C45" s="900"/>
      <c r="D45" s="900"/>
      <c r="E45" s="900"/>
      <c r="F45" s="900"/>
      <c r="G45" s="900"/>
      <c r="H45" s="900"/>
      <c r="I45" s="905"/>
      <c r="J45" s="905"/>
      <c r="K45" s="906"/>
      <c r="L45" s="900"/>
      <c r="M45" s="900"/>
      <c r="N45" s="900"/>
      <c r="O45" s="900"/>
      <c r="P45" s="900"/>
      <c r="Q45" s="900"/>
      <c r="R45" s="900"/>
      <c r="S45" s="900"/>
      <c r="T45" s="900"/>
      <c r="U45" s="900"/>
      <c r="V45" s="900"/>
      <c r="W45" s="900"/>
      <c r="X45" s="900"/>
      <c r="Y45" s="900"/>
      <c r="Z45" s="900"/>
      <c r="AA45" s="900"/>
      <c r="AB45" s="900"/>
    </row>
    <row r="46">
      <c r="A46" s="900"/>
      <c r="B46" s="900"/>
      <c r="C46" s="900"/>
      <c r="D46" s="900"/>
      <c r="E46" s="900"/>
      <c r="F46" s="900"/>
      <c r="G46" s="900"/>
      <c r="H46" s="900"/>
      <c r="I46" s="905"/>
      <c r="J46" s="905"/>
      <c r="K46" s="906"/>
      <c r="L46" s="900"/>
      <c r="M46" s="900"/>
      <c r="N46" s="900"/>
      <c r="O46" s="900"/>
      <c r="P46" s="900"/>
      <c r="Q46" s="900"/>
      <c r="R46" s="900"/>
      <c r="S46" s="900"/>
      <c r="T46" s="900"/>
      <c r="U46" s="900"/>
      <c r="V46" s="900"/>
      <c r="W46" s="900"/>
      <c r="X46" s="900"/>
      <c r="Y46" s="900"/>
      <c r="Z46" s="900"/>
      <c r="AA46" s="900"/>
      <c r="AB46" s="900"/>
    </row>
    <row r="47">
      <c r="A47" s="900"/>
      <c r="B47" s="900"/>
      <c r="C47" s="900"/>
      <c r="D47" s="900"/>
      <c r="E47" s="900"/>
      <c r="F47" s="900"/>
      <c r="G47" s="900"/>
      <c r="H47" s="900"/>
      <c r="I47" s="905"/>
      <c r="J47" s="905"/>
      <c r="K47" s="906"/>
      <c r="L47" s="900"/>
      <c r="M47" s="900"/>
      <c r="N47" s="900"/>
      <c r="O47" s="900"/>
      <c r="P47" s="900"/>
      <c r="Q47" s="900"/>
      <c r="R47" s="900"/>
      <c r="S47" s="900"/>
      <c r="T47" s="900"/>
      <c r="U47" s="900"/>
      <c r="V47" s="900"/>
      <c r="W47" s="900"/>
      <c r="X47" s="900"/>
      <c r="Y47" s="900"/>
      <c r="Z47" s="900"/>
      <c r="AA47" s="900"/>
      <c r="AB47" s="900"/>
    </row>
    <row r="48">
      <c r="A48" s="900"/>
      <c r="B48" s="900"/>
      <c r="C48" s="900"/>
      <c r="D48" s="900"/>
      <c r="E48" s="900"/>
      <c r="F48" s="900"/>
      <c r="G48" s="900"/>
      <c r="H48" s="900"/>
      <c r="I48" s="905"/>
      <c r="J48" s="905"/>
      <c r="K48" s="906"/>
      <c r="L48" s="900"/>
      <c r="M48" s="900"/>
      <c r="N48" s="900"/>
      <c r="O48" s="900"/>
      <c r="P48" s="900"/>
      <c r="Q48" s="900"/>
      <c r="R48" s="900"/>
      <c r="S48" s="900"/>
      <c r="T48" s="900"/>
      <c r="U48" s="900"/>
      <c r="V48" s="900"/>
      <c r="W48" s="900"/>
      <c r="X48" s="900"/>
      <c r="Y48" s="900"/>
      <c r="Z48" s="900"/>
      <c r="AA48" s="900"/>
      <c r="AB48" s="900"/>
    </row>
    <row r="49">
      <c r="A49" s="900"/>
      <c r="B49" s="900"/>
      <c r="C49" s="900"/>
      <c r="D49" s="900"/>
      <c r="E49" s="900"/>
      <c r="F49" s="900"/>
      <c r="G49" s="900"/>
      <c r="H49" s="900"/>
      <c r="I49" s="905"/>
      <c r="J49" s="905"/>
      <c r="K49" s="906"/>
      <c r="L49" s="900"/>
      <c r="M49" s="900"/>
      <c r="N49" s="900"/>
      <c r="O49" s="900"/>
      <c r="P49" s="900"/>
      <c r="Q49" s="900"/>
      <c r="R49" s="900"/>
      <c r="S49" s="900"/>
      <c r="T49" s="900"/>
      <c r="U49" s="900"/>
      <c r="V49" s="900"/>
      <c r="W49" s="900"/>
      <c r="X49" s="900"/>
      <c r="Y49" s="900"/>
      <c r="Z49" s="900"/>
      <c r="AA49" s="900"/>
      <c r="AB49" s="900"/>
    </row>
    <row r="50">
      <c r="A50" s="900"/>
      <c r="B50" s="900"/>
      <c r="C50" s="900"/>
      <c r="D50" s="900"/>
      <c r="E50" s="900"/>
      <c r="F50" s="900"/>
      <c r="G50" s="900"/>
      <c r="H50" s="900"/>
      <c r="I50" s="905"/>
      <c r="J50" s="905"/>
      <c r="K50" s="906"/>
      <c r="L50" s="900"/>
      <c r="M50" s="900"/>
      <c r="N50" s="900"/>
      <c r="O50" s="900"/>
      <c r="P50" s="900"/>
      <c r="Q50" s="900"/>
      <c r="R50" s="900"/>
      <c r="S50" s="900"/>
      <c r="T50" s="900"/>
      <c r="U50" s="900"/>
      <c r="V50" s="900"/>
      <c r="W50" s="900"/>
      <c r="X50" s="900"/>
      <c r="Y50" s="900"/>
      <c r="Z50" s="900"/>
      <c r="AA50" s="900"/>
      <c r="AB50" s="900"/>
    </row>
    <row r="51">
      <c r="A51" s="900"/>
      <c r="B51" s="900"/>
      <c r="C51" s="900"/>
      <c r="D51" s="900"/>
      <c r="E51" s="900"/>
      <c r="F51" s="900"/>
      <c r="G51" s="900"/>
      <c r="H51" s="900"/>
      <c r="I51" s="905"/>
      <c r="J51" s="905"/>
      <c r="K51" s="906"/>
      <c r="L51" s="900"/>
      <c r="M51" s="900"/>
      <c r="N51" s="900"/>
      <c r="O51" s="900"/>
      <c r="P51" s="900"/>
      <c r="Q51" s="900"/>
      <c r="R51" s="900"/>
      <c r="S51" s="900"/>
      <c r="T51" s="900"/>
      <c r="U51" s="900"/>
      <c r="V51" s="900"/>
      <c r="W51" s="900"/>
      <c r="X51" s="900"/>
      <c r="Y51" s="900"/>
      <c r="Z51" s="900"/>
      <c r="AA51" s="900"/>
      <c r="AB51" s="900"/>
    </row>
    <row r="52">
      <c r="A52" s="900"/>
      <c r="B52" s="900"/>
      <c r="C52" s="900"/>
      <c r="D52" s="900"/>
      <c r="E52" s="900"/>
      <c r="F52" s="900"/>
      <c r="G52" s="900"/>
      <c r="H52" s="900"/>
      <c r="I52" s="905"/>
      <c r="J52" s="905"/>
      <c r="K52" s="906"/>
      <c r="L52" s="900"/>
      <c r="M52" s="900"/>
      <c r="N52" s="900"/>
      <c r="O52" s="900"/>
      <c r="P52" s="900"/>
      <c r="Q52" s="900"/>
      <c r="R52" s="900"/>
      <c r="S52" s="900"/>
      <c r="T52" s="900"/>
      <c r="U52" s="900"/>
      <c r="V52" s="900"/>
      <c r="W52" s="900"/>
      <c r="X52" s="900"/>
      <c r="Y52" s="900"/>
      <c r="Z52" s="900"/>
      <c r="AA52" s="900"/>
      <c r="AB52" s="900"/>
    </row>
    <row r="53">
      <c r="A53" s="900"/>
      <c r="B53" s="900"/>
      <c r="C53" s="900"/>
      <c r="D53" s="900"/>
      <c r="E53" s="900"/>
      <c r="F53" s="900"/>
      <c r="G53" s="900"/>
      <c r="H53" s="900"/>
      <c r="I53" s="905"/>
      <c r="J53" s="905"/>
      <c r="K53" s="906"/>
      <c r="L53" s="900"/>
      <c r="M53" s="900"/>
      <c r="N53" s="900"/>
      <c r="O53" s="900"/>
      <c r="P53" s="900"/>
      <c r="Q53" s="900"/>
      <c r="R53" s="900"/>
      <c r="S53" s="900"/>
      <c r="T53" s="900"/>
      <c r="U53" s="900"/>
      <c r="V53" s="900"/>
      <c r="W53" s="900"/>
      <c r="X53" s="900"/>
      <c r="Y53" s="900"/>
      <c r="Z53" s="900"/>
      <c r="AA53" s="900"/>
      <c r="AB53" s="900"/>
    </row>
    <row r="54">
      <c r="A54" s="900"/>
      <c r="B54" s="900"/>
      <c r="C54" s="900"/>
      <c r="D54" s="900"/>
      <c r="E54" s="900"/>
      <c r="F54" s="900"/>
      <c r="G54" s="900"/>
      <c r="H54" s="900"/>
      <c r="I54" s="905"/>
      <c r="J54" s="905"/>
      <c r="K54" s="906"/>
      <c r="L54" s="900"/>
      <c r="M54" s="900"/>
      <c r="N54" s="900"/>
      <c r="O54" s="900"/>
      <c r="P54" s="900"/>
      <c r="Q54" s="900"/>
      <c r="R54" s="900"/>
      <c r="S54" s="900"/>
      <c r="T54" s="900"/>
      <c r="U54" s="900"/>
      <c r="V54" s="900"/>
      <c r="W54" s="900"/>
      <c r="X54" s="900"/>
      <c r="Y54" s="900"/>
      <c r="Z54" s="900"/>
      <c r="AA54" s="900"/>
      <c r="AB54" s="900"/>
    </row>
    <row r="55">
      <c r="A55" s="900"/>
      <c r="B55" s="900"/>
      <c r="C55" s="900"/>
      <c r="D55" s="900"/>
      <c r="E55" s="900"/>
      <c r="F55" s="900"/>
      <c r="G55" s="900"/>
      <c r="H55" s="900"/>
      <c r="I55" s="905"/>
      <c r="J55" s="905"/>
      <c r="K55" s="906"/>
      <c r="L55" s="900"/>
      <c r="M55" s="900"/>
      <c r="N55" s="900"/>
      <c r="O55" s="900"/>
      <c r="P55" s="900"/>
      <c r="Q55" s="900"/>
      <c r="R55" s="900"/>
      <c r="S55" s="900"/>
      <c r="T55" s="900"/>
      <c r="U55" s="900"/>
      <c r="V55" s="900"/>
      <c r="W55" s="900"/>
      <c r="X55" s="900"/>
      <c r="Y55" s="900"/>
      <c r="Z55" s="900"/>
      <c r="AA55" s="900"/>
      <c r="AB55" s="900"/>
    </row>
    <row r="56">
      <c r="A56" s="900"/>
      <c r="B56" s="900"/>
      <c r="C56" s="900"/>
      <c r="D56" s="900"/>
      <c r="E56" s="900"/>
      <c r="F56" s="900"/>
      <c r="G56" s="900"/>
      <c r="H56" s="900"/>
      <c r="I56" s="905"/>
      <c r="J56" s="905"/>
      <c r="K56" s="906"/>
      <c r="L56" s="900"/>
      <c r="M56" s="900"/>
      <c r="N56" s="900"/>
      <c r="O56" s="900"/>
      <c r="P56" s="900"/>
      <c r="Q56" s="900"/>
      <c r="R56" s="900"/>
      <c r="S56" s="900"/>
      <c r="T56" s="900"/>
      <c r="U56" s="900"/>
      <c r="V56" s="900"/>
      <c r="W56" s="900"/>
      <c r="X56" s="900"/>
      <c r="Y56" s="900"/>
      <c r="Z56" s="900"/>
      <c r="AA56" s="900"/>
      <c r="AB56" s="900"/>
    </row>
    <row r="57">
      <c r="A57" s="900"/>
      <c r="B57" s="900"/>
      <c r="C57" s="900"/>
      <c r="D57" s="900"/>
      <c r="E57" s="900"/>
      <c r="F57" s="900"/>
      <c r="G57" s="900"/>
      <c r="H57" s="900"/>
      <c r="I57" s="905"/>
      <c r="J57" s="905"/>
      <c r="K57" s="906"/>
      <c r="L57" s="900"/>
      <c r="M57" s="900"/>
      <c r="N57" s="900"/>
      <c r="O57" s="900"/>
      <c r="P57" s="900"/>
      <c r="Q57" s="900"/>
      <c r="R57" s="900"/>
      <c r="S57" s="900"/>
      <c r="T57" s="900"/>
      <c r="U57" s="900"/>
      <c r="V57" s="900"/>
      <c r="W57" s="900"/>
      <c r="X57" s="900"/>
      <c r="Y57" s="900"/>
      <c r="Z57" s="900"/>
      <c r="AA57" s="900"/>
      <c r="AB57" s="900"/>
    </row>
    <row r="58">
      <c r="A58" s="900"/>
      <c r="B58" s="900"/>
      <c r="C58" s="900"/>
      <c r="D58" s="900"/>
      <c r="E58" s="900"/>
      <c r="F58" s="900"/>
      <c r="G58" s="900"/>
      <c r="H58" s="900"/>
      <c r="I58" s="905"/>
      <c r="J58" s="905"/>
      <c r="K58" s="906"/>
      <c r="L58" s="900"/>
      <c r="M58" s="900"/>
      <c r="N58" s="900"/>
      <c r="O58" s="900"/>
      <c r="P58" s="900"/>
      <c r="Q58" s="900"/>
      <c r="R58" s="900"/>
      <c r="S58" s="900"/>
      <c r="T58" s="900"/>
      <c r="U58" s="900"/>
      <c r="V58" s="900"/>
      <c r="W58" s="900"/>
      <c r="X58" s="900"/>
      <c r="Y58" s="900"/>
      <c r="Z58" s="900"/>
      <c r="AA58" s="900"/>
      <c r="AB58" s="900"/>
    </row>
    <row r="59">
      <c r="A59" s="900"/>
      <c r="B59" s="900"/>
      <c r="C59" s="900"/>
      <c r="D59" s="900"/>
      <c r="E59" s="900"/>
      <c r="F59" s="900"/>
      <c r="G59" s="900"/>
      <c r="H59" s="900"/>
      <c r="I59" s="905"/>
      <c r="J59" s="905"/>
      <c r="K59" s="906"/>
      <c r="L59" s="900"/>
      <c r="M59" s="900"/>
      <c r="N59" s="900"/>
      <c r="O59" s="900"/>
      <c r="P59" s="900"/>
      <c r="Q59" s="900"/>
      <c r="R59" s="900"/>
      <c r="S59" s="900"/>
      <c r="T59" s="900"/>
      <c r="U59" s="900"/>
      <c r="V59" s="900"/>
      <c r="W59" s="900"/>
      <c r="X59" s="900"/>
      <c r="Y59" s="900"/>
      <c r="Z59" s="900"/>
      <c r="AA59" s="900"/>
      <c r="AB59" s="900"/>
    </row>
    <row r="60">
      <c r="A60" s="900"/>
      <c r="B60" s="900"/>
      <c r="C60" s="900"/>
      <c r="D60" s="900"/>
      <c r="E60" s="900"/>
      <c r="F60" s="900"/>
      <c r="G60" s="900"/>
      <c r="H60" s="900"/>
      <c r="I60" s="905"/>
      <c r="J60" s="905"/>
      <c r="K60" s="906"/>
      <c r="L60" s="900"/>
      <c r="M60" s="900"/>
      <c r="N60" s="900"/>
      <c r="O60" s="900"/>
      <c r="P60" s="900"/>
      <c r="Q60" s="900"/>
      <c r="R60" s="900"/>
      <c r="S60" s="900"/>
      <c r="T60" s="900"/>
      <c r="U60" s="900"/>
      <c r="V60" s="900"/>
      <c r="W60" s="900"/>
      <c r="X60" s="900"/>
      <c r="Y60" s="900"/>
      <c r="Z60" s="900"/>
      <c r="AA60" s="900"/>
      <c r="AB60" s="900"/>
    </row>
    <row r="61">
      <c r="A61" s="900"/>
      <c r="B61" s="900"/>
      <c r="C61" s="900"/>
      <c r="D61" s="900"/>
      <c r="E61" s="900"/>
      <c r="F61" s="900"/>
      <c r="G61" s="900"/>
      <c r="H61" s="900"/>
      <c r="I61" s="905"/>
      <c r="J61" s="905"/>
      <c r="K61" s="906"/>
      <c r="L61" s="900"/>
      <c r="M61" s="900"/>
      <c r="N61" s="900"/>
      <c r="O61" s="900"/>
      <c r="P61" s="900"/>
      <c r="Q61" s="900"/>
      <c r="R61" s="900"/>
      <c r="S61" s="900"/>
      <c r="T61" s="900"/>
      <c r="U61" s="900"/>
      <c r="V61" s="900"/>
      <c r="W61" s="900"/>
      <c r="X61" s="900"/>
      <c r="Y61" s="900"/>
      <c r="Z61" s="900"/>
      <c r="AA61" s="900"/>
      <c r="AB61" s="900"/>
    </row>
    <row r="62">
      <c r="A62" s="900"/>
      <c r="B62" s="900"/>
      <c r="C62" s="900"/>
      <c r="D62" s="900"/>
      <c r="E62" s="900"/>
      <c r="F62" s="900"/>
      <c r="G62" s="900"/>
      <c r="H62" s="900"/>
      <c r="I62" s="905"/>
      <c r="J62" s="905"/>
      <c r="K62" s="906"/>
      <c r="L62" s="900"/>
      <c r="M62" s="900"/>
      <c r="N62" s="900"/>
      <c r="O62" s="900"/>
      <c r="P62" s="900"/>
      <c r="Q62" s="900"/>
      <c r="R62" s="900"/>
      <c r="S62" s="900"/>
      <c r="T62" s="900"/>
      <c r="U62" s="900"/>
      <c r="V62" s="900"/>
      <c r="W62" s="900"/>
      <c r="X62" s="900"/>
      <c r="Y62" s="900"/>
      <c r="Z62" s="900"/>
      <c r="AA62" s="900"/>
      <c r="AB62" s="900"/>
    </row>
    <row r="63">
      <c r="A63" s="900"/>
      <c r="B63" s="900"/>
      <c r="C63" s="900"/>
      <c r="D63" s="900"/>
      <c r="E63" s="900"/>
      <c r="F63" s="900"/>
      <c r="G63" s="900"/>
      <c r="H63" s="900"/>
      <c r="I63" s="905"/>
      <c r="J63" s="905"/>
      <c r="K63" s="906"/>
      <c r="L63" s="900"/>
      <c r="M63" s="900"/>
      <c r="N63" s="900"/>
      <c r="O63" s="900"/>
      <c r="P63" s="900"/>
      <c r="Q63" s="900"/>
      <c r="R63" s="900"/>
      <c r="S63" s="900"/>
      <c r="T63" s="900"/>
      <c r="U63" s="900"/>
      <c r="V63" s="900"/>
      <c r="W63" s="900"/>
      <c r="X63" s="900"/>
      <c r="Y63" s="900"/>
      <c r="Z63" s="900"/>
      <c r="AA63" s="900"/>
      <c r="AB63" s="900"/>
    </row>
    <row r="64">
      <c r="A64" s="900"/>
      <c r="B64" s="900"/>
      <c r="C64" s="900"/>
      <c r="D64" s="900"/>
      <c r="E64" s="900"/>
      <c r="F64" s="900"/>
      <c r="G64" s="900"/>
      <c r="H64" s="900"/>
      <c r="I64" s="905"/>
      <c r="J64" s="905"/>
      <c r="K64" s="906"/>
      <c r="L64" s="900"/>
      <c r="M64" s="900"/>
      <c r="N64" s="900"/>
      <c r="O64" s="900"/>
      <c r="P64" s="900"/>
      <c r="Q64" s="900"/>
      <c r="R64" s="900"/>
      <c r="S64" s="900"/>
      <c r="T64" s="900"/>
      <c r="U64" s="900"/>
      <c r="V64" s="900"/>
      <c r="W64" s="900"/>
      <c r="X64" s="900"/>
      <c r="Y64" s="900"/>
      <c r="Z64" s="900"/>
      <c r="AA64" s="900"/>
      <c r="AB64" s="900"/>
    </row>
    <row r="65">
      <c r="A65" s="900"/>
      <c r="B65" s="900"/>
      <c r="C65" s="900"/>
      <c r="D65" s="900"/>
      <c r="E65" s="900"/>
      <c r="F65" s="900"/>
      <c r="G65" s="900"/>
      <c r="H65" s="900"/>
      <c r="I65" s="905"/>
      <c r="J65" s="905"/>
      <c r="K65" s="906"/>
      <c r="L65" s="900"/>
      <c r="M65" s="900"/>
      <c r="N65" s="900"/>
      <c r="O65" s="900"/>
      <c r="P65" s="900"/>
      <c r="Q65" s="900"/>
      <c r="R65" s="900"/>
      <c r="S65" s="900"/>
      <c r="T65" s="900"/>
      <c r="U65" s="900"/>
      <c r="V65" s="900"/>
      <c r="W65" s="900"/>
      <c r="X65" s="900"/>
      <c r="Y65" s="900"/>
      <c r="Z65" s="900"/>
      <c r="AA65" s="900"/>
      <c r="AB65" s="900"/>
    </row>
    <row r="66">
      <c r="A66" s="900"/>
      <c r="B66" s="900"/>
      <c r="C66" s="900"/>
      <c r="D66" s="900"/>
      <c r="E66" s="900"/>
      <c r="F66" s="900"/>
      <c r="G66" s="900"/>
      <c r="H66" s="900"/>
      <c r="I66" s="905"/>
      <c r="J66" s="905"/>
      <c r="K66" s="906"/>
      <c r="L66" s="900"/>
      <c r="M66" s="900"/>
      <c r="N66" s="900"/>
      <c r="O66" s="900"/>
      <c r="P66" s="900"/>
      <c r="Q66" s="900"/>
      <c r="R66" s="900"/>
      <c r="S66" s="900"/>
      <c r="T66" s="900"/>
      <c r="U66" s="900"/>
      <c r="V66" s="900"/>
      <c r="W66" s="900"/>
      <c r="X66" s="900"/>
      <c r="Y66" s="900"/>
      <c r="Z66" s="900"/>
      <c r="AA66" s="900"/>
      <c r="AB66" s="900"/>
    </row>
    <row r="67">
      <c r="A67" s="900"/>
      <c r="B67" s="900"/>
      <c r="C67" s="900"/>
      <c r="D67" s="900"/>
      <c r="E67" s="900"/>
      <c r="F67" s="900"/>
      <c r="G67" s="900"/>
      <c r="H67" s="900"/>
      <c r="I67" s="905"/>
      <c r="J67" s="905"/>
      <c r="K67" s="906"/>
      <c r="L67" s="900"/>
      <c r="M67" s="900"/>
      <c r="N67" s="900"/>
      <c r="O67" s="900"/>
      <c r="P67" s="900"/>
      <c r="Q67" s="900"/>
      <c r="R67" s="900"/>
      <c r="S67" s="900"/>
      <c r="T67" s="900"/>
      <c r="U67" s="900"/>
      <c r="V67" s="900"/>
      <c r="W67" s="900"/>
      <c r="X67" s="900"/>
      <c r="Y67" s="900"/>
      <c r="Z67" s="900"/>
      <c r="AA67" s="900"/>
      <c r="AB67" s="900"/>
    </row>
    <row r="68">
      <c r="A68" s="900"/>
      <c r="B68" s="900"/>
      <c r="C68" s="900"/>
      <c r="D68" s="900"/>
      <c r="E68" s="900"/>
      <c r="F68" s="900"/>
      <c r="G68" s="900"/>
      <c r="H68" s="900"/>
      <c r="I68" s="905"/>
      <c r="J68" s="905"/>
      <c r="K68" s="906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0"/>
      <c r="Y68" s="900"/>
      <c r="Z68" s="900"/>
      <c r="AA68" s="900"/>
      <c r="AB68" s="900"/>
    </row>
    <row r="69">
      <c r="A69" s="900"/>
      <c r="B69" s="900"/>
      <c r="C69" s="900"/>
      <c r="D69" s="900"/>
      <c r="E69" s="900"/>
      <c r="F69" s="900"/>
      <c r="G69" s="900"/>
      <c r="H69" s="900"/>
      <c r="I69" s="905"/>
      <c r="J69" s="905"/>
      <c r="K69" s="906"/>
      <c r="L69" s="900"/>
      <c r="M69" s="900"/>
      <c r="N69" s="900"/>
      <c r="O69" s="900"/>
      <c r="P69" s="900"/>
      <c r="Q69" s="900"/>
      <c r="R69" s="900"/>
      <c r="S69" s="900"/>
      <c r="T69" s="900"/>
      <c r="U69" s="900"/>
      <c r="V69" s="900"/>
      <c r="W69" s="900"/>
      <c r="X69" s="900"/>
      <c r="Y69" s="900"/>
      <c r="Z69" s="900"/>
      <c r="AA69" s="900"/>
      <c r="AB69" s="900"/>
    </row>
    <row r="70">
      <c r="A70" s="900"/>
      <c r="B70" s="900"/>
      <c r="C70" s="900"/>
      <c r="D70" s="900"/>
      <c r="E70" s="900"/>
      <c r="F70" s="900"/>
      <c r="G70" s="900"/>
      <c r="H70" s="900"/>
      <c r="I70" s="905"/>
      <c r="J70" s="905"/>
      <c r="K70" s="906"/>
      <c r="L70" s="900"/>
      <c r="M70" s="900"/>
      <c r="N70" s="900"/>
      <c r="O70" s="900"/>
      <c r="P70" s="900"/>
      <c r="Q70" s="900"/>
      <c r="R70" s="900"/>
      <c r="S70" s="900"/>
      <c r="T70" s="900"/>
      <c r="U70" s="900"/>
      <c r="V70" s="900"/>
      <c r="W70" s="900"/>
      <c r="X70" s="900"/>
      <c r="Y70" s="900"/>
      <c r="Z70" s="900"/>
      <c r="AA70" s="900"/>
      <c r="AB70" s="900"/>
    </row>
    <row r="71">
      <c r="A71" s="900"/>
      <c r="B71" s="900"/>
      <c r="C71" s="900"/>
      <c r="D71" s="900"/>
      <c r="E71" s="900"/>
      <c r="F71" s="900"/>
      <c r="G71" s="900"/>
      <c r="H71" s="900"/>
      <c r="I71" s="905"/>
      <c r="J71" s="905"/>
      <c r="K71" s="906"/>
      <c r="L71" s="900"/>
      <c r="M71" s="900"/>
      <c r="N71" s="900"/>
      <c r="O71" s="900"/>
      <c r="P71" s="900"/>
      <c r="Q71" s="900"/>
      <c r="R71" s="900"/>
      <c r="S71" s="900"/>
      <c r="T71" s="900"/>
      <c r="U71" s="900"/>
      <c r="V71" s="900"/>
      <c r="W71" s="900"/>
      <c r="X71" s="900"/>
      <c r="Y71" s="900"/>
      <c r="Z71" s="900"/>
      <c r="AA71" s="900"/>
      <c r="AB71" s="900"/>
    </row>
    <row r="72">
      <c r="A72" s="900"/>
      <c r="B72" s="900"/>
      <c r="C72" s="900"/>
      <c r="D72" s="900"/>
      <c r="E72" s="900"/>
      <c r="F72" s="900"/>
      <c r="G72" s="900"/>
      <c r="H72" s="900"/>
      <c r="I72" s="905"/>
      <c r="J72" s="905"/>
      <c r="K72" s="906"/>
      <c r="L72" s="900"/>
      <c r="M72" s="900"/>
      <c r="N72" s="900"/>
      <c r="O72" s="900"/>
      <c r="P72" s="900"/>
      <c r="Q72" s="900"/>
      <c r="R72" s="900"/>
      <c r="S72" s="900"/>
      <c r="T72" s="900"/>
      <c r="U72" s="900"/>
      <c r="V72" s="900"/>
      <c r="W72" s="900"/>
      <c r="X72" s="900"/>
      <c r="Y72" s="900"/>
      <c r="Z72" s="900"/>
      <c r="AA72" s="900"/>
      <c r="AB72" s="900"/>
    </row>
    <row r="73">
      <c r="A73" s="900"/>
      <c r="B73" s="900"/>
      <c r="C73" s="900"/>
      <c r="D73" s="900"/>
      <c r="E73" s="900"/>
      <c r="F73" s="900"/>
      <c r="G73" s="900"/>
      <c r="H73" s="900"/>
      <c r="I73" s="905"/>
      <c r="J73" s="905"/>
      <c r="K73" s="906"/>
      <c r="L73" s="900"/>
      <c r="M73" s="900"/>
      <c r="N73" s="900"/>
      <c r="O73" s="900"/>
      <c r="P73" s="900"/>
      <c r="Q73" s="900"/>
      <c r="R73" s="900"/>
      <c r="S73" s="900"/>
      <c r="T73" s="900"/>
      <c r="U73" s="900"/>
      <c r="V73" s="900"/>
      <c r="W73" s="900"/>
      <c r="X73" s="900"/>
      <c r="Y73" s="900"/>
      <c r="Z73" s="900"/>
      <c r="AA73" s="900"/>
      <c r="AB73" s="900"/>
    </row>
    <row r="74">
      <c r="A74" s="900"/>
      <c r="B74" s="900"/>
      <c r="C74" s="900"/>
      <c r="D74" s="900"/>
      <c r="E74" s="900"/>
      <c r="F74" s="900"/>
      <c r="G74" s="900"/>
      <c r="H74" s="900"/>
      <c r="I74" s="905"/>
      <c r="J74" s="905"/>
      <c r="K74" s="906"/>
      <c r="L74" s="900"/>
      <c r="M74" s="900"/>
      <c r="N74" s="900"/>
      <c r="O74" s="900"/>
      <c r="P74" s="900"/>
      <c r="Q74" s="900"/>
      <c r="R74" s="900"/>
      <c r="S74" s="900"/>
      <c r="T74" s="900"/>
      <c r="U74" s="900"/>
      <c r="V74" s="900"/>
      <c r="W74" s="900"/>
      <c r="X74" s="900"/>
      <c r="Y74" s="900"/>
      <c r="Z74" s="900"/>
      <c r="AA74" s="900"/>
      <c r="AB74" s="900"/>
    </row>
    <row r="75">
      <c r="A75" s="900"/>
      <c r="B75" s="900"/>
      <c r="C75" s="900"/>
      <c r="D75" s="900"/>
      <c r="E75" s="900"/>
      <c r="F75" s="900"/>
      <c r="G75" s="900"/>
      <c r="H75" s="900"/>
      <c r="I75" s="905"/>
      <c r="J75" s="905"/>
      <c r="K75" s="906"/>
      <c r="L75" s="900"/>
      <c r="M75" s="900"/>
      <c r="N75" s="900"/>
      <c r="O75" s="900"/>
      <c r="P75" s="900"/>
      <c r="Q75" s="900"/>
      <c r="R75" s="900"/>
      <c r="S75" s="900"/>
      <c r="T75" s="900"/>
      <c r="U75" s="900"/>
      <c r="V75" s="900"/>
      <c r="W75" s="900"/>
      <c r="X75" s="900"/>
      <c r="Y75" s="900"/>
      <c r="Z75" s="900"/>
      <c r="AA75" s="900"/>
      <c r="AB75" s="900"/>
    </row>
    <row r="76">
      <c r="A76" s="900"/>
      <c r="B76" s="900"/>
      <c r="C76" s="900"/>
      <c r="D76" s="900"/>
      <c r="E76" s="900"/>
      <c r="F76" s="900"/>
      <c r="G76" s="900"/>
      <c r="H76" s="900"/>
      <c r="I76" s="905"/>
      <c r="J76" s="905"/>
      <c r="K76" s="906"/>
      <c r="L76" s="900"/>
      <c r="M76" s="900"/>
      <c r="N76" s="900"/>
      <c r="O76" s="900"/>
      <c r="P76" s="900"/>
      <c r="Q76" s="900"/>
      <c r="R76" s="900"/>
      <c r="S76" s="900"/>
      <c r="T76" s="900"/>
      <c r="U76" s="900"/>
      <c r="V76" s="900"/>
      <c r="W76" s="900"/>
      <c r="X76" s="900"/>
      <c r="Y76" s="900"/>
      <c r="Z76" s="900"/>
      <c r="AA76" s="900"/>
      <c r="AB76" s="900"/>
    </row>
    <row r="77">
      <c r="A77" s="900"/>
      <c r="B77" s="900"/>
      <c r="C77" s="900"/>
      <c r="D77" s="900"/>
      <c r="E77" s="900"/>
      <c r="F77" s="900"/>
      <c r="G77" s="900"/>
      <c r="H77" s="900"/>
      <c r="I77" s="905"/>
      <c r="J77" s="905"/>
      <c r="K77" s="906"/>
      <c r="L77" s="900"/>
      <c r="M77" s="900"/>
      <c r="N77" s="900"/>
      <c r="O77" s="900"/>
      <c r="P77" s="900"/>
      <c r="Q77" s="900"/>
      <c r="R77" s="900"/>
      <c r="S77" s="900"/>
      <c r="T77" s="900"/>
      <c r="U77" s="900"/>
      <c r="V77" s="900"/>
      <c r="W77" s="900"/>
      <c r="X77" s="900"/>
      <c r="Y77" s="900"/>
      <c r="Z77" s="900"/>
      <c r="AA77" s="900"/>
      <c r="AB77" s="900"/>
    </row>
    <row r="78">
      <c r="A78" s="900"/>
      <c r="B78" s="900"/>
      <c r="C78" s="900"/>
      <c r="D78" s="900"/>
      <c r="E78" s="900"/>
      <c r="F78" s="900"/>
      <c r="G78" s="900"/>
      <c r="H78" s="900"/>
      <c r="I78" s="905"/>
      <c r="J78" s="905"/>
      <c r="K78" s="906"/>
      <c r="L78" s="900"/>
      <c r="M78" s="900"/>
      <c r="N78" s="900"/>
      <c r="O78" s="900"/>
      <c r="P78" s="900"/>
      <c r="Q78" s="900"/>
      <c r="R78" s="900"/>
      <c r="S78" s="900"/>
      <c r="T78" s="900"/>
      <c r="U78" s="900"/>
      <c r="V78" s="900"/>
      <c r="W78" s="900"/>
      <c r="X78" s="900"/>
      <c r="Y78" s="900"/>
      <c r="Z78" s="900"/>
      <c r="AA78" s="900"/>
      <c r="AB78" s="900"/>
    </row>
    <row r="79">
      <c r="A79" s="900"/>
      <c r="B79" s="900"/>
      <c r="C79" s="900"/>
      <c r="D79" s="900"/>
      <c r="E79" s="900"/>
      <c r="F79" s="900"/>
      <c r="G79" s="900"/>
      <c r="H79" s="900"/>
      <c r="I79" s="905"/>
      <c r="J79" s="905"/>
      <c r="K79" s="906"/>
      <c r="L79" s="900"/>
      <c r="M79" s="900"/>
      <c r="N79" s="900"/>
      <c r="O79" s="900"/>
      <c r="P79" s="900"/>
      <c r="Q79" s="900"/>
      <c r="R79" s="900"/>
      <c r="S79" s="900"/>
      <c r="T79" s="900"/>
      <c r="U79" s="900"/>
      <c r="V79" s="900"/>
      <c r="W79" s="900"/>
      <c r="X79" s="900"/>
      <c r="Y79" s="900"/>
      <c r="Z79" s="900"/>
      <c r="AA79" s="900"/>
      <c r="AB79" s="900"/>
    </row>
    <row r="80">
      <c r="A80" s="900"/>
      <c r="B80" s="900"/>
      <c r="C80" s="900"/>
      <c r="D80" s="900"/>
      <c r="E80" s="900"/>
      <c r="F80" s="900"/>
      <c r="G80" s="900"/>
      <c r="H80" s="900"/>
      <c r="I80" s="905"/>
      <c r="J80" s="905"/>
      <c r="K80" s="906"/>
      <c r="L80" s="900"/>
      <c r="M80" s="900"/>
      <c r="N80" s="900"/>
      <c r="O80" s="900"/>
      <c r="P80" s="900"/>
      <c r="Q80" s="900"/>
      <c r="R80" s="900"/>
      <c r="S80" s="900"/>
      <c r="T80" s="900"/>
      <c r="U80" s="900"/>
      <c r="V80" s="900"/>
      <c r="W80" s="900"/>
      <c r="X80" s="900"/>
      <c r="Y80" s="900"/>
      <c r="Z80" s="900"/>
      <c r="AA80" s="900"/>
      <c r="AB80" s="900"/>
    </row>
    <row r="81">
      <c r="A81" s="900"/>
      <c r="B81" s="900"/>
      <c r="C81" s="900"/>
      <c r="D81" s="900"/>
      <c r="E81" s="900"/>
      <c r="F81" s="900"/>
      <c r="G81" s="900"/>
      <c r="H81" s="900"/>
      <c r="I81" s="905"/>
      <c r="J81" s="905"/>
      <c r="K81" s="906"/>
      <c r="L81" s="900"/>
      <c r="M81" s="900"/>
      <c r="N81" s="900"/>
      <c r="O81" s="900"/>
      <c r="P81" s="900"/>
      <c r="Q81" s="900"/>
      <c r="R81" s="900"/>
      <c r="S81" s="900"/>
      <c r="T81" s="900"/>
      <c r="U81" s="900"/>
      <c r="V81" s="900"/>
      <c r="W81" s="900"/>
      <c r="X81" s="900"/>
      <c r="Y81" s="900"/>
      <c r="Z81" s="900"/>
      <c r="AA81" s="900"/>
      <c r="AB81" s="900"/>
    </row>
    <row r="82">
      <c r="A82" s="900"/>
      <c r="B82" s="900"/>
      <c r="C82" s="900"/>
      <c r="D82" s="900"/>
      <c r="E82" s="900"/>
      <c r="F82" s="900"/>
      <c r="G82" s="900"/>
      <c r="H82" s="900"/>
      <c r="I82" s="905"/>
      <c r="J82" s="905"/>
      <c r="K82" s="906"/>
      <c r="L82" s="900"/>
      <c r="M82" s="900"/>
      <c r="N82" s="900"/>
      <c r="O82" s="900"/>
      <c r="P82" s="900"/>
      <c r="Q82" s="900"/>
      <c r="R82" s="900"/>
      <c r="S82" s="900"/>
      <c r="T82" s="900"/>
      <c r="U82" s="900"/>
      <c r="V82" s="900"/>
      <c r="W82" s="900"/>
      <c r="X82" s="900"/>
      <c r="Y82" s="900"/>
      <c r="Z82" s="900"/>
      <c r="AA82" s="900"/>
      <c r="AB82" s="900"/>
    </row>
    <row r="83">
      <c r="A83" s="900"/>
      <c r="B83" s="900"/>
      <c r="C83" s="900"/>
      <c r="D83" s="900"/>
      <c r="E83" s="900"/>
      <c r="F83" s="900"/>
      <c r="G83" s="900"/>
      <c r="H83" s="900"/>
      <c r="I83" s="905"/>
      <c r="J83" s="905"/>
      <c r="K83" s="906"/>
      <c r="L83" s="900"/>
      <c r="M83" s="900"/>
      <c r="N83" s="900"/>
      <c r="O83" s="900"/>
      <c r="P83" s="900"/>
      <c r="Q83" s="900"/>
      <c r="R83" s="900"/>
      <c r="S83" s="900"/>
      <c r="T83" s="900"/>
      <c r="U83" s="900"/>
      <c r="V83" s="900"/>
      <c r="W83" s="900"/>
      <c r="X83" s="900"/>
      <c r="Y83" s="900"/>
      <c r="Z83" s="900"/>
      <c r="AA83" s="900"/>
      <c r="AB83" s="900"/>
    </row>
    <row r="84">
      <c r="A84" s="900"/>
      <c r="B84" s="900"/>
      <c r="C84" s="900"/>
      <c r="D84" s="900"/>
      <c r="E84" s="900"/>
      <c r="F84" s="900"/>
      <c r="G84" s="900"/>
      <c r="H84" s="900"/>
      <c r="I84" s="905"/>
      <c r="J84" s="905"/>
      <c r="K84" s="906"/>
      <c r="L84" s="900"/>
      <c r="M84" s="900"/>
      <c r="N84" s="900"/>
      <c r="O84" s="900"/>
      <c r="P84" s="900"/>
      <c r="Q84" s="900"/>
      <c r="R84" s="900"/>
      <c r="S84" s="900"/>
      <c r="T84" s="900"/>
      <c r="U84" s="900"/>
      <c r="V84" s="900"/>
      <c r="W84" s="900"/>
      <c r="X84" s="900"/>
      <c r="Y84" s="900"/>
      <c r="Z84" s="900"/>
      <c r="AA84" s="900"/>
      <c r="AB84" s="900"/>
    </row>
    <row r="85">
      <c r="A85" s="900"/>
      <c r="B85" s="900"/>
      <c r="C85" s="900"/>
      <c r="D85" s="900"/>
      <c r="E85" s="900"/>
      <c r="F85" s="900"/>
      <c r="G85" s="900"/>
      <c r="H85" s="900"/>
      <c r="I85" s="905"/>
      <c r="J85" s="905"/>
      <c r="K85" s="906"/>
      <c r="L85" s="900"/>
      <c r="M85" s="900"/>
      <c r="N85" s="900"/>
      <c r="O85" s="900"/>
      <c r="P85" s="900"/>
      <c r="Q85" s="900"/>
      <c r="R85" s="900"/>
      <c r="S85" s="900"/>
      <c r="T85" s="900"/>
      <c r="U85" s="900"/>
      <c r="V85" s="900"/>
      <c r="W85" s="900"/>
      <c r="X85" s="900"/>
      <c r="Y85" s="900"/>
      <c r="Z85" s="900"/>
      <c r="AA85" s="900"/>
      <c r="AB85" s="900"/>
    </row>
    <row r="86">
      <c r="A86" s="900"/>
      <c r="B86" s="900"/>
      <c r="C86" s="900"/>
      <c r="D86" s="900"/>
      <c r="E86" s="900"/>
      <c r="F86" s="900"/>
      <c r="G86" s="900"/>
      <c r="H86" s="900"/>
      <c r="I86" s="905"/>
      <c r="J86" s="905"/>
      <c r="K86" s="906"/>
      <c r="L86" s="900"/>
      <c r="M86" s="900"/>
      <c r="N86" s="900"/>
      <c r="O86" s="900"/>
      <c r="P86" s="900"/>
      <c r="Q86" s="900"/>
      <c r="R86" s="900"/>
      <c r="S86" s="900"/>
      <c r="T86" s="900"/>
      <c r="U86" s="900"/>
      <c r="V86" s="900"/>
      <c r="W86" s="900"/>
      <c r="X86" s="900"/>
      <c r="Y86" s="900"/>
      <c r="Z86" s="900"/>
      <c r="AA86" s="900"/>
      <c r="AB86" s="900"/>
    </row>
    <row r="87">
      <c r="A87" s="900"/>
      <c r="B87" s="900"/>
      <c r="C87" s="900"/>
      <c r="D87" s="900"/>
      <c r="E87" s="900"/>
      <c r="F87" s="900"/>
      <c r="G87" s="900"/>
      <c r="H87" s="900"/>
      <c r="I87" s="905"/>
      <c r="J87" s="905"/>
      <c r="K87" s="906"/>
      <c r="L87" s="900"/>
      <c r="M87" s="900"/>
      <c r="N87" s="900"/>
      <c r="O87" s="900"/>
      <c r="P87" s="900"/>
      <c r="Q87" s="900"/>
      <c r="R87" s="900"/>
      <c r="S87" s="900"/>
      <c r="T87" s="900"/>
      <c r="U87" s="900"/>
      <c r="V87" s="900"/>
      <c r="W87" s="900"/>
      <c r="X87" s="900"/>
      <c r="Y87" s="900"/>
      <c r="Z87" s="900"/>
      <c r="AA87" s="900"/>
      <c r="AB87" s="900"/>
    </row>
    <row r="88">
      <c r="A88" s="900"/>
      <c r="B88" s="900"/>
      <c r="C88" s="900"/>
      <c r="D88" s="900"/>
      <c r="E88" s="900"/>
      <c r="F88" s="900"/>
      <c r="G88" s="900"/>
      <c r="H88" s="900"/>
      <c r="I88" s="905"/>
      <c r="J88" s="905"/>
      <c r="K88" s="906"/>
      <c r="L88" s="900"/>
      <c r="M88" s="900"/>
      <c r="N88" s="900"/>
      <c r="O88" s="900"/>
      <c r="P88" s="900"/>
      <c r="Q88" s="900"/>
      <c r="R88" s="900"/>
      <c r="S88" s="900"/>
      <c r="T88" s="900"/>
      <c r="U88" s="900"/>
      <c r="V88" s="900"/>
      <c r="W88" s="900"/>
      <c r="X88" s="900"/>
      <c r="Y88" s="900"/>
      <c r="Z88" s="900"/>
      <c r="AA88" s="900"/>
      <c r="AB88" s="900"/>
    </row>
    <row r="89">
      <c r="A89" s="900"/>
      <c r="B89" s="900"/>
      <c r="C89" s="900"/>
      <c r="D89" s="900"/>
      <c r="E89" s="900"/>
      <c r="F89" s="900"/>
      <c r="G89" s="900"/>
      <c r="H89" s="900"/>
      <c r="I89" s="905"/>
      <c r="J89" s="905"/>
      <c r="K89" s="906"/>
      <c r="L89" s="900"/>
      <c r="M89" s="900"/>
      <c r="N89" s="900"/>
      <c r="O89" s="900"/>
      <c r="P89" s="900"/>
      <c r="Q89" s="900"/>
      <c r="R89" s="900"/>
      <c r="S89" s="900"/>
      <c r="T89" s="900"/>
      <c r="U89" s="900"/>
      <c r="V89" s="900"/>
      <c r="W89" s="900"/>
      <c r="X89" s="900"/>
      <c r="Y89" s="900"/>
      <c r="Z89" s="900"/>
      <c r="AA89" s="900"/>
      <c r="AB89" s="900"/>
    </row>
    <row r="90">
      <c r="A90" s="900"/>
      <c r="B90" s="900"/>
      <c r="C90" s="900"/>
      <c r="D90" s="900"/>
      <c r="E90" s="900"/>
      <c r="F90" s="900"/>
      <c r="G90" s="900"/>
      <c r="H90" s="900"/>
      <c r="I90" s="905"/>
      <c r="J90" s="905"/>
      <c r="K90" s="906"/>
      <c r="L90" s="900"/>
      <c r="M90" s="900"/>
      <c r="N90" s="900"/>
      <c r="O90" s="900"/>
      <c r="P90" s="900"/>
      <c r="Q90" s="900"/>
      <c r="R90" s="900"/>
      <c r="S90" s="900"/>
      <c r="T90" s="900"/>
      <c r="U90" s="900"/>
      <c r="V90" s="900"/>
      <c r="W90" s="900"/>
      <c r="X90" s="900"/>
      <c r="Y90" s="900"/>
      <c r="Z90" s="900"/>
      <c r="AA90" s="900"/>
      <c r="AB90" s="900"/>
    </row>
    <row r="91">
      <c r="A91" s="900"/>
      <c r="B91" s="900"/>
      <c r="C91" s="900"/>
      <c r="D91" s="900"/>
      <c r="E91" s="900"/>
      <c r="F91" s="900"/>
      <c r="G91" s="900"/>
      <c r="H91" s="900"/>
      <c r="I91" s="905"/>
      <c r="J91" s="905"/>
      <c r="K91" s="906"/>
      <c r="L91" s="900"/>
      <c r="M91" s="900"/>
      <c r="N91" s="900"/>
      <c r="O91" s="900"/>
      <c r="P91" s="900"/>
      <c r="Q91" s="900"/>
      <c r="R91" s="900"/>
      <c r="S91" s="900"/>
      <c r="T91" s="900"/>
      <c r="U91" s="900"/>
      <c r="V91" s="900"/>
      <c r="W91" s="900"/>
      <c r="X91" s="900"/>
      <c r="Y91" s="900"/>
      <c r="Z91" s="900"/>
      <c r="AA91" s="900"/>
      <c r="AB91" s="900"/>
    </row>
    <row r="92">
      <c r="A92" s="900"/>
      <c r="B92" s="900"/>
      <c r="C92" s="900"/>
      <c r="D92" s="900"/>
      <c r="E92" s="900"/>
      <c r="F92" s="900"/>
      <c r="G92" s="900"/>
      <c r="H92" s="900"/>
      <c r="I92" s="905"/>
      <c r="J92" s="905"/>
      <c r="K92" s="906"/>
      <c r="L92" s="900"/>
      <c r="M92" s="900"/>
      <c r="N92" s="900"/>
      <c r="O92" s="900"/>
      <c r="P92" s="900"/>
      <c r="Q92" s="900"/>
      <c r="R92" s="900"/>
      <c r="S92" s="900"/>
      <c r="T92" s="900"/>
      <c r="U92" s="900"/>
      <c r="V92" s="900"/>
      <c r="W92" s="900"/>
      <c r="X92" s="900"/>
      <c r="Y92" s="900"/>
      <c r="Z92" s="900"/>
      <c r="AA92" s="900"/>
      <c r="AB92" s="900"/>
    </row>
    <row r="93">
      <c r="A93" s="900"/>
      <c r="B93" s="900"/>
      <c r="C93" s="900"/>
      <c r="D93" s="900"/>
      <c r="E93" s="900"/>
      <c r="F93" s="900"/>
      <c r="G93" s="900"/>
      <c r="H93" s="900"/>
      <c r="I93" s="905"/>
      <c r="J93" s="905"/>
      <c r="K93" s="906"/>
      <c r="L93" s="900"/>
      <c r="M93" s="900"/>
      <c r="N93" s="900"/>
      <c r="O93" s="900"/>
      <c r="P93" s="900"/>
      <c r="Q93" s="900"/>
      <c r="R93" s="900"/>
      <c r="S93" s="900"/>
      <c r="T93" s="900"/>
      <c r="U93" s="900"/>
      <c r="V93" s="900"/>
      <c r="W93" s="900"/>
      <c r="X93" s="900"/>
      <c r="Y93" s="900"/>
      <c r="Z93" s="900"/>
      <c r="AA93" s="900"/>
      <c r="AB93" s="900"/>
    </row>
    <row r="94">
      <c r="A94" s="900"/>
      <c r="B94" s="900"/>
      <c r="C94" s="900"/>
      <c r="D94" s="900"/>
      <c r="E94" s="900"/>
      <c r="F94" s="900"/>
      <c r="G94" s="900"/>
      <c r="H94" s="900"/>
      <c r="I94" s="905"/>
      <c r="J94" s="905"/>
      <c r="K94" s="906"/>
      <c r="L94" s="900"/>
      <c r="M94" s="900"/>
      <c r="N94" s="900"/>
      <c r="O94" s="900"/>
      <c r="P94" s="900"/>
      <c r="Q94" s="900"/>
      <c r="R94" s="900"/>
      <c r="S94" s="900"/>
      <c r="T94" s="900"/>
      <c r="U94" s="900"/>
      <c r="V94" s="900"/>
      <c r="W94" s="900"/>
      <c r="X94" s="900"/>
      <c r="Y94" s="900"/>
      <c r="Z94" s="900"/>
      <c r="AA94" s="900"/>
      <c r="AB94" s="900"/>
    </row>
    <row r="95">
      <c r="A95" s="900"/>
      <c r="B95" s="900"/>
      <c r="C95" s="900"/>
      <c r="D95" s="900"/>
      <c r="E95" s="900"/>
      <c r="F95" s="900"/>
      <c r="G95" s="900"/>
      <c r="H95" s="900"/>
      <c r="I95" s="905"/>
      <c r="J95" s="905"/>
      <c r="K95" s="906"/>
      <c r="L95" s="900"/>
      <c r="M95" s="900"/>
      <c r="N95" s="900"/>
      <c r="O95" s="900"/>
      <c r="P95" s="900"/>
      <c r="Q95" s="900"/>
      <c r="R95" s="900"/>
      <c r="S95" s="900"/>
      <c r="T95" s="900"/>
      <c r="U95" s="900"/>
      <c r="V95" s="900"/>
      <c r="W95" s="900"/>
      <c r="X95" s="900"/>
      <c r="Y95" s="900"/>
      <c r="Z95" s="900"/>
      <c r="AA95" s="900"/>
      <c r="AB95" s="900"/>
    </row>
    <row r="96">
      <c r="A96" s="900"/>
      <c r="B96" s="900"/>
      <c r="C96" s="900"/>
      <c r="D96" s="900"/>
      <c r="E96" s="900"/>
      <c r="F96" s="900"/>
      <c r="G96" s="900"/>
      <c r="H96" s="900"/>
      <c r="I96" s="905"/>
      <c r="J96" s="905"/>
      <c r="K96" s="906"/>
      <c r="L96" s="900"/>
      <c r="M96" s="900"/>
      <c r="N96" s="900"/>
      <c r="O96" s="900"/>
      <c r="P96" s="900"/>
      <c r="Q96" s="900"/>
      <c r="R96" s="900"/>
      <c r="S96" s="900"/>
      <c r="T96" s="900"/>
      <c r="U96" s="900"/>
      <c r="V96" s="900"/>
      <c r="W96" s="900"/>
      <c r="X96" s="900"/>
      <c r="Y96" s="900"/>
      <c r="Z96" s="900"/>
      <c r="AA96" s="900"/>
      <c r="AB96" s="900"/>
    </row>
    <row r="97">
      <c r="A97" s="900"/>
      <c r="B97" s="900"/>
      <c r="C97" s="900"/>
      <c r="D97" s="900"/>
      <c r="E97" s="900"/>
      <c r="F97" s="900"/>
      <c r="G97" s="900"/>
      <c r="H97" s="900"/>
      <c r="I97" s="905"/>
      <c r="J97" s="905"/>
      <c r="K97" s="906"/>
      <c r="L97" s="900"/>
      <c r="M97" s="900"/>
      <c r="N97" s="900"/>
      <c r="O97" s="900"/>
      <c r="P97" s="900"/>
      <c r="Q97" s="900"/>
      <c r="R97" s="900"/>
      <c r="S97" s="900"/>
      <c r="T97" s="900"/>
      <c r="U97" s="900"/>
      <c r="V97" s="900"/>
      <c r="W97" s="900"/>
      <c r="X97" s="900"/>
      <c r="Y97" s="900"/>
      <c r="Z97" s="900"/>
      <c r="AA97" s="900"/>
      <c r="AB97" s="900"/>
    </row>
    <row r="98">
      <c r="A98" s="900"/>
      <c r="B98" s="900"/>
      <c r="C98" s="900"/>
      <c r="D98" s="900"/>
      <c r="E98" s="900"/>
      <c r="F98" s="900"/>
      <c r="G98" s="900"/>
      <c r="H98" s="900"/>
      <c r="I98" s="905"/>
      <c r="J98" s="905"/>
      <c r="K98" s="906"/>
      <c r="L98" s="900"/>
      <c r="M98" s="900"/>
      <c r="N98" s="900"/>
      <c r="O98" s="900"/>
      <c r="P98" s="900"/>
      <c r="Q98" s="900"/>
      <c r="R98" s="900"/>
      <c r="S98" s="900"/>
      <c r="T98" s="900"/>
      <c r="U98" s="900"/>
      <c r="V98" s="900"/>
      <c r="W98" s="900"/>
      <c r="X98" s="900"/>
      <c r="Y98" s="900"/>
      <c r="Z98" s="900"/>
      <c r="AA98" s="900"/>
      <c r="AB98" s="900"/>
    </row>
    <row r="99">
      <c r="A99" s="900"/>
      <c r="B99" s="900"/>
      <c r="C99" s="900"/>
      <c r="D99" s="900"/>
      <c r="E99" s="900"/>
      <c r="F99" s="900"/>
      <c r="G99" s="900"/>
      <c r="H99" s="900"/>
      <c r="I99" s="905"/>
      <c r="J99" s="905"/>
      <c r="K99" s="906"/>
      <c r="L99" s="900"/>
      <c r="M99" s="900"/>
      <c r="N99" s="900"/>
      <c r="O99" s="900"/>
      <c r="P99" s="900"/>
      <c r="Q99" s="900"/>
      <c r="R99" s="900"/>
      <c r="S99" s="900"/>
      <c r="T99" s="900"/>
      <c r="U99" s="900"/>
      <c r="V99" s="900"/>
      <c r="W99" s="900"/>
      <c r="X99" s="900"/>
      <c r="Y99" s="900"/>
      <c r="Z99" s="900"/>
      <c r="AA99" s="900"/>
      <c r="AB99" s="900"/>
    </row>
    <row r="100">
      <c r="A100" s="900"/>
      <c r="B100" s="900"/>
      <c r="C100" s="900"/>
      <c r="D100" s="900"/>
      <c r="E100" s="900"/>
      <c r="F100" s="900"/>
      <c r="G100" s="900"/>
      <c r="H100" s="900"/>
      <c r="I100" s="905"/>
      <c r="J100" s="905"/>
      <c r="K100" s="906"/>
      <c r="L100" s="900"/>
      <c r="M100" s="900"/>
      <c r="N100" s="900"/>
      <c r="O100" s="900"/>
      <c r="P100" s="900"/>
      <c r="Q100" s="900"/>
      <c r="R100" s="900"/>
      <c r="S100" s="900"/>
      <c r="T100" s="900"/>
      <c r="U100" s="900"/>
      <c r="V100" s="900"/>
      <c r="W100" s="900"/>
      <c r="X100" s="900"/>
      <c r="Y100" s="900"/>
      <c r="Z100" s="900"/>
      <c r="AA100" s="900"/>
      <c r="AB100" s="900"/>
    </row>
    <row r="101">
      <c r="A101" s="900"/>
      <c r="B101" s="900"/>
      <c r="C101" s="900"/>
      <c r="D101" s="900"/>
      <c r="E101" s="900"/>
      <c r="F101" s="900"/>
      <c r="G101" s="900"/>
      <c r="H101" s="900"/>
      <c r="I101" s="905"/>
      <c r="J101" s="905"/>
      <c r="K101" s="906"/>
      <c r="L101" s="900"/>
      <c r="M101" s="900"/>
      <c r="N101" s="900"/>
      <c r="O101" s="900"/>
      <c r="P101" s="900"/>
      <c r="Q101" s="900"/>
      <c r="R101" s="900"/>
      <c r="S101" s="900"/>
      <c r="T101" s="900"/>
      <c r="U101" s="900"/>
      <c r="V101" s="900"/>
      <c r="W101" s="900"/>
      <c r="X101" s="900"/>
      <c r="Y101" s="900"/>
      <c r="Z101" s="900"/>
      <c r="AA101" s="900"/>
      <c r="AB101" s="900"/>
    </row>
    <row r="102">
      <c r="A102" s="900"/>
      <c r="B102" s="900"/>
      <c r="C102" s="900"/>
      <c r="D102" s="900"/>
      <c r="E102" s="900"/>
      <c r="F102" s="900"/>
      <c r="G102" s="900"/>
      <c r="H102" s="900"/>
      <c r="I102" s="905"/>
      <c r="J102" s="905"/>
      <c r="K102" s="906"/>
      <c r="L102" s="900"/>
      <c r="M102" s="900"/>
      <c r="N102" s="900"/>
      <c r="O102" s="900"/>
      <c r="P102" s="900"/>
      <c r="Q102" s="900"/>
      <c r="R102" s="900"/>
      <c r="S102" s="900"/>
      <c r="T102" s="900"/>
      <c r="U102" s="900"/>
      <c r="V102" s="900"/>
      <c r="W102" s="900"/>
      <c r="X102" s="900"/>
      <c r="Y102" s="900"/>
      <c r="Z102" s="900"/>
      <c r="AA102" s="900"/>
      <c r="AB102" s="900"/>
    </row>
    <row r="103">
      <c r="A103" s="900"/>
      <c r="B103" s="900"/>
      <c r="C103" s="900"/>
      <c r="D103" s="900"/>
      <c r="E103" s="900"/>
      <c r="F103" s="900"/>
      <c r="G103" s="900"/>
      <c r="H103" s="900"/>
      <c r="I103" s="905"/>
      <c r="J103" s="905"/>
      <c r="K103" s="906"/>
      <c r="L103" s="900"/>
      <c r="M103" s="900"/>
      <c r="N103" s="900"/>
      <c r="O103" s="900"/>
      <c r="P103" s="900"/>
      <c r="Q103" s="900"/>
      <c r="R103" s="900"/>
      <c r="S103" s="900"/>
      <c r="T103" s="900"/>
      <c r="U103" s="900"/>
      <c r="V103" s="900"/>
      <c r="W103" s="900"/>
      <c r="X103" s="900"/>
      <c r="Y103" s="900"/>
      <c r="Z103" s="900"/>
      <c r="AA103" s="900"/>
      <c r="AB103" s="900"/>
    </row>
    <row r="104">
      <c r="A104" s="900"/>
      <c r="B104" s="900"/>
      <c r="C104" s="900"/>
      <c r="D104" s="900"/>
      <c r="E104" s="900"/>
      <c r="F104" s="900"/>
      <c r="G104" s="900"/>
      <c r="H104" s="900"/>
      <c r="I104" s="905"/>
      <c r="J104" s="905"/>
      <c r="K104" s="906"/>
      <c r="L104" s="900"/>
      <c r="M104" s="900"/>
      <c r="N104" s="900"/>
      <c r="O104" s="900"/>
      <c r="P104" s="900"/>
      <c r="Q104" s="900"/>
      <c r="R104" s="900"/>
      <c r="S104" s="900"/>
      <c r="T104" s="900"/>
      <c r="U104" s="900"/>
      <c r="V104" s="900"/>
      <c r="W104" s="900"/>
      <c r="X104" s="900"/>
      <c r="Y104" s="900"/>
      <c r="Z104" s="900"/>
      <c r="AA104" s="900"/>
      <c r="AB104" s="900"/>
    </row>
    <row r="105">
      <c r="A105" s="900"/>
      <c r="B105" s="900"/>
      <c r="C105" s="900"/>
      <c r="D105" s="900"/>
      <c r="E105" s="900"/>
      <c r="F105" s="900"/>
      <c r="G105" s="900"/>
      <c r="H105" s="900"/>
      <c r="I105" s="905"/>
      <c r="J105" s="905"/>
      <c r="K105" s="906"/>
      <c r="L105" s="900"/>
      <c r="M105" s="900"/>
      <c r="N105" s="900"/>
      <c r="O105" s="900"/>
      <c r="P105" s="900"/>
      <c r="Q105" s="900"/>
      <c r="R105" s="900"/>
      <c r="S105" s="900"/>
      <c r="T105" s="900"/>
      <c r="U105" s="900"/>
      <c r="V105" s="900"/>
      <c r="W105" s="900"/>
      <c r="X105" s="900"/>
      <c r="Y105" s="900"/>
      <c r="Z105" s="900"/>
      <c r="AA105" s="900"/>
      <c r="AB105" s="900"/>
    </row>
    <row r="106">
      <c r="A106" s="900"/>
      <c r="B106" s="900"/>
      <c r="C106" s="900"/>
      <c r="D106" s="900"/>
      <c r="E106" s="900"/>
      <c r="F106" s="900"/>
      <c r="G106" s="900"/>
      <c r="H106" s="900"/>
      <c r="I106" s="905"/>
      <c r="J106" s="905"/>
      <c r="K106" s="906"/>
      <c r="L106" s="900"/>
      <c r="M106" s="900"/>
      <c r="N106" s="900"/>
      <c r="O106" s="900"/>
      <c r="P106" s="900"/>
      <c r="Q106" s="900"/>
      <c r="R106" s="900"/>
      <c r="S106" s="900"/>
      <c r="T106" s="900"/>
      <c r="U106" s="900"/>
      <c r="V106" s="900"/>
      <c r="W106" s="900"/>
      <c r="X106" s="900"/>
      <c r="Y106" s="900"/>
      <c r="Z106" s="900"/>
      <c r="AA106" s="900"/>
      <c r="AB106" s="900"/>
    </row>
    <row r="107">
      <c r="A107" s="900"/>
      <c r="B107" s="900"/>
      <c r="C107" s="900"/>
      <c r="D107" s="900"/>
      <c r="E107" s="900"/>
      <c r="F107" s="900"/>
      <c r="G107" s="900"/>
      <c r="H107" s="900"/>
      <c r="I107" s="905"/>
      <c r="J107" s="905"/>
      <c r="K107" s="906"/>
      <c r="L107" s="900"/>
      <c r="M107" s="900"/>
      <c r="N107" s="900"/>
      <c r="O107" s="900"/>
      <c r="P107" s="900"/>
      <c r="Q107" s="900"/>
      <c r="R107" s="900"/>
      <c r="S107" s="900"/>
      <c r="T107" s="900"/>
      <c r="U107" s="900"/>
      <c r="V107" s="900"/>
      <c r="W107" s="900"/>
      <c r="X107" s="900"/>
      <c r="Y107" s="900"/>
      <c r="Z107" s="900"/>
      <c r="AA107" s="900"/>
      <c r="AB107" s="900"/>
    </row>
    <row r="108">
      <c r="A108" s="900"/>
      <c r="B108" s="900"/>
      <c r="C108" s="900"/>
      <c r="D108" s="900"/>
      <c r="E108" s="900"/>
      <c r="F108" s="900"/>
      <c r="G108" s="900"/>
      <c r="H108" s="900"/>
      <c r="I108" s="905"/>
      <c r="J108" s="905"/>
      <c r="K108" s="906"/>
      <c r="L108" s="900"/>
      <c r="M108" s="900"/>
      <c r="N108" s="900"/>
      <c r="O108" s="900"/>
      <c r="P108" s="900"/>
      <c r="Q108" s="900"/>
      <c r="R108" s="900"/>
      <c r="S108" s="900"/>
      <c r="T108" s="900"/>
      <c r="U108" s="900"/>
      <c r="V108" s="900"/>
      <c r="W108" s="900"/>
      <c r="X108" s="900"/>
      <c r="Y108" s="900"/>
      <c r="Z108" s="900"/>
      <c r="AA108" s="900"/>
      <c r="AB108" s="900"/>
    </row>
    <row r="109">
      <c r="A109" s="900"/>
      <c r="B109" s="900"/>
      <c r="C109" s="900"/>
      <c r="D109" s="900"/>
      <c r="E109" s="900"/>
      <c r="F109" s="900"/>
      <c r="G109" s="900"/>
      <c r="H109" s="900"/>
      <c r="I109" s="905"/>
      <c r="J109" s="905"/>
      <c r="K109" s="906"/>
      <c r="L109" s="900"/>
      <c r="M109" s="900"/>
      <c r="N109" s="900"/>
      <c r="O109" s="900"/>
      <c r="P109" s="900"/>
      <c r="Q109" s="900"/>
      <c r="R109" s="900"/>
      <c r="S109" s="900"/>
      <c r="T109" s="900"/>
      <c r="U109" s="900"/>
      <c r="V109" s="900"/>
      <c r="W109" s="900"/>
      <c r="X109" s="900"/>
      <c r="Y109" s="900"/>
      <c r="Z109" s="900"/>
      <c r="AA109" s="900"/>
      <c r="AB109" s="900"/>
    </row>
    <row r="110">
      <c r="A110" s="900"/>
      <c r="B110" s="900"/>
      <c r="C110" s="900"/>
      <c r="D110" s="900"/>
      <c r="E110" s="900"/>
      <c r="F110" s="900"/>
      <c r="G110" s="900"/>
      <c r="H110" s="900"/>
      <c r="I110" s="905"/>
      <c r="J110" s="905"/>
      <c r="K110" s="906"/>
      <c r="L110" s="900"/>
      <c r="M110" s="900"/>
      <c r="N110" s="900"/>
      <c r="O110" s="900"/>
      <c r="P110" s="900"/>
      <c r="Q110" s="900"/>
      <c r="R110" s="900"/>
      <c r="S110" s="900"/>
      <c r="T110" s="900"/>
      <c r="U110" s="900"/>
      <c r="V110" s="900"/>
      <c r="W110" s="900"/>
      <c r="X110" s="900"/>
      <c r="Y110" s="900"/>
      <c r="Z110" s="900"/>
      <c r="AA110" s="900"/>
      <c r="AB110" s="900"/>
    </row>
    <row r="111">
      <c r="A111" s="900"/>
      <c r="B111" s="900"/>
      <c r="C111" s="900"/>
      <c r="D111" s="900"/>
      <c r="E111" s="900"/>
      <c r="F111" s="900"/>
      <c r="G111" s="900"/>
      <c r="H111" s="900"/>
      <c r="I111" s="905"/>
      <c r="J111" s="905"/>
      <c r="K111" s="906"/>
      <c r="L111" s="900"/>
      <c r="M111" s="900"/>
      <c r="N111" s="900"/>
      <c r="O111" s="900"/>
      <c r="P111" s="900"/>
      <c r="Q111" s="900"/>
      <c r="R111" s="900"/>
      <c r="S111" s="900"/>
      <c r="T111" s="900"/>
      <c r="U111" s="900"/>
      <c r="V111" s="900"/>
      <c r="W111" s="900"/>
      <c r="X111" s="900"/>
      <c r="Y111" s="900"/>
      <c r="Z111" s="900"/>
      <c r="AA111" s="900"/>
      <c r="AB111" s="900"/>
    </row>
    <row r="112">
      <c r="A112" s="900"/>
      <c r="B112" s="900"/>
      <c r="C112" s="900"/>
      <c r="D112" s="900"/>
      <c r="E112" s="900"/>
      <c r="F112" s="900"/>
      <c r="G112" s="900"/>
      <c r="H112" s="900"/>
      <c r="I112" s="905"/>
      <c r="J112" s="905"/>
      <c r="K112" s="906"/>
      <c r="L112" s="900"/>
      <c r="M112" s="900"/>
      <c r="N112" s="900"/>
      <c r="O112" s="900"/>
      <c r="P112" s="900"/>
      <c r="Q112" s="900"/>
      <c r="R112" s="900"/>
      <c r="S112" s="900"/>
      <c r="T112" s="900"/>
      <c r="U112" s="900"/>
      <c r="V112" s="900"/>
      <c r="W112" s="900"/>
      <c r="X112" s="900"/>
      <c r="Y112" s="900"/>
      <c r="Z112" s="900"/>
      <c r="AA112" s="900"/>
      <c r="AB112" s="900"/>
    </row>
    <row r="113">
      <c r="A113" s="900"/>
      <c r="B113" s="900"/>
      <c r="C113" s="900"/>
      <c r="D113" s="900"/>
      <c r="E113" s="900"/>
      <c r="F113" s="900"/>
      <c r="G113" s="900"/>
      <c r="H113" s="900"/>
      <c r="I113" s="905"/>
      <c r="J113" s="905"/>
      <c r="K113" s="906"/>
      <c r="L113" s="900"/>
      <c r="M113" s="900"/>
      <c r="N113" s="900"/>
      <c r="O113" s="900"/>
      <c r="P113" s="900"/>
      <c r="Q113" s="900"/>
      <c r="R113" s="900"/>
      <c r="S113" s="900"/>
      <c r="T113" s="900"/>
      <c r="U113" s="900"/>
      <c r="V113" s="900"/>
      <c r="W113" s="900"/>
      <c r="X113" s="900"/>
      <c r="Y113" s="900"/>
      <c r="Z113" s="900"/>
      <c r="AA113" s="900"/>
      <c r="AB113" s="900"/>
    </row>
    <row r="114">
      <c r="A114" s="900"/>
      <c r="B114" s="900"/>
      <c r="C114" s="900"/>
      <c r="D114" s="900"/>
      <c r="E114" s="900"/>
      <c r="F114" s="900"/>
      <c r="G114" s="900"/>
      <c r="H114" s="900"/>
      <c r="I114" s="905"/>
      <c r="J114" s="905"/>
      <c r="K114" s="906"/>
      <c r="L114" s="900"/>
      <c r="M114" s="900"/>
      <c r="N114" s="900"/>
      <c r="O114" s="900"/>
      <c r="P114" s="900"/>
      <c r="Q114" s="900"/>
      <c r="R114" s="900"/>
      <c r="S114" s="900"/>
      <c r="T114" s="900"/>
      <c r="U114" s="900"/>
      <c r="V114" s="900"/>
      <c r="W114" s="900"/>
      <c r="X114" s="900"/>
      <c r="Y114" s="900"/>
      <c r="Z114" s="900"/>
      <c r="AA114" s="900"/>
      <c r="AB114" s="900"/>
    </row>
    <row r="115">
      <c r="A115" s="900"/>
      <c r="B115" s="900"/>
      <c r="C115" s="900"/>
      <c r="D115" s="900"/>
      <c r="E115" s="900"/>
      <c r="F115" s="900"/>
      <c r="G115" s="900"/>
      <c r="H115" s="900"/>
      <c r="I115" s="905"/>
      <c r="J115" s="905"/>
      <c r="K115" s="906"/>
      <c r="L115" s="900"/>
      <c r="M115" s="900"/>
      <c r="N115" s="900"/>
      <c r="O115" s="900"/>
      <c r="P115" s="900"/>
      <c r="Q115" s="900"/>
      <c r="R115" s="900"/>
      <c r="S115" s="900"/>
      <c r="T115" s="900"/>
      <c r="U115" s="900"/>
      <c r="V115" s="900"/>
      <c r="W115" s="900"/>
      <c r="X115" s="900"/>
      <c r="Y115" s="900"/>
      <c r="Z115" s="900"/>
      <c r="AA115" s="900"/>
      <c r="AB115" s="900"/>
    </row>
    <row r="116">
      <c r="A116" s="900"/>
      <c r="B116" s="900"/>
      <c r="C116" s="900"/>
      <c r="D116" s="900"/>
      <c r="E116" s="900"/>
      <c r="F116" s="900"/>
      <c r="G116" s="900"/>
      <c r="H116" s="900"/>
      <c r="I116" s="905"/>
      <c r="J116" s="905"/>
      <c r="K116" s="906"/>
      <c r="L116" s="900"/>
      <c r="M116" s="900"/>
      <c r="N116" s="900"/>
      <c r="O116" s="900"/>
      <c r="P116" s="900"/>
      <c r="Q116" s="900"/>
      <c r="R116" s="900"/>
      <c r="S116" s="900"/>
      <c r="T116" s="900"/>
      <c r="U116" s="900"/>
      <c r="V116" s="900"/>
      <c r="W116" s="900"/>
      <c r="X116" s="900"/>
      <c r="Y116" s="900"/>
      <c r="Z116" s="900"/>
      <c r="AA116" s="900"/>
      <c r="AB116" s="900"/>
    </row>
    <row r="117">
      <c r="A117" s="900"/>
      <c r="B117" s="900"/>
      <c r="C117" s="900"/>
      <c r="D117" s="900"/>
      <c r="E117" s="900"/>
      <c r="F117" s="900"/>
      <c r="G117" s="900"/>
      <c r="H117" s="900"/>
      <c r="I117" s="905"/>
      <c r="J117" s="905"/>
      <c r="K117" s="906"/>
      <c r="L117" s="900"/>
      <c r="M117" s="900"/>
      <c r="N117" s="900"/>
      <c r="O117" s="900"/>
      <c r="P117" s="900"/>
      <c r="Q117" s="900"/>
      <c r="R117" s="900"/>
      <c r="S117" s="900"/>
      <c r="T117" s="900"/>
      <c r="U117" s="900"/>
      <c r="V117" s="900"/>
      <c r="W117" s="900"/>
      <c r="X117" s="900"/>
      <c r="Y117" s="900"/>
      <c r="Z117" s="900"/>
      <c r="AA117" s="900"/>
      <c r="AB117" s="900"/>
    </row>
    <row r="118">
      <c r="A118" s="900"/>
      <c r="B118" s="900"/>
      <c r="C118" s="900"/>
      <c r="D118" s="900"/>
      <c r="E118" s="900"/>
      <c r="F118" s="900"/>
      <c r="G118" s="900"/>
      <c r="H118" s="900"/>
      <c r="I118" s="905"/>
      <c r="J118" s="905"/>
      <c r="K118" s="906"/>
      <c r="L118" s="900"/>
      <c r="M118" s="900"/>
      <c r="N118" s="900"/>
      <c r="O118" s="900"/>
      <c r="P118" s="900"/>
      <c r="Q118" s="900"/>
      <c r="R118" s="900"/>
      <c r="S118" s="900"/>
      <c r="T118" s="900"/>
      <c r="U118" s="900"/>
      <c r="V118" s="900"/>
      <c r="W118" s="900"/>
      <c r="X118" s="900"/>
      <c r="Y118" s="900"/>
      <c r="Z118" s="900"/>
      <c r="AA118" s="900"/>
      <c r="AB118" s="900"/>
    </row>
    <row r="119">
      <c r="A119" s="900"/>
      <c r="B119" s="900"/>
      <c r="C119" s="900"/>
      <c r="D119" s="900"/>
      <c r="E119" s="900"/>
      <c r="F119" s="900"/>
      <c r="G119" s="900"/>
      <c r="H119" s="900"/>
      <c r="I119" s="905"/>
      <c r="J119" s="905"/>
      <c r="K119" s="906"/>
      <c r="L119" s="900"/>
      <c r="M119" s="900"/>
      <c r="N119" s="900"/>
      <c r="O119" s="900"/>
      <c r="P119" s="900"/>
      <c r="Q119" s="900"/>
      <c r="R119" s="900"/>
      <c r="S119" s="900"/>
      <c r="T119" s="900"/>
      <c r="U119" s="900"/>
      <c r="V119" s="900"/>
      <c r="W119" s="900"/>
      <c r="X119" s="900"/>
      <c r="Y119" s="900"/>
      <c r="Z119" s="900"/>
      <c r="AA119" s="900"/>
      <c r="AB119" s="900"/>
    </row>
    <row r="120">
      <c r="A120" s="900"/>
      <c r="B120" s="900"/>
      <c r="C120" s="900"/>
      <c r="D120" s="900"/>
      <c r="E120" s="900"/>
      <c r="F120" s="900"/>
      <c r="G120" s="900"/>
      <c r="H120" s="900"/>
      <c r="I120" s="905"/>
      <c r="J120" s="905"/>
      <c r="K120" s="906"/>
      <c r="L120" s="900"/>
      <c r="M120" s="900"/>
      <c r="N120" s="900"/>
      <c r="O120" s="900"/>
      <c r="P120" s="900"/>
      <c r="Q120" s="900"/>
      <c r="R120" s="900"/>
      <c r="S120" s="900"/>
      <c r="T120" s="900"/>
      <c r="U120" s="900"/>
      <c r="V120" s="900"/>
      <c r="W120" s="900"/>
      <c r="X120" s="900"/>
      <c r="Y120" s="900"/>
      <c r="Z120" s="900"/>
      <c r="AA120" s="900"/>
      <c r="AB120" s="900"/>
    </row>
    <row r="121">
      <c r="A121" s="900"/>
      <c r="B121" s="900"/>
      <c r="C121" s="900"/>
      <c r="D121" s="900"/>
      <c r="E121" s="900"/>
      <c r="F121" s="900"/>
      <c r="G121" s="900"/>
      <c r="H121" s="900"/>
      <c r="I121" s="905"/>
      <c r="J121" s="905"/>
      <c r="K121" s="906"/>
      <c r="L121" s="900"/>
      <c r="M121" s="900"/>
      <c r="N121" s="900"/>
      <c r="O121" s="900"/>
      <c r="P121" s="900"/>
      <c r="Q121" s="900"/>
      <c r="R121" s="900"/>
      <c r="S121" s="900"/>
      <c r="T121" s="900"/>
      <c r="U121" s="900"/>
      <c r="V121" s="900"/>
      <c r="W121" s="900"/>
      <c r="X121" s="900"/>
      <c r="Y121" s="900"/>
      <c r="Z121" s="900"/>
      <c r="AA121" s="900"/>
      <c r="AB121" s="900"/>
    </row>
    <row r="122">
      <c r="A122" s="900"/>
      <c r="B122" s="900"/>
      <c r="C122" s="900"/>
      <c r="D122" s="900"/>
      <c r="E122" s="900"/>
      <c r="F122" s="900"/>
      <c r="G122" s="900"/>
      <c r="H122" s="900"/>
      <c r="I122" s="905"/>
      <c r="J122" s="905"/>
      <c r="K122" s="906"/>
      <c r="L122" s="900"/>
      <c r="M122" s="900"/>
      <c r="N122" s="900"/>
      <c r="O122" s="900"/>
      <c r="P122" s="900"/>
      <c r="Q122" s="900"/>
      <c r="R122" s="900"/>
      <c r="S122" s="900"/>
      <c r="T122" s="900"/>
      <c r="U122" s="900"/>
      <c r="V122" s="900"/>
      <c r="W122" s="900"/>
      <c r="X122" s="900"/>
      <c r="Y122" s="900"/>
      <c r="Z122" s="900"/>
      <c r="AA122" s="900"/>
      <c r="AB122" s="900"/>
    </row>
    <row r="123">
      <c r="A123" s="900"/>
      <c r="B123" s="900"/>
      <c r="C123" s="900"/>
      <c r="D123" s="900"/>
      <c r="E123" s="900"/>
      <c r="F123" s="900"/>
      <c r="G123" s="900"/>
      <c r="H123" s="900"/>
      <c r="I123" s="905"/>
      <c r="J123" s="905"/>
      <c r="K123" s="906"/>
      <c r="L123" s="900"/>
      <c r="M123" s="900"/>
      <c r="N123" s="900"/>
      <c r="O123" s="900"/>
      <c r="P123" s="900"/>
      <c r="Q123" s="900"/>
      <c r="R123" s="900"/>
      <c r="S123" s="900"/>
      <c r="T123" s="900"/>
      <c r="U123" s="900"/>
      <c r="V123" s="900"/>
      <c r="W123" s="900"/>
      <c r="X123" s="900"/>
      <c r="Y123" s="900"/>
      <c r="Z123" s="900"/>
      <c r="AA123" s="900"/>
      <c r="AB123" s="900"/>
    </row>
    <row r="124">
      <c r="A124" s="900"/>
      <c r="B124" s="900"/>
      <c r="C124" s="900"/>
      <c r="D124" s="900"/>
      <c r="E124" s="900"/>
      <c r="F124" s="900"/>
      <c r="G124" s="900"/>
      <c r="H124" s="900"/>
      <c r="I124" s="905"/>
      <c r="J124" s="905"/>
      <c r="K124" s="906"/>
      <c r="L124" s="900"/>
      <c r="M124" s="900"/>
      <c r="N124" s="900"/>
      <c r="O124" s="900"/>
      <c r="P124" s="900"/>
      <c r="Q124" s="900"/>
      <c r="R124" s="900"/>
      <c r="S124" s="900"/>
      <c r="T124" s="900"/>
      <c r="U124" s="900"/>
      <c r="V124" s="900"/>
      <c r="W124" s="900"/>
      <c r="X124" s="900"/>
      <c r="Y124" s="900"/>
      <c r="Z124" s="900"/>
      <c r="AA124" s="900"/>
      <c r="AB124" s="900"/>
    </row>
    <row r="125">
      <c r="A125" s="900"/>
      <c r="B125" s="900"/>
      <c r="C125" s="900"/>
      <c r="D125" s="900"/>
      <c r="E125" s="900"/>
      <c r="F125" s="900"/>
      <c r="G125" s="900"/>
      <c r="H125" s="900"/>
      <c r="I125" s="905"/>
      <c r="J125" s="905"/>
      <c r="K125" s="906"/>
      <c r="L125" s="900"/>
      <c r="M125" s="900"/>
      <c r="N125" s="900"/>
      <c r="O125" s="900"/>
      <c r="P125" s="900"/>
      <c r="Q125" s="900"/>
      <c r="R125" s="900"/>
      <c r="S125" s="900"/>
      <c r="T125" s="900"/>
      <c r="U125" s="900"/>
      <c r="V125" s="900"/>
      <c r="W125" s="900"/>
      <c r="X125" s="900"/>
      <c r="Y125" s="900"/>
      <c r="Z125" s="900"/>
      <c r="AA125" s="900"/>
      <c r="AB125" s="900"/>
    </row>
    <row r="126">
      <c r="A126" s="900"/>
      <c r="B126" s="900"/>
      <c r="C126" s="900"/>
      <c r="D126" s="900"/>
      <c r="E126" s="900"/>
      <c r="F126" s="900"/>
      <c r="G126" s="900"/>
      <c r="H126" s="900"/>
      <c r="I126" s="905"/>
      <c r="J126" s="905"/>
      <c r="K126" s="906"/>
      <c r="L126" s="900"/>
      <c r="M126" s="900"/>
      <c r="N126" s="900"/>
      <c r="O126" s="900"/>
      <c r="P126" s="900"/>
      <c r="Q126" s="900"/>
      <c r="R126" s="900"/>
      <c r="S126" s="900"/>
      <c r="T126" s="900"/>
      <c r="U126" s="900"/>
      <c r="V126" s="900"/>
      <c r="W126" s="900"/>
      <c r="X126" s="900"/>
      <c r="Y126" s="900"/>
      <c r="Z126" s="900"/>
      <c r="AA126" s="900"/>
      <c r="AB126" s="900"/>
    </row>
    <row r="127">
      <c r="A127" s="900"/>
      <c r="B127" s="900"/>
      <c r="C127" s="900"/>
      <c r="D127" s="900"/>
      <c r="E127" s="900"/>
      <c r="F127" s="900"/>
      <c r="G127" s="900"/>
      <c r="H127" s="900"/>
      <c r="I127" s="905"/>
      <c r="J127" s="905"/>
      <c r="K127" s="906"/>
      <c r="L127" s="900"/>
      <c r="M127" s="900"/>
      <c r="N127" s="900"/>
      <c r="O127" s="900"/>
      <c r="P127" s="900"/>
      <c r="Q127" s="900"/>
      <c r="R127" s="900"/>
      <c r="S127" s="900"/>
      <c r="T127" s="900"/>
      <c r="U127" s="900"/>
      <c r="V127" s="900"/>
      <c r="W127" s="900"/>
      <c r="X127" s="900"/>
      <c r="Y127" s="900"/>
      <c r="Z127" s="900"/>
      <c r="AA127" s="900"/>
      <c r="AB127" s="900"/>
    </row>
    <row r="128">
      <c r="A128" s="900"/>
      <c r="B128" s="900"/>
      <c r="C128" s="900"/>
      <c r="D128" s="900"/>
      <c r="E128" s="900"/>
      <c r="F128" s="900"/>
      <c r="G128" s="900"/>
      <c r="H128" s="900"/>
      <c r="I128" s="905"/>
      <c r="J128" s="905"/>
      <c r="K128" s="906"/>
      <c r="L128" s="900"/>
      <c r="M128" s="900"/>
      <c r="N128" s="900"/>
      <c r="O128" s="900"/>
      <c r="P128" s="900"/>
      <c r="Q128" s="900"/>
      <c r="R128" s="900"/>
      <c r="S128" s="900"/>
      <c r="T128" s="900"/>
      <c r="U128" s="900"/>
      <c r="V128" s="900"/>
      <c r="W128" s="900"/>
      <c r="X128" s="900"/>
      <c r="Y128" s="900"/>
      <c r="Z128" s="900"/>
      <c r="AA128" s="900"/>
      <c r="AB128" s="900"/>
    </row>
    <row r="129">
      <c r="A129" s="900"/>
      <c r="B129" s="900"/>
      <c r="C129" s="900"/>
      <c r="D129" s="900"/>
      <c r="E129" s="900"/>
      <c r="F129" s="900"/>
      <c r="G129" s="900"/>
      <c r="H129" s="900"/>
      <c r="I129" s="905"/>
      <c r="J129" s="905"/>
      <c r="K129" s="906"/>
      <c r="L129" s="900"/>
      <c r="M129" s="900"/>
      <c r="N129" s="900"/>
      <c r="O129" s="900"/>
      <c r="P129" s="900"/>
      <c r="Q129" s="900"/>
      <c r="R129" s="900"/>
      <c r="S129" s="900"/>
      <c r="T129" s="900"/>
      <c r="U129" s="900"/>
      <c r="V129" s="900"/>
      <c r="W129" s="900"/>
      <c r="X129" s="900"/>
      <c r="Y129" s="900"/>
      <c r="Z129" s="900"/>
      <c r="AA129" s="900"/>
      <c r="AB129" s="900"/>
    </row>
    <row r="130">
      <c r="A130" s="900"/>
      <c r="B130" s="900"/>
      <c r="C130" s="900"/>
      <c r="D130" s="900"/>
      <c r="E130" s="900"/>
      <c r="F130" s="900"/>
      <c r="G130" s="900"/>
      <c r="H130" s="900"/>
      <c r="I130" s="905"/>
      <c r="J130" s="905"/>
      <c r="K130" s="906"/>
      <c r="L130" s="900"/>
      <c r="M130" s="900"/>
      <c r="N130" s="900"/>
      <c r="O130" s="900"/>
      <c r="P130" s="900"/>
      <c r="Q130" s="900"/>
      <c r="R130" s="900"/>
      <c r="S130" s="900"/>
      <c r="T130" s="900"/>
      <c r="U130" s="900"/>
      <c r="V130" s="900"/>
      <c r="W130" s="900"/>
      <c r="X130" s="900"/>
      <c r="Y130" s="900"/>
      <c r="Z130" s="900"/>
      <c r="AA130" s="900"/>
      <c r="AB130" s="900"/>
    </row>
    <row r="131">
      <c r="A131" s="900"/>
      <c r="B131" s="900"/>
      <c r="C131" s="900"/>
      <c r="D131" s="900"/>
      <c r="E131" s="900"/>
      <c r="F131" s="900"/>
      <c r="G131" s="900"/>
      <c r="H131" s="900"/>
      <c r="I131" s="905"/>
      <c r="J131" s="905"/>
      <c r="K131" s="906"/>
      <c r="L131" s="900"/>
      <c r="M131" s="900"/>
      <c r="N131" s="900"/>
      <c r="O131" s="900"/>
      <c r="P131" s="900"/>
      <c r="Q131" s="900"/>
      <c r="R131" s="900"/>
      <c r="S131" s="900"/>
      <c r="T131" s="900"/>
      <c r="U131" s="900"/>
      <c r="V131" s="900"/>
      <c r="W131" s="900"/>
      <c r="X131" s="900"/>
      <c r="Y131" s="900"/>
      <c r="Z131" s="900"/>
      <c r="AA131" s="900"/>
      <c r="AB131" s="900"/>
    </row>
    <row r="132">
      <c r="A132" s="900"/>
      <c r="B132" s="900"/>
      <c r="C132" s="900"/>
      <c r="D132" s="900"/>
      <c r="E132" s="900"/>
      <c r="F132" s="900"/>
      <c r="G132" s="900"/>
      <c r="H132" s="900"/>
      <c r="I132" s="905"/>
      <c r="J132" s="905"/>
      <c r="K132" s="906"/>
      <c r="L132" s="900"/>
      <c r="M132" s="900"/>
      <c r="N132" s="900"/>
      <c r="O132" s="900"/>
      <c r="P132" s="900"/>
      <c r="Q132" s="900"/>
      <c r="R132" s="900"/>
      <c r="S132" s="900"/>
      <c r="T132" s="900"/>
      <c r="U132" s="900"/>
      <c r="V132" s="900"/>
      <c r="W132" s="900"/>
      <c r="X132" s="900"/>
      <c r="Y132" s="900"/>
      <c r="Z132" s="900"/>
      <c r="AA132" s="900"/>
      <c r="AB132" s="900"/>
    </row>
    <row r="133">
      <c r="A133" s="900"/>
      <c r="B133" s="900"/>
      <c r="C133" s="900"/>
      <c r="D133" s="900"/>
      <c r="E133" s="900"/>
      <c r="F133" s="900"/>
      <c r="G133" s="900"/>
      <c r="H133" s="900"/>
      <c r="I133" s="905"/>
      <c r="J133" s="905"/>
      <c r="K133" s="906"/>
      <c r="L133" s="900"/>
      <c r="M133" s="900"/>
      <c r="N133" s="900"/>
      <c r="O133" s="900"/>
      <c r="P133" s="900"/>
      <c r="Q133" s="900"/>
      <c r="R133" s="900"/>
      <c r="S133" s="900"/>
      <c r="T133" s="900"/>
      <c r="U133" s="900"/>
      <c r="V133" s="900"/>
      <c r="W133" s="900"/>
      <c r="X133" s="900"/>
      <c r="Y133" s="900"/>
      <c r="Z133" s="900"/>
      <c r="AA133" s="900"/>
      <c r="AB133" s="900"/>
    </row>
    <row r="134">
      <c r="A134" s="900"/>
      <c r="B134" s="900"/>
      <c r="C134" s="900"/>
      <c r="D134" s="900"/>
      <c r="E134" s="900"/>
      <c r="F134" s="900"/>
      <c r="G134" s="900"/>
      <c r="H134" s="900"/>
      <c r="I134" s="905"/>
      <c r="J134" s="905"/>
      <c r="K134" s="906"/>
      <c r="L134" s="900"/>
      <c r="M134" s="900"/>
      <c r="N134" s="900"/>
      <c r="O134" s="900"/>
      <c r="P134" s="900"/>
      <c r="Q134" s="900"/>
      <c r="R134" s="900"/>
      <c r="S134" s="900"/>
      <c r="T134" s="900"/>
      <c r="U134" s="900"/>
      <c r="V134" s="900"/>
      <c r="W134" s="900"/>
      <c r="X134" s="900"/>
      <c r="Y134" s="900"/>
      <c r="Z134" s="900"/>
      <c r="AA134" s="900"/>
      <c r="AB134" s="900"/>
    </row>
    <row r="135">
      <c r="A135" s="900"/>
      <c r="B135" s="900"/>
      <c r="C135" s="900"/>
      <c r="D135" s="900"/>
      <c r="E135" s="900"/>
      <c r="F135" s="900"/>
      <c r="G135" s="900"/>
      <c r="H135" s="900"/>
      <c r="I135" s="905"/>
      <c r="J135" s="905"/>
      <c r="K135" s="906"/>
      <c r="L135" s="900"/>
      <c r="M135" s="900"/>
      <c r="N135" s="900"/>
      <c r="O135" s="900"/>
      <c r="P135" s="900"/>
      <c r="Q135" s="900"/>
      <c r="R135" s="900"/>
      <c r="S135" s="900"/>
      <c r="T135" s="900"/>
      <c r="U135" s="900"/>
      <c r="V135" s="900"/>
      <c r="W135" s="900"/>
      <c r="X135" s="900"/>
      <c r="Y135" s="900"/>
      <c r="Z135" s="900"/>
      <c r="AA135" s="900"/>
      <c r="AB135" s="900"/>
    </row>
    <row r="136">
      <c r="A136" s="900"/>
      <c r="B136" s="900"/>
      <c r="C136" s="900"/>
      <c r="D136" s="900"/>
      <c r="E136" s="900"/>
      <c r="F136" s="900"/>
      <c r="G136" s="900"/>
      <c r="H136" s="900"/>
      <c r="I136" s="905"/>
      <c r="J136" s="905"/>
      <c r="K136" s="906"/>
      <c r="L136" s="900"/>
      <c r="M136" s="900"/>
      <c r="N136" s="900"/>
      <c r="O136" s="900"/>
      <c r="P136" s="900"/>
      <c r="Q136" s="900"/>
      <c r="R136" s="900"/>
      <c r="S136" s="900"/>
      <c r="T136" s="900"/>
      <c r="U136" s="900"/>
      <c r="V136" s="900"/>
      <c r="W136" s="900"/>
      <c r="X136" s="900"/>
      <c r="Y136" s="900"/>
      <c r="Z136" s="900"/>
      <c r="AA136" s="900"/>
      <c r="AB136" s="900"/>
    </row>
    <row r="137">
      <c r="A137" s="900"/>
      <c r="B137" s="900"/>
      <c r="C137" s="900"/>
      <c r="D137" s="900"/>
      <c r="E137" s="900"/>
      <c r="F137" s="900"/>
      <c r="G137" s="900"/>
      <c r="H137" s="900"/>
      <c r="I137" s="905"/>
      <c r="J137" s="905"/>
      <c r="K137" s="906"/>
      <c r="L137" s="900"/>
      <c r="M137" s="900"/>
      <c r="N137" s="900"/>
      <c r="O137" s="900"/>
      <c r="P137" s="900"/>
      <c r="Q137" s="900"/>
      <c r="R137" s="900"/>
      <c r="S137" s="900"/>
      <c r="T137" s="900"/>
      <c r="U137" s="900"/>
      <c r="V137" s="900"/>
      <c r="W137" s="900"/>
      <c r="X137" s="900"/>
      <c r="Y137" s="900"/>
      <c r="Z137" s="900"/>
      <c r="AA137" s="900"/>
      <c r="AB137" s="900"/>
    </row>
    <row r="138">
      <c r="A138" s="900"/>
      <c r="B138" s="900"/>
      <c r="C138" s="900"/>
      <c r="D138" s="900"/>
      <c r="E138" s="900"/>
      <c r="F138" s="900"/>
      <c r="G138" s="900"/>
      <c r="H138" s="900"/>
      <c r="I138" s="905"/>
      <c r="J138" s="905"/>
      <c r="K138" s="906"/>
      <c r="L138" s="900"/>
      <c r="M138" s="900"/>
      <c r="N138" s="900"/>
      <c r="O138" s="900"/>
      <c r="P138" s="900"/>
      <c r="Q138" s="900"/>
      <c r="R138" s="900"/>
      <c r="S138" s="900"/>
      <c r="T138" s="900"/>
      <c r="U138" s="900"/>
      <c r="V138" s="900"/>
      <c r="W138" s="900"/>
      <c r="X138" s="900"/>
      <c r="Y138" s="900"/>
      <c r="Z138" s="900"/>
      <c r="AA138" s="900"/>
      <c r="AB138" s="900"/>
    </row>
    <row r="139">
      <c r="A139" s="900"/>
      <c r="B139" s="900"/>
      <c r="C139" s="900"/>
      <c r="D139" s="900"/>
      <c r="E139" s="900"/>
      <c r="F139" s="900"/>
      <c r="G139" s="900"/>
      <c r="H139" s="900"/>
      <c r="I139" s="905"/>
      <c r="J139" s="905"/>
      <c r="K139" s="906"/>
      <c r="L139" s="900"/>
      <c r="M139" s="900"/>
      <c r="N139" s="900"/>
      <c r="O139" s="900"/>
      <c r="P139" s="900"/>
      <c r="Q139" s="900"/>
      <c r="R139" s="900"/>
      <c r="S139" s="900"/>
      <c r="T139" s="900"/>
      <c r="U139" s="900"/>
      <c r="V139" s="900"/>
      <c r="W139" s="900"/>
      <c r="X139" s="900"/>
      <c r="Y139" s="900"/>
      <c r="Z139" s="900"/>
      <c r="AA139" s="900"/>
      <c r="AB139" s="900"/>
    </row>
    <row r="140">
      <c r="A140" s="900"/>
      <c r="B140" s="900"/>
      <c r="C140" s="900"/>
      <c r="D140" s="900"/>
      <c r="E140" s="900"/>
      <c r="F140" s="900"/>
      <c r="G140" s="900"/>
      <c r="H140" s="900"/>
      <c r="I140" s="905"/>
      <c r="J140" s="905"/>
      <c r="K140" s="906"/>
      <c r="L140" s="900"/>
      <c r="M140" s="900"/>
      <c r="N140" s="900"/>
      <c r="O140" s="900"/>
      <c r="P140" s="900"/>
      <c r="Q140" s="900"/>
      <c r="R140" s="900"/>
      <c r="S140" s="900"/>
      <c r="T140" s="900"/>
      <c r="U140" s="900"/>
      <c r="V140" s="900"/>
      <c r="W140" s="900"/>
      <c r="X140" s="900"/>
      <c r="Y140" s="900"/>
      <c r="Z140" s="900"/>
      <c r="AA140" s="900"/>
      <c r="AB140" s="900"/>
    </row>
    <row r="141">
      <c r="A141" s="900"/>
      <c r="B141" s="900"/>
      <c r="C141" s="900"/>
      <c r="D141" s="900"/>
      <c r="E141" s="900"/>
      <c r="F141" s="900"/>
      <c r="G141" s="900"/>
      <c r="H141" s="900"/>
      <c r="I141" s="905"/>
      <c r="J141" s="905"/>
      <c r="K141" s="906"/>
      <c r="L141" s="900"/>
      <c r="M141" s="900"/>
      <c r="N141" s="900"/>
      <c r="O141" s="900"/>
      <c r="P141" s="900"/>
      <c r="Q141" s="900"/>
      <c r="R141" s="900"/>
      <c r="S141" s="900"/>
      <c r="T141" s="900"/>
      <c r="U141" s="900"/>
      <c r="V141" s="900"/>
      <c r="W141" s="900"/>
      <c r="X141" s="900"/>
      <c r="Y141" s="900"/>
      <c r="Z141" s="900"/>
      <c r="AA141" s="900"/>
      <c r="AB141" s="900"/>
    </row>
    <row r="142">
      <c r="A142" s="900"/>
      <c r="B142" s="900"/>
      <c r="C142" s="900"/>
      <c r="D142" s="900"/>
      <c r="E142" s="900"/>
      <c r="F142" s="900"/>
      <c r="G142" s="900"/>
      <c r="H142" s="900"/>
      <c r="I142" s="905"/>
      <c r="J142" s="905"/>
      <c r="K142" s="906"/>
      <c r="L142" s="900"/>
      <c r="M142" s="900"/>
      <c r="N142" s="900"/>
      <c r="O142" s="900"/>
      <c r="P142" s="900"/>
      <c r="Q142" s="900"/>
      <c r="R142" s="900"/>
      <c r="S142" s="900"/>
      <c r="T142" s="900"/>
      <c r="U142" s="900"/>
      <c r="V142" s="900"/>
      <c r="W142" s="900"/>
      <c r="X142" s="900"/>
      <c r="Y142" s="900"/>
      <c r="Z142" s="900"/>
      <c r="AA142" s="900"/>
      <c r="AB142" s="900"/>
    </row>
    <row r="143">
      <c r="A143" s="900"/>
      <c r="B143" s="900"/>
      <c r="C143" s="900"/>
      <c r="D143" s="900"/>
      <c r="E143" s="900"/>
      <c r="F143" s="900"/>
      <c r="G143" s="900"/>
      <c r="H143" s="900"/>
      <c r="I143" s="905"/>
      <c r="J143" s="905"/>
      <c r="K143" s="906"/>
      <c r="L143" s="900"/>
      <c r="M143" s="900"/>
      <c r="N143" s="900"/>
      <c r="O143" s="900"/>
      <c r="P143" s="900"/>
      <c r="Q143" s="900"/>
      <c r="R143" s="900"/>
      <c r="S143" s="900"/>
      <c r="T143" s="900"/>
      <c r="U143" s="900"/>
      <c r="V143" s="900"/>
      <c r="W143" s="900"/>
      <c r="X143" s="900"/>
      <c r="Y143" s="900"/>
      <c r="Z143" s="900"/>
      <c r="AA143" s="900"/>
      <c r="AB143" s="900"/>
    </row>
    <row r="144">
      <c r="A144" s="900"/>
      <c r="B144" s="900"/>
      <c r="C144" s="900"/>
      <c r="D144" s="900"/>
      <c r="E144" s="900"/>
      <c r="F144" s="900"/>
      <c r="G144" s="900"/>
      <c r="H144" s="900"/>
      <c r="I144" s="905"/>
      <c r="J144" s="905"/>
      <c r="K144" s="906"/>
      <c r="L144" s="900"/>
      <c r="M144" s="900"/>
      <c r="N144" s="900"/>
      <c r="O144" s="900"/>
      <c r="P144" s="900"/>
      <c r="Q144" s="900"/>
      <c r="R144" s="900"/>
      <c r="S144" s="900"/>
      <c r="T144" s="900"/>
      <c r="U144" s="900"/>
      <c r="V144" s="900"/>
      <c r="W144" s="900"/>
      <c r="X144" s="900"/>
      <c r="Y144" s="900"/>
      <c r="Z144" s="900"/>
      <c r="AA144" s="900"/>
      <c r="AB144" s="900"/>
    </row>
    <row r="145">
      <c r="A145" s="900"/>
      <c r="B145" s="900"/>
      <c r="C145" s="900"/>
      <c r="D145" s="900"/>
      <c r="E145" s="900"/>
      <c r="F145" s="900"/>
      <c r="G145" s="900"/>
      <c r="H145" s="900"/>
      <c r="I145" s="905"/>
      <c r="J145" s="905"/>
      <c r="K145" s="906"/>
      <c r="L145" s="900"/>
      <c r="M145" s="900"/>
      <c r="N145" s="900"/>
      <c r="O145" s="900"/>
      <c r="P145" s="900"/>
      <c r="Q145" s="900"/>
      <c r="R145" s="900"/>
      <c r="S145" s="900"/>
      <c r="T145" s="900"/>
      <c r="U145" s="900"/>
      <c r="V145" s="900"/>
      <c r="W145" s="900"/>
      <c r="X145" s="900"/>
      <c r="Y145" s="900"/>
      <c r="Z145" s="900"/>
      <c r="AA145" s="900"/>
      <c r="AB145" s="900"/>
    </row>
    <row r="146">
      <c r="A146" s="900"/>
      <c r="B146" s="900"/>
      <c r="C146" s="900"/>
      <c r="D146" s="900"/>
      <c r="E146" s="900"/>
      <c r="F146" s="900"/>
      <c r="G146" s="900"/>
      <c r="H146" s="900"/>
      <c r="I146" s="905"/>
      <c r="J146" s="905"/>
      <c r="K146" s="906"/>
      <c r="L146" s="900"/>
      <c r="M146" s="900"/>
      <c r="N146" s="900"/>
      <c r="O146" s="900"/>
      <c r="P146" s="900"/>
      <c r="Q146" s="900"/>
      <c r="R146" s="900"/>
      <c r="S146" s="900"/>
      <c r="T146" s="900"/>
      <c r="U146" s="900"/>
      <c r="V146" s="900"/>
      <c r="W146" s="900"/>
      <c r="X146" s="900"/>
      <c r="Y146" s="900"/>
      <c r="Z146" s="900"/>
      <c r="AA146" s="900"/>
      <c r="AB146" s="900"/>
    </row>
    <row r="147">
      <c r="A147" s="900"/>
      <c r="B147" s="900"/>
      <c r="C147" s="900"/>
      <c r="D147" s="900"/>
      <c r="E147" s="900"/>
      <c r="F147" s="900"/>
      <c r="G147" s="900"/>
      <c r="H147" s="900"/>
      <c r="I147" s="905"/>
      <c r="J147" s="905"/>
      <c r="K147" s="906"/>
      <c r="L147" s="900"/>
      <c r="M147" s="900"/>
      <c r="N147" s="900"/>
      <c r="O147" s="900"/>
      <c r="P147" s="900"/>
      <c r="Q147" s="900"/>
      <c r="R147" s="900"/>
      <c r="S147" s="900"/>
      <c r="T147" s="900"/>
      <c r="U147" s="900"/>
      <c r="V147" s="900"/>
      <c r="W147" s="900"/>
      <c r="X147" s="900"/>
      <c r="Y147" s="900"/>
      <c r="Z147" s="900"/>
      <c r="AA147" s="900"/>
      <c r="AB147" s="900"/>
    </row>
    <row r="148">
      <c r="A148" s="900"/>
      <c r="B148" s="900"/>
      <c r="C148" s="900"/>
      <c r="D148" s="900"/>
      <c r="E148" s="900"/>
      <c r="F148" s="900"/>
      <c r="G148" s="900"/>
      <c r="H148" s="900"/>
      <c r="I148" s="905"/>
      <c r="J148" s="905"/>
      <c r="K148" s="906"/>
      <c r="L148" s="900"/>
      <c r="M148" s="900"/>
      <c r="N148" s="900"/>
      <c r="O148" s="900"/>
      <c r="P148" s="900"/>
      <c r="Q148" s="900"/>
      <c r="R148" s="900"/>
      <c r="S148" s="900"/>
      <c r="T148" s="900"/>
      <c r="U148" s="900"/>
      <c r="V148" s="900"/>
      <c r="W148" s="900"/>
      <c r="X148" s="900"/>
      <c r="Y148" s="900"/>
      <c r="Z148" s="900"/>
      <c r="AA148" s="900"/>
      <c r="AB148" s="900"/>
    </row>
    <row r="149">
      <c r="A149" s="900"/>
      <c r="B149" s="900"/>
      <c r="C149" s="900"/>
      <c r="D149" s="900"/>
      <c r="E149" s="900"/>
      <c r="F149" s="900"/>
      <c r="G149" s="900"/>
      <c r="H149" s="900"/>
      <c r="I149" s="905"/>
      <c r="J149" s="905"/>
      <c r="K149" s="906"/>
      <c r="L149" s="900"/>
      <c r="M149" s="900"/>
      <c r="N149" s="900"/>
      <c r="O149" s="900"/>
      <c r="P149" s="900"/>
      <c r="Q149" s="900"/>
      <c r="R149" s="900"/>
      <c r="S149" s="900"/>
      <c r="T149" s="900"/>
      <c r="U149" s="900"/>
      <c r="V149" s="900"/>
      <c r="W149" s="900"/>
      <c r="X149" s="900"/>
      <c r="Y149" s="900"/>
      <c r="Z149" s="900"/>
      <c r="AA149" s="900"/>
      <c r="AB149" s="900"/>
    </row>
    <row r="150">
      <c r="A150" s="900"/>
      <c r="B150" s="900"/>
      <c r="C150" s="900"/>
      <c r="D150" s="900"/>
      <c r="E150" s="900"/>
      <c r="F150" s="900"/>
      <c r="G150" s="900"/>
      <c r="H150" s="900"/>
      <c r="I150" s="905"/>
      <c r="J150" s="905"/>
      <c r="K150" s="906"/>
      <c r="L150" s="900"/>
      <c r="M150" s="900"/>
      <c r="N150" s="900"/>
      <c r="O150" s="900"/>
      <c r="P150" s="900"/>
      <c r="Q150" s="900"/>
      <c r="R150" s="900"/>
      <c r="S150" s="900"/>
      <c r="T150" s="900"/>
      <c r="U150" s="900"/>
      <c r="V150" s="900"/>
      <c r="W150" s="900"/>
      <c r="X150" s="900"/>
      <c r="Y150" s="900"/>
      <c r="Z150" s="900"/>
      <c r="AA150" s="900"/>
      <c r="AB150" s="900"/>
    </row>
    <row r="151">
      <c r="A151" s="900"/>
      <c r="B151" s="900"/>
      <c r="C151" s="900"/>
      <c r="D151" s="900"/>
      <c r="E151" s="900"/>
      <c r="F151" s="900"/>
      <c r="G151" s="900"/>
      <c r="H151" s="900"/>
      <c r="I151" s="905"/>
      <c r="J151" s="905"/>
      <c r="K151" s="906"/>
      <c r="L151" s="900"/>
      <c r="M151" s="900"/>
      <c r="N151" s="900"/>
      <c r="O151" s="900"/>
      <c r="P151" s="900"/>
      <c r="Q151" s="900"/>
      <c r="R151" s="900"/>
      <c r="S151" s="900"/>
      <c r="T151" s="900"/>
      <c r="U151" s="900"/>
      <c r="V151" s="900"/>
      <c r="W151" s="900"/>
      <c r="X151" s="900"/>
      <c r="Y151" s="900"/>
      <c r="Z151" s="900"/>
      <c r="AA151" s="900"/>
      <c r="AB151" s="900"/>
    </row>
    <row r="152">
      <c r="A152" s="900"/>
      <c r="B152" s="900"/>
      <c r="C152" s="900"/>
      <c r="D152" s="900"/>
      <c r="E152" s="900"/>
      <c r="F152" s="900"/>
      <c r="G152" s="900"/>
      <c r="H152" s="900"/>
      <c r="I152" s="905"/>
      <c r="J152" s="905"/>
      <c r="K152" s="906"/>
      <c r="L152" s="900"/>
      <c r="M152" s="900"/>
      <c r="N152" s="900"/>
      <c r="O152" s="900"/>
      <c r="P152" s="900"/>
      <c r="Q152" s="900"/>
      <c r="R152" s="900"/>
      <c r="S152" s="900"/>
      <c r="T152" s="900"/>
      <c r="U152" s="900"/>
      <c r="V152" s="900"/>
      <c r="W152" s="900"/>
      <c r="X152" s="900"/>
      <c r="Y152" s="900"/>
      <c r="Z152" s="900"/>
      <c r="AA152" s="900"/>
      <c r="AB152" s="900"/>
    </row>
    <row r="153">
      <c r="A153" s="900"/>
      <c r="B153" s="900"/>
      <c r="C153" s="900"/>
      <c r="D153" s="900"/>
      <c r="E153" s="900"/>
      <c r="F153" s="900"/>
      <c r="G153" s="900"/>
      <c r="H153" s="900"/>
      <c r="I153" s="905"/>
      <c r="J153" s="905"/>
      <c r="K153" s="906"/>
      <c r="L153" s="900"/>
      <c r="M153" s="900"/>
      <c r="N153" s="900"/>
      <c r="O153" s="900"/>
      <c r="P153" s="900"/>
      <c r="Q153" s="900"/>
      <c r="R153" s="900"/>
      <c r="S153" s="900"/>
      <c r="T153" s="900"/>
      <c r="U153" s="900"/>
      <c r="V153" s="900"/>
      <c r="W153" s="900"/>
      <c r="X153" s="900"/>
      <c r="Y153" s="900"/>
      <c r="Z153" s="900"/>
      <c r="AA153" s="900"/>
      <c r="AB153" s="900"/>
    </row>
    <row r="154">
      <c r="A154" s="900"/>
      <c r="B154" s="900"/>
      <c r="C154" s="900"/>
      <c r="D154" s="900"/>
      <c r="E154" s="900"/>
      <c r="F154" s="900"/>
      <c r="G154" s="900"/>
      <c r="H154" s="900"/>
      <c r="I154" s="905"/>
      <c r="J154" s="905"/>
      <c r="K154" s="906"/>
      <c r="L154" s="900"/>
      <c r="M154" s="900"/>
      <c r="N154" s="900"/>
      <c r="O154" s="900"/>
      <c r="P154" s="900"/>
      <c r="Q154" s="900"/>
      <c r="R154" s="900"/>
      <c r="S154" s="900"/>
      <c r="T154" s="900"/>
      <c r="U154" s="900"/>
      <c r="V154" s="900"/>
      <c r="W154" s="900"/>
      <c r="X154" s="900"/>
      <c r="Y154" s="900"/>
      <c r="Z154" s="900"/>
      <c r="AA154" s="900"/>
      <c r="AB154" s="900"/>
    </row>
    <row r="155">
      <c r="A155" s="900"/>
      <c r="B155" s="900"/>
      <c r="C155" s="900"/>
      <c r="D155" s="900"/>
      <c r="E155" s="900"/>
      <c r="F155" s="900"/>
      <c r="G155" s="900"/>
      <c r="H155" s="900"/>
      <c r="I155" s="905"/>
      <c r="J155" s="905"/>
      <c r="K155" s="906"/>
      <c r="L155" s="900"/>
      <c r="M155" s="900"/>
      <c r="N155" s="900"/>
      <c r="O155" s="900"/>
      <c r="P155" s="900"/>
      <c r="Q155" s="900"/>
      <c r="R155" s="900"/>
      <c r="S155" s="900"/>
      <c r="T155" s="900"/>
      <c r="U155" s="900"/>
      <c r="V155" s="900"/>
      <c r="W155" s="900"/>
      <c r="X155" s="900"/>
      <c r="Y155" s="900"/>
      <c r="Z155" s="900"/>
      <c r="AA155" s="900"/>
      <c r="AB155" s="900"/>
    </row>
    <row r="156">
      <c r="A156" s="900"/>
      <c r="B156" s="900"/>
      <c r="C156" s="900"/>
      <c r="D156" s="900"/>
      <c r="E156" s="900"/>
      <c r="F156" s="900"/>
      <c r="G156" s="900"/>
      <c r="H156" s="900"/>
      <c r="I156" s="905"/>
      <c r="J156" s="905"/>
      <c r="K156" s="906"/>
      <c r="L156" s="900"/>
      <c r="M156" s="900"/>
      <c r="N156" s="900"/>
      <c r="O156" s="900"/>
      <c r="P156" s="900"/>
      <c r="Q156" s="900"/>
      <c r="R156" s="900"/>
      <c r="S156" s="900"/>
      <c r="T156" s="900"/>
      <c r="U156" s="900"/>
      <c r="V156" s="900"/>
      <c r="W156" s="900"/>
      <c r="X156" s="900"/>
      <c r="Y156" s="900"/>
      <c r="Z156" s="900"/>
      <c r="AA156" s="900"/>
      <c r="AB156" s="900"/>
    </row>
    <row r="157">
      <c r="A157" s="900"/>
      <c r="B157" s="900"/>
      <c r="C157" s="900"/>
      <c r="D157" s="900"/>
      <c r="E157" s="900"/>
      <c r="F157" s="900"/>
      <c r="G157" s="900"/>
      <c r="H157" s="900"/>
      <c r="I157" s="905"/>
      <c r="J157" s="905"/>
      <c r="K157" s="906"/>
      <c r="L157" s="900"/>
      <c r="M157" s="900"/>
      <c r="N157" s="900"/>
      <c r="O157" s="900"/>
      <c r="P157" s="900"/>
      <c r="Q157" s="900"/>
      <c r="R157" s="900"/>
      <c r="S157" s="900"/>
      <c r="T157" s="900"/>
      <c r="U157" s="900"/>
      <c r="V157" s="900"/>
      <c r="W157" s="900"/>
      <c r="X157" s="900"/>
      <c r="Y157" s="900"/>
      <c r="Z157" s="900"/>
      <c r="AA157" s="900"/>
      <c r="AB157" s="900"/>
    </row>
    <row r="158">
      <c r="A158" s="900"/>
      <c r="B158" s="900"/>
      <c r="C158" s="900"/>
      <c r="D158" s="900"/>
      <c r="E158" s="900"/>
      <c r="F158" s="900"/>
      <c r="G158" s="900"/>
      <c r="H158" s="900"/>
      <c r="I158" s="905"/>
      <c r="J158" s="905"/>
      <c r="K158" s="906"/>
      <c r="L158" s="900"/>
      <c r="M158" s="900"/>
      <c r="N158" s="900"/>
      <c r="O158" s="900"/>
      <c r="P158" s="900"/>
      <c r="Q158" s="900"/>
      <c r="R158" s="900"/>
      <c r="S158" s="900"/>
      <c r="T158" s="900"/>
      <c r="U158" s="900"/>
      <c r="V158" s="900"/>
      <c r="W158" s="900"/>
      <c r="X158" s="900"/>
      <c r="Y158" s="900"/>
      <c r="Z158" s="900"/>
      <c r="AA158" s="900"/>
      <c r="AB158" s="900"/>
    </row>
    <row r="159">
      <c r="A159" s="900"/>
      <c r="B159" s="900"/>
      <c r="C159" s="900"/>
      <c r="D159" s="900"/>
      <c r="E159" s="900"/>
      <c r="F159" s="900"/>
      <c r="G159" s="900"/>
      <c r="H159" s="900"/>
      <c r="I159" s="905"/>
      <c r="J159" s="905"/>
      <c r="K159" s="906"/>
      <c r="L159" s="900"/>
      <c r="M159" s="900"/>
      <c r="N159" s="900"/>
      <c r="O159" s="900"/>
      <c r="P159" s="900"/>
      <c r="Q159" s="900"/>
      <c r="R159" s="900"/>
      <c r="S159" s="900"/>
      <c r="T159" s="900"/>
      <c r="U159" s="900"/>
      <c r="V159" s="900"/>
      <c r="W159" s="900"/>
      <c r="X159" s="900"/>
      <c r="Y159" s="900"/>
      <c r="Z159" s="900"/>
      <c r="AA159" s="900"/>
      <c r="AB159" s="900"/>
    </row>
    <row r="160">
      <c r="A160" s="900"/>
      <c r="B160" s="900"/>
      <c r="C160" s="900"/>
      <c r="D160" s="900"/>
      <c r="E160" s="900"/>
      <c r="F160" s="900"/>
      <c r="G160" s="900"/>
      <c r="H160" s="900"/>
      <c r="I160" s="905"/>
      <c r="J160" s="905"/>
      <c r="K160" s="906"/>
      <c r="L160" s="900"/>
      <c r="M160" s="900"/>
      <c r="N160" s="900"/>
      <c r="O160" s="900"/>
      <c r="P160" s="900"/>
      <c r="Q160" s="900"/>
      <c r="R160" s="900"/>
      <c r="S160" s="900"/>
      <c r="T160" s="900"/>
      <c r="U160" s="900"/>
      <c r="V160" s="900"/>
      <c r="W160" s="900"/>
      <c r="X160" s="900"/>
      <c r="Y160" s="900"/>
      <c r="Z160" s="900"/>
      <c r="AA160" s="900"/>
      <c r="AB160" s="900"/>
    </row>
    <row r="161">
      <c r="A161" s="900"/>
      <c r="B161" s="900"/>
      <c r="C161" s="900"/>
      <c r="D161" s="900"/>
      <c r="E161" s="900"/>
      <c r="F161" s="900"/>
      <c r="G161" s="900"/>
      <c r="H161" s="900"/>
      <c r="I161" s="905"/>
      <c r="J161" s="905"/>
      <c r="K161" s="906"/>
      <c r="L161" s="900"/>
      <c r="M161" s="900"/>
      <c r="N161" s="900"/>
      <c r="O161" s="900"/>
      <c r="P161" s="900"/>
      <c r="Q161" s="900"/>
      <c r="R161" s="900"/>
      <c r="S161" s="900"/>
      <c r="T161" s="900"/>
      <c r="U161" s="900"/>
      <c r="V161" s="900"/>
      <c r="W161" s="900"/>
      <c r="X161" s="900"/>
      <c r="Y161" s="900"/>
      <c r="Z161" s="900"/>
      <c r="AA161" s="900"/>
      <c r="AB161" s="900"/>
    </row>
    <row r="162">
      <c r="A162" s="900"/>
      <c r="B162" s="900"/>
      <c r="C162" s="900"/>
      <c r="D162" s="900"/>
      <c r="E162" s="900"/>
      <c r="F162" s="900"/>
      <c r="G162" s="900"/>
      <c r="H162" s="900"/>
      <c r="I162" s="905"/>
      <c r="J162" s="905"/>
      <c r="K162" s="906"/>
      <c r="L162" s="900"/>
      <c r="M162" s="900"/>
      <c r="N162" s="900"/>
      <c r="O162" s="900"/>
      <c r="P162" s="900"/>
      <c r="Q162" s="900"/>
      <c r="R162" s="900"/>
      <c r="S162" s="900"/>
      <c r="T162" s="900"/>
      <c r="U162" s="900"/>
      <c r="V162" s="900"/>
      <c r="W162" s="900"/>
      <c r="X162" s="900"/>
      <c r="Y162" s="900"/>
      <c r="Z162" s="900"/>
      <c r="AA162" s="900"/>
      <c r="AB162" s="900"/>
    </row>
    <row r="163">
      <c r="A163" s="900"/>
      <c r="B163" s="900"/>
      <c r="C163" s="900"/>
      <c r="D163" s="900"/>
      <c r="E163" s="900"/>
      <c r="F163" s="900"/>
      <c r="G163" s="900"/>
      <c r="H163" s="900"/>
      <c r="I163" s="905"/>
      <c r="J163" s="905"/>
      <c r="K163" s="906"/>
      <c r="L163" s="900"/>
      <c r="M163" s="900"/>
      <c r="N163" s="900"/>
      <c r="O163" s="900"/>
      <c r="P163" s="900"/>
      <c r="Q163" s="900"/>
      <c r="R163" s="900"/>
      <c r="S163" s="900"/>
      <c r="T163" s="900"/>
      <c r="U163" s="900"/>
      <c r="V163" s="900"/>
      <c r="W163" s="900"/>
      <c r="X163" s="900"/>
      <c r="Y163" s="900"/>
      <c r="Z163" s="900"/>
      <c r="AA163" s="900"/>
      <c r="AB163" s="900"/>
    </row>
    <row r="164">
      <c r="A164" s="900"/>
      <c r="B164" s="900"/>
      <c r="C164" s="900"/>
      <c r="D164" s="900"/>
      <c r="E164" s="900"/>
      <c r="F164" s="900"/>
      <c r="G164" s="900"/>
      <c r="H164" s="900"/>
      <c r="I164" s="905"/>
      <c r="J164" s="905"/>
      <c r="K164" s="906"/>
      <c r="L164" s="900"/>
      <c r="M164" s="900"/>
      <c r="N164" s="900"/>
      <c r="O164" s="900"/>
      <c r="P164" s="900"/>
      <c r="Q164" s="900"/>
      <c r="R164" s="900"/>
      <c r="S164" s="900"/>
      <c r="T164" s="900"/>
      <c r="U164" s="900"/>
      <c r="V164" s="900"/>
      <c r="W164" s="900"/>
      <c r="X164" s="900"/>
      <c r="Y164" s="900"/>
      <c r="Z164" s="900"/>
      <c r="AA164" s="900"/>
      <c r="AB164" s="900"/>
    </row>
    <row r="165">
      <c r="A165" s="900"/>
      <c r="B165" s="900"/>
      <c r="C165" s="900"/>
      <c r="D165" s="900"/>
      <c r="E165" s="900"/>
      <c r="F165" s="900"/>
      <c r="G165" s="900"/>
      <c r="H165" s="900"/>
      <c r="I165" s="905"/>
      <c r="J165" s="905"/>
      <c r="K165" s="906"/>
      <c r="L165" s="900"/>
      <c r="M165" s="900"/>
      <c r="N165" s="900"/>
      <c r="O165" s="900"/>
      <c r="P165" s="900"/>
      <c r="Q165" s="900"/>
      <c r="R165" s="900"/>
      <c r="S165" s="900"/>
      <c r="T165" s="900"/>
      <c r="U165" s="900"/>
      <c r="V165" s="900"/>
      <c r="W165" s="900"/>
      <c r="X165" s="900"/>
      <c r="Y165" s="900"/>
      <c r="Z165" s="900"/>
      <c r="AA165" s="900"/>
      <c r="AB165" s="900"/>
    </row>
    <row r="166">
      <c r="A166" s="900"/>
      <c r="B166" s="900"/>
      <c r="C166" s="900"/>
      <c r="D166" s="900"/>
      <c r="E166" s="900"/>
      <c r="F166" s="900"/>
      <c r="G166" s="900"/>
      <c r="H166" s="900"/>
      <c r="I166" s="905"/>
      <c r="J166" s="905"/>
      <c r="K166" s="906"/>
      <c r="L166" s="900"/>
      <c r="M166" s="900"/>
      <c r="N166" s="900"/>
      <c r="O166" s="900"/>
      <c r="P166" s="900"/>
      <c r="Q166" s="900"/>
      <c r="R166" s="900"/>
      <c r="S166" s="900"/>
      <c r="T166" s="900"/>
      <c r="U166" s="900"/>
      <c r="V166" s="900"/>
      <c r="W166" s="900"/>
      <c r="X166" s="900"/>
      <c r="Y166" s="900"/>
      <c r="Z166" s="900"/>
      <c r="AA166" s="900"/>
      <c r="AB166" s="900"/>
    </row>
    <row r="167">
      <c r="A167" s="900"/>
      <c r="B167" s="900"/>
      <c r="C167" s="900"/>
      <c r="D167" s="900"/>
      <c r="E167" s="900"/>
      <c r="F167" s="900"/>
      <c r="G167" s="900"/>
      <c r="H167" s="900"/>
      <c r="I167" s="905"/>
      <c r="J167" s="905"/>
      <c r="K167" s="906"/>
      <c r="L167" s="900"/>
      <c r="M167" s="900"/>
      <c r="N167" s="900"/>
      <c r="O167" s="900"/>
      <c r="P167" s="900"/>
      <c r="Q167" s="900"/>
      <c r="R167" s="900"/>
      <c r="S167" s="900"/>
      <c r="T167" s="900"/>
      <c r="U167" s="900"/>
      <c r="V167" s="900"/>
      <c r="W167" s="900"/>
      <c r="X167" s="900"/>
      <c r="Y167" s="900"/>
      <c r="Z167" s="900"/>
      <c r="AA167" s="900"/>
      <c r="AB167" s="900"/>
    </row>
    <row r="168">
      <c r="A168" s="900"/>
      <c r="B168" s="900"/>
      <c r="C168" s="900"/>
      <c r="D168" s="900"/>
      <c r="E168" s="900"/>
      <c r="F168" s="900"/>
      <c r="G168" s="900"/>
      <c r="H168" s="900"/>
      <c r="I168" s="905"/>
      <c r="J168" s="905"/>
      <c r="K168" s="906"/>
      <c r="L168" s="900"/>
      <c r="M168" s="900"/>
      <c r="N168" s="900"/>
      <c r="O168" s="900"/>
      <c r="P168" s="900"/>
      <c r="Q168" s="900"/>
      <c r="R168" s="900"/>
      <c r="S168" s="900"/>
      <c r="T168" s="900"/>
      <c r="U168" s="900"/>
      <c r="V168" s="900"/>
      <c r="W168" s="900"/>
      <c r="X168" s="900"/>
      <c r="Y168" s="900"/>
      <c r="Z168" s="900"/>
      <c r="AA168" s="900"/>
      <c r="AB168" s="900"/>
    </row>
    <row r="169">
      <c r="A169" s="900"/>
      <c r="B169" s="900"/>
      <c r="C169" s="900"/>
      <c r="D169" s="900"/>
      <c r="E169" s="900"/>
      <c r="F169" s="900"/>
      <c r="G169" s="900"/>
      <c r="H169" s="900"/>
      <c r="I169" s="905"/>
      <c r="J169" s="905"/>
      <c r="K169" s="906"/>
      <c r="L169" s="900"/>
      <c r="M169" s="900"/>
      <c r="N169" s="900"/>
      <c r="O169" s="900"/>
      <c r="P169" s="900"/>
      <c r="Q169" s="900"/>
      <c r="R169" s="900"/>
      <c r="S169" s="900"/>
      <c r="T169" s="900"/>
      <c r="U169" s="900"/>
      <c r="V169" s="900"/>
      <c r="W169" s="900"/>
      <c r="X169" s="900"/>
      <c r="Y169" s="900"/>
      <c r="Z169" s="900"/>
      <c r="AA169" s="900"/>
      <c r="AB169" s="900"/>
    </row>
    <row r="170">
      <c r="A170" s="900"/>
      <c r="B170" s="900"/>
      <c r="C170" s="900"/>
      <c r="D170" s="900"/>
      <c r="E170" s="900"/>
      <c r="F170" s="900"/>
      <c r="G170" s="900"/>
      <c r="H170" s="900"/>
      <c r="I170" s="905"/>
      <c r="J170" s="905"/>
      <c r="K170" s="906"/>
      <c r="L170" s="900"/>
      <c r="M170" s="900"/>
      <c r="N170" s="900"/>
      <c r="O170" s="900"/>
      <c r="P170" s="900"/>
      <c r="Q170" s="900"/>
      <c r="R170" s="900"/>
      <c r="S170" s="900"/>
      <c r="T170" s="900"/>
      <c r="U170" s="900"/>
      <c r="V170" s="900"/>
      <c r="W170" s="900"/>
      <c r="X170" s="900"/>
      <c r="Y170" s="900"/>
      <c r="Z170" s="900"/>
      <c r="AA170" s="900"/>
      <c r="AB170" s="900"/>
    </row>
    <row r="171">
      <c r="A171" s="900"/>
      <c r="B171" s="900"/>
      <c r="C171" s="900"/>
      <c r="D171" s="900"/>
      <c r="E171" s="900"/>
      <c r="F171" s="900"/>
      <c r="G171" s="900"/>
      <c r="H171" s="900"/>
      <c r="I171" s="905"/>
      <c r="J171" s="905"/>
      <c r="K171" s="906"/>
      <c r="L171" s="900"/>
      <c r="M171" s="900"/>
      <c r="N171" s="900"/>
      <c r="O171" s="900"/>
      <c r="P171" s="900"/>
      <c r="Q171" s="900"/>
      <c r="R171" s="900"/>
      <c r="S171" s="900"/>
      <c r="T171" s="900"/>
      <c r="U171" s="900"/>
      <c r="V171" s="900"/>
      <c r="W171" s="900"/>
      <c r="X171" s="900"/>
      <c r="Y171" s="900"/>
      <c r="Z171" s="900"/>
      <c r="AA171" s="900"/>
      <c r="AB171" s="900"/>
    </row>
    <row r="172">
      <c r="A172" s="900"/>
      <c r="B172" s="900"/>
      <c r="C172" s="900"/>
      <c r="D172" s="900"/>
      <c r="E172" s="900"/>
      <c r="F172" s="900"/>
      <c r="G172" s="900"/>
      <c r="H172" s="900"/>
      <c r="I172" s="905"/>
      <c r="J172" s="905"/>
      <c r="K172" s="906"/>
      <c r="L172" s="900"/>
      <c r="M172" s="900"/>
      <c r="N172" s="900"/>
      <c r="O172" s="900"/>
      <c r="P172" s="900"/>
      <c r="Q172" s="900"/>
      <c r="R172" s="900"/>
      <c r="S172" s="900"/>
      <c r="T172" s="900"/>
      <c r="U172" s="900"/>
      <c r="V172" s="900"/>
      <c r="W172" s="900"/>
      <c r="X172" s="900"/>
      <c r="Y172" s="900"/>
      <c r="Z172" s="900"/>
      <c r="AA172" s="900"/>
      <c r="AB172" s="900"/>
    </row>
    <row r="173">
      <c r="A173" s="900"/>
      <c r="B173" s="900"/>
      <c r="C173" s="900"/>
      <c r="D173" s="900"/>
      <c r="E173" s="900"/>
      <c r="F173" s="900"/>
      <c r="G173" s="900"/>
      <c r="H173" s="900"/>
      <c r="I173" s="905"/>
      <c r="J173" s="905"/>
      <c r="K173" s="906"/>
      <c r="L173" s="900"/>
      <c r="M173" s="900"/>
      <c r="N173" s="900"/>
      <c r="O173" s="900"/>
      <c r="P173" s="900"/>
      <c r="Q173" s="900"/>
      <c r="R173" s="900"/>
      <c r="S173" s="900"/>
      <c r="T173" s="900"/>
      <c r="U173" s="900"/>
      <c r="V173" s="900"/>
      <c r="W173" s="900"/>
      <c r="X173" s="900"/>
      <c r="Y173" s="900"/>
      <c r="Z173" s="900"/>
      <c r="AA173" s="900"/>
      <c r="AB173" s="900"/>
    </row>
    <row r="174">
      <c r="A174" s="900"/>
      <c r="B174" s="900"/>
      <c r="C174" s="900"/>
      <c r="D174" s="900"/>
      <c r="E174" s="900"/>
      <c r="F174" s="900"/>
      <c r="G174" s="900"/>
      <c r="H174" s="900"/>
      <c r="I174" s="905"/>
      <c r="J174" s="905"/>
      <c r="K174" s="906"/>
      <c r="L174" s="900"/>
      <c r="M174" s="900"/>
      <c r="N174" s="900"/>
      <c r="O174" s="900"/>
      <c r="P174" s="900"/>
      <c r="Q174" s="900"/>
      <c r="R174" s="900"/>
      <c r="S174" s="900"/>
      <c r="T174" s="900"/>
      <c r="U174" s="900"/>
      <c r="V174" s="900"/>
      <c r="W174" s="900"/>
      <c r="X174" s="900"/>
      <c r="Y174" s="900"/>
      <c r="Z174" s="900"/>
      <c r="AA174" s="900"/>
      <c r="AB174" s="900"/>
    </row>
    <row r="175">
      <c r="A175" s="900"/>
      <c r="B175" s="900"/>
      <c r="C175" s="900"/>
      <c r="D175" s="900"/>
      <c r="E175" s="900"/>
      <c r="F175" s="900"/>
      <c r="G175" s="900"/>
      <c r="H175" s="900"/>
      <c r="I175" s="905"/>
      <c r="J175" s="905"/>
      <c r="K175" s="906"/>
      <c r="L175" s="900"/>
      <c r="M175" s="900"/>
      <c r="N175" s="900"/>
      <c r="O175" s="900"/>
      <c r="P175" s="900"/>
      <c r="Q175" s="900"/>
      <c r="R175" s="900"/>
      <c r="S175" s="900"/>
      <c r="T175" s="900"/>
      <c r="U175" s="900"/>
      <c r="V175" s="900"/>
      <c r="W175" s="900"/>
      <c r="X175" s="900"/>
      <c r="Y175" s="900"/>
      <c r="Z175" s="900"/>
      <c r="AA175" s="900"/>
      <c r="AB175" s="900"/>
    </row>
    <row r="176">
      <c r="A176" s="900"/>
      <c r="B176" s="900"/>
      <c r="C176" s="900"/>
      <c r="D176" s="900"/>
      <c r="E176" s="900"/>
      <c r="F176" s="900"/>
      <c r="G176" s="900"/>
      <c r="H176" s="900"/>
      <c r="I176" s="905"/>
      <c r="J176" s="905"/>
      <c r="K176" s="906"/>
      <c r="L176" s="900"/>
      <c r="M176" s="900"/>
      <c r="N176" s="900"/>
      <c r="O176" s="900"/>
      <c r="P176" s="900"/>
      <c r="Q176" s="900"/>
      <c r="R176" s="900"/>
      <c r="S176" s="900"/>
      <c r="T176" s="900"/>
      <c r="U176" s="900"/>
      <c r="V176" s="900"/>
      <c r="W176" s="900"/>
      <c r="X176" s="900"/>
      <c r="Y176" s="900"/>
      <c r="Z176" s="900"/>
      <c r="AA176" s="900"/>
      <c r="AB176" s="900"/>
    </row>
    <row r="177">
      <c r="A177" s="900"/>
      <c r="B177" s="900"/>
      <c r="C177" s="900"/>
      <c r="D177" s="900"/>
      <c r="E177" s="900"/>
      <c r="F177" s="900"/>
      <c r="G177" s="900"/>
      <c r="H177" s="900"/>
      <c r="I177" s="905"/>
      <c r="J177" s="905"/>
      <c r="K177" s="906"/>
      <c r="L177" s="900"/>
      <c r="M177" s="900"/>
      <c r="N177" s="900"/>
      <c r="O177" s="900"/>
      <c r="P177" s="900"/>
      <c r="Q177" s="900"/>
      <c r="R177" s="900"/>
      <c r="S177" s="900"/>
      <c r="T177" s="900"/>
      <c r="U177" s="900"/>
      <c r="V177" s="900"/>
      <c r="W177" s="900"/>
      <c r="X177" s="900"/>
      <c r="Y177" s="900"/>
      <c r="Z177" s="900"/>
      <c r="AA177" s="900"/>
      <c r="AB177" s="900"/>
    </row>
    <row r="178">
      <c r="A178" s="900"/>
      <c r="B178" s="900"/>
      <c r="C178" s="900"/>
      <c r="D178" s="900"/>
      <c r="E178" s="900"/>
      <c r="F178" s="900"/>
      <c r="G178" s="900"/>
      <c r="H178" s="900"/>
      <c r="I178" s="905"/>
      <c r="J178" s="905"/>
      <c r="K178" s="906"/>
      <c r="L178" s="900"/>
      <c r="M178" s="900"/>
      <c r="N178" s="900"/>
      <c r="O178" s="900"/>
      <c r="P178" s="900"/>
      <c r="Q178" s="900"/>
      <c r="R178" s="900"/>
      <c r="S178" s="900"/>
      <c r="T178" s="900"/>
      <c r="U178" s="900"/>
      <c r="V178" s="900"/>
      <c r="W178" s="900"/>
      <c r="X178" s="900"/>
      <c r="Y178" s="900"/>
      <c r="Z178" s="900"/>
      <c r="AA178" s="900"/>
      <c r="AB178" s="900"/>
    </row>
    <row r="179">
      <c r="A179" s="900"/>
      <c r="B179" s="900"/>
      <c r="C179" s="900"/>
      <c r="D179" s="900"/>
      <c r="E179" s="900"/>
      <c r="F179" s="900"/>
      <c r="G179" s="900"/>
      <c r="H179" s="900"/>
      <c r="I179" s="905"/>
      <c r="J179" s="905"/>
      <c r="K179" s="906"/>
      <c r="L179" s="900"/>
      <c r="M179" s="900"/>
      <c r="N179" s="900"/>
      <c r="O179" s="900"/>
      <c r="P179" s="900"/>
      <c r="Q179" s="900"/>
      <c r="R179" s="900"/>
      <c r="S179" s="900"/>
      <c r="T179" s="900"/>
      <c r="U179" s="900"/>
      <c r="V179" s="900"/>
      <c r="W179" s="900"/>
      <c r="X179" s="900"/>
      <c r="Y179" s="900"/>
      <c r="Z179" s="900"/>
      <c r="AA179" s="900"/>
      <c r="AB179" s="900"/>
    </row>
    <row r="180">
      <c r="A180" s="900"/>
      <c r="B180" s="900"/>
      <c r="C180" s="900"/>
      <c r="D180" s="900"/>
      <c r="E180" s="900"/>
      <c r="F180" s="900"/>
      <c r="G180" s="900"/>
      <c r="H180" s="900"/>
      <c r="I180" s="905"/>
      <c r="J180" s="905"/>
      <c r="K180" s="906"/>
      <c r="L180" s="900"/>
      <c r="M180" s="900"/>
      <c r="N180" s="900"/>
      <c r="O180" s="900"/>
      <c r="P180" s="900"/>
      <c r="Q180" s="900"/>
      <c r="R180" s="900"/>
      <c r="S180" s="900"/>
      <c r="T180" s="900"/>
      <c r="U180" s="900"/>
      <c r="V180" s="900"/>
      <c r="W180" s="900"/>
      <c r="X180" s="900"/>
      <c r="Y180" s="900"/>
      <c r="Z180" s="900"/>
      <c r="AA180" s="900"/>
      <c r="AB180" s="900"/>
    </row>
    <row r="181">
      <c r="A181" s="900"/>
      <c r="B181" s="900"/>
      <c r="C181" s="900"/>
      <c r="D181" s="900"/>
      <c r="E181" s="900"/>
      <c r="F181" s="900"/>
      <c r="G181" s="900"/>
      <c r="H181" s="900"/>
      <c r="I181" s="905"/>
      <c r="J181" s="905"/>
      <c r="K181" s="906"/>
      <c r="L181" s="900"/>
      <c r="M181" s="900"/>
      <c r="N181" s="900"/>
      <c r="O181" s="900"/>
      <c r="P181" s="900"/>
      <c r="Q181" s="900"/>
      <c r="R181" s="900"/>
      <c r="S181" s="900"/>
      <c r="T181" s="900"/>
      <c r="U181" s="900"/>
      <c r="V181" s="900"/>
      <c r="W181" s="900"/>
      <c r="X181" s="900"/>
      <c r="Y181" s="900"/>
      <c r="Z181" s="900"/>
      <c r="AA181" s="900"/>
      <c r="AB181" s="900"/>
    </row>
    <row r="182">
      <c r="A182" s="900"/>
      <c r="B182" s="900"/>
      <c r="C182" s="900"/>
      <c r="D182" s="900"/>
      <c r="E182" s="900"/>
      <c r="F182" s="900"/>
      <c r="G182" s="900"/>
      <c r="H182" s="900"/>
      <c r="I182" s="905"/>
      <c r="J182" s="905"/>
      <c r="K182" s="906"/>
      <c r="L182" s="900"/>
      <c r="M182" s="900"/>
      <c r="N182" s="900"/>
      <c r="O182" s="900"/>
      <c r="P182" s="900"/>
      <c r="Q182" s="900"/>
      <c r="R182" s="900"/>
      <c r="S182" s="900"/>
      <c r="T182" s="900"/>
      <c r="U182" s="900"/>
      <c r="V182" s="900"/>
      <c r="W182" s="900"/>
      <c r="X182" s="900"/>
      <c r="Y182" s="900"/>
      <c r="Z182" s="900"/>
      <c r="AA182" s="900"/>
      <c r="AB182" s="900"/>
    </row>
    <row r="183">
      <c r="A183" s="900"/>
      <c r="B183" s="900"/>
      <c r="C183" s="900"/>
      <c r="D183" s="900"/>
      <c r="E183" s="900"/>
      <c r="F183" s="900"/>
      <c r="G183" s="900"/>
      <c r="H183" s="900"/>
      <c r="I183" s="905"/>
      <c r="J183" s="905"/>
      <c r="K183" s="906"/>
      <c r="L183" s="900"/>
      <c r="M183" s="900"/>
      <c r="N183" s="900"/>
      <c r="O183" s="900"/>
      <c r="P183" s="900"/>
      <c r="Q183" s="900"/>
      <c r="R183" s="900"/>
      <c r="S183" s="900"/>
      <c r="T183" s="900"/>
      <c r="U183" s="900"/>
      <c r="V183" s="900"/>
      <c r="W183" s="900"/>
      <c r="X183" s="900"/>
      <c r="Y183" s="900"/>
      <c r="Z183" s="900"/>
      <c r="AA183" s="900"/>
      <c r="AB183" s="900"/>
    </row>
    <row r="184">
      <c r="A184" s="900"/>
      <c r="B184" s="900"/>
      <c r="C184" s="900"/>
      <c r="D184" s="900"/>
      <c r="E184" s="900"/>
      <c r="F184" s="900"/>
      <c r="G184" s="900"/>
      <c r="H184" s="900"/>
      <c r="I184" s="905"/>
      <c r="J184" s="905"/>
      <c r="K184" s="906"/>
      <c r="L184" s="900"/>
      <c r="M184" s="900"/>
      <c r="N184" s="900"/>
      <c r="O184" s="900"/>
      <c r="P184" s="900"/>
      <c r="Q184" s="900"/>
      <c r="R184" s="900"/>
      <c r="S184" s="900"/>
      <c r="T184" s="900"/>
      <c r="U184" s="900"/>
      <c r="V184" s="900"/>
      <c r="W184" s="900"/>
      <c r="X184" s="900"/>
      <c r="Y184" s="900"/>
      <c r="Z184" s="900"/>
      <c r="AA184" s="900"/>
      <c r="AB184" s="900"/>
    </row>
    <row r="185">
      <c r="A185" s="900"/>
      <c r="B185" s="900"/>
      <c r="C185" s="900"/>
      <c r="D185" s="900"/>
      <c r="E185" s="900"/>
      <c r="F185" s="900"/>
      <c r="G185" s="900"/>
      <c r="H185" s="900"/>
      <c r="I185" s="905"/>
      <c r="J185" s="905"/>
      <c r="K185" s="906"/>
      <c r="L185" s="900"/>
      <c r="M185" s="900"/>
      <c r="N185" s="900"/>
      <c r="O185" s="900"/>
      <c r="P185" s="900"/>
      <c r="Q185" s="900"/>
      <c r="R185" s="900"/>
      <c r="S185" s="900"/>
      <c r="T185" s="900"/>
      <c r="U185" s="900"/>
      <c r="V185" s="900"/>
      <c r="W185" s="900"/>
      <c r="X185" s="900"/>
      <c r="Y185" s="900"/>
      <c r="Z185" s="900"/>
      <c r="AA185" s="900"/>
      <c r="AB185" s="900"/>
    </row>
    <row r="186">
      <c r="A186" s="900"/>
      <c r="B186" s="900"/>
      <c r="C186" s="900"/>
      <c r="D186" s="900"/>
      <c r="E186" s="900"/>
      <c r="F186" s="900"/>
      <c r="G186" s="900"/>
      <c r="H186" s="900"/>
      <c r="I186" s="905"/>
      <c r="J186" s="905"/>
      <c r="K186" s="906"/>
      <c r="L186" s="900"/>
      <c r="M186" s="900"/>
      <c r="N186" s="900"/>
      <c r="O186" s="900"/>
      <c r="P186" s="900"/>
      <c r="Q186" s="900"/>
      <c r="R186" s="900"/>
      <c r="S186" s="900"/>
      <c r="T186" s="900"/>
      <c r="U186" s="900"/>
      <c r="V186" s="900"/>
      <c r="W186" s="900"/>
      <c r="X186" s="900"/>
      <c r="Y186" s="900"/>
      <c r="Z186" s="900"/>
      <c r="AA186" s="900"/>
      <c r="AB186" s="900"/>
    </row>
    <row r="187">
      <c r="A187" s="900"/>
      <c r="B187" s="900"/>
      <c r="C187" s="900"/>
      <c r="D187" s="900"/>
      <c r="E187" s="900"/>
      <c r="F187" s="900"/>
      <c r="G187" s="900"/>
      <c r="H187" s="900"/>
      <c r="I187" s="905"/>
      <c r="J187" s="905"/>
      <c r="K187" s="906"/>
      <c r="L187" s="900"/>
      <c r="M187" s="900"/>
      <c r="N187" s="900"/>
      <c r="O187" s="900"/>
      <c r="P187" s="900"/>
      <c r="Q187" s="900"/>
      <c r="R187" s="900"/>
      <c r="S187" s="900"/>
      <c r="T187" s="900"/>
      <c r="U187" s="900"/>
      <c r="V187" s="900"/>
      <c r="W187" s="900"/>
      <c r="X187" s="900"/>
      <c r="Y187" s="900"/>
      <c r="Z187" s="900"/>
      <c r="AA187" s="900"/>
      <c r="AB187" s="900"/>
    </row>
    <row r="188">
      <c r="A188" s="900"/>
      <c r="B188" s="900"/>
      <c r="C188" s="900"/>
      <c r="D188" s="900"/>
      <c r="E188" s="900"/>
      <c r="F188" s="900"/>
      <c r="G188" s="900"/>
      <c r="H188" s="900"/>
      <c r="I188" s="905"/>
      <c r="J188" s="905"/>
      <c r="K188" s="906"/>
      <c r="L188" s="900"/>
      <c r="M188" s="900"/>
      <c r="N188" s="900"/>
      <c r="O188" s="900"/>
      <c r="P188" s="900"/>
      <c r="Q188" s="900"/>
      <c r="R188" s="900"/>
      <c r="S188" s="900"/>
      <c r="T188" s="900"/>
      <c r="U188" s="900"/>
      <c r="V188" s="900"/>
      <c r="W188" s="900"/>
      <c r="X188" s="900"/>
      <c r="Y188" s="900"/>
      <c r="Z188" s="900"/>
      <c r="AA188" s="900"/>
      <c r="AB188" s="900"/>
    </row>
    <row r="189">
      <c r="A189" s="900"/>
      <c r="B189" s="900"/>
      <c r="C189" s="900"/>
      <c r="D189" s="900"/>
      <c r="E189" s="900"/>
      <c r="F189" s="900"/>
      <c r="G189" s="900"/>
      <c r="H189" s="900"/>
      <c r="I189" s="905"/>
      <c r="J189" s="905"/>
      <c r="K189" s="906"/>
      <c r="L189" s="900"/>
      <c r="M189" s="900"/>
      <c r="N189" s="900"/>
      <c r="O189" s="900"/>
      <c r="P189" s="900"/>
      <c r="Q189" s="900"/>
      <c r="R189" s="900"/>
      <c r="S189" s="900"/>
      <c r="T189" s="900"/>
      <c r="U189" s="900"/>
      <c r="V189" s="900"/>
      <c r="W189" s="900"/>
      <c r="X189" s="900"/>
      <c r="Y189" s="900"/>
      <c r="Z189" s="900"/>
      <c r="AA189" s="900"/>
      <c r="AB189" s="900"/>
    </row>
    <row r="190">
      <c r="A190" s="900"/>
      <c r="B190" s="900"/>
      <c r="C190" s="900"/>
      <c r="D190" s="900"/>
      <c r="E190" s="900"/>
      <c r="F190" s="900"/>
      <c r="G190" s="900"/>
      <c r="H190" s="900"/>
      <c r="I190" s="905"/>
      <c r="J190" s="905"/>
      <c r="K190" s="906"/>
      <c r="L190" s="900"/>
      <c r="M190" s="900"/>
      <c r="N190" s="900"/>
      <c r="O190" s="900"/>
      <c r="P190" s="900"/>
      <c r="Q190" s="900"/>
      <c r="R190" s="900"/>
      <c r="S190" s="900"/>
      <c r="T190" s="900"/>
      <c r="U190" s="900"/>
      <c r="V190" s="900"/>
      <c r="W190" s="900"/>
      <c r="X190" s="900"/>
      <c r="Y190" s="900"/>
      <c r="Z190" s="900"/>
      <c r="AA190" s="900"/>
      <c r="AB190" s="900"/>
    </row>
    <row r="191">
      <c r="A191" s="900"/>
      <c r="B191" s="900"/>
      <c r="C191" s="900"/>
      <c r="D191" s="900"/>
      <c r="E191" s="900"/>
      <c r="F191" s="900"/>
      <c r="G191" s="900"/>
      <c r="H191" s="900"/>
      <c r="I191" s="905"/>
      <c r="J191" s="905"/>
      <c r="K191" s="906"/>
      <c r="L191" s="900"/>
      <c r="M191" s="900"/>
      <c r="N191" s="900"/>
      <c r="O191" s="900"/>
      <c r="P191" s="900"/>
      <c r="Q191" s="900"/>
      <c r="R191" s="900"/>
      <c r="S191" s="900"/>
      <c r="T191" s="900"/>
      <c r="U191" s="900"/>
      <c r="V191" s="900"/>
      <c r="W191" s="900"/>
      <c r="X191" s="900"/>
      <c r="Y191" s="900"/>
      <c r="Z191" s="900"/>
      <c r="AA191" s="900"/>
      <c r="AB191" s="900"/>
    </row>
    <row r="192">
      <c r="A192" s="900"/>
      <c r="B192" s="900"/>
      <c r="C192" s="900"/>
      <c r="D192" s="900"/>
      <c r="E192" s="900"/>
      <c r="F192" s="900"/>
      <c r="G192" s="900"/>
      <c r="H192" s="900"/>
      <c r="I192" s="905"/>
      <c r="J192" s="905"/>
      <c r="K192" s="906"/>
      <c r="L192" s="900"/>
      <c r="M192" s="900"/>
      <c r="N192" s="900"/>
      <c r="O192" s="900"/>
      <c r="P192" s="900"/>
      <c r="Q192" s="900"/>
      <c r="R192" s="900"/>
      <c r="S192" s="900"/>
      <c r="T192" s="900"/>
      <c r="U192" s="900"/>
      <c r="V192" s="900"/>
      <c r="W192" s="900"/>
      <c r="X192" s="900"/>
      <c r="Y192" s="900"/>
      <c r="Z192" s="900"/>
      <c r="AA192" s="900"/>
      <c r="AB192" s="900"/>
    </row>
    <row r="193">
      <c r="A193" s="900"/>
      <c r="B193" s="900"/>
      <c r="C193" s="900"/>
      <c r="D193" s="900"/>
      <c r="E193" s="900"/>
      <c r="F193" s="900"/>
      <c r="G193" s="900"/>
      <c r="H193" s="900"/>
      <c r="I193" s="905"/>
      <c r="J193" s="905"/>
      <c r="K193" s="906"/>
      <c r="L193" s="900"/>
      <c r="M193" s="900"/>
      <c r="N193" s="900"/>
      <c r="O193" s="900"/>
      <c r="P193" s="900"/>
      <c r="Q193" s="900"/>
      <c r="R193" s="900"/>
      <c r="S193" s="900"/>
      <c r="T193" s="900"/>
      <c r="U193" s="900"/>
      <c r="V193" s="900"/>
      <c r="W193" s="900"/>
      <c r="X193" s="900"/>
      <c r="Y193" s="900"/>
      <c r="Z193" s="900"/>
      <c r="AA193" s="900"/>
      <c r="AB193" s="900"/>
    </row>
    <row r="194">
      <c r="A194" s="900"/>
      <c r="B194" s="900"/>
      <c r="C194" s="900"/>
      <c r="D194" s="900"/>
      <c r="E194" s="900"/>
      <c r="F194" s="900"/>
      <c r="G194" s="900"/>
      <c r="H194" s="900"/>
      <c r="I194" s="905"/>
      <c r="J194" s="905"/>
      <c r="K194" s="906"/>
      <c r="L194" s="900"/>
      <c r="M194" s="900"/>
      <c r="N194" s="900"/>
      <c r="O194" s="900"/>
      <c r="P194" s="900"/>
      <c r="Q194" s="900"/>
      <c r="R194" s="900"/>
      <c r="S194" s="900"/>
      <c r="T194" s="900"/>
      <c r="U194" s="900"/>
      <c r="V194" s="900"/>
      <c r="W194" s="900"/>
      <c r="X194" s="900"/>
      <c r="Y194" s="900"/>
      <c r="Z194" s="900"/>
      <c r="AA194" s="900"/>
      <c r="AB194" s="900"/>
    </row>
    <row r="195">
      <c r="A195" s="900"/>
      <c r="B195" s="900"/>
      <c r="C195" s="900"/>
      <c r="D195" s="900"/>
      <c r="E195" s="900"/>
      <c r="F195" s="900"/>
      <c r="G195" s="900"/>
      <c r="H195" s="900"/>
      <c r="I195" s="905"/>
      <c r="J195" s="905"/>
      <c r="K195" s="906"/>
      <c r="L195" s="900"/>
      <c r="M195" s="900"/>
      <c r="N195" s="900"/>
      <c r="O195" s="900"/>
      <c r="P195" s="900"/>
      <c r="Q195" s="900"/>
      <c r="R195" s="900"/>
      <c r="S195" s="900"/>
      <c r="T195" s="900"/>
      <c r="U195" s="900"/>
      <c r="V195" s="900"/>
      <c r="W195" s="900"/>
      <c r="X195" s="900"/>
      <c r="Y195" s="900"/>
      <c r="Z195" s="900"/>
      <c r="AA195" s="900"/>
      <c r="AB195" s="900"/>
    </row>
    <row r="196">
      <c r="A196" s="900"/>
      <c r="B196" s="900"/>
      <c r="C196" s="900"/>
      <c r="D196" s="900"/>
      <c r="E196" s="900"/>
      <c r="F196" s="900"/>
      <c r="G196" s="900"/>
      <c r="H196" s="900"/>
      <c r="I196" s="905"/>
      <c r="J196" s="905"/>
      <c r="K196" s="906"/>
      <c r="L196" s="900"/>
      <c r="M196" s="900"/>
      <c r="N196" s="900"/>
      <c r="O196" s="900"/>
      <c r="P196" s="900"/>
      <c r="Q196" s="900"/>
      <c r="R196" s="900"/>
      <c r="S196" s="900"/>
      <c r="T196" s="900"/>
      <c r="U196" s="900"/>
      <c r="V196" s="900"/>
      <c r="W196" s="900"/>
      <c r="X196" s="900"/>
      <c r="Y196" s="900"/>
      <c r="Z196" s="900"/>
      <c r="AA196" s="900"/>
      <c r="AB196" s="900"/>
    </row>
    <row r="197">
      <c r="A197" s="900"/>
      <c r="B197" s="900"/>
      <c r="C197" s="900"/>
      <c r="D197" s="900"/>
      <c r="E197" s="900"/>
      <c r="F197" s="900"/>
      <c r="G197" s="900"/>
      <c r="H197" s="900"/>
      <c r="I197" s="905"/>
      <c r="J197" s="905"/>
      <c r="K197" s="906"/>
      <c r="L197" s="900"/>
      <c r="M197" s="900"/>
      <c r="N197" s="900"/>
      <c r="O197" s="900"/>
      <c r="P197" s="900"/>
      <c r="Q197" s="900"/>
      <c r="R197" s="900"/>
      <c r="S197" s="900"/>
      <c r="T197" s="900"/>
      <c r="U197" s="900"/>
      <c r="V197" s="900"/>
      <c r="W197" s="900"/>
      <c r="X197" s="900"/>
      <c r="Y197" s="900"/>
      <c r="Z197" s="900"/>
      <c r="AA197" s="900"/>
      <c r="AB197" s="900"/>
    </row>
    <row r="198">
      <c r="A198" s="900"/>
      <c r="B198" s="900"/>
      <c r="C198" s="900"/>
      <c r="D198" s="900"/>
      <c r="E198" s="900"/>
      <c r="F198" s="900"/>
      <c r="G198" s="900"/>
      <c r="H198" s="900"/>
      <c r="I198" s="905"/>
      <c r="J198" s="905"/>
      <c r="K198" s="906"/>
      <c r="L198" s="900"/>
      <c r="M198" s="900"/>
      <c r="N198" s="900"/>
      <c r="O198" s="900"/>
      <c r="P198" s="900"/>
      <c r="Q198" s="900"/>
      <c r="R198" s="900"/>
      <c r="S198" s="900"/>
      <c r="T198" s="900"/>
      <c r="U198" s="900"/>
      <c r="V198" s="900"/>
      <c r="W198" s="900"/>
      <c r="X198" s="900"/>
      <c r="Y198" s="900"/>
      <c r="Z198" s="900"/>
      <c r="AA198" s="900"/>
      <c r="AB198" s="900"/>
    </row>
    <row r="199">
      <c r="A199" s="900"/>
      <c r="B199" s="900"/>
      <c r="C199" s="900"/>
      <c r="D199" s="900"/>
      <c r="E199" s="900"/>
      <c r="F199" s="900"/>
      <c r="G199" s="900"/>
      <c r="H199" s="900"/>
      <c r="I199" s="905"/>
      <c r="J199" s="905"/>
      <c r="K199" s="906"/>
      <c r="L199" s="900"/>
      <c r="M199" s="900"/>
      <c r="N199" s="900"/>
      <c r="O199" s="900"/>
      <c r="P199" s="900"/>
      <c r="Q199" s="900"/>
      <c r="R199" s="900"/>
      <c r="S199" s="900"/>
      <c r="T199" s="900"/>
      <c r="U199" s="900"/>
      <c r="V199" s="900"/>
      <c r="W199" s="900"/>
      <c r="X199" s="900"/>
      <c r="Y199" s="900"/>
      <c r="Z199" s="900"/>
      <c r="AA199" s="900"/>
      <c r="AB199" s="900"/>
    </row>
    <row r="200">
      <c r="A200" s="900"/>
      <c r="B200" s="900"/>
      <c r="C200" s="900"/>
      <c r="D200" s="900"/>
      <c r="E200" s="900"/>
      <c r="F200" s="900"/>
      <c r="G200" s="900"/>
      <c r="H200" s="900"/>
      <c r="I200" s="905"/>
      <c r="J200" s="905"/>
      <c r="K200" s="906"/>
      <c r="L200" s="900"/>
      <c r="M200" s="900"/>
      <c r="N200" s="900"/>
      <c r="O200" s="900"/>
      <c r="P200" s="900"/>
      <c r="Q200" s="900"/>
      <c r="R200" s="900"/>
      <c r="S200" s="900"/>
      <c r="T200" s="900"/>
      <c r="U200" s="900"/>
      <c r="V200" s="900"/>
      <c r="W200" s="900"/>
      <c r="X200" s="900"/>
      <c r="Y200" s="900"/>
      <c r="Z200" s="900"/>
      <c r="AA200" s="900"/>
      <c r="AB200" s="900"/>
    </row>
    <row r="201">
      <c r="A201" s="900"/>
      <c r="B201" s="900"/>
      <c r="C201" s="900"/>
      <c r="D201" s="900"/>
      <c r="E201" s="900"/>
      <c r="F201" s="900"/>
      <c r="G201" s="900"/>
      <c r="H201" s="900"/>
      <c r="I201" s="905"/>
      <c r="J201" s="905"/>
      <c r="K201" s="906"/>
      <c r="L201" s="900"/>
      <c r="M201" s="900"/>
      <c r="N201" s="900"/>
      <c r="O201" s="900"/>
      <c r="P201" s="900"/>
      <c r="Q201" s="900"/>
      <c r="R201" s="900"/>
      <c r="S201" s="900"/>
      <c r="T201" s="900"/>
      <c r="U201" s="900"/>
      <c r="V201" s="900"/>
      <c r="W201" s="900"/>
      <c r="X201" s="900"/>
      <c r="Y201" s="900"/>
      <c r="Z201" s="900"/>
      <c r="AA201" s="900"/>
      <c r="AB201" s="900"/>
    </row>
    <row r="202">
      <c r="A202" s="900"/>
      <c r="B202" s="900"/>
      <c r="C202" s="900"/>
      <c r="D202" s="900"/>
      <c r="E202" s="900"/>
      <c r="F202" s="900"/>
      <c r="G202" s="900"/>
      <c r="H202" s="900"/>
      <c r="I202" s="905"/>
      <c r="J202" s="905"/>
      <c r="K202" s="906"/>
      <c r="L202" s="900"/>
      <c r="M202" s="900"/>
      <c r="N202" s="900"/>
      <c r="O202" s="900"/>
      <c r="P202" s="900"/>
      <c r="Q202" s="900"/>
      <c r="R202" s="900"/>
      <c r="S202" s="900"/>
      <c r="T202" s="900"/>
      <c r="U202" s="900"/>
      <c r="V202" s="900"/>
      <c r="W202" s="900"/>
      <c r="X202" s="900"/>
      <c r="Y202" s="900"/>
      <c r="Z202" s="900"/>
      <c r="AA202" s="900"/>
      <c r="AB202" s="900"/>
    </row>
    <row r="203">
      <c r="A203" s="900"/>
      <c r="B203" s="900"/>
      <c r="C203" s="900"/>
      <c r="D203" s="900"/>
      <c r="E203" s="900"/>
      <c r="F203" s="900"/>
      <c r="G203" s="900"/>
      <c r="H203" s="900"/>
      <c r="I203" s="905"/>
      <c r="J203" s="905"/>
      <c r="K203" s="906"/>
      <c r="L203" s="900"/>
      <c r="M203" s="900"/>
      <c r="N203" s="900"/>
      <c r="O203" s="900"/>
      <c r="P203" s="900"/>
      <c r="Q203" s="900"/>
      <c r="R203" s="900"/>
      <c r="S203" s="900"/>
      <c r="T203" s="900"/>
      <c r="U203" s="900"/>
      <c r="V203" s="900"/>
      <c r="W203" s="900"/>
      <c r="X203" s="900"/>
      <c r="Y203" s="900"/>
      <c r="Z203" s="900"/>
      <c r="AA203" s="900"/>
      <c r="AB203" s="900"/>
    </row>
    <row r="204">
      <c r="A204" s="900"/>
      <c r="B204" s="900"/>
      <c r="C204" s="900"/>
      <c r="D204" s="900"/>
      <c r="E204" s="900"/>
      <c r="F204" s="900"/>
      <c r="G204" s="900"/>
      <c r="H204" s="900"/>
      <c r="I204" s="905"/>
      <c r="J204" s="905"/>
      <c r="K204" s="906"/>
      <c r="L204" s="900"/>
      <c r="M204" s="900"/>
      <c r="N204" s="900"/>
      <c r="O204" s="900"/>
      <c r="P204" s="900"/>
      <c r="Q204" s="900"/>
      <c r="R204" s="900"/>
      <c r="S204" s="900"/>
      <c r="T204" s="900"/>
      <c r="U204" s="900"/>
      <c r="V204" s="900"/>
      <c r="W204" s="900"/>
      <c r="X204" s="900"/>
      <c r="Y204" s="900"/>
      <c r="Z204" s="900"/>
      <c r="AA204" s="900"/>
      <c r="AB204" s="900"/>
    </row>
    <row r="205">
      <c r="A205" s="900"/>
      <c r="B205" s="900"/>
      <c r="C205" s="900"/>
      <c r="D205" s="900"/>
      <c r="E205" s="900"/>
      <c r="F205" s="900"/>
      <c r="G205" s="900"/>
      <c r="H205" s="900"/>
      <c r="I205" s="905"/>
      <c r="J205" s="905"/>
      <c r="K205" s="906"/>
      <c r="L205" s="900"/>
      <c r="M205" s="900"/>
      <c r="N205" s="900"/>
      <c r="O205" s="900"/>
      <c r="P205" s="900"/>
      <c r="Q205" s="900"/>
      <c r="R205" s="900"/>
      <c r="S205" s="900"/>
      <c r="T205" s="900"/>
      <c r="U205" s="900"/>
      <c r="V205" s="900"/>
      <c r="W205" s="900"/>
      <c r="X205" s="900"/>
      <c r="Y205" s="900"/>
      <c r="Z205" s="900"/>
      <c r="AA205" s="900"/>
      <c r="AB205" s="900"/>
    </row>
    <row r="206">
      <c r="A206" s="900"/>
      <c r="B206" s="900"/>
      <c r="C206" s="900"/>
      <c r="D206" s="900"/>
      <c r="E206" s="900"/>
      <c r="F206" s="900"/>
      <c r="G206" s="900"/>
      <c r="H206" s="900"/>
      <c r="I206" s="905"/>
      <c r="J206" s="905"/>
      <c r="K206" s="906"/>
      <c r="L206" s="900"/>
      <c r="M206" s="900"/>
      <c r="N206" s="900"/>
      <c r="O206" s="900"/>
      <c r="P206" s="900"/>
      <c r="Q206" s="900"/>
      <c r="R206" s="900"/>
      <c r="S206" s="900"/>
      <c r="T206" s="900"/>
      <c r="U206" s="900"/>
      <c r="V206" s="900"/>
      <c r="W206" s="900"/>
      <c r="X206" s="900"/>
      <c r="Y206" s="900"/>
      <c r="Z206" s="900"/>
      <c r="AA206" s="900"/>
      <c r="AB206" s="900"/>
    </row>
    <row r="207">
      <c r="A207" s="900"/>
      <c r="B207" s="900"/>
      <c r="C207" s="900"/>
      <c r="D207" s="900"/>
      <c r="E207" s="900"/>
      <c r="F207" s="900"/>
      <c r="G207" s="900"/>
      <c r="H207" s="900"/>
      <c r="I207" s="905"/>
      <c r="J207" s="905"/>
      <c r="K207" s="906"/>
      <c r="L207" s="900"/>
      <c r="M207" s="900"/>
      <c r="N207" s="900"/>
      <c r="O207" s="900"/>
      <c r="P207" s="900"/>
      <c r="Q207" s="900"/>
      <c r="R207" s="900"/>
      <c r="S207" s="900"/>
      <c r="T207" s="900"/>
      <c r="U207" s="900"/>
      <c r="V207" s="900"/>
      <c r="W207" s="900"/>
      <c r="X207" s="900"/>
      <c r="Y207" s="900"/>
      <c r="Z207" s="900"/>
      <c r="AA207" s="900"/>
      <c r="AB207" s="900"/>
    </row>
    <row r="208">
      <c r="A208" s="900"/>
      <c r="B208" s="900"/>
      <c r="C208" s="900"/>
      <c r="D208" s="900"/>
      <c r="E208" s="900"/>
      <c r="F208" s="900"/>
      <c r="G208" s="900"/>
      <c r="H208" s="900"/>
      <c r="I208" s="905"/>
      <c r="J208" s="905"/>
      <c r="K208" s="906"/>
      <c r="L208" s="900"/>
      <c r="M208" s="900"/>
      <c r="N208" s="900"/>
      <c r="O208" s="900"/>
      <c r="P208" s="900"/>
      <c r="Q208" s="900"/>
      <c r="R208" s="900"/>
      <c r="S208" s="900"/>
      <c r="T208" s="900"/>
      <c r="U208" s="900"/>
      <c r="V208" s="900"/>
      <c r="W208" s="900"/>
      <c r="X208" s="900"/>
      <c r="Y208" s="900"/>
      <c r="Z208" s="900"/>
      <c r="AA208" s="900"/>
      <c r="AB208" s="900"/>
    </row>
    <row r="209">
      <c r="A209" s="900"/>
      <c r="B209" s="900"/>
      <c r="C209" s="900"/>
      <c r="D209" s="900"/>
      <c r="E209" s="900"/>
      <c r="F209" s="900"/>
      <c r="G209" s="900"/>
      <c r="H209" s="900"/>
      <c r="I209" s="905"/>
      <c r="J209" s="905"/>
      <c r="K209" s="906"/>
      <c r="L209" s="900"/>
      <c r="M209" s="900"/>
      <c r="N209" s="900"/>
      <c r="O209" s="900"/>
      <c r="P209" s="900"/>
      <c r="Q209" s="900"/>
      <c r="R209" s="900"/>
      <c r="S209" s="900"/>
      <c r="T209" s="900"/>
      <c r="U209" s="900"/>
      <c r="V209" s="900"/>
      <c r="W209" s="900"/>
      <c r="X209" s="900"/>
      <c r="Y209" s="900"/>
      <c r="Z209" s="900"/>
      <c r="AA209" s="900"/>
      <c r="AB209" s="900"/>
    </row>
    <row r="210">
      <c r="A210" s="900"/>
      <c r="B210" s="900"/>
      <c r="C210" s="900"/>
      <c r="D210" s="900"/>
      <c r="E210" s="900"/>
      <c r="F210" s="900"/>
      <c r="G210" s="900"/>
      <c r="H210" s="900"/>
      <c r="I210" s="905"/>
      <c r="J210" s="905"/>
      <c r="K210" s="906"/>
      <c r="L210" s="900"/>
      <c r="M210" s="900"/>
      <c r="N210" s="900"/>
      <c r="O210" s="900"/>
      <c r="P210" s="900"/>
      <c r="Q210" s="900"/>
      <c r="R210" s="900"/>
      <c r="S210" s="900"/>
      <c r="T210" s="900"/>
      <c r="U210" s="900"/>
      <c r="V210" s="900"/>
      <c r="W210" s="900"/>
      <c r="X210" s="900"/>
      <c r="Y210" s="900"/>
      <c r="Z210" s="900"/>
      <c r="AA210" s="900"/>
      <c r="AB210" s="900"/>
    </row>
    <row r="211">
      <c r="A211" s="900"/>
      <c r="B211" s="900"/>
      <c r="C211" s="900"/>
      <c r="D211" s="900"/>
      <c r="E211" s="900"/>
      <c r="F211" s="900"/>
      <c r="G211" s="900"/>
      <c r="H211" s="900"/>
      <c r="I211" s="905"/>
      <c r="J211" s="905"/>
      <c r="K211" s="906"/>
      <c r="L211" s="900"/>
      <c r="M211" s="900"/>
      <c r="N211" s="900"/>
      <c r="O211" s="900"/>
      <c r="P211" s="900"/>
      <c r="Q211" s="900"/>
      <c r="R211" s="900"/>
      <c r="S211" s="900"/>
      <c r="T211" s="900"/>
      <c r="U211" s="900"/>
      <c r="V211" s="900"/>
      <c r="W211" s="900"/>
      <c r="X211" s="900"/>
      <c r="Y211" s="900"/>
      <c r="Z211" s="900"/>
      <c r="AA211" s="900"/>
      <c r="AB211" s="900"/>
    </row>
    <row r="212">
      <c r="A212" s="900"/>
      <c r="B212" s="900"/>
      <c r="C212" s="900"/>
      <c r="D212" s="900"/>
      <c r="E212" s="900"/>
      <c r="F212" s="900"/>
      <c r="G212" s="900"/>
      <c r="H212" s="900"/>
      <c r="I212" s="905"/>
      <c r="J212" s="905"/>
      <c r="K212" s="906"/>
      <c r="L212" s="900"/>
      <c r="M212" s="900"/>
      <c r="N212" s="900"/>
      <c r="O212" s="900"/>
      <c r="P212" s="900"/>
      <c r="Q212" s="900"/>
      <c r="R212" s="900"/>
      <c r="S212" s="900"/>
      <c r="T212" s="900"/>
      <c r="U212" s="900"/>
      <c r="V212" s="900"/>
      <c r="W212" s="900"/>
      <c r="X212" s="900"/>
      <c r="Y212" s="900"/>
      <c r="Z212" s="900"/>
      <c r="AA212" s="900"/>
      <c r="AB212" s="900"/>
    </row>
    <row r="213">
      <c r="A213" s="900"/>
      <c r="B213" s="900"/>
      <c r="C213" s="900"/>
      <c r="D213" s="900"/>
      <c r="E213" s="900"/>
      <c r="F213" s="900"/>
      <c r="G213" s="900"/>
      <c r="H213" s="900"/>
      <c r="I213" s="905"/>
      <c r="J213" s="905"/>
      <c r="K213" s="906"/>
      <c r="L213" s="900"/>
      <c r="M213" s="900"/>
      <c r="N213" s="900"/>
      <c r="O213" s="900"/>
      <c r="P213" s="900"/>
      <c r="Q213" s="900"/>
      <c r="R213" s="900"/>
      <c r="S213" s="900"/>
      <c r="T213" s="900"/>
      <c r="U213" s="900"/>
      <c r="V213" s="900"/>
      <c r="W213" s="900"/>
      <c r="X213" s="900"/>
      <c r="Y213" s="900"/>
      <c r="Z213" s="900"/>
      <c r="AA213" s="900"/>
      <c r="AB213" s="900"/>
    </row>
    <row r="214">
      <c r="A214" s="900"/>
      <c r="B214" s="900"/>
      <c r="C214" s="900"/>
      <c r="D214" s="900"/>
      <c r="E214" s="900"/>
      <c r="F214" s="900"/>
      <c r="G214" s="900"/>
      <c r="H214" s="900"/>
      <c r="I214" s="905"/>
      <c r="J214" s="905"/>
      <c r="K214" s="906"/>
      <c r="L214" s="900"/>
      <c r="M214" s="900"/>
      <c r="N214" s="900"/>
      <c r="O214" s="900"/>
      <c r="P214" s="900"/>
      <c r="Q214" s="900"/>
      <c r="R214" s="900"/>
      <c r="S214" s="900"/>
      <c r="T214" s="900"/>
      <c r="U214" s="900"/>
      <c r="V214" s="900"/>
      <c r="W214" s="900"/>
      <c r="X214" s="900"/>
      <c r="Y214" s="900"/>
      <c r="Z214" s="900"/>
      <c r="AA214" s="900"/>
      <c r="AB214" s="900"/>
    </row>
    <row r="215">
      <c r="A215" s="900"/>
      <c r="B215" s="900"/>
      <c r="C215" s="900"/>
      <c r="D215" s="900"/>
      <c r="E215" s="900"/>
      <c r="F215" s="900"/>
      <c r="G215" s="900"/>
      <c r="H215" s="900"/>
      <c r="I215" s="905"/>
      <c r="J215" s="905"/>
      <c r="K215" s="906"/>
      <c r="L215" s="900"/>
      <c r="M215" s="900"/>
      <c r="N215" s="900"/>
      <c r="O215" s="900"/>
      <c r="P215" s="900"/>
      <c r="Q215" s="900"/>
      <c r="R215" s="900"/>
      <c r="S215" s="900"/>
      <c r="T215" s="900"/>
      <c r="U215" s="900"/>
      <c r="V215" s="900"/>
      <c r="W215" s="900"/>
      <c r="X215" s="900"/>
      <c r="Y215" s="900"/>
      <c r="Z215" s="900"/>
      <c r="AA215" s="900"/>
      <c r="AB215" s="900"/>
    </row>
    <row r="216">
      <c r="A216" s="900"/>
      <c r="B216" s="900"/>
      <c r="C216" s="900"/>
      <c r="D216" s="900"/>
      <c r="E216" s="900"/>
      <c r="F216" s="900"/>
      <c r="G216" s="900"/>
      <c r="H216" s="900"/>
      <c r="I216" s="905"/>
      <c r="J216" s="905"/>
      <c r="K216" s="906"/>
      <c r="L216" s="900"/>
      <c r="M216" s="900"/>
      <c r="N216" s="900"/>
      <c r="O216" s="900"/>
      <c r="P216" s="900"/>
      <c r="Q216" s="900"/>
      <c r="R216" s="900"/>
      <c r="S216" s="900"/>
      <c r="T216" s="900"/>
      <c r="U216" s="900"/>
      <c r="V216" s="900"/>
      <c r="W216" s="900"/>
      <c r="X216" s="900"/>
      <c r="Y216" s="900"/>
      <c r="Z216" s="900"/>
      <c r="AA216" s="900"/>
      <c r="AB216" s="900"/>
    </row>
    <row r="217">
      <c r="A217" s="900"/>
      <c r="B217" s="900"/>
      <c r="C217" s="900"/>
      <c r="D217" s="900"/>
      <c r="E217" s="900"/>
      <c r="F217" s="900"/>
      <c r="G217" s="900"/>
      <c r="H217" s="900"/>
      <c r="I217" s="905"/>
      <c r="J217" s="905"/>
      <c r="K217" s="906"/>
      <c r="L217" s="900"/>
      <c r="M217" s="900"/>
      <c r="N217" s="900"/>
      <c r="O217" s="900"/>
      <c r="P217" s="900"/>
      <c r="Q217" s="900"/>
      <c r="R217" s="900"/>
      <c r="S217" s="900"/>
      <c r="T217" s="900"/>
      <c r="U217" s="900"/>
      <c r="V217" s="900"/>
      <c r="W217" s="900"/>
      <c r="X217" s="900"/>
      <c r="Y217" s="900"/>
      <c r="Z217" s="900"/>
      <c r="AA217" s="900"/>
      <c r="AB217" s="900"/>
    </row>
    <row r="218">
      <c r="A218" s="900"/>
      <c r="B218" s="900"/>
      <c r="C218" s="900"/>
      <c r="D218" s="900"/>
      <c r="E218" s="900"/>
      <c r="F218" s="900"/>
      <c r="G218" s="900"/>
      <c r="H218" s="900"/>
      <c r="I218" s="905"/>
      <c r="J218" s="905"/>
      <c r="K218" s="906"/>
      <c r="L218" s="900"/>
      <c r="M218" s="900"/>
      <c r="N218" s="900"/>
      <c r="O218" s="900"/>
      <c r="P218" s="900"/>
      <c r="Q218" s="900"/>
      <c r="R218" s="900"/>
      <c r="S218" s="900"/>
      <c r="T218" s="900"/>
      <c r="U218" s="900"/>
      <c r="V218" s="900"/>
      <c r="W218" s="900"/>
      <c r="X218" s="900"/>
      <c r="Y218" s="900"/>
      <c r="Z218" s="900"/>
      <c r="AA218" s="900"/>
      <c r="AB218" s="900"/>
    </row>
    <row r="219">
      <c r="A219" s="900"/>
      <c r="B219" s="900"/>
      <c r="C219" s="900"/>
      <c r="D219" s="900"/>
      <c r="E219" s="900"/>
      <c r="F219" s="900"/>
      <c r="G219" s="900"/>
      <c r="H219" s="900"/>
      <c r="I219" s="905"/>
      <c r="J219" s="905"/>
      <c r="K219" s="906"/>
      <c r="L219" s="900"/>
      <c r="M219" s="900"/>
      <c r="N219" s="900"/>
      <c r="O219" s="900"/>
      <c r="P219" s="900"/>
      <c r="Q219" s="900"/>
      <c r="R219" s="900"/>
      <c r="S219" s="900"/>
      <c r="T219" s="900"/>
      <c r="U219" s="900"/>
      <c r="V219" s="900"/>
      <c r="W219" s="900"/>
      <c r="X219" s="900"/>
      <c r="Y219" s="900"/>
      <c r="Z219" s="900"/>
      <c r="AA219" s="900"/>
      <c r="AB219" s="900"/>
    </row>
    <row r="220">
      <c r="A220" s="900"/>
      <c r="B220" s="900"/>
      <c r="C220" s="900"/>
      <c r="D220" s="900"/>
      <c r="E220" s="900"/>
      <c r="F220" s="900"/>
      <c r="G220" s="900"/>
      <c r="H220" s="900"/>
      <c r="I220" s="905"/>
      <c r="J220" s="905"/>
      <c r="K220" s="906"/>
      <c r="L220" s="900"/>
      <c r="M220" s="900"/>
      <c r="N220" s="900"/>
      <c r="O220" s="900"/>
      <c r="P220" s="900"/>
      <c r="Q220" s="900"/>
      <c r="R220" s="900"/>
      <c r="S220" s="900"/>
      <c r="T220" s="900"/>
      <c r="U220" s="900"/>
      <c r="V220" s="900"/>
      <c r="W220" s="900"/>
      <c r="X220" s="900"/>
      <c r="Y220" s="900"/>
      <c r="Z220" s="900"/>
      <c r="AA220" s="900"/>
      <c r="AB220" s="900"/>
    </row>
    <row r="221">
      <c r="A221" s="900"/>
      <c r="B221" s="900"/>
      <c r="C221" s="900"/>
      <c r="D221" s="900"/>
      <c r="E221" s="900"/>
      <c r="F221" s="900"/>
      <c r="G221" s="900"/>
      <c r="H221" s="900"/>
      <c r="I221" s="905"/>
      <c r="J221" s="905"/>
      <c r="K221" s="906"/>
      <c r="L221" s="900"/>
      <c r="M221" s="900"/>
      <c r="N221" s="900"/>
      <c r="O221" s="900"/>
      <c r="P221" s="900"/>
      <c r="Q221" s="900"/>
      <c r="R221" s="900"/>
      <c r="S221" s="900"/>
      <c r="T221" s="900"/>
      <c r="U221" s="900"/>
      <c r="V221" s="900"/>
      <c r="W221" s="900"/>
      <c r="X221" s="900"/>
      <c r="Y221" s="900"/>
      <c r="Z221" s="900"/>
      <c r="AA221" s="900"/>
      <c r="AB221" s="900"/>
    </row>
    <row r="222">
      <c r="A222" s="900"/>
      <c r="B222" s="900"/>
      <c r="C222" s="900"/>
      <c r="D222" s="900"/>
      <c r="E222" s="900"/>
      <c r="F222" s="900"/>
      <c r="G222" s="900"/>
      <c r="H222" s="900"/>
      <c r="I222" s="905"/>
      <c r="J222" s="905"/>
      <c r="K222" s="906"/>
      <c r="L222" s="900"/>
      <c r="M222" s="900"/>
      <c r="N222" s="900"/>
      <c r="O222" s="900"/>
      <c r="P222" s="900"/>
      <c r="Q222" s="900"/>
      <c r="R222" s="900"/>
      <c r="S222" s="900"/>
      <c r="T222" s="900"/>
      <c r="U222" s="900"/>
      <c r="V222" s="900"/>
      <c r="W222" s="900"/>
      <c r="X222" s="900"/>
      <c r="Y222" s="900"/>
      <c r="Z222" s="900"/>
      <c r="AA222" s="900"/>
      <c r="AB222" s="900"/>
    </row>
    <row r="223">
      <c r="A223" s="900"/>
      <c r="B223" s="900"/>
      <c r="C223" s="900"/>
      <c r="D223" s="900"/>
      <c r="E223" s="900"/>
      <c r="F223" s="900"/>
      <c r="G223" s="900"/>
      <c r="H223" s="900"/>
      <c r="I223" s="905"/>
      <c r="J223" s="905"/>
      <c r="K223" s="906"/>
      <c r="L223" s="900"/>
      <c r="M223" s="900"/>
      <c r="N223" s="900"/>
      <c r="O223" s="900"/>
      <c r="P223" s="900"/>
      <c r="Q223" s="900"/>
      <c r="R223" s="900"/>
      <c r="S223" s="900"/>
      <c r="T223" s="900"/>
      <c r="U223" s="900"/>
      <c r="V223" s="900"/>
      <c r="W223" s="900"/>
      <c r="X223" s="900"/>
      <c r="Y223" s="900"/>
      <c r="Z223" s="900"/>
      <c r="AA223" s="900"/>
      <c r="AB223" s="900"/>
    </row>
    <row r="224">
      <c r="A224" s="900"/>
      <c r="B224" s="900"/>
      <c r="C224" s="900"/>
      <c r="D224" s="900"/>
      <c r="E224" s="900"/>
      <c r="F224" s="900"/>
      <c r="G224" s="900"/>
      <c r="H224" s="900"/>
      <c r="I224" s="905"/>
      <c r="J224" s="905"/>
      <c r="K224" s="906"/>
      <c r="L224" s="900"/>
      <c r="M224" s="900"/>
      <c r="N224" s="900"/>
      <c r="O224" s="900"/>
      <c r="P224" s="900"/>
      <c r="Q224" s="900"/>
      <c r="R224" s="900"/>
      <c r="S224" s="900"/>
      <c r="T224" s="900"/>
      <c r="U224" s="900"/>
      <c r="V224" s="900"/>
      <c r="W224" s="900"/>
      <c r="X224" s="900"/>
      <c r="Y224" s="900"/>
      <c r="Z224" s="900"/>
      <c r="AA224" s="900"/>
      <c r="AB224" s="900"/>
    </row>
    <row r="225">
      <c r="A225" s="900"/>
      <c r="B225" s="900"/>
      <c r="C225" s="900"/>
      <c r="D225" s="900"/>
      <c r="E225" s="900"/>
      <c r="F225" s="900"/>
      <c r="G225" s="900"/>
      <c r="H225" s="900"/>
      <c r="I225" s="905"/>
      <c r="J225" s="905"/>
      <c r="K225" s="906"/>
      <c r="L225" s="900"/>
      <c r="M225" s="900"/>
      <c r="N225" s="900"/>
      <c r="O225" s="900"/>
      <c r="P225" s="900"/>
      <c r="Q225" s="900"/>
      <c r="R225" s="900"/>
      <c r="S225" s="900"/>
      <c r="T225" s="900"/>
      <c r="U225" s="900"/>
      <c r="V225" s="900"/>
      <c r="W225" s="900"/>
      <c r="X225" s="900"/>
      <c r="Y225" s="900"/>
      <c r="Z225" s="900"/>
      <c r="AA225" s="900"/>
      <c r="AB225" s="900"/>
    </row>
    <row r="226">
      <c r="A226" s="900"/>
      <c r="B226" s="900"/>
      <c r="C226" s="900"/>
      <c r="D226" s="900"/>
      <c r="E226" s="900"/>
      <c r="F226" s="900"/>
      <c r="G226" s="900"/>
      <c r="H226" s="900"/>
      <c r="I226" s="905"/>
      <c r="J226" s="905"/>
      <c r="K226" s="906"/>
      <c r="L226" s="900"/>
      <c r="M226" s="900"/>
      <c r="N226" s="900"/>
      <c r="O226" s="900"/>
      <c r="P226" s="900"/>
      <c r="Q226" s="900"/>
      <c r="R226" s="900"/>
      <c r="S226" s="900"/>
      <c r="T226" s="900"/>
      <c r="U226" s="900"/>
      <c r="V226" s="900"/>
      <c r="W226" s="900"/>
      <c r="X226" s="900"/>
      <c r="Y226" s="900"/>
      <c r="Z226" s="900"/>
      <c r="AA226" s="900"/>
      <c r="AB226" s="900"/>
    </row>
    <row r="227">
      <c r="A227" s="900"/>
      <c r="B227" s="900"/>
      <c r="C227" s="900"/>
      <c r="D227" s="900"/>
      <c r="E227" s="900"/>
      <c r="F227" s="900"/>
      <c r="G227" s="900"/>
      <c r="H227" s="900"/>
      <c r="I227" s="905"/>
      <c r="J227" s="905"/>
      <c r="K227" s="906"/>
      <c r="L227" s="900"/>
      <c r="M227" s="900"/>
      <c r="N227" s="900"/>
      <c r="O227" s="900"/>
      <c r="P227" s="900"/>
      <c r="Q227" s="900"/>
      <c r="R227" s="900"/>
      <c r="S227" s="900"/>
      <c r="T227" s="900"/>
      <c r="U227" s="900"/>
      <c r="V227" s="900"/>
      <c r="W227" s="900"/>
      <c r="X227" s="900"/>
      <c r="Y227" s="900"/>
      <c r="Z227" s="900"/>
      <c r="AA227" s="900"/>
      <c r="AB227" s="900"/>
    </row>
    <row r="228">
      <c r="A228" s="900"/>
      <c r="B228" s="900"/>
      <c r="C228" s="900"/>
      <c r="D228" s="900"/>
      <c r="E228" s="900"/>
      <c r="F228" s="900"/>
      <c r="G228" s="900"/>
      <c r="H228" s="900"/>
      <c r="I228" s="905"/>
      <c r="J228" s="905"/>
      <c r="K228" s="906"/>
      <c r="L228" s="900"/>
      <c r="M228" s="900"/>
      <c r="N228" s="900"/>
      <c r="O228" s="900"/>
      <c r="P228" s="900"/>
      <c r="Q228" s="900"/>
      <c r="R228" s="900"/>
      <c r="S228" s="900"/>
      <c r="T228" s="900"/>
      <c r="U228" s="900"/>
      <c r="V228" s="900"/>
      <c r="W228" s="900"/>
      <c r="X228" s="900"/>
      <c r="Y228" s="900"/>
      <c r="Z228" s="900"/>
      <c r="AA228" s="900"/>
      <c r="AB228" s="900"/>
    </row>
    <row r="229">
      <c r="A229" s="900"/>
      <c r="B229" s="900"/>
      <c r="C229" s="900"/>
      <c r="D229" s="900"/>
      <c r="E229" s="900"/>
      <c r="F229" s="900"/>
      <c r="G229" s="900"/>
      <c r="H229" s="900"/>
      <c r="I229" s="905"/>
      <c r="J229" s="905"/>
      <c r="K229" s="906"/>
      <c r="L229" s="900"/>
      <c r="M229" s="900"/>
      <c r="N229" s="900"/>
      <c r="O229" s="900"/>
      <c r="P229" s="900"/>
      <c r="Q229" s="900"/>
      <c r="R229" s="900"/>
      <c r="S229" s="900"/>
      <c r="T229" s="900"/>
      <c r="U229" s="900"/>
      <c r="V229" s="900"/>
      <c r="W229" s="900"/>
      <c r="X229" s="900"/>
      <c r="Y229" s="900"/>
      <c r="Z229" s="900"/>
      <c r="AA229" s="900"/>
      <c r="AB229" s="900"/>
    </row>
    <row r="230">
      <c r="A230" s="900"/>
      <c r="B230" s="900"/>
      <c r="C230" s="900"/>
      <c r="D230" s="900"/>
      <c r="E230" s="900"/>
      <c r="F230" s="900"/>
      <c r="G230" s="900"/>
      <c r="H230" s="900"/>
      <c r="I230" s="905"/>
      <c r="J230" s="905"/>
      <c r="K230" s="906"/>
      <c r="L230" s="900"/>
      <c r="M230" s="900"/>
      <c r="N230" s="900"/>
      <c r="O230" s="900"/>
      <c r="P230" s="900"/>
      <c r="Q230" s="900"/>
      <c r="R230" s="900"/>
      <c r="S230" s="900"/>
      <c r="T230" s="900"/>
      <c r="U230" s="900"/>
      <c r="V230" s="900"/>
      <c r="W230" s="900"/>
      <c r="X230" s="900"/>
      <c r="Y230" s="900"/>
      <c r="Z230" s="900"/>
      <c r="AA230" s="900"/>
      <c r="AB230" s="900"/>
    </row>
    <row r="231">
      <c r="A231" s="900"/>
      <c r="B231" s="900"/>
      <c r="C231" s="900"/>
      <c r="D231" s="900"/>
      <c r="E231" s="900"/>
      <c r="F231" s="900"/>
      <c r="G231" s="900"/>
      <c r="H231" s="900"/>
      <c r="I231" s="905"/>
      <c r="J231" s="905"/>
      <c r="K231" s="906"/>
      <c r="L231" s="900"/>
      <c r="M231" s="900"/>
      <c r="N231" s="900"/>
      <c r="O231" s="900"/>
      <c r="P231" s="900"/>
      <c r="Q231" s="900"/>
      <c r="R231" s="900"/>
      <c r="S231" s="900"/>
      <c r="T231" s="900"/>
      <c r="U231" s="900"/>
      <c r="V231" s="900"/>
      <c r="W231" s="900"/>
      <c r="X231" s="900"/>
      <c r="Y231" s="900"/>
      <c r="Z231" s="900"/>
      <c r="AA231" s="900"/>
      <c r="AB231" s="900"/>
    </row>
    <row r="232">
      <c r="A232" s="900"/>
      <c r="B232" s="900"/>
      <c r="C232" s="900"/>
      <c r="D232" s="900"/>
      <c r="E232" s="900"/>
      <c r="F232" s="900"/>
      <c r="G232" s="900"/>
      <c r="H232" s="900"/>
      <c r="I232" s="905"/>
      <c r="J232" s="905"/>
      <c r="K232" s="906"/>
      <c r="L232" s="900"/>
      <c r="M232" s="900"/>
      <c r="N232" s="900"/>
      <c r="O232" s="900"/>
      <c r="P232" s="900"/>
      <c r="Q232" s="900"/>
      <c r="R232" s="900"/>
      <c r="S232" s="900"/>
      <c r="T232" s="900"/>
      <c r="U232" s="900"/>
      <c r="V232" s="900"/>
      <c r="W232" s="900"/>
      <c r="X232" s="900"/>
      <c r="Y232" s="900"/>
      <c r="Z232" s="900"/>
      <c r="AA232" s="900"/>
      <c r="AB232" s="900"/>
    </row>
    <row r="233">
      <c r="A233" s="900"/>
      <c r="B233" s="900"/>
      <c r="C233" s="900"/>
      <c r="D233" s="900"/>
      <c r="E233" s="900"/>
      <c r="F233" s="900"/>
      <c r="G233" s="900"/>
      <c r="H233" s="900"/>
      <c r="I233" s="905"/>
      <c r="J233" s="905"/>
      <c r="K233" s="906"/>
      <c r="L233" s="900"/>
      <c r="M233" s="900"/>
      <c r="N233" s="900"/>
      <c r="O233" s="900"/>
      <c r="P233" s="900"/>
      <c r="Q233" s="900"/>
      <c r="R233" s="900"/>
      <c r="S233" s="900"/>
      <c r="T233" s="900"/>
      <c r="U233" s="900"/>
      <c r="V233" s="900"/>
      <c r="W233" s="900"/>
      <c r="X233" s="900"/>
      <c r="Y233" s="900"/>
      <c r="Z233" s="900"/>
      <c r="AA233" s="900"/>
      <c r="AB233" s="900"/>
    </row>
    <row r="234">
      <c r="A234" s="900"/>
      <c r="B234" s="900"/>
      <c r="C234" s="900"/>
      <c r="D234" s="900"/>
      <c r="E234" s="900"/>
      <c r="F234" s="900"/>
      <c r="G234" s="900"/>
      <c r="H234" s="900"/>
      <c r="I234" s="905"/>
      <c r="J234" s="905"/>
      <c r="K234" s="906"/>
      <c r="L234" s="900"/>
      <c r="M234" s="900"/>
      <c r="N234" s="900"/>
      <c r="O234" s="900"/>
      <c r="P234" s="900"/>
      <c r="Q234" s="900"/>
      <c r="R234" s="900"/>
      <c r="S234" s="900"/>
      <c r="T234" s="900"/>
      <c r="U234" s="900"/>
      <c r="V234" s="900"/>
      <c r="W234" s="900"/>
      <c r="X234" s="900"/>
      <c r="Y234" s="900"/>
      <c r="Z234" s="900"/>
      <c r="AA234" s="900"/>
      <c r="AB234" s="900"/>
    </row>
    <row r="235">
      <c r="A235" s="900"/>
      <c r="B235" s="900"/>
      <c r="C235" s="900"/>
      <c r="D235" s="900"/>
      <c r="E235" s="900"/>
      <c r="F235" s="900"/>
      <c r="G235" s="900"/>
      <c r="H235" s="900"/>
      <c r="I235" s="905"/>
      <c r="J235" s="905"/>
      <c r="K235" s="906"/>
      <c r="L235" s="900"/>
      <c r="M235" s="900"/>
      <c r="N235" s="900"/>
      <c r="O235" s="900"/>
      <c r="P235" s="900"/>
      <c r="Q235" s="900"/>
      <c r="R235" s="900"/>
      <c r="S235" s="900"/>
      <c r="T235" s="900"/>
      <c r="U235" s="900"/>
      <c r="V235" s="900"/>
      <c r="W235" s="900"/>
      <c r="X235" s="900"/>
      <c r="Y235" s="900"/>
      <c r="Z235" s="900"/>
      <c r="AA235" s="900"/>
      <c r="AB235" s="900"/>
    </row>
    <row r="236">
      <c r="A236" s="900"/>
      <c r="B236" s="900"/>
      <c r="C236" s="900"/>
      <c r="D236" s="900"/>
      <c r="E236" s="900"/>
      <c r="F236" s="900"/>
      <c r="G236" s="900"/>
      <c r="H236" s="900"/>
      <c r="I236" s="905"/>
      <c r="J236" s="905"/>
      <c r="K236" s="906"/>
      <c r="L236" s="900"/>
      <c r="M236" s="900"/>
      <c r="N236" s="900"/>
      <c r="O236" s="900"/>
      <c r="P236" s="900"/>
      <c r="Q236" s="900"/>
      <c r="R236" s="900"/>
      <c r="S236" s="900"/>
      <c r="T236" s="900"/>
      <c r="U236" s="900"/>
      <c r="V236" s="900"/>
      <c r="W236" s="900"/>
      <c r="X236" s="900"/>
      <c r="Y236" s="900"/>
      <c r="Z236" s="900"/>
      <c r="AA236" s="900"/>
      <c r="AB236" s="900"/>
    </row>
    <row r="237">
      <c r="A237" s="900"/>
      <c r="B237" s="900"/>
      <c r="C237" s="900"/>
      <c r="D237" s="900"/>
      <c r="E237" s="900"/>
      <c r="F237" s="900"/>
      <c r="G237" s="900"/>
      <c r="H237" s="900"/>
      <c r="I237" s="905"/>
      <c r="J237" s="905"/>
      <c r="K237" s="906"/>
      <c r="L237" s="900"/>
      <c r="M237" s="900"/>
      <c r="N237" s="900"/>
      <c r="O237" s="900"/>
      <c r="P237" s="900"/>
      <c r="Q237" s="900"/>
      <c r="R237" s="900"/>
      <c r="S237" s="900"/>
      <c r="T237" s="900"/>
      <c r="U237" s="900"/>
      <c r="V237" s="900"/>
      <c r="W237" s="900"/>
      <c r="X237" s="900"/>
      <c r="Y237" s="900"/>
      <c r="Z237" s="900"/>
      <c r="AA237" s="900"/>
      <c r="AB237" s="900"/>
    </row>
    <row r="238">
      <c r="A238" s="900"/>
      <c r="B238" s="900"/>
      <c r="C238" s="900"/>
      <c r="D238" s="900"/>
      <c r="E238" s="900"/>
      <c r="F238" s="900"/>
      <c r="G238" s="900"/>
      <c r="H238" s="900"/>
      <c r="I238" s="905"/>
      <c r="J238" s="905"/>
      <c r="K238" s="906"/>
      <c r="L238" s="900"/>
      <c r="M238" s="900"/>
      <c r="N238" s="900"/>
      <c r="O238" s="900"/>
      <c r="P238" s="900"/>
      <c r="Q238" s="900"/>
      <c r="R238" s="900"/>
      <c r="S238" s="900"/>
      <c r="T238" s="900"/>
      <c r="U238" s="900"/>
      <c r="V238" s="900"/>
      <c r="W238" s="900"/>
      <c r="X238" s="900"/>
      <c r="Y238" s="900"/>
      <c r="Z238" s="900"/>
      <c r="AA238" s="900"/>
      <c r="AB238" s="900"/>
    </row>
    <row r="239">
      <c r="A239" s="900"/>
      <c r="B239" s="900"/>
      <c r="C239" s="900"/>
      <c r="D239" s="900"/>
      <c r="E239" s="900"/>
      <c r="F239" s="900"/>
      <c r="G239" s="900"/>
      <c r="H239" s="900"/>
      <c r="I239" s="905"/>
      <c r="J239" s="905"/>
      <c r="K239" s="906"/>
      <c r="L239" s="900"/>
      <c r="M239" s="900"/>
      <c r="N239" s="900"/>
      <c r="O239" s="900"/>
      <c r="P239" s="900"/>
      <c r="Q239" s="900"/>
      <c r="R239" s="900"/>
      <c r="S239" s="900"/>
      <c r="T239" s="900"/>
      <c r="U239" s="900"/>
      <c r="V239" s="900"/>
      <c r="W239" s="900"/>
      <c r="X239" s="900"/>
      <c r="Y239" s="900"/>
      <c r="Z239" s="900"/>
      <c r="AA239" s="900"/>
      <c r="AB239" s="900"/>
    </row>
    <row r="240">
      <c r="A240" s="900"/>
      <c r="B240" s="900"/>
      <c r="C240" s="900"/>
      <c r="D240" s="900"/>
      <c r="E240" s="900"/>
      <c r="F240" s="900"/>
      <c r="G240" s="900"/>
      <c r="H240" s="900"/>
      <c r="I240" s="905"/>
      <c r="J240" s="905"/>
      <c r="K240" s="906"/>
      <c r="L240" s="900"/>
      <c r="M240" s="900"/>
      <c r="N240" s="900"/>
      <c r="O240" s="900"/>
      <c r="P240" s="900"/>
      <c r="Q240" s="900"/>
      <c r="R240" s="900"/>
      <c r="S240" s="900"/>
      <c r="T240" s="900"/>
      <c r="U240" s="900"/>
      <c r="V240" s="900"/>
      <c r="W240" s="900"/>
      <c r="X240" s="900"/>
      <c r="Y240" s="900"/>
      <c r="Z240" s="900"/>
      <c r="AA240" s="900"/>
      <c r="AB240" s="900"/>
    </row>
    <row r="241">
      <c r="A241" s="900"/>
      <c r="B241" s="900"/>
      <c r="C241" s="900"/>
      <c r="D241" s="900"/>
      <c r="E241" s="900"/>
      <c r="F241" s="900"/>
      <c r="G241" s="900"/>
      <c r="H241" s="900"/>
      <c r="I241" s="905"/>
      <c r="J241" s="905"/>
      <c r="K241" s="906"/>
      <c r="L241" s="900"/>
      <c r="M241" s="900"/>
      <c r="N241" s="900"/>
      <c r="O241" s="900"/>
      <c r="P241" s="900"/>
      <c r="Q241" s="900"/>
      <c r="R241" s="900"/>
      <c r="S241" s="900"/>
      <c r="T241" s="900"/>
      <c r="U241" s="900"/>
      <c r="V241" s="900"/>
      <c r="W241" s="900"/>
      <c r="X241" s="900"/>
      <c r="Y241" s="900"/>
      <c r="Z241" s="900"/>
      <c r="AA241" s="900"/>
      <c r="AB241" s="900"/>
    </row>
    <row r="242">
      <c r="A242" s="900"/>
      <c r="B242" s="900"/>
      <c r="C242" s="900"/>
      <c r="D242" s="900"/>
      <c r="E242" s="900"/>
      <c r="F242" s="900"/>
      <c r="G242" s="900"/>
      <c r="H242" s="900"/>
      <c r="I242" s="905"/>
      <c r="J242" s="905"/>
      <c r="K242" s="906"/>
      <c r="L242" s="900"/>
      <c r="M242" s="900"/>
      <c r="N242" s="900"/>
      <c r="O242" s="900"/>
      <c r="P242" s="900"/>
      <c r="Q242" s="900"/>
      <c r="R242" s="900"/>
      <c r="S242" s="900"/>
      <c r="T242" s="900"/>
      <c r="U242" s="900"/>
      <c r="V242" s="900"/>
      <c r="W242" s="900"/>
      <c r="X242" s="900"/>
      <c r="Y242" s="900"/>
      <c r="Z242" s="900"/>
      <c r="AA242" s="900"/>
      <c r="AB242" s="900"/>
    </row>
    <row r="243">
      <c r="A243" s="900"/>
      <c r="B243" s="900"/>
      <c r="C243" s="900"/>
      <c r="D243" s="900"/>
      <c r="E243" s="900"/>
      <c r="F243" s="900"/>
      <c r="G243" s="900"/>
      <c r="H243" s="900"/>
      <c r="I243" s="905"/>
      <c r="J243" s="905"/>
      <c r="K243" s="906"/>
      <c r="L243" s="900"/>
      <c r="M243" s="900"/>
      <c r="N243" s="900"/>
      <c r="O243" s="900"/>
      <c r="P243" s="900"/>
      <c r="Q243" s="900"/>
      <c r="R243" s="900"/>
      <c r="S243" s="900"/>
      <c r="T243" s="900"/>
      <c r="U243" s="900"/>
      <c r="V243" s="900"/>
      <c r="W243" s="900"/>
      <c r="X243" s="900"/>
      <c r="Y243" s="900"/>
      <c r="Z243" s="900"/>
      <c r="AA243" s="900"/>
      <c r="AB243" s="900"/>
    </row>
    <row r="244">
      <c r="A244" s="900"/>
      <c r="B244" s="900"/>
      <c r="C244" s="900"/>
      <c r="D244" s="900"/>
      <c r="E244" s="900"/>
      <c r="F244" s="900"/>
      <c r="G244" s="900"/>
      <c r="H244" s="900"/>
      <c r="I244" s="905"/>
      <c r="J244" s="905"/>
      <c r="K244" s="906"/>
      <c r="L244" s="900"/>
      <c r="M244" s="900"/>
      <c r="N244" s="900"/>
      <c r="O244" s="900"/>
      <c r="P244" s="900"/>
      <c r="Q244" s="900"/>
      <c r="R244" s="900"/>
      <c r="S244" s="900"/>
      <c r="T244" s="900"/>
      <c r="U244" s="900"/>
      <c r="V244" s="900"/>
      <c r="W244" s="900"/>
      <c r="X244" s="900"/>
      <c r="Y244" s="900"/>
      <c r="Z244" s="900"/>
      <c r="AA244" s="900"/>
      <c r="AB244" s="900"/>
    </row>
    <row r="245">
      <c r="A245" s="900"/>
      <c r="B245" s="900"/>
      <c r="C245" s="900"/>
      <c r="D245" s="900"/>
      <c r="E245" s="900"/>
      <c r="F245" s="900"/>
      <c r="G245" s="900"/>
      <c r="H245" s="900"/>
      <c r="I245" s="905"/>
      <c r="J245" s="905"/>
      <c r="K245" s="906"/>
      <c r="L245" s="900"/>
      <c r="M245" s="900"/>
      <c r="N245" s="900"/>
      <c r="O245" s="900"/>
      <c r="P245" s="900"/>
      <c r="Q245" s="900"/>
      <c r="R245" s="900"/>
      <c r="S245" s="900"/>
      <c r="T245" s="900"/>
      <c r="U245" s="900"/>
      <c r="V245" s="900"/>
      <c r="W245" s="900"/>
      <c r="X245" s="900"/>
      <c r="Y245" s="900"/>
      <c r="Z245" s="900"/>
      <c r="AA245" s="900"/>
      <c r="AB245" s="900"/>
    </row>
    <row r="246">
      <c r="A246" s="900"/>
      <c r="B246" s="900"/>
      <c r="C246" s="900"/>
      <c r="D246" s="900"/>
      <c r="E246" s="900"/>
      <c r="F246" s="900"/>
      <c r="G246" s="900"/>
      <c r="H246" s="900"/>
      <c r="I246" s="905"/>
      <c r="J246" s="905"/>
      <c r="K246" s="906"/>
      <c r="L246" s="900"/>
      <c r="M246" s="900"/>
      <c r="N246" s="900"/>
      <c r="O246" s="900"/>
      <c r="P246" s="900"/>
      <c r="Q246" s="900"/>
      <c r="R246" s="900"/>
      <c r="S246" s="900"/>
      <c r="T246" s="900"/>
      <c r="U246" s="900"/>
      <c r="V246" s="900"/>
      <c r="W246" s="900"/>
      <c r="X246" s="900"/>
      <c r="Y246" s="900"/>
      <c r="Z246" s="900"/>
      <c r="AA246" s="900"/>
      <c r="AB246" s="900"/>
    </row>
    <row r="247">
      <c r="A247" s="900"/>
      <c r="B247" s="900"/>
      <c r="C247" s="900"/>
      <c r="D247" s="900"/>
      <c r="E247" s="900"/>
      <c r="F247" s="900"/>
      <c r="G247" s="900"/>
      <c r="H247" s="900"/>
      <c r="I247" s="905"/>
      <c r="J247" s="905"/>
      <c r="K247" s="906"/>
      <c r="L247" s="900"/>
      <c r="M247" s="900"/>
      <c r="N247" s="900"/>
      <c r="O247" s="900"/>
      <c r="P247" s="900"/>
      <c r="Q247" s="900"/>
      <c r="R247" s="900"/>
      <c r="S247" s="900"/>
      <c r="T247" s="900"/>
      <c r="U247" s="900"/>
      <c r="V247" s="900"/>
      <c r="W247" s="900"/>
      <c r="X247" s="900"/>
      <c r="Y247" s="900"/>
      <c r="Z247" s="900"/>
      <c r="AA247" s="900"/>
      <c r="AB247" s="900"/>
    </row>
    <row r="248">
      <c r="A248" s="900"/>
      <c r="B248" s="900"/>
      <c r="C248" s="900"/>
      <c r="D248" s="900"/>
      <c r="E248" s="900"/>
      <c r="F248" s="900"/>
      <c r="G248" s="900"/>
      <c r="H248" s="900"/>
      <c r="I248" s="905"/>
      <c r="J248" s="905"/>
      <c r="K248" s="906"/>
      <c r="L248" s="900"/>
      <c r="M248" s="900"/>
      <c r="N248" s="900"/>
      <c r="O248" s="900"/>
      <c r="P248" s="900"/>
      <c r="Q248" s="900"/>
      <c r="R248" s="900"/>
      <c r="S248" s="900"/>
      <c r="T248" s="900"/>
      <c r="U248" s="900"/>
      <c r="V248" s="900"/>
      <c r="W248" s="900"/>
      <c r="X248" s="900"/>
      <c r="Y248" s="900"/>
      <c r="Z248" s="900"/>
      <c r="AA248" s="900"/>
      <c r="AB248" s="900"/>
    </row>
    <row r="249">
      <c r="A249" s="900"/>
      <c r="B249" s="900"/>
      <c r="C249" s="900"/>
      <c r="D249" s="900"/>
      <c r="E249" s="900"/>
      <c r="F249" s="900"/>
      <c r="G249" s="900"/>
      <c r="H249" s="900"/>
      <c r="I249" s="905"/>
      <c r="J249" s="905"/>
      <c r="K249" s="906"/>
      <c r="L249" s="900"/>
      <c r="M249" s="900"/>
      <c r="N249" s="900"/>
      <c r="O249" s="900"/>
      <c r="P249" s="900"/>
      <c r="Q249" s="900"/>
      <c r="R249" s="900"/>
      <c r="S249" s="900"/>
      <c r="T249" s="900"/>
      <c r="U249" s="900"/>
      <c r="V249" s="900"/>
      <c r="W249" s="900"/>
      <c r="X249" s="900"/>
      <c r="Y249" s="900"/>
      <c r="Z249" s="900"/>
      <c r="AA249" s="900"/>
      <c r="AB249" s="900"/>
    </row>
    <row r="250">
      <c r="A250" s="900"/>
      <c r="B250" s="900"/>
      <c r="C250" s="900"/>
      <c r="D250" s="900"/>
      <c r="E250" s="900"/>
      <c r="F250" s="900"/>
      <c r="G250" s="900"/>
      <c r="H250" s="900"/>
      <c r="I250" s="905"/>
      <c r="J250" s="905"/>
      <c r="K250" s="906"/>
      <c r="L250" s="900"/>
      <c r="M250" s="900"/>
      <c r="N250" s="900"/>
      <c r="O250" s="900"/>
      <c r="P250" s="900"/>
      <c r="Q250" s="900"/>
      <c r="R250" s="900"/>
      <c r="S250" s="900"/>
      <c r="T250" s="900"/>
      <c r="U250" s="900"/>
      <c r="V250" s="900"/>
      <c r="W250" s="900"/>
      <c r="X250" s="900"/>
      <c r="Y250" s="900"/>
      <c r="Z250" s="900"/>
      <c r="AA250" s="900"/>
      <c r="AB250" s="900"/>
    </row>
    <row r="251">
      <c r="A251" s="900"/>
      <c r="B251" s="900"/>
      <c r="C251" s="900"/>
      <c r="D251" s="900"/>
      <c r="E251" s="900"/>
      <c r="F251" s="900"/>
      <c r="G251" s="900"/>
      <c r="H251" s="900"/>
      <c r="I251" s="905"/>
      <c r="J251" s="905"/>
      <c r="K251" s="906"/>
      <c r="L251" s="900"/>
      <c r="M251" s="900"/>
      <c r="N251" s="900"/>
      <c r="O251" s="900"/>
      <c r="P251" s="900"/>
      <c r="Q251" s="900"/>
      <c r="R251" s="900"/>
      <c r="S251" s="900"/>
      <c r="T251" s="900"/>
      <c r="U251" s="900"/>
      <c r="V251" s="900"/>
      <c r="W251" s="900"/>
      <c r="X251" s="900"/>
      <c r="Y251" s="900"/>
      <c r="Z251" s="900"/>
      <c r="AA251" s="900"/>
      <c r="AB251" s="900"/>
    </row>
    <row r="252">
      <c r="A252" s="900"/>
      <c r="B252" s="900"/>
      <c r="C252" s="900"/>
      <c r="D252" s="900"/>
      <c r="E252" s="900"/>
      <c r="F252" s="900"/>
      <c r="G252" s="900"/>
      <c r="H252" s="900"/>
      <c r="I252" s="905"/>
      <c r="J252" s="905"/>
      <c r="K252" s="906"/>
      <c r="L252" s="900"/>
      <c r="M252" s="900"/>
      <c r="N252" s="900"/>
      <c r="O252" s="900"/>
      <c r="P252" s="900"/>
      <c r="Q252" s="900"/>
      <c r="R252" s="900"/>
      <c r="S252" s="900"/>
      <c r="T252" s="900"/>
      <c r="U252" s="900"/>
      <c r="V252" s="900"/>
      <c r="W252" s="900"/>
      <c r="X252" s="900"/>
      <c r="Y252" s="900"/>
      <c r="Z252" s="900"/>
      <c r="AA252" s="900"/>
      <c r="AB252" s="900"/>
    </row>
    <row r="253">
      <c r="A253" s="900"/>
      <c r="B253" s="900"/>
      <c r="C253" s="900"/>
      <c r="D253" s="900"/>
      <c r="E253" s="900"/>
      <c r="F253" s="900"/>
      <c r="G253" s="900"/>
      <c r="H253" s="900"/>
      <c r="I253" s="905"/>
      <c r="J253" s="905"/>
      <c r="K253" s="906"/>
      <c r="L253" s="900"/>
      <c r="M253" s="900"/>
      <c r="N253" s="900"/>
      <c r="O253" s="900"/>
      <c r="P253" s="900"/>
      <c r="Q253" s="900"/>
      <c r="R253" s="900"/>
      <c r="S253" s="900"/>
      <c r="T253" s="900"/>
      <c r="U253" s="900"/>
      <c r="V253" s="900"/>
      <c r="W253" s="900"/>
      <c r="X253" s="900"/>
      <c r="Y253" s="900"/>
      <c r="Z253" s="900"/>
      <c r="AA253" s="900"/>
      <c r="AB253" s="900"/>
    </row>
    <row r="254">
      <c r="A254" s="900"/>
      <c r="B254" s="900"/>
      <c r="C254" s="900"/>
      <c r="D254" s="900"/>
      <c r="E254" s="900"/>
      <c r="F254" s="900"/>
      <c r="G254" s="900"/>
      <c r="H254" s="900"/>
      <c r="I254" s="905"/>
      <c r="J254" s="905"/>
      <c r="K254" s="906"/>
      <c r="L254" s="900"/>
      <c r="M254" s="900"/>
      <c r="N254" s="900"/>
      <c r="O254" s="900"/>
      <c r="P254" s="900"/>
      <c r="Q254" s="900"/>
      <c r="R254" s="900"/>
      <c r="S254" s="900"/>
      <c r="T254" s="900"/>
      <c r="U254" s="900"/>
      <c r="V254" s="900"/>
      <c r="W254" s="900"/>
      <c r="X254" s="900"/>
      <c r="Y254" s="900"/>
      <c r="Z254" s="900"/>
      <c r="AA254" s="900"/>
      <c r="AB254" s="900"/>
    </row>
    <row r="255">
      <c r="A255" s="900"/>
      <c r="B255" s="900"/>
      <c r="C255" s="900"/>
      <c r="D255" s="900"/>
      <c r="E255" s="900"/>
      <c r="F255" s="900"/>
      <c r="G255" s="900"/>
      <c r="H255" s="900"/>
      <c r="I255" s="905"/>
      <c r="J255" s="905"/>
      <c r="K255" s="906"/>
      <c r="L255" s="900"/>
      <c r="M255" s="900"/>
      <c r="N255" s="900"/>
      <c r="O255" s="900"/>
      <c r="P255" s="900"/>
      <c r="Q255" s="900"/>
      <c r="R255" s="900"/>
      <c r="S255" s="900"/>
      <c r="T255" s="900"/>
      <c r="U255" s="900"/>
      <c r="V255" s="900"/>
      <c r="W255" s="900"/>
      <c r="X255" s="900"/>
      <c r="Y255" s="900"/>
      <c r="Z255" s="900"/>
      <c r="AA255" s="900"/>
      <c r="AB255" s="900"/>
    </row>
    <row r="256">
      <c r="A256" s="900"/>
      <c r="B256" s="900"/>
      <c r="C256" s="900"/>
      <c r="D256" s="900"/>
      <c r="E256" s="900"/>
      <c r="F256" s="900"/>
      <c r="G256" s="900"/>
      <c r="H256" s="900"/>
      <c r="I256" s="905"/>
      <c r="J256" s="905"/>
      <c r="K256" s="906"/>
      <c r="L256" s="900"/>
      <c r="M256" s="900"/>
      <c r="N256" s="900"/>
      <c r="O256" s="900"/>
      <c r="P256" s="900"/>
      <c r="Q256" s="900"/>
      <c r="R256" s="900"/>
      <c r="S256" s="900"/>
      <c r="T256" s="900"/>
      <c r="U256" s="900"/>
      <c r="V256" s="900"/>
      <c r="W256" s="900"/>
      <c r="X256" s="900"/>
      <c r="Y256" s="900"/>
      <c r="Z256" s="900"/>
      <c r="AA256" s="900"/>
      <c r="AB256" s="900"/>
    </row>
    <row r="257">
      <c r="A257" s="900"/>
      <c r="B257" s="900"/>
      <c r="C257" s="900"/>
      <c r="D257" s="900"/>
      <c r="E257" s="900"/>
      <c r="F257" s="900"/>
      <c r="G257" s="900"/>
      <c r="H257" s="900"/>
      <c r="I257" s="905"/>
      <c r="J257" s="905"/>
      <c r="K257" s="906"/>
      <c r="L257" s="900"/>
      <c r="M257" s="900"/>
      <c r="N257" s="900"/>
      <c r="O257" s="900"/>
      <c r="P257" s="900"/>
      <c r="Q257" s="900"/>
      <c r="R257" s="900"/>
      <c r="S257" s="900"/>
      <c r="T257" s="900"/>
      <c r="U257" s="900"/>
      <c r="V257" s="900"/>
      <c r="W257" s="900"/>
      <c r="X257" s="900"/>
      <c r="Y257" s="900"/>
      <c r="Z257" s="900"/>
      <c r="AA257" s="900"/>
      <c r="AB257" s="900"/>
    </row>
    <row r="258">
      <c r="A258" s="900"/>
      <c r="B258" s="900"/>
      <c r="C258" s="900"/>
      <c r="D258" s="900"/>
      <c r="E258" s="900"/>
      <c r="F258" s="900"/>
      <c r="G258" s="900"/>
      <c r="H258" s="900"/>
      <c r="I258" s="905"/>
      <c r="J258" s="905"/>
      <c r="K258" s="906"/>
      <c r="L258" s="900"/>
      <c r="M258" s="900"/>
      <c r="N258" s="900"/>
      <c r="O258" s="900"/>
      <c r="P258" s="900"/>
      <c r="Q258" s="900"/>
      <c r="R258" s="900"/>
      <c r="S258" s="900"/>
      <c r="T258" s="900"/>
      <c r="U258" s="900"/>
      <c r="V258" s="900"/>
      <c r="W258" s="900"/>
      <c r="X258" s="900"/>
      <c r="Y258" s="900"/>
      <c r="Z258" s="900"/>
      <c r="AA258" s="900"/>
      <c r="AB258" s="900"/>
    </row>
    <row r="259">
      <c r="A259" s="900"/>
      <c r="B259" s="900"/>
      <c r="C259" s="900"/>
      <c r="D259" s="900"/>
      <c r="E259" s="900"/>
      <c r="F259" s="900"/>
      <c r="G259" s="900"/>
      <c r="H259" s="900"/>
      <c r="I259" s="905"/>
      <c r="J259" s="905"/>
      <c r="K259" s="906"/>
      <c r="L259" s="900"/>
      <c r="M259" s="900"/>
      <c r="N259" s="900"/>
      <c r="O259" s="900"/>
      <c r="P259" s="900"/>
      <c r="Q259" s="900"/>
      <c r="R259" s="900"/>
      <c r="S259" s="900"/>
      <c r="T259" s="900"/>
      <c r="U259" s="900"/>
      <c r="V259" s="900"/>
      <c r="W259" s="900"/>
      <c r="X259" s="900"/>
      <c r="Y259" s="900"/>
      <c r="Z259" s="900"/>
      <c r="AA259" s="900"/>
      <c r="AB259" s="900"/>
    </row>
    <row r="260">
      <c r="A260" s="900"/>
      <c r="B260" s="900"/>
      <c r="C260" s="900"/>
      <c r="D260" s="900"/>
      <c r="E260" s="900"/>
      <c r="F260" s="900"/>
      <c r="G260" s="900"/>
      <c r="H260" s="900"/>
      <c r="I260" s="905"/>
      <c r="J260" s="905"/>
      <c r="K260" s="906"/>
      <c r="L260" s="900"/>
      <c r="M260" s="900"/>
      <c r="N260" s="900"/>
      <c r="O260" s="900"/>
      <c r="P260" s="900"/>
      <c r="Q260" s="900"/>
      <c r="R260" s="900"/>
      <c r="S260" s="900"/>
      <c r="T260" s="900"/>
      <c r="U260" s="900"/>
      <c r="V260" s="900"/>
      <c r="W260" s="900"/>
      <c r="X260" s="900"/>
      <c r="Y260" s="900"/>
      <c r="Z260" s="900"/>
      <c r="AA260" s="900"/>
      <c r="AB260" s="900"/>
    </row>
    <row r="261">
      <c r="A261" s="900"/>
      <c r="B261" s="900"/>
      <c r="C261" s="900"/>
      <c r="D261" s="900"/>
      <c r="E261" s="900"/>
      <c r="F261" s="900"/>
      <c r="G261" s="900"/>
      <c r="H261" s="900"/>
      <c r="I261" s="905"/>
      <c r="J261" s="905"/>
      <c r="K261" s="906"/>
      <c r="L261" s="900"/>
      <c r="M261" s="900"/>
      <c r="N261" s="900"/>
      <c r="O261" s="900"/>
      <c r="P261" s="900"/>
      <c r="Q261" s="900"/>
      <c r="R261" s="900"/>
      <c r="S261" s="900"/>
      <c r="T261" s="900"/>
      <c r="U261" s="900"/>
      <c r="V261" s="900"/>
      <c r="W261" s="900"/>
      <c r="X261" s="900"/>
      <c r="Y261" s="900"/>
      <c r="Z261" s="900"/>
      <c r="AA261" s="900"/>
      <c r="AB261" s="900"/>
    </row>
    <row r="262">
      <c r="A262" s="900"/>
      <c r="B262" s="900"/>
      <c r="C262" s="900"/>
      <c r="D262" s="900"/>
      <c r="E262" s="900"/>
      <c r="F262" s="900"/>
      <c r="G262" s="900"/>
      <c r="H262" s="900"/>
      <c r="I262" s="905"/>
      <c r="J262" s="905"/>
      <c r="K262" s="906"/>
      <c r="L262" s="900"/>
      <c r="M262" s="900"/>
      <c r="N262" s="900"/>
      <c r="O262" s="900"/>
      <c r="P262" s="900"/>
      <c r="Q262" s="900"/>
      <c r="R262" s="900"/>
      <c r="S262" s="900"/>
      <c r="T262" s="900"/>
      <c r="U262" s="900"/>
      <c r="V262" s="900"/>
      <c r="W262" s="900"/>
      <c r="X262" s="900"/>
      <c r="Y262" s="900"/>
      <c r="Z262" s="900"/>
      <c r="AA262" s="900"/>
      <c r="AB262" s="900"/>
    </row>
    <row r="263">
      <c r="A263" s="900"/>
      <c r="B263" s="900"/>
      <c r="C263" s="900"/>
      <c r="D263" s="900"/>
      <c r="E263" s="900"/>
      <c r="F263" s="900"/>
      <c r="G263" s="900"/>
      <c r="H263" s="900"/>
      <c r="I263" s="905"/>
      <c r="J263" s="905"/>
      <c r="K263" s="906"/>
      <c r="L263" s="900"/>
      <c r="M263" s="900"/>
      <c r="N263" s="900"/>
      <c r="O263" s="900"/>
      <c r="P263" s="900"/>
      <c r="Q263" s="900"/>
      <c r="R263" s="900"/>
      <c r="S263" s="900"/>
      <c r="T263" s="900"/>
      <c r="U263" s="900"/>
      <c r="V263" s="900"/>
      <c r="W263" s="900"/>
      <c r="X263" s="900"/>
      <c r="Y263" s="900"/>
      <c r="Z263" s="900"/>
      <c r="AA263" s="900"/>
      <c r="AB263" s="900"/>
    </row>
    <row r="264">
      <c r="A264" s="900"/>
      <c r="B264" s="900"/>
      <c r="C264" s="900"/>
      <c r="D264" s="900"/>
      <c r="E264" s="900"/>
      <c r="F264" s="900"/>
      <c r="G264" s="900"/>
      <c r="H264" s="900"/>
      <c r="I264" s="905"/>
      <c r="J264" s="905"/>
      <c r="K264" s="906"/>
      <c r="L264" s="900"/>
      <c r="M264" s="900"/>
      <c r="N264" s="900"/>
      <c r="O264" s="900"/>
      <c r="P264" s="900"/>
      <c r="Q264" s="900"/>
      <c r="R264" s="900"/>
      <c r="S264" s="900"/>
      <c r="T264" s="900"/>
      <c r="U264" s="900"/>
      <c r="V264" s="900"/>
      <c r="W264" s="900"/>
      <c r="X264" s="900"/>
      <c r="Y264" s="900"/>
      <c r="Z264" s="900"/>
      <c r="AA264" s="900"/>
      <c r="AB264" s="900"/>
    </row>
    <row r="265">
      <c r="A265" s="900"/>
      <c r="B265" s="900"/>
      <c r="C265" s="900"/>
      <c r="D265" s="900"/>
      <c r="E265" s="900"/>
      <c r="F265" s="900"/>
      <c r="G265" s="900"/>
      <c r="H265" s="900"/>
      <c r="I265" s="905"/>
      <c r="J265" s="905"/>
      <c r="K265" s="906"/>
      <c r="L265" s="900"/>
      <c r="M265" s="900"/>
      <c r="N265" s="900"/>
      <c r="O265" s="900"/>
      <c r="P265" s="900"/>
      <c r="Q265" s="900"/>
      <c r="R265" s="900"/>
      <c r="S265" s="900"/>
      <c r="T265" s="900"/>
      <c r="U265" s="900"/>
      <c r="V265" s="900"/>
      <c r="W265" s="900"/>
      <c r="X265" s="900"/>
      <c r="Y265" s="900"/>
      <c r="Z265" s="900"/>
      <c r="AA265" s="900"/>
      <c r="AB265" s="900"/>
    </row>
    <row r="266">
      <c r="A266" s="900"/>
      <c r="B266" s="900"/>
      <c r="C266" s="900"/>
      <c r="D266" s="900"/>
      <c r="E266" s="900"/>
      <c r="F266" s="900"/>
      <c r="G266" s="900"/>
      <c r="H266" s="900"/>
      <c r="I266" s="905"/>
      <c r="J266" s="905"/>
      <c r="K266" s="906"/>
      <c r="L266" s="900"/>
      <c r="M266" s="900"/>
      <c r="N266" s="900"/>
      <c r="O266" s="900"/>
      <c r="P266" s="900"/>
      <c r="Q266" s="900"/>
      <c r="R266" s="900"/>
      <c r="S266" s="900"/>
      <c r="T266" s="900"/>
      <c r="U266" s="900"/>
      <c r="V266" s="900"/>
      <c r="W266" s="900"/>
      <c r="X266" s="900"/>
      <c r="Y266" s="900"/>
      <c r="Z266" s="900"/>
      <c r="AA266" s="900"/>
      <c r="AB266" s="900"/>
    </row>
    <row r="267">
      <c r="A267" s="900"/>
      <c r="B267" s="900"/>
      <c r="C267" s="900"/>
      <c r="D267" s="900"/>
      <c r="E267" s="900"/>
      <c r="F267" s="900"/>
      <c r="G267" s="900"/>
      <c r="H267" s="900"/>
      <c r="I267" s="905"/>
      <c r="J267" s="905"/>
      <c r="K267" s="906"/>
      <c r="L267" s="900"/>
      <c r="M267" s="900"/>
      <c r="N267" s="900"/>
      <c r="O267" s="900"/>
      <c r="P267" s="900"/>
      <c r="Q267" s="900"/>
      <c r="R267" s="900"/>
      <c r="S267" s="900"/>
      <c r="T267" s="900"/>
      <c r="U267" s="900"/>
      <c r="V267" s="900"/>
      <c r="W267" s="900"/>
      <c r="X267" s="900"/>
      <c r="Y267" s="900"/>
      <c r="Z267" s="900"/>
      <c r="AA267" s="900"/>
      <c r="AB267" s="900"/>
    </row>
    <row r="268">
      <c r="A268" s="900"/>
      <c r="B268" s="900"/>
      <c r="C268" s="900"/>
      <c r="D268" s="900"/>
      <c r="E268" s="900"/>
      <c r="F268" s="900"/>
      <c r="G268" s="900"/>
      <c r="H268" s="900"/>
      <c r="I268" s="905"/>
      <c r="J268" s="905"/>
      <c r="K268" s="906"/>
      <c r="L268" s="900"/>
      <c r="M268" s="900"/>
      <c r="N268" s="900"/>
      <c r="O268" s="900"/>
      <c r="P268" s="900"/>
      <c r="Q268" s="900"/>
      <c r="R268" s="900"/>
      <c r="S268" s="900"/>
      <c r="T268" s="900"/>
      <c r="U268" s="900"/>
      <c r="V268" s="900"/>
      <c r="W268" s="900"/>
      <c r="X268" s="900"/>
      <c r="Y268" s="900"/>
      <c r="Z268" s="900"/>
      <c r="AA268" s="900"/>
      <c r="AB268" s="900"/>
    </row>
    <row r="269">
      <c r="A269" s="900"/>
      <c r="B269" s="900"/>
      <c r="C269" s="900"/>
      <c r="D269" s="900"/>
      <c r="E269" s="900"/>
      <c r="F269" s="900"/>
      <c r="G269" s="900"/>
      <c r="H269" s="900"/>
      <c r="I269" s="905"/>
      <c r="J269" s="905"/>
      <c r="K269" s="906"/>
      <c r="L269" s="900"/>
      <c r="M269" s="900"/>
      <c r="N269" s="900"/>
      <c r="O269" s="900"/>
      <c r="P269" s="900"/>
      <c r="Q269" s="900"/>
      <c r="R269" s="900"/>
      <c r="S269" s="900"/>
      <c r="T269" s="900"/>
      <c r="U269" s="900"/>
      <c r="V269" s="900"/>
      <c r="W269" s="900"/>
      <c r="X269" s="900"/>
      <c r="Y269" s="900"/>
      <c r="Z269" s="900"/>
      <c r="AA269" s="900"/>
      <c r="AB269" s="900"/>
    </row>
    <row r="270">
      <c r="A270" s="900"/>
      <c r="B270" s="900"/>
      <c r="C270" s="900"/>
      <c r="D270" s="900"/>
      <c r="E270" s="900"/>
      <c r="F270" s="900"/>
      <c r="G270" s="900"/>
      <c r="H270" s="900"/>
      <c r="I270" s="905"/>
      <c r="J270" s="905"/>
      <c r="K270" s="906"/>
      <c r="L270" s="900"/>
      <c r="M270" s="900"/>
      <c r="N270" s="900"/>
      <c r="O270" s="900"/>
      <c r="P270" s="900"/>
      <c r="Q270" s="900"/>
      <c r="R270" s="900"/>
      <c r="S270" s="900"/>
      <c r="T270" s="900"/>
      <c r="U270" s="900"/>
      <c r="V270" s="900"/>
      <c r="W270" s="900"/>
      <c r="X270" s="900"/>
      <c r="Y270" s="900"/>
      <c r="Z270" s="900"/>
      <c r="AA270" s="900"/>
      <c r="AB270" s="900"/>
    </row>
    <row r="271">
      <c r="A271" s="900"/>
      <c r="B271" s="900"/>
      <c r="C271" s="900"/>
      <c r="D271" s="900"/>
      <c r="E271" s="900"/>
      <c r="F271" s="900"/>
      <c r="G271" s="900"/>
      <c r="H271" s="900"/>
      <c r="I271" s="905"/>
      <c r="J271" s="905"/>
      <c r="K271" s="906"/>
      <c r="L271" s="900"/>
      <c r="M271" s="900"/>
      <c r="N271" s="900"/>
      <c r="O271" s="900"/>
      <c r="P271" s="900"/>
      <c r="Q271" s="900"/>
      <c r="R271" s="900"/>
      <c r="S271" s="900"/>
      <c r="T271" s="900"/>
      <c r="U271" s="900"/>
      <c r="V271" s="900"/>
      <c r="W271" s="900"/>
      <c r="X271" s="900"/>
      <c r="Y271" s="900"/>
      <c r="Z271" s="900"/>
      <c r="AA271" s="900"/>
      <c r="AB271" s="900"/>
    </row>
    <row r="272">
      <c r="A272" s="900"/>
      <c r="B272" s="900"/>
      <c r="C272" s="900"/>
      <c r="D272" s="900"/>
      <c r="E272" s="900"/>
      <c r="F272" s="900"/>
      <c r="G272" s="900"/>
      <c r="H272" s="900"/>
      <c r="I272" s="905"/>
      <c r="J272" s="905"/>
      <c r="K272" s="906"/>
      <c r="L272" s="900"/>
      <c r="M272" s="900"/>
      <c r="N272" s="900"/>
      <c r="O272" s="900"/>
      <c r="P272" s="900"/>
      <c r="Q272" s="900"/>
      <c r="R272" s="900"/>
      <c r="S272" s="900"/>
      <c r="T272" s="900"/>
      <c r="U272" s="900"/>
      <c r="V272" s="900"/>
      <c r="W272" s="900"/>
      <c r="X272" s="900"/>
      <c r="Y272" s="900"/>
      <c r="Z272" s="900"/>
      <c r="AA272" s="900"/>
      <c r="AB272" s="900"/>
    </row>
    <row r="273">
      <c r="A273" s="900"/>
      <c r="B273" s="900"/>
      <c r="C273" s="900"/>
      <c r="D273" s="900"/>
      <c r="E273" s="900"/>
      <c r="F273" s="900"/>
      <c r="G273" s="900"/>
      <c r="H273" s="900"/>
      <c r="I273" s="905"/>
      <c r="J273" s="905"/>
      <c r="K273" s="906"/>
      <c r="L273" s="900"/>
      <c r="M273" s="900"/>
      <c r="N273" s="900"/>
      <c r="O273" s="900"/>
      <c r="P273" s="900"/>
      <c r="Q273" s="900"/>
      <c r="R273" s="900"/>
      <c r="S273" s="900"/>
      <c r="T273" s="900"/>
      <c r="U273" s="900"/>
      <c r="V273" s="900"/>
      <c r="W273" s="900"/>
      <c r="X273" s="900"/>
      <c r="Y273" s="900"/>
      <c r="Z273" s="900"/>
      <c r="AA273" s="900"/>
      <c r="AB273" s="900"/>
    </row>
    <row r="274">
      <c r="A274" s="900"/>
      <c r="B274" s="900"/>
      <c r="C274" s="900"/>
      <c r="D274" s="900"/>
      <c r="E274" s="900"/>
      <c r="F274" s="900"/>
      <c r="G274" s="900"/>
      <c r="H274" s="900"/>
      <c r="I274" s="905"/>
      <c r="J274" s="905"/>
      <c r="K274" s="906"/>
      <c r="L274" s="900"/>
      <c r="M274" s="900"/>
      <c r="N274" s="900"/>
      <c r="O274" s="900"/>
      <c r="P274" s="900"/>
      <c r="Q274" s="900"/>
      <c r="R274" s="900"/>
      <c r="S274" s="900"/>
      <c r="T274" s="900"/>
      <c r="U274" s="900"/>
      <c r="V274" s="900"/>
      <c r="W274" s="900"/>
      <c r="X274" s="900"/>
      <c r="Y274" s="900"/>
      <c r="Z274" s="900"/>
      <c r="AA274" s="900"/>
      <c r="AB274" s="900"/>
    </row>
    <row r="275">
      <c r="A275" s="900"/>
      <c r="B275" s="900"/>
      <c r="C275" s="900"/>
      <c r="D275" s="900"/>
      <c r="E275" s="900"/>
      <c r="F275" s="900"/>
      <c r="G275" s="900"/>
      <c r="H275" s="900"/>
      <c r="I275" s="905"/>
      <c r="J275" s="905"/>
      <c r="K275" s="906"/>
      <c r="L275" s="900"/>
      <c r="M275" s="900"/>
      <c r="N275" s="900"/>
      <c r="O275" s="900"/>
      <c r="P275" s="900"/>
      <c r="Q275" s="900"/>
      <c r="R275" s="900"/>
      <c r="S275" s="900"/>
      <c r="T275" s="900"/>
      <c r="U275" s="900"/>
      <c r="V275" s="900"/>
      <c r="W275" s="900"/>
      <c r="X275" s="900"/>
      <c r="Y275" s="900"/>
      <c r="Z275" s="900"/>
      <c r="AA275" s="900"/>
      <c r="AB275" s="900"/>
    </row>
    <row r="276">
      <c r="A276" s="900"/>
      <c r="B276" s="900"/>
      <c r="C276" s="900"/>
      <c r="D276" s="900"/>
      <c r="E276" s="900"/>
      <c r="F276" s="900"/>
      <c r="G276" s="900"/>
      <c r="H276" s="900"/>
      <c r="I276" s="905"/>
      <c r="J276" s="905"/>
      <c r="K276" s="906"/>
      <c r="L276" s="900"/>
      <c r="M276" s="900"/>
      <c r="N276" s="900"/>
      <c r="O276" s="900"/>
      <c r="P276" s="900"/>
      <c r="Q276" s="900"/>
      <c r="R276" s="900"/>
      <c r="S276" s="900"/>
      <c r="T276" s="900"/>
      <c r="U276" s="900"/>
      <c r="V276" s="900"/>
      <c r="W276" s="900"/>
      <c r="X276" s="900"/>
      <c r="Y276" s="900"/>
      <c r="Z276" s="900"/>
      <c r="AA276" s="900"/>
      <c r="AB276" s="900"/>
    </row>
    <row r="277">
      <c r="A277" s="900"/>
      <c r="B277" s="900"/>
      <c r="C277" s="900"/>
      <c r="D277" s="900"/>
      <c r="E277" s="900"/>
      <c r="F277" s="900"/>
      <c r="G277" s="900"/>
      <c r="H277" s="900"/>
      <c r="I277" s="905"/>
      <c r="J277" s="905"/>
      <c r="K277" s="906"/>
      <c r="L277" s="900"/>
      <c r="M277" s="900"/>
      <c r="N277" s="900"/>
      <c r="O277" s="900"/>
      <c r="P277" s="900"/>
      <c r="Q277" s="900"/>
      <c r="R277" s="900"/>
      <c r="S277" s="900"/>
      <c r="T277" s="900"/>
      <c r="U277" s="900"/>
      <c r="V277" s="900"/>
      <c r="W277" s="900"/>
      <c r="X277" s="900"/>
      <c r="Y277" s="900"/>
      <c r="Z277" s="900"/>
      <c r="AA277" s="900"/>
      <c r="AB277" s="900"/>
    </row>
    <row r="278">
      <c r="A278" s="900"/>
      <c r="B278" s="900"/>
      <c r="C278" s="900"/>
      <c r="D278" s="900"/>
      <c r="E278" s="900"/>
      <c r="F278" s="900"/>
      <c r="G278" s="900"/>
      <c r="H278" s="900"/>
      <c r="I278" s="905"/>
      <c r="J278" s="905"/>
      <c r="K278" s="906"/>
      <c r="L278" s="900"/>
      <c r="M278" s="900"/>
      <c r="N278" s="900"/>
      <c r="O278" s="900"/>
      <c r="P278" s="900"/>
      <c r="Q278" s="900"/>
      <c r="R278" s="900"/>
      <c r="S278" s="900"/>
      <c r="T278" s="900"/>
      <c r="U278" s="900"/>
      <c r="V278" s="900"/>
      <c r="W278" s="900"/>
      <c r="X278" s="900"/>
      <c r="Y278" s="900"/>
      <c r="Z278" s="900"/>
      <c r="AA278" s="900"/>
      <c r="AB278" s="900"/>
    </row>
    <row r="279">
      <c r="A279" s="900"/>
      <c r="B279" s="900"/>
      <c r="C279" s="900"/>
      <c r="D279" s="900"/>
      <c r="E279" s="900"/>
      <c r="F279" s="900"/>
      <c r="G279" s="900"/>
      <c r="H279" s="900"/>
      <c r="I279" s="905"/>
      <c r="J279" s="905"/>
      <c r="K279" s="906"/>
      <c r="L279" s="900"/>
      <c r="M279" s="900"/>
      <c r="N279" s="900"/>
      <c r="O279" s="900"/>
      <c r="P279" s="900"/>
      <c r="Q279" s="900"/>
      <c r="R279" s="900"/>
      <c r="S279" s="900"/>
      <c r="T279" s="900"/>
      <c r="U279" s="900"/>
      <c r="V279" s="900"/>
      <c r="W279" s="900"/>
      <c r="X279" s="900"/>
      <c r="Y279" s="900"/>
      <c r="Z279" s="900"/>
      <c r="AA279" s="900"/>
      <c r="AB279" s="900"/>
    </row>
    <row r="280">
      <c r="A280" s="900"/>
      <c r="B280" s="900"/>
      <c r="C280" s="900"/>
      <c r="D280" s="900"/>
      <c r="E280" s="900"/>
      <c r="F280" s="900"/>
      <c r="G280" s="900"/>
      <c r="H280" s="900"/>
      <c r="I280" s="905"/>
      <c r="J280" s="905"/>
      <c r="K280" s="906"/>
      <c r="L280" s="900"/>
      <c r="M280" s="900"/>
      <c r="N280" s="900"/>
      <c r="O280" s="900"/>
      <c r="P280" s="900"/>
      <c r="Q280" s="900"/>
      <c r="R280" s="900"/>
      <c r="S280" s="900"/>
      <c r="T280" s="900"/>
      <c r="U280" s="900"/>
      <c r="V280" s="900"/>
      <c r="W280" s="900"/>
      <c r="X280" s="900"/>
      <c r="Y280" s="900"/>
      <c r="Z280" s="900"/>
      <c r="AA280" s="900"/>
      <c r="AB280" s="900"/>
    </row>
    <row r="281">
      <c r="A281" s="900"/>
      <c r="B281" s="900"/>
      <c r="C281" s="900"/>
      <c r="D281" s="900"/>
      <c r="E281" s="900"/>
      <c r="F281" s="900"/>
      <c r="G281" s="900"/>
      <c r="H281" s="900"/>
      <c r="I281" s="905"/>
      <c r="J281" s="905"/>
      <c r="K281" s="906"/>
      <c r="L281" s="900"/>
      <c r="M281" s="900"/>
      <c r="N281" s="900"/>
      <c r="O281" s="900"/>
      <c r="P281" s="900"/>
      <c r="Q281" s="900"/>
      <c r="R281" s="900"/>
      <c r="S281" s="900"/>
      <c r="T281" s="900"/>
      <c r="U281" s="900"/>
      <c r="V281" s="900"/>
      <c r="W281" s="900"/>
      <c r="X281" s="900"/>
      <c r="Y281" s="900"/>
      <c r="Z281" s="900"/>
      <c r="AA281" s="900"/>
      <c r="AB281" s="900"/>
    </row>
    <row r="282">
      <c r="A282" s="900"/>
      <c r="B282" s="900"/>
      <c r="C282" s="900"/>
      <c r="D282" s="900"/>
      <c r="E282" s="900"/>
      <c r="F282" s="900"/>
      <c r="G282" s="900"/>
      <c r="H282" s="900"/>
      <c r="I282" s="905"/>
      <c r="J282" s="905"/>
      <c r="K282" s="906"/>
      <c r="L282" s="900"/>
      <c r="M282" s="900"/>
      <c r="N282" s="900"/>
      <c r="O282" s="900"/>
      <c r="P282" s="900"/>
      <c r="Q282" s="900"/>
      <c r="R282" s="900"/>
      <c r="S282" s="900"/>
      <c r="T282" s="900"/>
      <c r="U282" s="900"/>
      <c r="V282" s="900"/>
      <c r="W282" s="900"/>
      <c r="X282" s="900"/>
      <c r="Y282" s="900"/>
      <c r="Z282" s="900"/>
      <c r="AA282" s="900"/>
      <c r="AB282" s="900"/>
    </row>
    <row r="283">
      <c r="A283" s="900"/>
      <c r="B283" s="900"/>
      <c r="C283" s="900"/>
      <c r="D283" s="900"/>
      <c r="E283" s="900"/>
      <c r="F283" s="900"/>
      <c r="G283" s="900"/>
      <c r="H283" s="900"/>
      <c r="I283" s="905"/>
      <c r="J283" s="905"/>
      <c r="K283" s="906"/>
      <c r="L283" s="900"/>
      <c r="M283" s="900"/>
      <c r="N283" s="900"/>
      <c r="O283" s="900"/>
      <c r="P283" s="900"/>
      <c r="Q283" s="900"/>
      <c r="R283" s="900"/>
      <c r="S283" s="900"/>
      <c r="T283" s="900"/>
      <c r="U283" s="900"/>
      <c r="V283" s="900"/>
      <c r="W283" s="900"/>
      <c r="X283" s="900"/>
      <c r="Y283" s="900"/>
      <c r="Z283" s="900"/>
      <c r="AA283" s="900"/>
      <c r="AB283" s="900"/>
    </row>
    <row r="284">
      <c r="A284" s="900"/>
      <c r="B284" s="900"/>
      <c r="C284" s="900"/>
      <c r="D284" s="900"/>
      <c r="E284" s="900"/>
      <c r="F284" s="900"/>
      <c r="G284" s="900"/>
      <c r="H284" s="900"/>
      <c r="I284" s="905"/>
      <c r="J284" s="905"/>
      <c r="K284" s="906"/>
      <c r="L284" s="900"/>
      <c r="M284" s="900"/>
      <c r="N284" s="900"/>
      <c r="O284" s="900"/>
      <c r="P284" s="900"/>
      <c r="Q284" s="900"/>
      <c r="R284" s="900"/>
      <c r="S284" s="900"/>
      <c r="T284" s="900"/>
      <c r="U284" s="900"/>
      <c r="V284" s="900"/>
      <c r="W284" s="900"/>
      <c r="X284" s="900"/>
      <c r="Y284" s="900"/>
      <c r="Z284" s="900"/>
      <c r="AA284" s="900"/>
      <c r="AB284" s="900"/>
    </row>
    <row r="285">
      <c r="A285" s="900"/>
      <c r="B285" s="900"/>
      <c r="C285" s="900"/>
      <c r="D285" s="900"/>
      <c r="E285" s="900"/>
      <c r="F285" s="900"/>
      <c r="G285" s="900"/>
      <c r="H285" s="900"/>
      <c r="I285" s="905"/>
      <c r="J285" s="905"/>
      <c r="K285" s="906"/>
      <c r="L285" s="900"/>
      <c r="M285" s="900"/>
      <c r="N285" s="900"/>
      <c r="O285" s="900"/>
      <c r="P285" s="900"/>
      <c r="Q285" s="900"/>
      <c r="R285" s="900"/>
      <c r="S285" s="900"/>
      <c r="T285" s="900"/>
      <c r="U285" s="900"/>
      <c r="V285" s="900"/>
      <c r="W285" s="900"/>
      <c r="X285" s="900"/>
      <c r="Y285" s="900"/>
      <c r="Z285" s="900"/>
      <c r="AA285" s="900"/>
      <c r="AB285" s="900"/>
    </row>
    <row r="286">
      <c r="A286" s="900"/>
      <c r="B286" s="900"/>
      <c r="C286" s="900"/>
      <c r="D286" s="900"/>
      <c r="E286" s="900"/>
      <c r="F286" s="900"/>
      <c r="G286" s="900"/>
      <c r="H286" s="900"/>
      <c r="I286" s="905"/>
      <c r="J286" s="905"/>
      <c r="K286" s="906"/>
      <c r="L286" s="900"/>
      <c r="M286" s="900"/>
      <c r="N286" s="900"/>
      <c r="O286" s="900"/>
      <c r="P286" s="900"/>
      <c r="Q286" s="900"/>
      <c r="R286" s="900"/>
      <c r="S286" s="900"/>
      <c r="T286" s="900"/>
      <c r="U286" s="900"/>
      <c r="V286" s="900"/>
      <c r="W286" s="900"/>
      <c r="X286" s="900"/>
      <c r="Y286" s="900"/>
      <c r="Z286" s="900"/>
      <c r="AA286" s="900"/>
      <c r="AB286" s="900"/>
    </row>
    <row r="287">
      <c r="A287" s="900"/>
      <c r="B287" s="900"/>
      <c r="C287" s="900"/>
      <c r="D287" s="900"/>
      <c r="E287" s="900"/>
      <c r="F287" s="900"/>
      <c r="G287" s="900"/>
      <c r="H287" s="900"/>
      <c r="I287" s="905"/>
      <c r="J287" s="905"/>
      <c r="K287" s="906"/>
      <c r="L287" s="900"/>
      <c r="M287" s="900"/>
      <c r="N287" s="900"/>
      <c r="O287" s="900"/>
      <c r="P287" s="900"/>
      <c r="Q287" s="900"/>
      <c r="R287" s="900"/>
      <c r="S287" s="900"/>
      <c r="T287" s="900"/>
      <c r="U287" s="900"/>
      <c r="V287" s="900"/>
      <c r="W287" s="900"/>
      <c r="X287" s="900"/>
      <c r="Y287" s="900"/>
      <c r="Z287" s="900"/>
      <c r="AA287" s="900"/>
      <c r="AB287" s="900"/>
    </row>
    <row r="288">
      <c r="A288" s="900"/>
      <c r="B288" s="900"/>
      <c r="C288" s="900"/>
      <c r="D288" s="900"/>
      <c r="E288" s="900"/>
      <c r="F288" s="900"/>
      <c r="G288" s="900"/>
      <c r="H288" s="900"/>
      <c r="I288" s="905"/>
      <c r="J288" s="905"/>
      <c r="K288" s="906"/>
      <c r="L288" s="900"/>
      <c r="M288" s="900"/>
      <c r="N288" s="900"/>
      <c r="O288" s="900"/>
      <c r="P288" s="900"/>
      <c r="Q288" s="900"/>
      <c r="R288" s="900"/>
      <c r="S288" s="900"/>
      <c r="T288" s="900"/>
      <c r="U288" s="900"/>
      <c r="V288" s="900"/>
      <c r="W288" s="900"/>
      <c r="X288" s="900"/>
      <c r="Y288" s="900"/>
      <c r="Z288" s="900"/>
      <c r="AA288" s="900"/>
      <c r="AB288" s="900"/>
    </row>
    <row r="289">
      <c r="A289" s="900"/>
      <c r="B289" s="900"/>
      <c r="C289" s="900"/>
      <c r="D289" s="900"/>
      <c r="E289" s="900"/>
      <c r="F289" s="900"/>
      <c r="G289" s="900"/>
      <c r="H289" s="900"/>
      <c r="I289" s="905"/>
      <c r="J289" s="905"/>
      <c r="K289" s="906"/>
      <c r="L289" s="900"/>
      <c r="M289" s="900"/>
      <c r="N289" s="900"/>
      <c r="O289" s="900"/>
      <c r="P289" s="900"/>
      <c r="Q289" s="900"/>
      <c r="R289" s="900"/>
      <c r="S289" s="900"/>
      <c r="T289" s="900"/>
      <c r="U289" s="900"/>
      <c r="V289" s="900"/>
      <c r="W289" s="900"/>
      <c r="X289" s="900"/>
      <c r="Y289" s="900"/>
      <c r="Z289" s="900"/>
      <c r="AA289" s="900"/>
      <c r="AB289" s="900"/>
    </row>
    <row r="290">
      <c r="A290" s="900"/>
      <c r="B290" s="900"/>
      <c r="C290" s="900"/>
      <c r="D290" s="900"/>
      <c r="E290" s="900"/>
      <c r="F290" s="900"/>
      <c r="G290" s="900"/>
      <c r="H290" s="900"/>
      <c r="I290" s="905"/>
      <c r="J290" s="905"/>
      <c r="K290" s="906"/>
      <c r="L290" s="900"/>
      <c r="M290" s="900"/>
      <c r="N290" s="900"/>
      <c r="O290" s="900"/>
      <c r="P290" s="900"/>
      <c r="Q290" s="900"/>
      <c r="R290" s="900"/>
      <c r="S290" s="900"/>
      <c r="T290" s="900"/>
      <c r="U290" s="900"/>
      <c r="V290" s="900"/>
      <c r="W290" s="900"/>
      <c r="X290" s="900"/>
      <c r="Y290" s="900"/>
      <c r="Z290" s="900"/>
      <c r="AA290" s="900"/>
      <c r="AB290" s="900"/>
    </row>
    <row r="291">
      <c r="A291" s="900"/>
      <c r="B291" s="900"/>
      <c r="C291" s="900"/>
      <c r="D291" s="900"/>
      <c r="E291" s="900"/>
      <c r="F291" s="900"/>
      <c r="G291" s="900"/>
      <c r="H291" s="900"/>
      <c r="I291" s="905"/>
      <c r="J291" s="905"/>
      <c r="K291" s="906"/>
      <c r="L291" s="900"/>
      <c r="M291" s="900"/>
      <c r="N291" s="900"/>
      <c r="O291" s="900"/>
      <c r="P291" s="900"/>
      <c r="Q291" s="900"/>
      <c r="R291" s="900"/>
      <c r="S291" s="900"/>
      <c r="T291" s="900"/>
      <c r="U291" s="900"/>
      <c r="V291" s="900"/>
      <c r="W291" s="900"/>
      <c r="X291" s="900"/>
      <c r="Y291" s="900"/>
      <c r="Z291" s="900"/>
      <c r="AA291" s="900"/>
      <c r="AB291" s="900"/>
    </row>
    <row r="292">
      <c r="A292" s="900"/>
      <c r="B292" s="900"/>
      <c r="C292" s="900"/>
      <c r="D292" s="900"/>
      <c r="E292" s="900"/>
      <c r="F292" s="900"/>
      <c r="G292" s="900"/>
      <c r="H292" s="900"/>
      <c r="I292" s="905"/>
      <c r="J292" s="905"/>
      <c r="K292" s="906"/>
      <c r="L292" s="900"/>
      <c r="M292" s="900"/>
      <c r="N292" s="900"/>
      <c r="O292" s="900"/>
      <c r="P292" s="900"/>
      <c r="Q292" s="900"/>
      <c r="R292" s="900"/>
      <c r="S292" s="900"/>
      <c r="T292" s="900"/>
      <c r="U292" s="900"/>
      <c r="V292" s="900"/>
      <c r="W292" s="900"/>
      <c r="X292" s="900"/>
      <c r="Y292" s="900"/>
      <c r="Z292" s="900"/>
      <c r="AA292" s="900"/>
      <c r="AB292" s="900"/>
    </row>
    <row r="293">
      <c r="A293" s="900"/>
      <c r="B293" s="900"/>
      <c r="C293" s="900"/>
      <c r="D293" s="900"/>
      <c r="E293" s="900"/>
      <c r="F293" s="900"/>
      <c r="G293" s="900"/>
      <c r="H293" s="900"/>
      <c r="I293" s="905"/>
      <c r="J293" s="905"/>
      <c r="K293" s="906"/>
      <c r="L293" s="900"/>
      <c r="M293" s="900"/>
      <c r="N293" s="900"/>
      <c r="O293" s="900"/>
      <c r="P293" s="900"/>
      <c r="Q293" s="900"/>
      <c r="R293" s="900"/>
      <c r="S293" s="900"/>
      <c r="T293" s="900"/>
      <c r="U293" s="900"/>
      <c r="V293" s="900"/>
      <c r="W293" s="900"/>
      <c r="X293" s="900"/>
      <c r="Y293" s="900"/>
      <c r="Z293" s="900"/>
      <c r="AA293" s="900"/>
      <c r="AB293" s="900"/>
    </row>
    <row r="294">
      <c r="A294" s="900"/>
      <c r="B294" s="900"/>
      <c r="C294" s="900"/>
      <c r="D294" s="900"/>
      <c r="E294" s="900"/>
      <c r="F294" s="900"/>
      <c r="G294" s="900"/>
      <c r="H294" s="900"/>
      <c r="I294" s="905"/>
      <c r="J294" s="905"/>
      <c r="K294" s="906"/>
      <c r="L294" s="900"/>
      <c r="M294" s="900"/>
      <c r="N294" s="900"/>
      <c r="O294" s="900"/>
      <c r="P294" s="900"/>
      <c r="Q294" s="900"/>
      <c r="R294" s="900"/>
      <c r="S294" s="900"/>
      <c r="T294" s="900"/>
      <c r="U294" s="900"/>
      <c r="V294" s="900"/>
      <c r="W294" s="900"/>
      <c r="X294" s="900"/>
      <c r="Y294" s="900"/>
      <c r="Z294" s="900"/>
      <c r="AA294" s="900"/>
      <c r="AB294" s="900"/>
    </row>
    <row r="295">
      <c r="A295" s="900"/>
      <c r="B295" s="900"/>
      <c r="C295" s="900"/>
      <c r="D295" s="900"/>
      <c r="E295" s="900"/>
      <c r="F295" s="900"/>
      <c r="G295" s="900"/>
      <c r="H295" s="900"/>
      <c r="I295" s="905"/>
      <c r="J295" s="905"/>
      <c r="K295" s="906"/>
      <c r="L295" s="900"/>
      <c r="M295" s="900"/>
      <c r="N295" s="900"/>
      <c r="O295" s="900"/>
      <c r="P295" s="900"/>
      <c r="Q295" s="900"/>
      <c r="R295" s="900"/>
      <c r="S295" s="900"/>
      <c r="T295" s="900"/>
      <c r="U295" s="900"/>
      <c r="V295" s="900"/>
      <c r="W295" s="900"/>
      <c r="X295" s="900"/>
      <c r="Y295" s="900"/>
      <c r="Z295" s="900"/>
      <c r="AA295" s="900"/>
      <c r="AB295" s="900"/>
    </row>
    <row r="296">
      <c r="A296" s="900"/>
      <c r="B296" s="900"/>
      <c r="C296" s="900"/>
      <c r="D296" s="900"/>
      <c r="E296" s="900"/>
      <c r="F296" s="900"/>
      <c r="G296" s="900"/>
      <c r="H296" s="900"/>
      <c r="I296" s="905"/>
      <c r="J296" s="905"/>
      <c r="K296" s="906"/>
      <c r="L296" s="900"/>
      <c r="M296" s="900"/>
      <c r="N296" s="900"/>
      <c r="O296" s="900"/>
      <c r="P296" s="900"/>
      <c r="Q296" s="900"/>
      <c r="R296" s="900"/>
      <c r="S296" s="900"/>
      <c r="T296" s="900"/>
      <c r="U296" s="900"/>
      <c r="V296" s="900"/>
      <c r="W296" s="900"/>
      <c r="X296" s="900"/>
      <c r="Y296" s="900"/>
      <c r="Z296" s="900"/>
      <c r="AA296" s="900"/>
      <c r="AB296" s="900"/>
    </row>
    <row r="297">
      <c r="A297" s="900"/>
      <c r="B297" s="900"/>
      <c r="C297" s="900"/>
      <c r="D297" s="900"/>
      <c r="E297" s="900"/>
      <c r="F297" s="900"/>
      <c r="G297" s="900"/>
      <c r="H297" s="900"/>
      <c r="I297" s="905"/>
      <c r="J297" s="905"/>
      <c r="K297" s="906"/>
      <c r="L297" s="900"/>
      <c r="M297" s="900"/>
      <c r="N297" s="900"/>
      <c r="O297" s="900"/>
      <c r="P297" s="900"/>
      <c r="Q297" s="900"/>
      <c r="R297" s="900"/>
      <c r="S297" s="900"/>
      <c r="T297" s="900"/>
      <c r="U297" s="900"/>
      <c r="V297" s="900"/>
      <c r="W297" s="900"/>
      <c r="X297" s="900"/>
      <c r="Y297" s="900"/>
      <c r="Z297" s="900"/>
      <c r="AA297" s="900"/>
      <c r="AB297" s="900"/>
    </row>
    <row r="298">
      <c r="A298" s="900"/>
      <c r="B298" s="900"/>
      <c r="C298" s="900"/>
      <c r="D298" s="900"/>
      <c r="E298" s="900"/>
      <c r="F298" s="900"/>
      <c r="G298" s="900"/>
      <c r="H298" s="900"/>
      <c r="I298" s="905"/>
      <c r="J298" s="905"/>
      <c r="K298" s="906"/>
      <c r="L298" s="900"/>
      <c r="M298" s="900"/>
      <c r="N298" s="900"/>
      <c r="O298" s="900"/>
      <c r="P298" s="900"/>
      <c r="Q298" s="900"/>
      <c r="R298" s="900"/>
      <c r="S298" s="900"/>
      <c r="T298" s="900"/>
      <c r="U298" s="900"/>
      <c r="V298" s="900"/>
      <c r="W298" s="900"/>
      <c r="X298" s="900"/>
      <c r="Y298" s="900"/>
      <c r="Z298" s="900"/>
      <c r="AA298" s="900"/>
      <c r="AB298" s="900"/>
    </row>
    <row r="299">
      <c r="A299" s="900"/>
      <c r="B299" s="900"/>
      <c r="C299" s="900"/>
      <c r="D299" s="900"/>
      <c r="E299" s="900"/>
      <c r="F299" s="900"/>
      <c r="G299" s="900"/>
      <c r="H299" s="900"/>
      <c r="I299" s="905"/>
      <c r="J299" s="905"/>
      <c r="K299" s="906"/>
      <c r="L299" s="900"/>
      <c r="M299" s="900"/>
      <c r="N299" s="900"/>
      <c r="O299" s="900"/>
      <c r="P299" s="900"/>
      <c r="Q299" s="900"/>
      <c r="R299" s="900"/>
      <c r="S299" s="900"/>
      <c r="T299" s="900"/>
      <c r="U299" s="900"/>
      <c r="V299" s="900"/>
      <c r="W299" s="900"/>
      <c r="X299" s="900"/>
      <c r="Y299" s="900"/>
      <c r="Z299" s="900"/>
      <c r="AA299" s="900"/>
      <c r="AB299" s="900"/>
    </row>
    <row r="300">
      <c r="A300" s="900"/>
      <c r="B300" s="900"/>
      <c r="C300" s="900"/>
      <c r="D300" s="900"/>
      <c r="E300" s="900"/>
      <c r="F300" s="900"/>
      <c r="G300" s="900"/>
      <c r="H300" s="900"/>
      <c r="I300" s="905"/>
      <c r="J300" s="905"/>
      <c r="K300" s="906"/>
      <c r="L300" s="900"/>
      <c r="M300" s="900"/>
      <c r="N300" s="900"/>
      <c r="O300" s="900"/>
      <c r="P300" s="900"/>
      <c r="Q300" s="900"/>
      <c r="R300" s="900"/>
      <c r="S300" s="900"/>
      <c r="T300" s="900"/>
      <c r="U300" s="900"/>
      <c r="V300" s="900"/>
      <c r="W300" s="900"/>
      <c r="X300" s="900"/>
      <c r="Y300" s="900"/>
      <c r="Z300" s="900"/>
      <c r="AA300" s="900"/>
      <c r="AB300" s="900"/>
    </row>
    <row r="301">
      <c r="A301" s="900"/>
      <c r="B301" s="900"/>
      <c r="C301" s="900"/>
      <c r="D301" s="900"/>
      <c r="E301" s="900"/>
      <c r="F301" s="900"/>
      <c r="G301" s="900"/>
      <c r="H301" s="900"/>
      <c r="I301" s="905"/>
      <c r="J301" s="905"/>
      <c r="K301" s="906"/>
      <c r="L301" s="900"/>
      <c r="M301" s="900"/>
      <c r="N301" s="900"/>
      <c r="O301" s="900"/>
      <c r="P301" s="900"/>
      <c r="Q301" s="900"/>
      <c r="R301" s="900"/>
      <c r="S301" s="900"/>
      <c r="T301" s="900"/>
      <c r="U301" s="900"/>
      <c r="V301" s="900"/>
      <c r="W301" s="900"/>
      <c r="X301" s="900"/>
      <c r="Y301" s="900"/>
      <c r="Z301" s="900"/>
      <c r="AA301" s="900"/>
      <c r="AB301" s="900"/>
    </row>
    <row r="302">
      <c r="A302" s="900"/>
      <c r="B302" s="900"/>
      <c r="C302" s="900"/>
      <c r="D302" s="900"/>
      <c r="E302" s="900"/>
      <c r="F302" s="900"/>
      <c r="G302" s="900"/>
      <c r="H302" s="900"/>
      <c r="I302" s="905"/>
      <c r="J302" s="905"/>
      <c r="K302" s="906"/>
      <c r="L302" s="900"/>
      <c r="M302" s="900"/>
      <c r="N302" s="900"/>
      <c r="O302" s="900"/>
      <c r="P302" s="900"/>
      <c r="Q302" s="900"/>
      <c r="R302" s="900"/>
      <c r="S302" s="900"/>
      <c r="T302" s="900"/>
      <c r="U302" s="900"/>
      <c r="V302" s="900"/>
      <c r="W302" s="900"/>
      <c r="X302" s="900"/>
      <c r="Y302" s="900"/>
      <c r="Z302" s="900"/>
      <c r="AA302" s="900"/>
      <c r="AB302" s="900"/>
    </row>
    <row r="303">
      <c r="A303" s="900"/>
      <c r="B303" s="900"/>
      <c r="C303" s="900"/>
      <c r="D303" s="900"/>
      <c r="E303" s="900"/>
      <c r="F303" s="900"/>
      <c r="G303" s="900"/>
      <c r="H303" s="900"/>
      <c r="I303" s="905"/>
      <c r="J303" s="905"/>
      <c r="K303" s="906"/>
      <c r="L303" s="900"/>
      <c r="M303" s="900"/>
      <c r="N303" s="900"/>
      <c r="O303" s="900"/>
      <c r="P303" s="900"/>
      <c r="Q303" s="900"/>
      <c r="R303" s="900"/>
      <c r="S303" s="900"/>
      <c r="T303" s="900"/>
      <c r="U303" s="900"/>
      <c r="V303" s="900"/>
      <c r="W303" s="900"/>
      <c r="X303" s="900"/>
      <c r="Y303" s="900"/>
      <c r="Z303" s="900"/>
      <c r="AA303" s="900"/>
      <c r="AB303" s="900"/>
    </row>
    <row r="304">
      <c r="A304" s="900"/>
      <c r="B304" s="900"/>
      <c r="C304" s="900"/>
      <c r="D304" s="900"/>
      <c r="E304" s="900"/>
      <c r="F304" s="900"/>
      <c r="G304" s="900"/>
      <c r="H304" s="900"/>
      <c r="I304" s="905"/>
      <c r="J304" s="905"/>
      <c r="K304" s="906"/>
      <c r="L304" s="900"/>
      <c r="M304" s="900"/>
      <c r="N304" s="900"/>
      <c r="O304" s="900"/>
      <c r="P304" s="900"/>
      <c r="Q304" s="900"/>
      <c r="R304" s="900"/>
      <c r="S304" s="900"/>
      <c r="T304" s="900"/>
      <c r="U304" s="900"/>
      <c r="V304" s="900"/>
      <c r="W304" s="900"/>
      <c r="X304" s="900"/>
      <c r="Y304" s="900"/>
      <c r="Z304" s="900"/>
      <c r="AA304" s="900"/>
      <c r="AB304" s="900"/>
    </row>
    <row r="305">
      <c r="A305" s="900"/>
      <c r="B305" s="900"/>
      <c r="C305" s="900"/>
      <c r="D305" s="900"/>
      <c r="E305" s="900"/>
      <c r="F305" s="900"/>
      <c r="G305" s="900"/>
      <c r="H305" s="900"/>
      <c r="I305" s="905"/>
      <c r="J305" s="905"/>
      <c r="K305" s="906"/>
      <c r="L305" s="900"/>
      <c r="M305" s="900"/>
      <c r="N305" s="900"/>
      <c r="O305" s="900"/>
      <c r="P305" s="900"/>
      <c r="Q305" s="900"/>
      <c r="R305" s="900"/>
      <c r="S305" s="900"/>
      <c r="T305" s="900"/>
      <c r="U305" s="900"/>
      <c r="V305" s="900"/>
      <c r="W305" s="900"/>
      <c r="X305" s="900"/>
      <c r="Y305" s="900"/>
      <c r="Z305" s="900"/>
      <c r="AA305" s="900"/>
      <c r="AB305" s="900"/>
    </row>
    <row r="306">
      <c r="A306" s="900"/>
      <c r="B306" s="900"/>
      <c r="C306" s="900"/>
      <c r="D306" s="900"/>
      <c r="E306" s="900"/>
      <c r="F306" s="900"/>
      <c r="G306" s="900"/>
      <c r="H306" s="900"/>
      <c r="I306" s="905"/>
      <c r="J306" s="905"/>
      <c r="K306" s="906"/>
      <c r="L306" s="900"/>
      <c r="M306" s="900"/>
      <c r="N306" s="900"/>
      <c r="O306" s="900"/>
      <c r="P306" s="900"/>
      <c r="Q306" s="900"/>
      <c r="R306" s="900"/>
      <c r="S306" s="900"/>
      <c r="T306" s="900"/>
      <c r="U306" s="900"/>
      <c r="V306" s="900"/>
      <c r="W306" s="900"/>
      <c r="X306" s="900"/>
      <c r="Y306" s="900"/>
      <c r="Z306" s="900"/>
      <c r="AA306" s="900"/>
      <c r="AB306" s="900"/>
    </row>
    <row r="307">
      <c r="A307" s="900"/>
      <c r="B307" s="900"/>
      <c r="C307" s="900"/>
      <c r="D307" s="900"/>
      <c r="E307" s="900"/>
      <c r="F307" s="900"/>
      <c r="G307" s="900"/>
      <c r="H307" s="900"/>
      <c r="I307" s="905"/>
      <c r="J307" s="905"/>
      <c r="K307" s="906"/>
      <c r="L307" s="900"/>
      <c r="M307" s="900"/>
      <c r="N307" s="900"/>
      <c r="O307" s="900"/>
      <c r="P307" s="900"/>
      <c r="Q307" s="900"/>
      <c r="R307" s="900"/>
      <c r="S307" s="900"/>
      <c r="T307" s="900"/>
      <c r="U307" s="900"/>
      <c r="V307" s="900"/>
      <c r="W307" s="900"/>
      <c r="X307" s="900"/>
      <c r="Y307" s="900"/>
      <c r="Z307" s="900"/>
      <c r="AA307" s="900"/>
      <c r="AB307" s="900"/>
    </row>
    <row r="308">
      <c r="A308" s="900"/>
      <c r="B308" s="900"/>
      <c r="C308" s="900"/>
      <c r="D308" s="900"/>
      <c r="E308" s="900"/>
      <c r="F308" s="900"/>
      <c r="G308" s="900"/>
      <c r="H308" s="900"/>
      <c r="I308" s="905"/>
      <c r="J308" s="905"/>
      <c r="K308" s="906"/>
      <c r="L308" s="900"/>
      <c r="M308" s="900"/>
      <c r="N308" s="900"/>
      <c r="O308" s="900"/>
      <c r="P308" s="900"/>
      <c r="Q308" s="900"/>
      <c r="R308" s="900"/>
      <c r="S308" s="900"/>
      <c r="T308" s="900"/>
      <c r="U308" s="900"/>
      <c r="V308" s="900"/>
      <c r="W308" s="900"/>
      <c r="X308" s="900"/>
      <c r="Y308" s="900"/>
      <c r="Z308" s="900"/>
      <c r="AA308" s="900"/>
      <c r="AB308" s="900"/>
    </row>
    <row r="309">
      <c r="A309" s="900"/>
      <c r="B309" s="900"/>
      <c r="C309" s="900"/>
      <c r="D309" s="900"/>
      <c r="E309" s="900"/>
      <c r="F309" s="900"/>
      <c r="G309" s="900"/>
      <c r="H309" s="900"/>
      <c r="I309" s="905"/>
      <c r="J309" s="905"/>
      <c r="K309" s="906"/>
      <c r="L309" s="900"/>
      <c r="M309" s="900"/>
      <c r="N309" s="900"/>
      <c r="O309" s="900"/>
      <c r="P309" s="900"/>
      <c r="Q309" s="900"/>
      <c r="R309" s="900"/>
      <c r="S309" s="900"/>
      <c r="T309" s="900"/>
      <c r="U309" s="900"/>
      <c r="V309" s="900"/>
      <c r="W309" s="900"/>
      <c r="X309" s="900"/>
      <c r="Y309" s="900"/>
      <c r="Z309" s="900"/>
      <c r="AA309" s="900"/>
      <c r="AB309" s="900"/>
    </row>
    <row r="310">
      <c r="A310" s="900"/>
      <c r="B310" s="900"/>
      <c r="C310" s="900"/>
      <c r="D310" s="900"/>
      <c r="E310" s="900"/>
      <c r="F310" s="900"/>
      <c r="G310" s="900"/>
      <c r="H310" s="900"/>
      <c r="I310" s="905"/>
      <c r="J310" s="905"/>
      <c r="K310" s="906"/>
      <c r="L310" s="900"/>
      <c r="M310" s="900"/>
      <c r="N310" s="900"/>
      <c r="O310" s="900"/>
      <c r="P310" s="900"/>
      <c r="Q310" s="900"/>
      <c r="R310" s="900"/>
      <c r="S310" s="900"/>
      <c r="T310" s="900"/>
      <c r="U310" s="900"/>
      <c r="V310" s="900"/>
      <c r="W310" s="900"/>
      <c r="X310" s="900"/>
      <c r="Y310" s="900"/>
      <c r="Z310" s="900"/>
      <c r="AA310" s="900"/>
      <c r="AB310" s="900"/>
    </row>
    <row r="311">
      <c r="A311" s="900"/>
      <c r="B311" s="900"/>
      <c r="C311" s="900"/>
      <c r="D311" s="900"/>
      <c r="E311" s="900"/>
      <c r="F311" s="900"/>
      <c r="G311" s="900"/>
      <c r="H311" s="900"/>
      <c r="I311" s="905"/>
      <c r="J311" s="905"/>
      <c r="K311" s="906"/>
      <c r="L311" s="900"/>
      <c r="M311" s="900"/>
      <c r="N311" s="900"/>
      <c r="O311" s="900"/>
      <c r="P311" s="900"/>
      <c r="Q311" s="900"/>
      <c r="R311" s="900"/>
      <c r="S311" s="900"/>
      <c r="T311" s="900"/>
      <c r="U311" s="900"/>
      <c r="V311" s="900"/>
      <c r="W311" s="900"/>
      <c r="X311" s="900"/>
      <c r="Y311" s="900"/>
      <c r="Z311" s="900"/>
      <c r="AA311" s="900"/>
      <c r="AB311" s="900"/>
    </row>
    <row r="312">
      <c r="A312" s="900"/>
      <c r="B312" s="900"/>
      <c r="C312" s="900"/>
      <c r="D312" s="900"/>
      <c r="E312" s="900"/>
      <c r="F312" s="900"/>
      <c r="G312" s="900"/>
      <c r="H312" s="900"/>
      <c r="I312" s="905"/>
      <c r="J312" s="905"/>
      <c r="K312" s="906"/>
      <c r="L312" s="900"/>
      <c r="M312" s="900"/>
      <c r="N312" s="900"/>
      <c r="O312" s="900"/>
      <c r="P312" s="900"/>
      <c r="Q312" s="900"/>
      <c r="R312" s="900"/>
      <c r="S312" s="900"/>
      <c r="T312" s="900"/>
      <c r="U312" s="900"/>
      <c r="V312" s="900"/>
      <c r="W312" s="900"/>
      <c r="X312" s="900"/>
      <c r="Y312" s="900"/>
      <c r="Z312" s="900"/>
      <c r="AA312" s="900"/>
      <c r="AB312" s="900"/>
    </row>
    <row r="313">
      <c r="A313" s="900"/>
      <c r="B313" s="900"/>
      <c r="C313" s="900"/>
      <c r="D313" s="900"/>
      <c r="E313" s="900"/>
      <c r="F313" s="900"/>
      <c r="G313" s="900"/>
      <c r="H313" s="900"/>
      <c r="I313" s="905"/>
      <c r="J313" s="905"/>
      <c r="K313" s="906"/>
      <c r="L313" s="900"/>
      <c r="M313" s="900"/>
      <c r="N313" s="900"/>
      <c r="O313" s="900"/>
      <c r="P313" s="900"/>
      <c r="Q313" s="900"/>
      <c r="R313" s="900"/>
      <c r="S313" s="900"/>
      <c r="T313" s="900"/>
      <c r="U313" s="900"/>
      <c r="V313" s="900"/>
      <c r="W313" s="900"/>
      <c r="X313" s="900"/>
      <c r="Y313" s="900"/>
      <c r="Z313" s="900"/>
      <c r="AA313" s="900"/>
      <c r="AB313" s="900"/>
    </row>
    <row r="314">
      <c r="A314" s="900"/>
      <c r="B314" s="900"/>
      <c r="C314" s="900"/>
      <c r="D314" s="900"/>
      <c r="E314" s="900"/>
      <c r="F314" s="900"/>
      <c r="G314" s="900"/>
      <c r="H314" s="900"/>
      <c r="I314" s="905"/>
      <c r="J314" s="905"/>
      <c r="K314" s="906"/>
      <c r="L314" s="900"/>
      <c r="M314" s="900"/>
      <c r="N314" s="900"/>
      <c r="O314" s="900"/>
      <c r="P314" s="900"/>
      <c r="Q314" s="900"/>
      <c r="R314" s="900"/>
      <c r="S314" s="900"/>
      <c r="T314" s="900"/>
      <c r="U314" s="900"/>
      <c r="V314" s="900"/>
      <c r="W314" s="900"/>
      <c r="X314" s="900"/>
      <c r="Y314" s="900"/>
      <c r="Z314" s="900"/>
      <c r="AA314" s="900"/>
      <c r="AB314" s="900"/>
    </row>
    <row r="315">
      <c r="A315" s="900"/>
      <c r="B315" s="900"/>
      <c r="C315" s="900"/>
      <c r="D315" s="900"/>
      <c r="E315" s="900"/>
      <c r="F315" s="900"/>
      <c r="G315" s="900"/>
      <c r="H315" s="900"/>
      <c r="I315" s="905"/>
      <c r="J315" s="905"/>
      <c r="K315" s="906"/>
      <c r="L315" s="900"/>
      <c r="M315" s="900"/>
      <c r="N315" s="900"/>
      <c r="O315" s="900"/>
      <c r="P315" s="900"/>
      <c r="Q315" s="900"/>
      <c r="R315" s="900"/>
      <c r="S315" s="900"/>
      <c r="T315" s="900"/>
      <c r="U315" s="900"/>
      <c r="V315" s="900"/>
      <c r="W315" s="900"/>
      <c r="X315" s="900"/>
      <c r="Y315" s="900"/>
      <c r="Z315" s="900"/>
      <c r="AA315" s="900"/>
      <c r="AB315" s="900"/>
    </row>
    <row r="316">
      <c r="A316" s="900"/>
      <c r="B316" s="900"/>
      <c r="C316" s="900"/>
      <c r="D316" s="900"/>
      <c r="E316" s="900"/>
      <c r="F316" s="900"/>
      <c r="G316" s="900"/>
      <c r="H316" s="900"/>
      <c r="I316" s="905"/>
      <c r="J316" s="905"/>
      <c r="K316" s="906"/>
      <c r="L316" s="900"/>
      <c r="M316" s="900"/>
      <c r="N316" s="900"/>
      <c r="O316" s="900"/>
      <c r="P316" s="900"/>
      <c r="Q316" s="900"/>
      <c r="R316" s="900"/>
      <c r="S316" s="900"/>
      <c r="T316" s="900"/>
      <c r="U316" s="900"/>
      <c r="V316" s="900"/>
      <c r="W316" s="900"/>
      <c r="X316" s="900"/>
      <c r="Y316" s="900"/>
      <c r="Z316" s="900"/>
      <c r="AA316" s="900"/>
      <c r="AB316" s="900"/>
    </row>
    <row r="317">
      <c r="A317" s="900"/>
      <c r="B317" s="900"/>
      <c r="C317" s="900"/>
      <c r="D317" s="900"/>
      <c r="E317" s="900"/>
      <c r="F317" s="900"/>
      <c r="G317" s="900"/>
      <c r="H317" s="900"/>
      <c r="I317" s="905"/>
      <c r="J317" s="905"/>
      <c r="K317" s="906"/>
      <c r="L317" s="900"/>
      <c r="M317" s="900"/>
      <c r="N317" s="900"/>
      <c r="O317" s="900"/>
      <c r="P317" s="900"/>
      <c r="Q317" s="900"/>
      <c r="R317" s="900"/>
      <c r="S317" s="900"/>
      <c r="T317" s="900"/>
      <c r="U317" s="900"/>
      <c r="V317" s="900"/>
      <c r="W317" s="900"/>
      <c r="X317" s="900"/>
      <c r="Y317" s="900"/>
      <c r="Z317" s="900"/>
      <c r="AA317" s="900"/>
      <c r="AB317" s="900"/>
    </row>
    <row r="318">
      <c r="A318" s="900"/>
      <c r="B318" s="900"/>
      <c r="C318" s="900"/>
      <c r="D318" s="900"/>
      <c r="E318" s="900"/>
      <c r="F318" s="900"/>
      <c r="G318" s="900"/>
      <c r="H318" s="900"/>
      <c r="I318" s="905"/>
      <c r="J318" s="905"/>
      <c r="K318" s="906"/>
      <c r="L318" s="900"/>
      <c r="M318" s="900"/>
      <c r="N318" s="900"/>
      <c r="O318" s="900"/>
      <c r="P318" s="900"/>
      <c r="Q318" s="900"/>
      <c r="R318" s="900"/>
      <c r="S318" s="900"/>
      <c r="T318" s="900"/>
      <c r="U318" s="900"/>
      <c r="V318" s="900"/>
      <c r="W318" s="900"/>
      <c r="X318" s="900"/>
      <c r="Y318" s="900"/>
      <c r="Z318" s="900"/>
      <c r="AA318" s="900"/>
      <c r="AB318" s="900"/>
    </row>
    <row r="319">
      <c r="A319" s="900"/>
      <c r="B319" s="900"/>
      <c r="C319" s="900"/>
      <c r="D319" s="900"/>
      <c r="E319" s="900"/>
      <c r="F319" s="900"/>
      <c r="G319" s="900"/>
      <c r="H319" s="900"/>
      <c r="I319" s="905"/>
      <c r="J319" s="905"/>
      <c r="K319" s="906"/>
      <c r="L319" s="900"/>
      <c r="M319" s="900"/>
      <c r="N319" s="900"/>
      <c r="O319" s="900"/>
      <c r="P319" s="900"/>
      <c r="Q319" s="900"/>
      <c r="R319" s="900"/>
      <c r="S319" s="900"/>
      <c r="T319" s="900"/>
      <c r="U319" s="900"/>
      <c r="V319" s="900"/>
      <c r="W319" s="900"/>
      <c r="X319" s="900"/>
      <c r="Y319" s="900"/>
      <c r="Z319" s="900"/>
      <c r="AA319" s="900"/>
      <c r="AB319" s="900"/>
    </row>
    <row r="320">
      <c r="A320" s="900"/>
      <c r="B320" s="900"/>
      <c r="C320" s="900"/>
      <c r="D320" s="900"/>
      <c r="E320" s="900"/>
      <c r="F320" s="900"/>
      <c r="G320" s="900"/>
      <c r="H320" s="900"/>
      <c r="I320" s="905"/>
      <c r="J320" s="905"/>
      <c r="K320" s="906"/>
      <c r="L320" s="900"/>
      <c r="M320" s="900"/>
      <c r="N320" s="900"/>
      <c r="O320" s="900"/>
      <c r="P320" s="900"/>
      <c r="Q320" s="900"/>
      <c r="R320" s="900"/>
      <c r="S320" s="900"/>
      <c r="T320" s="900"/>
      <c r="U320" s="900"/>
      <c r="V320" s="900"/>
      <c r="W320" s="900"/>
      <c r="X320" s="900"/>
      <c r="Y320" s="900"/>
      <c r="Z320" s="900"/>
      <c r="AA320" s="900"/>
      <c r="AB320" s="900"/>
    </row>
    <row r="321">
      <c r="A321" s="900"/>
      <c r="B321" s="900"/>
      <c r="C321" s="900"/>
      <c r="D321" s="900"/>
      <c r="E321" s="900"/>
      <c r="F321" s="900"/>
      <c r="G321" s="900"/>
      <c r="H321" s="900"/>
      <c r="I321" s="905"/>
      <c r="J321" s="905"/>
      <c r="K321" s="906"/>
      <c r="L321" s="900"/>
      <c r="M321" s="900"/>
      <c r="N321" s="900"/>
      <c r="O321" s="900"/>
      <c r="P321" s="900"/>
      <c r="Q321" s="900"/>
      <c r="R321" s="900"/>
      <c r="S321" s="900"/>
      <c r="T321" s="900"/>
      <c r="U321" s="900"/>
      <c r="V321" s="900"/>
      <c r="W321" s="900"/>
      <c r="X321" s="900"/>
      <c r="Y321" s="900"/>
      <c r="Z321" s="900"/>
      <c r="AA321" s="900"/>
      <c r="AB321" s="900"/>
    </row>
    <row r="322">
      <c r="A322" s="900"/>
      <c r="B322" s="900"/>
      <c r="C322" s="900"/>
      <c r="D322" s="900"/>
      <c r="E322" s="900"/>
      <c r="F322" s="900"/>
      <c r="G322" s="900"/>
      <c r="H322" s="900"/>
      <c r="I322" s="905"/>
      <c r="J322" s="905"/>
      <c r="K322" s="906"/>
      <c r="L322" s="900"/>
      <c r="M322" s="900"/>
      <c r="N322" s="900"/>
      <c r="O322" s="900"/>
      <c r="P322" s="900"/>
      <c r="Q322" s="900"/>
      <c r="R322" s="900"/>
      <c r="S322" s="900"/>
      <c r="T322" s="900"/>
      <c r="U322" s="900"/>
      <c r="V322" s="900"/>
      <c r="W322" s="900"/>
      <c r="X322" s="900"/>
      <c r="Y322" s="900"/>
      <c r="Z322" s="900"/>
      <c r="AA322" s="900"/>
      <c r="AB322" s="900"/>
    </row>
    <row r="323">
      <c r="A323" s="900"/>
      <c r="B323" s="900"/>
      <c r="C323" s="900"/>
      <c r="D323" s="900"/>
      <c r="E323" s="900"/>
      <c r="F323" s="900"/>
      <c r="G323" s="900"/>
      <c r="H323" s="900"/>
      <c r="I323" s="905"/>
      <c r="J323" s="905"/>
      <c r="K323" s="906"/>
      <c r="L323" s="900"/>
      <c r="M323" s="900"/>
      <c r="N323" s="900"/>
      <c r="O323" s="900"/>
      <c r="P323" s="900"/>
      <c r="Q323" s="900"/>
      <c r="R323" s="900"/>
      <c r="S323" s="900"/>
      <c r="T323" s="900"/>
      <c r="U323" s="900"/>
      <c r="V323" s="900"/>
      <c r="W323" s="900"/>
      <c r="X323" s="900"/>
      <c r="Y323" s="900"/>
      <c r="Z323" s="900"/>
      <c r="AA323" s="900"/>
      <c r="AB323" s="900"/>
    </row>
    <row r="324">
      <c r="A324" s="900"/>
      <c r="B324" s="900"/>
      <c r="C324" s="900"/>
      <c r="D324" s="900"/>
      <c r="E324" s="900"/>
      <c r="F324" s="900"/>
      <c r="G324" s="900"/>
      <c r="H324" s="900"/>
      <c r="I324" s="905"/>
      <c r="J324" s="905"/>
      <c r="K324" s="906"/>
      <c r="L324" s="900"/>
      <c r="M324" s="900"/>
      <c r="N324" s="900"/>
      <c r="O324" s="900"/>
      <c r="P324" s="900"/>
      <c r="Q324" s="900"/>
      <c r="R324" s="900"/>
      <c r="S324" s="900"/>
      <c r="T324" s="900"/>
      <c r="U324" s="900"/>
      <c r="V324" s="900"/>
      <c r="W324" s="900"/>
      <c r="X324" s="900"/>
      <c r="Y324" s="900"/>
      <c r="Z324" s="900"/>
      <c r="AA324" s="900"/>
      <c r="AB324" s="900"/>
    </row>
    <row r="325">
      <c r="A325" s="900"/>
      <c r="B325" s="900"/>
      <c r="C325" s="900"/>
      <c r="D325" s="900"/>
      <c r="E325" s="900"/>
      <c r="F325" s="900"/>
      <c r="G325" s="900"/>
      <c r="H325" s="900"/>
      <c r="I325" s="905"/>
      <c r="J325" s="905"/>
      <c r="K325" s="906"/>
      <c r="L325" s="900"/>
      <c r="M325" s="900"/>
      <c r="N325" s="900"/>
      <c r="O325" s="900"/>
      <c r="P325" s="900"/>
      <c r="Q325" s="900"/>
      <c r="R325" s="900"/>
      <c r="S325" s="900"/>
      <c r="T325" s="900"/>
      <c r="U325" s="900"/>
      <c r="V325" s="900"/>
      <c r="W325" s="900"/>
      <c r="X325" s="900"/>
      <c r="Y325" s="900"/>
      <c r="Z325" s="900"/>
      <c r="AA325" s="900"/>
      <c r="AB325" s="900"/>
    </row>
    <row r="326">
      <c r="A326" s="900"/>
      <c r="B326" s="900"/>
      <c r="C326" s="900"/>
      <c r="D326" s="900"/>
      <c r="E326" s="900"/>
      <c r="F326" s="900"/>
      <c r="G326" s="900"/>
      <c r="H326" s="900"/>
      <c r="I326" s="905"/>
      <c r="J326" s="905"/>
      <c r="K326" s="906"/>
      <c r="L326" s="900"/>
      <c r="M326" s="900"/>
      <c r="N326" s="900"/>
      <c r="O326" s="900"/>
      <c r="P326" s="900"/>
      <c r="Q326" s="900"/>
      <c r="R326" s="900"/>
      <c r="S326" s="900"/>
      <c r="T326" s="900"/>
      <c r="U326" s="900"/>
      <c r="V326" s="900"/>
      <c r="W326" s="900"/>
      <c r="X326" s="900"/>
      <c r="Y326" s="900"/>
      <c r="Z326" s="900"/>
      <c r="AA326" s="900"/>
      <c r="AB326" s="900"/>
    </row>
    <row r="327">
      <c r="A327" s="900"/>
      <c r="B327" s="900"/>
      <c r="C327" s="900"/>
      <c r="D327" s="900"/>
      <c r="E327" s="900"/>
      <c r="F327" s="900"/>
      <c r="G327" s="900"/>
      <c r="H327" s="900"/>
      <c r="I327" s="905"/>
      <c r="J327" s="905"/>
      <c r="K327" s="906"/>
      <c r="L327" s="900"/>
      <c r="M327" s="900"/>
      <c r="N327" s="900"/>
      <c r="O327" s="900"/>
      <c r="P327" s="900"/>
      <c r="Q327" s="900"/>
      <c r="R327" s="900"/>
      <c r="S327" s="900"/>
      <c r="T327" s="900"/>
      <c r="U327" s="900"/>
      <c r="V327" s="900"/>
      <c r="W327" s="900"/>
      <c r="X327" s="900"/>
      <c r="Y327" s="900"/>
      <c r="Z327" s="900"/>
      <c r="AA327" s="900"/>
      <c r="AB327" s="900"/>
    </row>
    <row r="328">
      <c r="A328" s="900"/>
      <c r="B328" s="900"/>
      <c r="C328" s="900"/>
      <c r="D328" s="900"/>
      <c r="E328" s="900"/>
      <c r="F328" s="900"/>
      <c r="G328" s="900"/>
      <c r="H328" s="900"/>
      <c r="I328" s="905"/>
      <c r="J328" s="905"/>
      <c r="K328" s="906"/>
      <c r="L328" s="900"/>
      <c r="M328" s="900"/>
      <c r="N328" s="900"/>
      <c r="O328" s="900"/>
      <c r="P328" s="900"/>
      <c r="Q328" s="900"/>
      <c r="R328" s="900"/>
      <c r="S328" s="900"/>
      <c r="T328" s="900"/>
      <c r="U328" s="900"/>
      <c r="V328" s="900"/>
      <c r="W328" s="900"/>
      <c r="X328" s="900"/>
      <c r="Y328" s="900"/>
      <c r="Z328" s="900"/>
      <c r="AA328" s="900"/>
      <c r="AB328" s="900"/>
    </row>
    <row r="329">
      <c r="A329" s="900"/>
      <c r="B329" s="900"/>
      <c r="C329" s="900"/>
      <c r="D329" s="900"/>
      <c r="E329" s="900"/>
      <c r="F329" s="900"/>
      <c r="G329" s="900"/>
      <c r="H329" s="900"/>
      <c r="I329" s="905"/>
      <c r="J329" s="905"/>
      <c r="K329" s="906"/>
      <c r="L329" s="900"/>
      <c r="M329" s="900"/>
      <c r="N329" s="900"/>
      <c r="O329" s="900"/>
      <c r="P329" s="900"/>
      <c r="Q329" s="900"/>
      <c r="R329" s="900"/>
      <c r="S329" s="900"/>
      <c r="T329" s="900"/>
      <c r="U329" s="900"/>
      <c r="V329" s="900"/>
      <c r="W329" s="900"/>
      <c r="X329" s="900"/>
      <c r="Y329" s="900"/>
      <c r="Z329" s="900"/>
      <c r="AA329" s="900"/>
      <c r="AB329" s="900"/>
    </row>
    <row r="330">
      <c r="A330" s="900"/>
      <c r="B330" s="900"/>
      <c r="C330" s="900"/>
      <c r="D330" s="900"/>
      <c r="E330" s="900"/>
      <c r="F330" s="900"/>
      <c r="G330" s="900"/>
      <c r="H330" s="900"/>
      <c r="I330" s="905"/>
      <c r="J330" s="905"/>
      <c r="K330" s="906"/>
      <c r="L330" s="900"/>
      <c r="M330" s="900"/>
      <c r="N330" s="900"/>
      <c r="O330" s="900"/>
      <c r="P330" s="900"/>
      <c r="Q330" s="900"/>
      <c r="R330" s="900"/>
      <c r="S330" s="900"/>
      <c r="T330" s="900"/>
      <c r="U330" s="900"/>
      <c r="V330" s="900"/>
      <c r="W330" s="900"/>
      <c r="X330" s="900"/>
      <c r="Y330" s="900"/>
      <c r="Z330" s="900"/>
      <c r="AA330" s="900"/>
      <c r="AB330" s="900"/>
    </row>
    <row r="331">
      <c r="A331" s="900"/>
      <c r="B331" s="900"/>
      <c r="C331" s="900"/>
      <c r="D331" s="900"/>
      <c r="E331" s="900"/>
      <c r="F331" s="900"/>
      <c r="G331" s="900"/>
      <c r="H331" s="900"/>
      <c r="I331" s="905"/>
      <c r="J331" s="905"/>
      <c r="K331" s="906"/>
      <c r="L331" s="900"/>
      <c r="M331" s="900"/>
      <c r="N331" s="900"/>
      <c r="O331" s="900"/>
      <c r="P331" s="900"/>
      <c r="Q331" s="900"/>
      <c r="R331" s="900"/>
      <c r="S331" s="900"/>
      <c r="T331" s="900"/>
      <c r="U331" s="900"/>
      <c r="V331" s="900"/>
      <c r="W331" s="900"/>
      <c r="X331" s="900"/>
      <c r="Y331" s="900"/>
      <c r="Z331" s="900"/>
      <c r="AA331" s="900"/>
      <c r="AB331" s="900"/>
    </row>
    <row r="332">
      <c r="A332" s="900"/>
      <c r="B332" s="900"/>
      <c r="C332" s="900"/>
      <c r="D332" s="900"/>
      <c r="E332" s="900"/>
      <c r="F332" s="900"/>
      <c r="G332" s="900"/>
      <c r="H332" s="900"/>
      <c r="I332" s="905"/>
      <c r="J332" s="905"/>
      <c r="K332" s="906"/>
      <c r="L332" s="900"/>
      <c r="M332" s="900"/>
      <c r="N332" s="900"/>
      <c r="O332" s="900"/>
      <c r="P332" s="900"/>
      <c r="Q332" s="900"/>
      <c r="R332" s="900"/>
      <c r="S332" s="900"/>
      <c r="T332" s="900"/>
      <c r="U332" s="900"/>
      <c r="V332" s="900"/>
      <c r="W332" s="900"/>
      <c r="X332" s="900"/>
      <c r="Y332" s="900"/>
      <c r="Z332" s="900"/>
      <c r="AA332" s="900"/>
      <c r="AB332" s="900"/>
    </row>
    <row r="333">
      <c r="A333" s="900"/>
      <c r="B333" s="900"/>
      <c r="C333" s="900"/>
      <c r="D333" s="900"/>
      <c r="E333" s="900"/>
      <c r="F333" s="900"/>
      <c r="G333" s="900"/>
      <c r="H333" s="900"/>
      <c r="I333" s="905"/>
      <c r="J333" s="905"/>
      <c r="K333" s="906"/>
      <c r="L333" s="900"/>
      <c r="M333" s="900"/>
      <c r="N333" s="900"/>
      <c r="O333" s="900"/>
      <c r="P333" s="900"/>
      <c r="Q333" s="900"/>
      <c r="R333" s="900"/>
      <c r="S333" s="900"/>
      <c r="T333" s="900"/>
      <c r="U333" s="900"/>
      <c r="V333" s="900"/>
      <c r="W333" s="900"/>
      <c r="X333" s="900"/>
      <c r="Y333" s="900"/>
      <c r="Z333" s="900"/>
      <c r="AA333" s="900"/>
      <c r="AB333" s="900"/>
    </row>
    <row r="334">
      <c r="A334" s="900"/>
      <c r="B334" s="900"/>
      <c r="C334" s="900"/>
      <c r="D334" s="900"/>
      <c r="E334" s="900"/>
      <c r="F334" s="900"/>
      <c r="G334" s="900"/>
      <c r="H334" s="900"/>
      <c r="I334" s="905"/>
      <c r="J334" s="905"/>
      <c r="K334" s="906"/>
      <c r="L334" s="900"/>
      <c r="M334" s="900"/>
      <c r="N334" s="900"/>
      <c r="O334" s="900"/>
      <c r="P334" s="900"/>
      <c r="Q334" s="900"/>
      <c r="R334" s="900"/>
      <c r="S334" s="900"/>
      <c r="T334" s="900"/>
      <c r="U334" s="900"/>
      <c r="V334" s="900"/>
      <c r="W334" s="900"/>
      <c r="X334" s="900"/>
      <c r="Y334" s="900"/>
      <c r="Z334" s="900"/>
      <c r="AA334" s="900"/>
      <c r="AB334" s="900"/>
    </row>
    <row r="335">
      <c r="A335" s="900"/>
      <c r="B335" s="900"/>
      <c r="C335" s="900"/>
      <c r="D335" s="900"/>
      <c r="E335" s="900"/>
      <c r="F335" s="900"/>
      <c r="G335" s="900"/>
      <c r="H335" s="900"/>
      <c r="I335" s="905"/>
      <c r="J335" s="905"/>
      <c r="K335" s="906"/>
      <c r="L335" s="900"/>
      <c r="M335" s="900"/>
      <c r="N335" s="900"/>
      <c r="O335" s="900"/>
      <c r="P335" s="900"/>
      <c r="Q335" s="900"/>
      <c r="R335" s="900"/>
      <c r="S335" s="900"/>
      <c r="T335" s="900"/>
      <c r="U335" s="900"/>
      <c r="V335" s="900"/>
      <c r="W335" s="900"/>
      <c r="X335" s="900"/>
      <c r="Y335" s="900"/>
      <c r="Z335" s="900"/>
      <c r="AA335" s="900"/>
      <c r="AB335" s="900"/>
    </row>
    <row r="336">
      <c r="A336" s="900"/>
      <c r="B336" s="900"/>
      <c r="C336" s="900"/>
      <c r="D336" s="900"/>
      <c r="E336" s="900"/>
      <c r="F336" s="900"/>
      <c r="G336" s="900"/>
      <c r="H336" s="900"/>
      <c r="I336" s="905"/>
      <c r="J336" s="905"/>
      <c r="K336" s="906"/>
      <c r="L336" s="900"/>
      <c r="M336" s="900"/>
      <c r="N336" s="900"/>
      <c r="O336" s="900"/>
      <c r="P336" s="900"/>
      <c r="Q336" s="900"/>
      <c r="R336" s="900"/>
      <c r="S336" s="900"/>
      <c r="T336" s="900"/>
      <c r="U336" s="900"/>
      <c r="V336" s="900"/>
      <c r="W336" s="900"/>
      <c r="X336" s="900"/>
      <c r="Y336" s="900"/>
      <c r="Z336" s="900"/>
      <c r="AA336" s="900"/>
      <c r="AB336" s="900"/>
    </row>
    <row r="337">
      <c r="A337" s="900"/>
      <c r="B337" s="900"/>
      <c r="C337" s="900"/>
      <c r="D337" s="900"/>
      <c r="E337" s="900"/>
      <c r="F337" s="900"/>
      <c r="G337" s="900"/>
      <c r="H337" s="900"/>
      <c r="I337" s="905"/>
      <c r="J337" s="905"/>
      <c r="K337" s="906"/>
      <c r="L337" s="900"/>
      <c r="M337" s="900"/>
      <c r="N337" s="900"/>
      <c r="O337" s="900"/>
      <c r="P337" s="900"/>
      <c r="Q337" s="900"/>
      <c r="R337" s="900"/>
      <c r="S337" s="900"/>
      <c r="T337" s="900"/>
      <c r="U337" s="900"/>
      <c r="V337" s="900"/>
      <c r="W337" s="900"/>
      <c r="X337" s="900"/>
      <c r="Y337" s="900"/>
      <c r="Z337" s="900"/>
      <c r="AA337" s="900"/>
      <c r="AB337" s="900"/>
    </row>
    <row r="338">
      <c r="A338" s="900"/>
      <c r="B338" s="900"/>
      <c r="C338" s="900"/>
      <c r="D338" s="900"/>
      <c r="E338" s="900"/>
      <c r="F338" s="900"/>
      <c r="G338" s="900"/>
      <c r="H338" s="900"/>
      <c r="I338" s="905"/>
      <c r="J338" s="905"/>
      <c r="K338" s="906"/>
      <c r="L338" s="900"/>
      <c r="M338" s="900"/>
      <c r="N338" s="900"/>
      <c r="O338" s="900"/>
      <c r="P338" s="900"/>
      <c r="Q338" s="900"/>
      <c r="R338" s="900"/>
      <c r="S338" s="900"/>
      <c r="T338" s="900"/>
      <c r="U338" s="900"/>
      <c r="V338" s="900"/>
      <c r="W338" s="900"/>
      <c r="X338" s="900"/>
      <c r="Y338" s="900"/>
      <c r="Z338" s="900"/>
      <c r="AA338" s="900"/>
      <c r="AB338" s="900"/>
    </row>
    <row r="339">
      <c r="A339" s="900"/>
      <c r="B339" s="900"/>
      <c r="C339" s="900"/>
      <c r="D339" s="900"/>
      <c r="E339" s="900"/>
      <c r="F339" s="900"/>
      <c r="G339" s="900"/>
      <c r="H339" s="900"/>
      <c r="I339" s="905"/>
      <c r="J339" s="905"/>
      <c r="K339" s="906"/>
      <c r="L339" s="900"/>
      <c r="M339" s="900"/>
      <c r="N339" s="900"/>
      <c r="O339" s="900"/>
      <c r="P339" s="900"/>
      <c r="Q339" s="900"/>
      <c r="R339" s="900"/>
      <c r="S339" s="900"/>
      <c r="T339" s="900"/>
      <c r="U339" s="900"/>
      <c r="V339" s="900"/>
      <c r="W339" s="900"/>
      <c r="X339" s="900"/>
      <c r="Y339" s="900"/>
      <c r="Z339" s="900"/>
      <c r="AA339" s="900"/>
      <c r="AB339" s="900"/>
    </row>
    <row r="340">
      <c r="A340" s="900"/>
      <c r="B340" s="900"/>
      <c r="C340" s="900"/>
      <c r="D340" s="900"/>
      <c r="E340" s="900"/>
      <c r="F340" s="900"/>
      <c r="G340" s="900"/>
      <c r="H340" s="900"/>
      <c r="I340" s="905"/>
      <c r="J340" s="905"/>
      <c r="K340" s="906"/>
      <c r="L340" s="900"/>
      <c r="M340" s="900"/>
      <c r="N340" s="900"/>
      <c r="O340" s="900"/>
      <c r="P340" s="900"/>
      <c r="Q340" s="900"/>
      <c r="R340" s="900"/>
      <c r="S340" s="900"/>
      <c r="T340" s="900"/>
      <c r="U340" s="900"/>
      <c r="V340" s="900"/>
      <c r="W340" s="900"/>
      <c r="X340" s="900"/>
      <c r="Y340" s="900"/>
      <c r="Z340" s="900"/>
      <c r="AA340" s="900"/>
      <c r="AB340" s="900"/>
    </row>
    <row r="341">
      <c r="A341" s="900"/>
      <c r="B341" s="900"/>
      <c r="C341" s="900"/>
      <c r="D341" s="900"/>
      <c r="E341" s="900"/>
      <c r="F341" s="900"/>
      <c r="G341" s="900"/>
      <c r="H341" s="900"/>
      <c r="I341" s="905"/>
      <c r="J341" s="905"/>
      <c r="K341" s="906"/>
      <c r="L341" s="900"/>
      <c r="M341" s="900"/>
      <c r="N341" s="900"/>
      <c r="O341" s="900"/>
      <c r="P341" s="900"/>
      <c r="Q341" s="900"/>
      <c r="R341" s="900"/>
      <c r="S341" s="900"/>
      <c r="T341" s="900"/>
      <c r="U341" s="900"/>
      <c r="V341" s="900"/>
      <c r="W341" s="900"/>
      <c r="X341" s="900"/>
      <c r="Y341" s="900"/>
      <c r="Z341" s="900"/>
      <c r="AA341" s="900"/>
      <c r="AB341" s="900"/>
    </row>
    <row r="342">
      <c r="A342" s="900"/>
      <c r="B342" s="900"/>
      <c r="C342" s="900"/>
      <c r="D342" s="900"/>
      <c r="E342" s="900"/>
      <c r="F342" s="900"/>
      <c r="G342" s="900"/>
      <c r="H342" s="900"/>
      <c r="I342" s="905"/>
      <c r="J342" s="905"/>
      <c r="K342" s="906"/>
      <c r="L342" s="900"/>
      <c r="M342" s="900"/>
      <c r="N342" s="900"/>
      <c r="O342" s="900"/>
      <c r="P342" s="900"/>
      <c r="Q342" s="900"/>
      <c r="R342" s="900"/>
      <c r="S342" s="900"/>
      <c r="T342" s="900"/>
      <c r="U342" s="900"/>
      <c r="V342" s="900"/>
      <c r="W342" s="900"/>
      <c r="X342" s="900"/>
      <c r="Y342" s="900"/>
      <c r="Z342" s="900"/>
      <c r="AA342" s="900"/>
      <c r="AB342" s="900"/>
    </row>
    <row r="343">
      <c r="A343" s="900"/>
      <c r="B343" s="900"/>
      <c r="C343" s="900"/>
      <c r="D343" s="900"/>
      <c r="E343" s="900"/>
      <c r="F343" s="900"/>
      <c r="G343" s="900"/>
      <c r="H343" s="900"/>
      <c r="I343" s="905"/>
      <c r="J343" s="905"/>
      <c r="K343" s="906"/>
      <c r="L343" s="900"/>
      <c r="M343" s="900"/>
      <c r="N343" s="900"/>
      <c r="O343" s="900"/>
      <c r="P343" s="900"/>
      <c r="Q343" s="900"/>
      <c r="R343" s="900"/>
      <c r="S343" s="900"/>
      <c r="T343" s="900"/>
      <c r="U343" s="900"/>
      <c r="V343" s="900"/>
      <c r="W343" s="900"/>
      <c r="X343" s="900"/>
      <c r="Y343" s="900"/>
      <c r="Z343" s="900"/>
      <c r="AA343" s="900"/>
      <c r="AB343" s="900"/>
    </row>
    <row r="344">
      <c r="A344" s="900"/>
      <c r="B344" s="900"/>
      <c r="C344" s="900"/>
      <c r="D344" s="900"/>
      <c r="E344" s="900"/>
      <c r="F344" s="900"/>
      <c r="G344" s="900"/>
      <c r="H344" s="900"/>
      <c r="I344" s="905"/>
      <c r="J344" s="905"/>
      <c r="K344" s="906"/>
      <c r="L344" s="900"/>
      <c r="M344" s="900"/>
      <c r="N344" s="900"/>
      <c r="O344" s="900"/>
      <c r="P344" s="900"/>
      <c r="Q344" s="900"/>
      <c r="R344" s="900"/>
      <c r="S344" s="900"/>
      <c r="T344" s="900"/>
      <c r="U344" s="900"/>
      <c r="V344" s="900"/>
      <c r="W344" s="900"/>
      <c r="X344" s="900"/>
      <c r="Y344" s="900"/>
      <c r="Z344" s="900"/>
      <c r="AA344" s="900"/>
      <c r="AB344" s="900"/>
    </row>
    <row r="345">
      <c r="A345" s="900"/>
      <c r="B345" s="900"/>
      <c r="C345" s="900"/>
      <c r="D345" s="900"/>
      <c r="E345" s="900"/>
      <c r="F345" s="900"/>
      <c r="G345" s="900"/>
      <c r="H345" s="900"/>
      <c r="I345" s="905"/>
      <c r="J345" s="905"/>
      <c r="K345" s="906"/>
      <c r="L345" s="900"/>
      <c r="M345" s="900"/>
      <c r="N345" s="900"/>
      <c r="O345" s="900"/>
      <c r="P345" s="900"/>
      <c r="Q345" s="900"/>
      <c r="R345" s="900"/>
      <c r="S345" s="900"/>
      <c r="T345" s="900"/>
      <c r="U345" s="900"/>
      <c r="V345" s="900"/>
      <c r="W345" s="900"/>
      <c r="X345" s="900"/>
      <c r="Y345" s="900"/>
      <c r="Z345" s="900"/>
      <c r="AA345" s="900"/>
      <c r="AB345" s="900"/>
    </row>
    <row r="346">
      <c r="A346" s="900"/>
      <c r="B346" s="900"/>
      <c r="C346" s="900"/>
      <c r="D346" s="900"/>
      <c r="E346" s="900"/>
      <c r="F346" s="900"/>
      <c r="G346" s="900"/>
      <c r="H346" s="900"/>
      <c r="I346" s="905"/>
      <c r="J346" s="905"/>
      <c r="K346" s="906"/>
      <c r="L346" s="900"/>
      <c r="M346" s="900"/>
      <c r="N346" s="900"/>
      <c r="O346" s="900"/>
      <c r="P346" s="900"/>
      <c r="Q346" s="900"/>
      <c r="R346" s="900"/>
      <c r="S346" s="900"/>
      <c r="T346" s="900"/>
      <c r="U346" s="900"/>
      <c r="V346" s="900"/>
      <c r="W346" s="900"/>
      <c r="X346" s="900"/>
      <c r="Y346" s="900"/>
      <c r="Z346" s="900"/>
      <c r="AA346" s="900"/>
      <c r="AB346" s="900"/>
    </row>
    <row r="347">
      <c r="A347" s="900"/>
      <c r="B347" s="900"/>
      <c r="C347" s="900"/>
      <c r="D347" s="900"/>
      <c r="E347" s="900"/>
      <c r="F347" s="900"/>
      <c r="G347" s="900"/>
      <c r="H347" s="900"/>
      <c r="I347" s="905"/>
      <c r="J347" s="905"/>
      <c r="K347" s="906"/>
      <c r="L347" s="900"/>
      <c r="M347" s="900"/>
      <c r="N347" s="900"/>
      <c r="O347" s="900"/>
      <c r="P347" s="900"/>
      <c r="Q347" s="900"/>
      <c r="R347" s="900"/>
      <c r="S347" s="900"/>
      <c r="T347" s="900"/>
      <c r="U347" s="900"/>
      <c r="V347" s="900"/>
      <c r="W347" s="900"/>
      <c r="X347" s="900"/>
      <c r="Y347" s="900"/>
      <c r="Z347" s="900"/>
      <c r="AA347" s="900"/>
      <c r="AB347" s="900"/>
    </row>
    <row r="348">
      <c r="A348" s="900"/>
      <c r="B348" s="900"/>
      <c r="C348" s="900"/>
      <c r="D348" s="900"/>
      <c r="E348" s="900"/>
      <c r="F348" s="900"/>
      <c r="G348" s="900"/>
      <c r="H348" s="900"/>
      <c r="I348" s="905"/>
      <c r="J348" s="905"/>
      <c r="K348" s="906"/>
      <c r="L348" s="900"/>
      <c r="M348" s="900"/>
      <c r="N348" s="900"/>
      <c r="O348" s="900"/>
      <c r="P348" s="900"/>
      <c r="Q348" s="900"/>
      <c r="R348" s="900"/>
      <c r="S348" s="900"/>
      <c r="T348" s="900"/>
      <c r="U348" s="900"/>
      <c r="V348" s="900"/>
      <c r="W348" s="900"/>
      <c r="X348" s="900"/>
      <c r="Y348" s="900"/>
      <c r="Z348" s="900"/>
      <c r="AA348" s="900"/>
      <c r="AB348" s="900"/>
    </row>
    <row r="349">
      <c r="A349" s="900"/>
      <c r="B349" s="900"/>
      <c r="C349" s="900"/>
      <c r="D349" s="900"/>
      <c r="E349" s="900"/>
      <c r="F349" s="900"/>
      <c r="G349" s="900"/>
      <c r="H349" s="900"/>
      <c r="I349" s="905"/>
      <c r="J349" s="905"/>
      <c r="K349" s="906"/>
      <c r="L349" s="900"/>
      <c r="M349" s="900"/>
      <c r="N349" s="900"/>
      <c r="O349" s="900"/>
      <c r="P349" s="900"/>
      <c r="Q349" s="900"/>
      <c r="R349" s="900"/>
      <c r="S349" s="900"/>
      <c r="T349" s="900"/>
      <c r="U349" s="900"/>
      <c r="V349" s="900"/>
      <c r="W349" s="900"/>
      <c r="X349" s="900"/>
      <c r="Y349" s="900"/>
      <c r="Z349" s="900"/>
      <c r="AA349" s="900"/>
      <c r="AB349" s="900"/>
    </row>
    <row r="350">
      <c r="A350" s="900"/>
      <c r="B350" s="900"/>
      <c r="C350" s="900"/>
      <c r="D350" s="900"/>
      <c r="E350" s="900"/>
      <c r="F350" s="900"/>
      <c r="G350" s="900"/>
      <c r="H350" s="900"/>
      <c r="I350" s="905"/>
      <c r="J350" s="905"/>
      <c r="K350" s="906"/>
      <c r="L350" s="900"/>
      <c r="M350" s="900"/>
      <c r="N350" s="900"/>
      <c r="O350" s="900"/>
      <c r="P350" s="900"/>
      <c r="Q350" s="900"/>
      <c r="R350" s="900"/>
      <c r="S350" s="900"/>
      <c r="T350" s="900"/>
      <c r="U350" s="900"/>
      <c r="V350" s="900"/>
      <c r="W350" s="900"/>
      <c r="X350" s="900"/>
      <c r="Y350" s="900"/>
      <c r="Z350" s="900"/>
      <c r="AA350" s="900"/>
      <c r="AB350" s="900"/>
    </row>
    <row r="351">
      <c r="A351" s="900"/>
      <c r="B351" s="900"/>
      <c r="C351" s="900"/>
      <c r="D351" s="900"/>
      <c r="E351" s="900"/>
      <c r="F351" s="900"/>
      <c r="G351" s="900"/>
      <c r="H351" s="900"/>
      <c r="I351" s="905"/>
      <c r="J351" s="905"/>
      <c r="K351" s="906"/>
      <c r="L351" s="900"/>
      <c r="M351" s="900"/>
      <c r="N351" s="900"/>
      <c r="O351" s="900"/>
      <c r="P351" s="900"/>
      <c r="Q351" s="900"/>
      <c r="R351" s="900"/>
      <c r="S351" s="900"/>
      <c r="T351" s="900"/>
      <c r="U351" s="900"/>
      <c r="V351" s="900"/>
      <c r="W351" s="900"/>
      <c r="X351" s="900"/>
      <c r="Y351" s="900"/>
      <c r="Z351" s="900"/>
      <c r="AA351" s="900"/>
      <c r="AB351" s="900"/>
    </row>
    <row r="352">
      <c r="A352" s="900"/>
      <c r="B352" s="900"/>
      <c r="C352" s="900"/>
      <c r="D352" s="900"/>
      <c r="E352" s="900"/>
      <c r="F352" s="900"/>
      <c r="G352" s="900"/>
      <c r="H352" s="900"/>
      <c r="I352" s="905"/>
      <c r="J352" s="905"/>
      <c r="K352" s="906"/>
      <c r="L352" s="900"/>
      <c r="M352" s="900"/>
      <c r="N352" s="900"/>
      <c r="O352" s="900"/>
      <c r="P352" s="900"/>
      <c r="Q352" s="900"/>
      <c r="R352" s="900"/>
      <c r="S352" s="900"/>
      <c r="T352" s="900"/>
      <c r="U352" s="900"/>
      <c r="V352" s="900"/>
      <c r="W352" s="900"/>
      <c r="X352" s="900"/>
      <c r="Y352" s="900"/>
      <c r="Z352" s="900"/>
      <c r="AA352" s="900"/>
      <c r="AB352" s="900"/>
    </row>
    <row r="353">
      <c r="A353" s="900"/>
      <c r="B353" s="900"/>
      <c r="C353" s="900"/>
      <c r="D353" s="900"/>
      <c r="E353" s="900"/>
      <c r="F353" s="900"/>
      <c r="G353" s="900"/>
      <c r="H353" s="900"/>
      <c r="I353" s="905"/>
      <c r="J353" s="905"/>
      <c r="K353" s="906"/>
      <c r="L353" s="900"/>
      <c r="M353" s="900"/>
      <c r="N353" s="900"/>
      <c r="O353" s="900"/>
      <c r="P353" s="900"/>
      <c r="Q353" s="900"/>
      <c r="R353" s="900"/>
      <c r="S353" s="900"/>
      <c r="T353" s="900"/>
      <c r="U353" s="900"/>
      <c r="V353" s="900"/>
      <c r="W353" s="900"/>
      <c r="X353" s="900"/>
      <c r="Y353" s="900"/>
      <c r="Z353" s="900"/>
      <c r="AA353" s="900"/>
      <c r="AB353" s="900"/>
    </row>
    <row r="354">
      <c r="A354" s="900"/>
      <c r="B354" s="900"/>
      <c r="C354" s="900"/>
      <c r="D354" s="900"/>
      <c r="E354" s="900"/>
      <c r="F354" s="900"/>
      <c r="G354" s="900"/>
      <c r="H354" s="900"/>
      <c r="I354" s="905"/>
      <c r="J354" s="905"/>
      <c r="K354" s="906"/>
      <c r="L354" s="900"/>
      <c r="M354" s="900"/>
      <c r="N354" s="900"/>
      <c r="O354" s="900"/>
      <c r="P354" s="900"/>
      <c r="Q354" s="900"/>
      <c r="R354" s="900"/>
      <c r="S354" s="900"/>
      <c r="T354" s="900"/>
      <c r="U354" s="900"/>
      <c r="V354" s="900"/>
      <c r="W354" s="900"/>
      <c r="X354" s="900"/>
      <c r="Y354" s="900"/>
      <c r="Z354" s="900"/>
      <c r="AA354" s="900"/>
      <c r="AB354" s="900"/>
    </row>
    <row r="355">
      <c r="A355" s="900"/>
      <c r="B355" s="900"/>
      <c r="C355" s="900"/>
      <c r="D355" s="900"/>
      <c r="E355" s="900"/>
      <c r="F355" s="900"/>
      <c r="G355" s="900"/>
      <c r="H355" s="900"/>
      <c r="I355" s="905"/>
      <c r="J355" s="905"/>
      <c r="K355" s="906"/>
      <c r="L355" s="900"/>
      <c r="M355" s="900"/>
      <c r="N355" s="900"/>
      <c r="O355" s="900"/>
      <c r="P355" s="900"/>
      <c r="Q355" s="900"/>
      <c r="R355" s="900"/>
      <c r="S355" s="900"/>
      <c r="T355" s="900"/>
      <c r="U355" s="900"/>
      <c r="V355" s="900"/>
      <c r="W355" s="900"/>
      <c r="X355" s="900"/>
      <c r="Y355" s="900"/>
      <c r="Z355" s="900"/>
      <c r="AA355" s="900"/>
      <c r="AB355" s="900"/>
    </row>
    <row r="356">
      <c r="A356" s="900"/>
      <c r="B356" s="900"/>
      <c r="C356" s="900"/>
      <c r="D356" s="900"/>
      <c r="E356" s="900"/>
      <c r="F356" s="900"/>
      <c r="G356" s="900"/>
      <c r="H356" s="900"/>
      <c r="I356" s="905"/>
      <c r="J356" s="905"/>
      <c r="K356" s="906"/>
      <c r="L356" s="900"/>
      <c r="M356" s="900"/>
      <c r="N356" s="900"/>
      <c r="O356" s="900"/>
      <c r="P356" s="900"/>
      <c r="Q356" s="900"/>
      <c r="R356" s="900"/>
      <c r="S356" s="900"/>
      <c r="T356" s="900"/>
      <c r="U356" s="900"/>
      <c r="V356" s="900"/>
      <c r="W356" s="900"/>
      <c r="X356" s="900"/>
      <c r="Y356" s="900"/>
      <c r="Z356" s="900"/>
      <c r="AA356" s="900"/>
      <c r="AB356" s="900"/>
    </row>
    <row r="357">
      <c r="A357" s="900"/>
      <c r="B357" s="900"/>
      <c r="C357" s="900"/>
      <c r="D357" s="900"/>
      <c r="E357" s="900"/>
      <c r="F357" s="900"/>
      <c r="G357" s="900"/>
      <c r="H357" s="900"/>
      <c r="I357" s="905"/>
      <c r="J357" s="905"/>
      <c r="K357" s="906"/>
      <c r="L357" s="900"/>
      <c r="M357" s="900"/>
      <c r="N357" s="900"/>
      <c r="O357" s="900"/>
      <c r="P357" s="900"/>
      <c r="Q357" s="900"/>
      <c r="R357" s="900"/>
      <c r="S357" s="900"/>
      <c r="T357" s="900"/>
      <c r="U357" s="900"/>
      <c r="V357" s="900"/>
      <c r="W357" s="900"/>
      <c r="X357" s="900"/>
      <c r="Y357" s="900"/>
      <c r="Z357" s="900"/>
      <c r="AA357" s="900"/>
      <c r="AB357" s="900"/>
    </row>
    <row r="358">
      <c r="A358" s="900"/>
      <c r="B358" s="900"/>
      <c r="C358" s="900"/>
      <c r="D358" s="900"/>
      <c r="E358" s="900"/>
      <c r="F358" s="900"/>
      <c r="G358" s="900"/>
      <c r="H358" s="900"/>
      <c r="I358" s="905"/>
      <c r="J358" s="905"/>
      <c r="K358" s="906"/>
      <c r="L358" s="900"/>
      <c r="M358" s="900"/>
      <c r="N358" s="900"/>
      <c r="O358" s="900"/>
      <c r="P358" s="900"/>
      <c r="Q358" s="900"/>
      <c r="R358" s="900"/>
      <c r="S358" s="900"/>
      <c r="T358" s="900"/>
      <c r="U358" s="900"/>
      <c r="V358" s="900"/>
      <c r="W358" s="900"/>
      <c r="X358" s="900"/>
      <c r="Y358" s="900"/>
      <c r="Z358" s="900"/>
      <c r="AA358" s="900"/>
      <c r="AB358" s="900"/>
    </row>
    <row r="359">
      <c r="A359" s="900"/>
      <c r="B359" s="900"/>
      <c r="C359" s="900"/>
      <c r="D359" s="900"/>
      <c r="E359" s="900"/>
      <c r="F359" s="900"/>
      <c r="G359" s="900"/>
      <c r="H359" s="900"/>
      <c r="I359" s="905"/>
      <c r="J359" s="905"/>
      <c r="K359" s="906"/>
      <c r="L359" s="900"/>
      <c r="M359" s="900"/>
      <c r="N359" s="900"/>
      <c r="O359" s="900"/>
      <c r="P359" s="900"/>
      <c r="Q359" s="900"/>
      <c r="R359" s="900"/>
      <c r="S359" s="900"/>
      <c r="T359" s="900"/>
      <c r="U359" s="900"/>
      <c r="V359" s="900"/>
      <c r="W359" s="900"/>
      <c r="X359" s="900"/>
      <c r="Y359" s="900"/>
      <c r="Z359" s="900"/>
      <c r="AA359" s="900"/>
      <c r="AB359" s="900"/>
    </row>
    <row r="360">
      <c r="A360" s="900"/>
      <c r="B360" s="900"/>
      <c r="C360" s="900"/>
      <c r="D360" s="900"/>
      <c r="E360" s="900"/>
      <c r="F360" s="900"/>
      <c r="G360" s="900"/>
      <c r="H360" s="900"/>
      <c r="I360" s="905"/>
      <c r="J360" s="905"/>
      <c r="K360" s="906"/>
      <c r="L360" s="900"/>
      <c r="M360" s="900"/>
      <c r="N360" s="900"/>
      <c r="O360" s="900"/>
      <c r="P360" s="900"/>
      <c r="Q360" s="900"/>
      <c r="R360" s="900"/>
      <c r="S360" s="900"/>
      <c r="T360" s="900"/>
      <c r="U360" s="900"/>
      <c r="V360" s="900"/>
      <c r="W360" s="900"/>
      <c r="X360" s="900"/>
      <c r="Y360" s="900"/>
      <c r="Z360" s="900"/>
      <c r="AA360" s="900"/>
      <c r="AB360" s="900"/>
    </row>
    <row r="361">
      <c r="A361" s="900"/>
      <c r="B361" s="900"/>
      <c r="C361" s="900"/>
      <c r="D361" s="900"/>
      <c r="E361" s="900"/>
      <c r="F361" s="900"/>
      <c r="G361" s="900"/>
      <c r="H361" s="900"/>
      <c r="I361" s="905"/>
      <c r="J361" s="905"/>
      <c r="K361" s="906"/>
      <c r="L361" s="900"/>
      <c r="M361" s="900"/>
      <c r="N361" s="900"/>
      <c r="O361" s="900"/>
      <c r="P361" s="900"/>
      <c r="Q361" s="900"/>
      <c r="R361" s="900"/>
      <c r="S361" s="900"/>
      <c r="T361" s="900"/>
      <c r="U361" s="900"/>
      <c r="V361" s="900"/>
      <c r="W361" s="900"/>
      <c r="X361" s="900"/>
      <c r="Y361" s="900"/>
      <c r="Z361" s="900"/>
      <c r="AA361" s="900"/>
      <c r="AB361" s="900"/>
    </row>
    <row r="362">
      <c r="A362" s="900"/>
      <c r="B362" s="900"/>
      <c r="C362" s="900"/>
      <c r="D362" s="900"/>
      <c r="E362" s="900"/>
      <c r="F362" s="900"/>
      <c r="G362" s="900"/>
      <c r="H362" s="900"/>
      <c r="I362" s="905"/>
      <c r="J362" s="905"/>
      <c r="K362" s="906"/>
      <c r="L362" s="900"/>
      <c r="M362" s="900"/>
      <c r="N362" s="900"/>
      <c r="O362" s="900"/>
      <c r="P362" s="900"/>
      <c r="Q362" s="900"/>
      <c r="R362" s="900"/>
      <c r="S362" s="900"/>
      <c r="T362" s="900"/>
      <c r="U362" s="900"/>
      <c r="V362" s="900"/>
      <c r="W362" s="900"/>
      <c r="X362" s="900"/>
      <c r="Y362" s="900"/>
      <c r="Z362" s="900"/>
      <c r="AA362" s="900"/>
      <c r="AB362" s="900"/>
    </row>
    <row r="363">
      <c r="A363" s="900"/>
      <c r="B363" s="900"/>
      <c r="C363" s="900"/>
      <c r="D363" s="900"/>
      <c r="E363" s="900"/>
      <c r="F363" s="900"/>
      <c r="G363" s="900"/>
      <c r="H363" s="900"/>
      <c r="I363" s="905"/>
      <c r="J363" s="905"/>
      <c r="K363" s="906"/>
      <c r="L363" s="900"/>
      <c r="M363" s="900"/>
      <c r="N363" s="900"/>
      <c r="O363" s="900"/>
      <c r="P363" s="900"/>
      <c r="Q363" s="900"/>
      <c r="R363" s="900"/>
      <c r="S363" s="900"/>
      <c r="T363" s="900"/>
      <c r="U363" s="900"/>
      <c r="V363" s="900"/>
      <c r="W363" s="900"/>
      <c r="X363" s="900"/>
      <c r="Y363" s="900"/>
      <c r="Z363" s="900"/>
      <c r="AA363" s="900"/>
      <c r="AB363" s="900"/>
    </row>
    <row r="364">
      <c r="A364" s="900"/>
      <c r="B364" s="900"/>
      <c r="C364" s="900"/>
      <c r="D364" s="900"/>
      <c r="E364" s="900"/>
      <c r="F364" s="900"/>
      <c r="G364" s="900"/>
      <c r="H364" s="900"/>
      <c r="I364" s="905"/>
      <c r="J364" s="905"/>
      <c r="K364" s="906"/>
      <c r="L364" s="900"/>
      <c r="M364" s="900"/>
      <c r="N364" s="900"/>
      <c r="O364" s="900"/>
      <c r="P364" s="900"/>
      <c r="Q364" s="900"/>
      <c r="R364" s="900"/>
      <c r="S364" s="900"/>
      <c r="T364" s="900"/>
      <c r="U364" s="900"/>
      <c r="V364" s="900"/>
      <c r="W364" s="900"/>
      <c r="X364" s="900"/>
      <c r="Y364" s="900"/>
      <c r="Z364" s="900"/>
      <c r="AA364" s="900"/>
      <c r="AB364" s="900"/>
    </row>
    <row r="365">
      <c r="A365" s="900"/>
      <c r="B365" s="900"/>
      <c r="C365" s="900"/>
      <c r="D365" s="900"/>
      <c r="E365" s="900"/>
      <c r="F365" s="900"/>
      <c r="G365" s="900"/>
      <c r="H365" s="900"/>
      <c r="I365" s="905"/>
      <c r="J365" s="905"/>
      <c r="K365" s="906"/>
      <c r="L365" s="900"/>
      <c r="M365" s="900"/>
      <c r="N365" s="900"/>
      <c r="O365" s="900"/>
      <c r="P365" s="900"/>
      <c r="Q365" s="900"/>
      <c r="R365" s="900"/>
      <c r="S365" s="900"/>
      <c r="T365" s="900"/>
      <c r="U365" s="900"/>
      <c r="V365" s="900"/>
      <c r="W365" s="900"/>
      <c r="X365" s="900"/>
      <c r="Y365" s="900"/>
      <c r="Z365" s="900"/>
      <c r="AA365" s="900"/>
      <c r="AB365" s="900"/>
    </row>
    <row r="366">
      <c r="A366" s="900"/>
      <c r="B366" s="900"/>
      <c r="C366" s="900"/>
      <c r="D366" s="900"/>
      <c r="E366" s="900"/>
      <c r="F366" s="900"/>
      <c r="G366" s="900"/>
      <c r="H366" s="900"/>
      <c r="I366" s="905"/>
      <c r="J366" s="905"/>
      <c r="K366" s="906"/>
      <c r="L366" s="900"/>
      <c r="M366" s="900"/>
      <c r="N366" s="900"/>
      <c r="O366" s="900"/>
      <c r="P366" s="900"/>
      <c r="Q366" s="900"/>
      <c r="R366" s="900"/>
      <c r="S366" s="900"/>
      <c r="T366" s="900"/>
      <c r="U366" s="900"/>
      <c r="V366" s="900"/>
      <c r="W366" s="900"/>
      <c r="X366" s="900"/>
      <c r="Y366" s="900"/>
      <c r="Z366" s="900"/>
      <c r="AA366" s="900"/>
      <c r="AB366" s="900"/>
    </row>
    <row r="367">
      <c r="A367" s="900"/>
      <c r="B367" s="900"/>
      <c r="C367" s="900"/>
      <c r="D367" s="900"/>
      <c r="E367" s="900"/>
      <c r="F367" s="900"/>
      <c r="G367" s="900"/>
      <c r="H367" s="900"/>
      <c r="I367" s="905"/>
      <c r="J367" s="905"/>
      <c r="K367" s="906"/>
      <c r="L367" s="900"/>
      <c r="M367" s="900"/>
      <c r="N367" s="900"/>
      <c r="O367" s="900"/>
      <c r="P367" s="900"/>
      <c r="Q367" s="900"/>
      <c r="R367" s="900"/>
      <c r="S367" s="900"/>
      <c r="T367" s="900"/>
      <c r="U367" s="900"/>
      <c r="V367" s="900"/>
      <c r="W367" s="900"/>
      <c r="X367" s="900"/>
      <c r="Y367" s="900"/>
      <c r="Z367" s="900"/>
      <c r="AA367" s="900"/>
      <c r="AB367" s="900"/>
    </row>
    <row r="368">
      <c r="A368" s="900"/>
      <c r="B368" s="900"/>
      <c r="C368" s="900"/>
      <c r="D368" s="900"/>
      <c r="E368" s="900"/>
      <c r="F368" s="900"/>
      <c r="G368" s="900"/>
      <c r="H368" s="900"/>
      <c r="I368" s="905"/>
      <c r="J368" s="905"/>
      <c r="K368" s="906"/>
      <c r="L368" s="900"/>
      <c r="M368" s="900"/>
      <c r="N368" s="900"/>
      <c r="O368" s="900"/>
      <c r="P368" s="900"/>
      <c r="Q368" s="900"/>
      <c r="R368" s="900"/>
      <c r="S368" s="900"/>
      <c r="T368" s="900"/>
      <c r="U368" s="900"/>
      <c r="V368" s="900"/>
      <c r="W368" s="900"/>
      <c r="X368" s="900"/>
      <c r="Y368" s="900"/>
      <c r="Z368" s="900"/>
      <c r="AA368" s="900"/>
      <c r="AB368" s="900"/>
    </row>
    <row r="369">
      <c r="A369" s="900"/>
      <c r="B369" s="900"/>
      <c r="C369" s="900"/>
      <c r="D369" s="900"/>
      <c r="E369" s="900"/>
      <c r="F369" s="900"/>
      <c r="G369" s="900"/>
      <c r="H369" s="900"/>
      <c r="I369" s="905"/>
      <c r="J369" s="905"/>
      <c r="K369" s="906"/>
      <c r="L369" s="900"/>
      <c r="M369" s="900"/>
      <c r="N369" s="900"/>
      <c r="O369" s="900"/>
      <c r="P369" s="900"/>
      <c r="Q369" s="900"/>
      <c r="R369" s="900"/>
      <c r="S369" s="900"/>
      <c r="T369" s="900"/>
      <c r="U369" s="900"/>
      <c r="V369" s="900"/>
      <c r="W369" s="900"/>
      <c r="X369" s="900"/>
      <c r="Y369" s="900"/>
      <c r="Z369" s="900"/>
      <c r="AA369" s="900"/>
      <c r="AB369" s="900"/>
    </row>
    <row r="370">
      <c r="A370" s="900"/>
      <c r="B370" s="900"/>
      <c r="C370" s="900"/>
      <c r="D370" s="900"/>
      <c r="E370" s="900"/>
      <c r="F370" s="900"/>
      <c r="G370" s="900"/>
      <c r="H370" s="900"/>
      <c r="I370" s="905"/>
      <c r="J370" s="905"/>
      <c r="K370" s="906"/>
      <c r="L370" s="900"/>
      <c r="M370" s="900"/>
      <c r="N370" s="900"/>
      <c r="O370" s="900"/>
      <c r="P370" s="900"/>
      <c r="Q370" s="900"/>
      <c r="R370" s="900"/>
      <c r="S370" s="900"/>
      <c r="T370" s="900"/>
      <c r="U370" s="900"/>
      <c r="V370" s="900"/>
      <c r="W370" s="900"/>
      <c r="X370" s="900"/>
      <c r="Y370" s="900"/>
      <c r="Z370" s="900"/>
      <c r="AA370" s="900"/>
      <c r="AB370" s="900"/>
    </row>
    <row r="371">
      <c r="A371" s="900"/>
      <c r="B371" s="900"/>
      <c r="C371" s="900"/>
      <c r="D371" s="900"/>
      <c r="E371" s="900"/>
      <c r="F371" s="900"/>
      <c r="G371" s="900"/>
      <c r="H371" s="900"/>
      <c r="I371" s="905"/>
      <c r="J371" s="905"/>
      <c r="K371" s="906"/>
      <c r="L371" s="900"/>
      <c r="M371" s="900"/>
      <c r="N371" s="900"/>
      <c r="O371" s="900"/>
      <c r="P371" s="900"/>
      <c r="Q371" s="900"/>
      <c r="R371" s="900"/>
      <c r="S371" s="900"/>
      <c r="T371" s="900"/>
      <c r="U371" s="900"/>
      <c r="V371" s="900"/>
      <c r="W371" s="900"/>
      <c r="X371" s="900"/>
      <c r="Y371" s="900"/>
      <c r="Z371" s="900"/>
      <c r="AA371" s="900"/>
      <c r="AB371" s="900"/>
    </row>
    <row r="372">
      <c r="A372" s="900"/>
      <c r="B372" s="900"/>
      <c r="C372" s="900"/>
      <c r="D372" s="900"/>
      <c r="E372" s="900"/>
      <c r="F372" s="900"/>
      <c r="G372" s="900"/>
      <c r="H372" s="900"/>
      <c r="I372" s="905"/>
      <c r="J372" s="905"/>
      <c r="K372" s="906"/>
      <c r="L372" s="900"/>
      <c r="M372" s="900"/>
      <c r="N372" s="900"/>
      <c r="O372" s="900"/>
      <c r="P372" s="900"/>
      <c r="Q372" s="900"/>
      <c r="R372" s="900"/>
      <c r="S372" s="900"/>
      <c r="T372" s="900"/>
      <c r="U372" s="900"/>
      <c r="V372" s="900"/>
      <c r="W372" s="900"/>
      <c r="X372" s="900"/>
      <c r="Y372" s="900"/>
      <c r="Z372" s="900"/>
      <c r="AA372" s="900"/>
      <c r="AB372" s="900"/>
    </row>
    <row r="373">
      <c r="A373" s="900"/>
      <c r="B373" s="900"/>
      <c r="C373" s="900"/>
      <c r="D373" s="900"/>
      <c r="E373" s="900"/>
      <c r="F373" s="900"/>
      <c r="G373" s="900"/>
      <c r="H373" s="900"/>
      <c r="I373" s="905"/>
      <c r="J373" s="905"/>
      <c r="K373" s="906"/>
      <c r="L373" s="900"/>
      <c r="M373" s="900"/>
      <c r="N373" s="900"/>
      <c r="O373" s="900"/>
      <c r="P373" s="900"/>
      <c r="Q373" s="900"/>
      <c r="R373" s="900"/>
      <c r="S373" s="900"/>
      <c r="T373" s="900"/>
      <c r="U373" s="900"/>
      <c r="V373" s="900"/>
      <c r="W373" s="900"/>
      <c r="X373" s="900"/>
      <c r="Y373" s="900"/>
      <c r="Z373" s="900"/>
      <c r="AA373" s="900"/>
      <c r="AB373" s="900"/>
    </row>
    <row r="374">
      <c r="A374" s="900"/>
      <c r="B374" s="900"/>
      <c r="C374" s="900"/>
      <c r="D374" s="900"/>
      <c r="E374" s="900"/>
      <c r="F374" s="900"/>
      <c r="G374" s="900"/>
      <c r="H374" s="900"/>
      <c r="I374" s="905"/>
      <c r="J374" s="905"/>
      <c r="K374" s="906"/>
      <c r="L374" s="900"/>
      <c r="M374" s="900"/>
      <c r="N374" s="900"/>
      <c r="O374" s="900"/>
      <c r="P374" s="900"/>
      <c r="Q374" s="900"/>
      <c r="R374" s="900"/>
      <c r="S374" s="900"/>
      <c r="T374" s="900"/>
      <c r="U374" s="900"/>
      <c r="V374" s="900"/>
      <c r="W374" s="900"/>
      <c r="X374" s="900"/>
      <c r="Y374" s="900"/>
      <c r="Z374" s="900"/>
      <c r="AA374" s="900"/>
      <c r="AB374" s="900"/>
    </row>
    <row r="375">
      <c r="A375" s="900"/>
      <c r="B375" s="900"/>
      <c r="C375" s="900"/>
      <c r="D375" s="900"/>
      <c r="E375" s="900"/>
      <c r="F375" s="900"/>
      <c r="G375" s="900"/>
      <c r="H375" s="900"/>
      <c r="I375" s="905"/>
      <c r="J375" s="905"/>
      <c r="K375" s="906"/>
      <c r="L375" s="900"/>
      <c r="M375" s="900"/>
      <c r="N375" s="900"/>
      <c r="O375" s="900"/>
      <c r="P375" s="900"/>
      <c r="Q375" s="900"/>
      <c r="R375" s="900"/>
      <c r="S375" s="900"/>
      <c r="T375" s="900"/>
      <c r="U375" s="900"/>
      <c r="V375" s="900"/>
      <c r="W375" s="900"/>
      <c r="X375" s="900"/>
      <c r="Y375" s="900"/>
      <c r="Z375" s="900"/>
      <c r="AA375" s="900"/>
      <c r="AB375" s="900"/>
    </row>
    <row r="376">
      <c r="A376" s="900"/>
      <c r="B376" s="900"/>
      <c r="C376" s="900"/>
      <c r="D376" s="900"/>
      <c r="E376" s="900"/>
      <c r="F376" s="900"/>
      <c r="G376" s="900"/>
      <c r="H376" s="900"/>
      <c r="I376" s="905"/>
      <c r="J376" s="905"/>
      <c r="K376" s="906"/>
      <c r="L376" s="900"/>
      <c r="M376" s="900"/>
      <c r="N376" s="900"/>
      <c r="O376" s="900"/>
      <c r="P376" s="900"/>
      <c r="Q376" s="900"/>
      <c r="R376" s="900"/>
      <c r="S376" s="900"/>
      <c r="T376" s="900"/>
      <c r="U376" s="900"/>
      <c r="V376" s="900"/>
      <c r="W376" s="900"/>
      <c r="X376" s="900"/>
      <c r="Y376" s="900"/>
      <c r="Z376" s="900"/>
      <c r="AA376" s="900"/>
      <c r="AB376" s="900"/>
    </row>
    <row r="377">
      <c r="A377" s="900"/>
      <c r="B377" s="900"/>
      <c r="C377" s="900"/>
      <c r="D377" s="900"/>
      <c r="E377" s="900"/>
      <c r="F377" s="900"/>
      <c r="G377" s="900"/>
      <c r="H377" s="900"/>
      <c r="I377" s="905"/>
      <c r="J377" s="905"/>
      <c r="K377" s="906"/>
      <c r="L377" s="900"/>
      <c r="M377" s="900"/>
      <c r="N377" s="900"/>
      <c r="O377" s="900"/>
      <c r="P377" s="900"/>
      <c r="Q377" s="900"/>
      <c r="R377" s="900"/>
      <c r="S377" s="900"/>
      <c r="T377" s="900"/>
      <c r="U377" s="900"/>
      <c r="V377" s="900"/>
      <c r="W377" s="900"/>
      <c r="X377" s="900"/>
      <c r="Y377" s="900"/>
      <c r="Z377" s="900"/>
      <c r="AA377" s="900"/>
      <c r="AB377" s="900"/>
    </row>
    <row r="378">
      <c r="A378" s="900"/>
      <c r="B378" s="900"/>
      <c r="C378" s="900"/>
      <c r="D378" s="900"/>
      <c r="E378" s="900"/>
      <c r="F378" s="900"/>
      <c r="G378" s="900"/>
      <c r="H378" s="900"/>
      <c r="I378" s="905"/>
      <c r="J378" s="905"/>
      <c r="K378" s="906"/>
      <c r="L378" s="900"/>
      <c r="M378" s="900"/>
      <c r="N378" s="900"/>
      <c r="O378" s="900"/>
      <c r="P378" s="900"/>
      <c r="Q378" s="900"/>
      <c r="R378" s="900"/>
      <c r="S378" s="900"/>
      <c r="T378" s="900"/>
      <c r="U378" s="900"/>
      <c r="V378" s="900"/>
      <c r="W378" s="900"/>
      <c r="X378" s="900"/>
      <c r="Y378" s="900"/>
      <c r="Z378" s="900"/>
      <c r="AA378" s="900"/>
      <c r="AB378" s="900"/>
    </row>
    <row r="379">
      <c r="A379" s="900"/>
      <c r="B379" s="900"/>
      <c r="C379" s="900"/>
      <c r="D379" s="900"/>
      <c r="E379" s="900"/>
      <c r="F379" s="900"/>
      <c r="G379" s="900"/>
      <c r="H379" s="900"/>
      <c r="I379" s="905"/>
      <c r="J379" s="905"/>
      <c r="K379" s="906"/>
      <c r="L379" s="900"/>
      <c r="M379" s="900"/>
      <c r="N379" s="900"/>
      <c r="O379" s="900"/>
      <c r="P379" s="900"/>
      <c r="Q379" s="900"/>
      <c r="R379" s="900"/>
      <c r="S379" s="900"/>
      <c r="T379" s="900"/>
      <c r="U379" s="900"/>
      <c r="V379" s="900"/>
      <c r="W379" s="900"/>
      <c r="X379" s="900"/>
      <c r="Y379" s="900"/>
      <c r="Z379" s="900"/>
      <c r="AA379" s="900"/>
      <c r="AB379" s="900"/>
    </row>
    <row r="380">
      <c r="A380" s="900"/>
      <c r="B380" s="900"/>
      <c r="C380" s="900"/>
      <c r="D380" s="900"/>
      <c r="E380" s="900"/>
      <c r="F380" s="900"/>
      <c r="G380" s="900"/>
      <c r="H380" s="900"/>
      <c r="I380" s="905"/>
      <c r="J380" s="905"/>
      <c r="K380" s="906"/>
      <c r="L380" s="900"/>
      <c r="M380" s="900"/>
      <c r="N380" s="900"/>
      <c r="O380" s="900"/>
      <c r="P380" s="900"/>
      <c r="Q380" s="900"/>
      <c r="R380" s="900"/>
      <c r="S380" s="900"/>
      <c r="T380" s="900"/>
      <c r="U380" s="900"/>
      <c r="V380" s="900"/>
      <c r="W380" s="900"/>
      <c r="X380" s="900"/>
      <c r="Y380" s="900"/>
      <c r="Z380" s="900"/>
      <c r="AA380" s="900"/>
      <c r="AB380" s="900"/>
    </row>
    <row r="381">
      <c r="A381" s="900"/>
      <c r="B381" s="900"/>
      <c r="C381" s="900"/>
      <c r="D381" s="900"/>
      <c r="E381" s="900"/>
      <c r="F381" s="900"/>
      <c r="G381" s="900"/>
      <c r="H381" s="900"/>
      <c r="I381" s="905"/>
      <c r="J381" s="905"/>
      <c r="K381" s="906"/>
      <c r="L381" s="900"/>
      <c r="M381" s="900"/>
      <c r="N381" s="900"/>
      <c r="O381" s="900"/>
      <c r="P381" s="900"/>
      <c r="Q381" s="900"/>
      <c r="R381" s="900"/>
      <c r="S381" s="900"/>
      <c r="T381" s="900"/>
      <c r="U381" s="900"/>
      <c r="V381" s="900"/>
      <c r="W381" s="900"/>
      <c r="X381" s="900"/>
      <c r="Y381" s="900"/>
      <c r="Z381" s="900"/>
      <c r="AA381" s="900"/>
      <c r="AB381" s="900"/>
    </row>
    <row r="382">
      <c r="A382" s="900"/>
      <c r="B382" s="900"/>
      <c r="C382" s="900"/>
      <c r="D382" s="900"/>
      <c r="E382" s="900"/>
      <c r="F382" s="900"/>
      <c r="G382" s="900"/>
      <c r="H382" s="900"/>
      <c r="I382" s="905"/>
      <c r="J382" s="905"/>
      <c r="K382" s="906"/>
      <c r="L382" s="900"/>
      <c r="M382" s="900"/>
      <c r="N382" s="900"/>
      <c r="O382" s="900"/>
      <c r="P382" s="900"/>
      <c r="Q382" s="900"/>
      <c r="R382" s="900"/>
      <c r="S382" s="900"/>
      <c r="T382" s="900"/>
      <c r="U382" s="900"/>
      <c r="V382" s="900"/>
      <c r="W382" s="900"/>
      <c r="X382" s="900"/>
      <c r="Y382" s="900"/>
      <c r="Z382" s="900"/>
      <c r="AA382" s="900"/>
      <c r="AB382" s="900"/>
    </row>
    <row r="383">
      <c r="A383" s="900"/>
      <c r="B383" s="900"/>
      <c r="C383" s="900"/>
      <c r="D383" s="900"/>
      <c r="E383" s="900"/>
      <c r="F383" s="900"/>
      <c r="G383" s="900"/>
      <c r="H383" s="900"/>
      <c r="I383" s="905"/>
      <c r="J383" s="905"/>
      <c r="K383" s="906"/>
      <c r="L383" s="900"/>
      <c r="M383" s="900"/>
      <c r="N383" s="900"/>
      <c r="O383" s="900"/>
      <c r="P383" s="900"/>
      <c r="Q383" s="900"/>
      <c r="R383" s="900"/>
      <c r="S383" s="900"/>
      <c r="T383" s="900"/>
      <c r="U383" s="900"/>
      <c r="V383" s="900"/>
      <c r="W383" s="900"/>
      <c r="X383" s="900"/>
      <c r="Y383" s="900"/>
      <c r="Z383" s="900"/>
      <c r="AA383" s="900"/>
      <c r="AB383" s="900"/>
    </row>
    <row r="384">
      <c r="A384" s="900"/>
      <c r="B384" s="900"/>
      <c r="C384" s="900"/>
      <c r="D384" s="900"/>
      <c r="E384" s="900"/>
      <c r="F384" s="900"/>
      <c r="G384" s="900"/>
      <c r="H384" s="900"/>
      <c r="I384" s="905"/>
      <c r="J384" s="905"/>
      <c r="K384" s="906"/>
      <c r="L384" s="900"/>
      <c r="M384" s="900"/>
      <c r="N384" s="900"/>
      <c r="O384" s="900"/>
      <c r="P384" s="900"/>
      <c r="Q384" s="900"/>
      <c r="R384" s="900"/>
      <c r="S384" s="900"/>
      <c r="T384" s="900"/>
      <c r="U384" s="900"/>
      <c r="V384" s="900"/>
      <c r="W384" s="900"/>
      <c r="X384" s="900"/>
      <c r="Y384" s="900"/>
      <c r="Z384" s="900"/>
      <c r="AA384" s="900"/>
      <c r="AB384" s="900"/>
    </row>
    <row r="385">
      <c r="A385" s="900"/>
      <c r="B385" s="900"/>
      <c r="C385" s="900"/>
      <c r="D385" s="900"/>
      <c r="E385" s="900"/>
      <c r="F385" s="900"/>
      <c r="G385" s="900"/>
      <c r="H385" s="900"/>
      <c r="I385" s="905"/>
      <c r="J385" s="905"/>
      <c r="K385" s="906"/>
      <c r="L385" s="900"/>
      <c r="M385" s="900"/>
      <c r="N385" s="900"/>
      <c r="O385" s="900"/>
      <c r="P385" s="900"/>
      <c r="Q385" s="900"/>
      <c r="R385" s="900"/>
      <c r="S385" s="900"/>
      <c r="T385" s="900"/>
      <c r="U385" s="900"/>
      <c r="V385" s="900"/>
      <c r="W385" s="900"/>
      <c r="X385" s="900"/>
      <c r="Y385" s="900"/>
      <c r="Z385" s="900"/>
      <c r="AA385" s="900"/>
      <c r="AB385" s="900"/>
    </row>
    <row r="386">
      <c r="A386" s="900"/>
      <c r="B386" s="900"/>
      <c r="C386" s="900"/>
      <c r="D386" s="900"/>
      <c r="E386" s="900"/>
      <c r="F386" s="900"/>
      <c r="G386" s="900"/>
      <c r="H386" s="900"/>
      <c r="I386" s="905"/>
      <c r="J386" s="905"/>
      <c r="K386" s="906"/>
      <c r="L386" s="900"/>
      <c r="M386" s="900"/>
      <c r="N386" s="900"/>
      <c r="O386" s="900"/>
      <c r="P386" s="900"/>
      <c r="Q386" s="900"/>
      <c r="R386" s="900"/>
      <c r="S386" s="900"/>
      <c r="T386" s="900"/>
      <c r="U386" s="900"/>
      <c r="V386" s="900"/>
      <c r="W386" s="900"/>
      <c r="X386" s="900"/>
      <c r="Y386" s="900"/>
      <c r="Z386" s="900"/>
      <c r="AA386" s="900"/>
      <c r="AB386" s="900"/>
    </row>
    <row r="387">
      <c r="A387" s="900"/>
      <c r="B387" s="900"/>
      <c r="C387" s="900"/>
      <c r="D387" s="900"/>
      <c r="E387" s="900"/>
      <c r="F387" s="900"/>
      <c r="G387" s="900"/>
      <c r="H387" s="900"/>
      <c r="I387" s="905"/>
      <c r="J387" s="905"/>
      <c r="K387" s="906"/>
      <c r="L387" s="900"/>
      <c r="M387" s="900"/>
      <c r="N387" s="900"/>
      <c r="O387" s="900"/>
      <c r="P387" s="900"/>
      <c r="Q387" s="900"/>
      <c r="R387" s="900"/>
      <c r="S387" s="900"/>
      <c r="T387" s="900"/>
      <c r="U387" s="900"/>
      <c r="V387" s="900"/>
      <c r="W387" s="900"/>
      <c r="X387" s="900"/>
      <c r="Y387" s="900"/>
      <c r="Z387" s="900"/>
      <c r="AA387" s="900"/>
      <c r="AB387" s="900"/>
    </row>
    <row r="388">
      <c r="A388" s="900"/>
      <c r="B388" s="900"/>
      <c r="C388" s="900"/>
      <c r="D388" s="900"/>
      <c r="E388" s="900"/>
      <c r="F388" s="900"/>
      <c r="G388" s="900"/>
      <c r="H388" s="900"/>
      <c r="I388" s="905"/>
      <c r="J388" s="905"/>
      <c r="K388" s="906"/>
      <c r="L388" s="900"/>
      <c r="M388" s="900"/>
      <c r="N388" s="900"/>
      <c r="O388" s="900"/>
      <c r="P388" s="900"/>
      <c r="Q388" s="900"/>
      <c r="R388" s="900"/>
      <c r="S388" s="900"/>
      <c r="T388" s="900"/>
      <c r="U388" s="900"/>
      <c r="V388" s="900"/>
      <c r="W388" s="900"/>
      <c r="X388" s="900"/>
      <c r="Y388" s="900"/>
      <c r="Z388" s="900"/>
      <c r="AA388" s="900"/>
      <c r="AB388" s="900"/>
    </row>
    <row r="389">
      <c r="A389" s="900"/>
      <c r="B389" s="900"/>
      <c r="C389" s="900"/>
      <c r="D389" s="900"/>
      <c r="E389" s="900"/>
      <c r="F389" s="900"/>
      <c r="G389" s="900"/>
      <c r="H389" s="900"/>
      <c r="I389" s="905"/>
      <c r="J389" s="905"/>
      <c r="K389" s="906"/>
      <c r="L389" s="900"/>
      <c r="M389" s="900"/>
      <c r="N389" s="900"/>
      <c r="O389" s="900"/>
      <c r="P389" s="900"/>
      <c r="Q389" s="900"/>
      <c r="R389" s="900"/>
      <c r="S389" s="900"/>
      <c r="T389" s="900"/>
      <c r="U389" s="900"/>
      <c r="V389" s="900"/>
      <c r="W389" s="900"/>
      <c r="X389" s="900"/>
      <c r="Y389" s="900"/>
      <c r="Z389" s="900"/>
      <c r="AA389" s="900"/>
      <c r="AB389" s="900"/>
    </row>
    <row r="390">
      <c r="A390" s="900"/>
      <c r="B390" s="900"/>
      <c r="C390" s="900"/>
      <c r="D390" s="900"/>
      <c r="E390" s="900"/>
      <c r="F390" s="900"/>
      <c r="G390" s="900"/>
      <c r="H390" s="900"/>
      <c r="I390" s="905"/>
      <c r="J390" s="905"/>
      <c r="K390" s="906"/>
      <c r="L390" s="900"/>
      <c r="M390" s="900"/>
      <c r="N390" s="900"/>
      <c r="O390" s="900"/>
      <c r="P390" s="900"/>
      <c r="Q390" s="900"/>
      <c r="R390" s="900"/>
      <c r="S390" s="900"/>
      <c r="T390" s="900"/>
      <c r="U390" s="900"/>
      <c r="V390" s="900"/>
      <c r="W390" s="900"/>
      <c r="X390" s="900"/>
      <c r="Y390" s="900"/>
      <c r="Z390" s="900"/>
      <c r="AA390" s="900"/>
      <c r="AB390" s="900"/>
    </row>
    <row r="391">
      <c r="A391" s="900"/>
      <c r="B391" s="900"/>
      <c r="C391" s="900"/>
      <c r="D391" s="900"/>
      <c r="E391" s="900"/>
      <c r="F391" s="900"/>
      <c r="G391" s="900"/>
      <c r="H391" s="900"/>
      <c r="I391" s="905"/>
      <c r="J391" s="905"/>
      <c r="K391" s="906"/>
      <c r="L391" s="900"/>
      <c r="M391" s="900"/>
      <c r="N391" s="900"/>
      <c r="O391" s="900"/>
      <c r="P391" s="900"/>
      <c r="Q391" s="900"/>
      <c r="R391" s="900"/>
      <c r="S391" s="900"/>
      <c r="T391" s="900"/>
      <c r="U391" s="900"/>
      <c r="V391" s="900"/>
      <c r="W391" s="900"/>
      <c r="X391" s="900"/>
      <c r="Y391" s="900"/>
      <c r="Z391" s="900"/>
      <c r="AA391" s="900"/>
      <c r="AB391" s="900"/>
    </row>
    <row r="392">
      <c r="A392" s="900"/>
      <c r="B392" s="900"/>
      <c r="C392" s="900"/>
      <c r="D392" s="900"/>
      <c r="E392" s="900"/>
      <c r="F392" s="900"/>
      <c r="G392" s="900"/>
      <c r="H392" s="900"/>
      <c r="I392" s="905"/>
      <c r="J392" s="905"/>
      <c r="K392" s="906"/>
      <c r="L392" s="900"/>
      <c r="M392" s="900"/>
      <c r="N392" s="900"/>
      <c r="O392" s="900"/>
      <c r="P392" s="900"/>
      <c r="Q392" s="900"/>
      <c r="R392" s="900"/>
      <c r="S392" s="900"/>
      <c r="T392" s="900"/>
      <c r="U392" s="900"/>
      <c r="V392" s="900"/>
      <c r="W392" s="900"/>
      <c r="X392" s="900"/>
      <c r="Y392" s="900"/>
      <c r="Z392" s="900"/>
      <c r="AA392" s="900"/>
      <c r="AB392" s="900"/>
    </row>
    <row r="393">
      <c r="A393" s="900"/>
      <c r="B393" s="900"/>
      <c r="C393" s="900"/>
      <c r="D393" s="900"/>
      <c r="E393" s="900"/>
      <c r="F393" s="900"/>
      <c r="G393" s="900"/>
      <c r="H393" s="900"/>
      <c r="I393" s="905"/>
      <c r="J393" s="905"/>
      <c r="K393" s="906"/>
      <c r="L393" s="900"/>
      <c r="M393" s="900"/>
      <c r="N393" s="900"/>
      <c r="O393" s="900"/>
      <c r="P393" s="900"/>
      <c r="Q393" s="900"/>
      <c r="R393" s="900"/>
      <c r="S393" s="900"/>
      <c r="T393" s="900"/>
      <c r="U393" s="900"/>
      <c r="V393" s="900"/>
      <c r="W393" s="900"/>
      <c r="X393" s="900"/>
      <c r="Y393" s="900"/>
      <c r="Z393" s="900"/>
      <c r="AA393" s="900"/>
      <c r="AB393" s="900"/>
    </row>
    <row r="394">
      <c r="A394" s="900"/>
      <c r="B394" s="900"/>
      <c r="C394" s="900"/>
      <c r="D394" s="900"/>
      <c r="E394" s="900"/>
      <c r="F394" s="900"/>
      <c r="G394" s="900"/>
      <c r="H394" s="900"/>
      <c r="I394" s="905"/>
      <c r="J394" s="905"/>
      <c r="K394" s="906"/>
      <c r="L394" s="900"/>
      <c r="M394" s="900"/>
      <c r="N394" s="900"/>
      <c r="O394" s="900"/>
      <c r="P394" s="900"/>
      <c r="Q394" s="900"/>
      <c r="R394" s="900"/>
      <c r="S394" s="900"/>
      <c r="T394" s="900"/>
      <c r="U394" s="900"/>
      <c r="V394" s="900"/>
      <c r="W394" s="900"/>
      <c r="X394" s="900"/>
      <c r="Y394" s="900"/>
      <c r="Z394" s="900"/>
      <c r="AA394" s="900"/>
      <c r="AB394" s="900"/>
    </row>
    <row r="395">
      <c r="A395" s="900"/>
      <c r="B395" s="900"/>
      <c r="C395" s="900"/>
      <c r="D395" s="900"/>
      <c r="E395" s="900"/>
      <c r="F395" s="900"/>
      <c r="G395" s="900"/>
      <c r="H395" s="900"/>
      <c r="I395" s="905"/>
      <c r="J395" s="905"/>
      <c r="K395" s="906"/>
      <c r="L395" s="900"/>
      <c r="M395" s="900"/>
      <c r="N395" s="900"/>
      <c r="O395" s="900"/>
      <c r="P395" s="900"/>
      <c r="Q395" s="900"/>
      <c r="R395" s="900"/>
      <c r="S395" s="900"/>
      <c r="T395" s="900"/>
      <c r="U395" s="900"/>
      <c r="V395" s="900"/>
      <c r="W395" s="900"/>
      <c r="X395" s="900"/>
      <c r="Y395" s="900"/>
      <c r="Z395" s="900"/>
      <c r="AA395" s="900"/>
      <c r="AB395" s="900"/>
    </row>
    <row r="396">
      <c r="A396" s="900"/>
      <c r="B396" s="900"/>
      <c r="C396" s="900"/>
      <c r="D396" s="900"/>
      <c r="E396" s="900"/>
      <c r="F396" s="900"/>
      <c r="G396" s="900"/>
      <c r="H396" s="900"/>
      <c r="I396" s="905"/>
      <c r="J396" s="905"/>
      <c r="K396" s="906"/>
      <c r="L396" s="900"/>
      <c r="M396" s="900"/>
      <c r="N396" s="900"/>
      <c r="O396" s="900"/>
      <c r="P396" s="900"/>
      <c r="Q396" s="900"/>
      <c r="R396" s="900"/>
      <c r="S396" s="900"/>
      <c r="T396" s="900"/>
      <c r="U396" s="900"/>
      <c r="V396" s="900"/>
      <c r="W396" s="900"/>
      <c r="X396" s="900"/>
      <c r="Y396" s="900"/>
      <c r="Z396" s="900"/>
      <c r="AA396" s="900"/>
      <c r="AB396" s="900"/>
    </row>
    <row r="397">
      <c r="A397" s="900"/>
      <c r="B397" s="900"/>
      <c r="C397" s="900"/>
      <c r="D397" s="900"/>
      <c r="E397" s="900"/>
      <c r="F397" s="900"/>
      <c r="G397" s="900"/>
      <c r="H397" s="900"/>
      <c r="I397" s="905"/>
      <c r="J397" s="905"/>
      <c r="K397" s="906"/>
      <c r="L397" s="900"/>
      <c r="M397" s="900"/>
      <c r="N397" s="900"/>
      <c r="O397" s="900"/>
      <c r="P397" s="900"/>
      <c r="Q397" s="900"/>
      <c r="R397" s="900"/>
      <c r="S397" s="900"/>
      <c r="T397" s="900"/>
      <c r="U397" s="900"/>
      <c r="V397" s="900"/>
      <c r="W397" s="900"/>
      <c r="X397" s="900"/>
      <c r="Y397" s="900"/>
      <c r="Z397" s="900"/>
      <c r="AA397" s="900"/>
      <c r="AB397" s="900"/>
    </row>
    <row r="398">
      <c r="A398" s="900"/>
      <c r="B398" s="900"/>
      <c r="C398" s="900"/>
      <c r="D398" s="900"/>
      <c r="E398" s="900"/>
      <c r="F398" s="900"/>
      <c r="G398" s="900"/>
      <c r="H398" s="900"/>
      <c r="I398" s="905"/>
      <c r="J398" s="905"/>
      <c r="K398" s="906"/>
      <c r="L398" s="900"/>
      <c r="M398" s="900"/>
      <c r="N398" s="900"/>
      <c r="O398" s="900"/>
      <c r="P398" s="900"/>
      <c r="Q398" s="900"/>
      <c r="R398" s="900"/>
      <c r="S398" s="900"/>
      <c r="T398" s="900"/>
      <c r="U398" s="900"/>
      <c r="V398" s="900"/>
      <c r="W398" s="900"/>
      <c r="X398" s="900"/>
      <c r="Y398" s="900"/>
      <c r="Z398" s="900"/>
      <c r="AA398" s="900"/>
      <c r="AB398" s="900"/>
    </row>
    <row r="399">
      <c r="A399" s="900"/>
      <c r="B399" s="900"/>
      <c r="C399" s="900"/>
      <c r="D399" s="900"/>
      <c r="E399" s="900"/>
      <c r="F399" s="900"/>
      <c r="G399" s="900"/>
      <c r="H399" s="900"/>
      <c r="I399" s="905"/>
      <c r="J399" s="905"/>
      <c r="K399" s="906"/>
      <c r="L399" s="900"/>
      <c r="M399" s="900"/>
      <c r="N399" s="900"/>
      <c r="O399" s="900"/>
      <c r="P399" s="900"/>
      <c r="Q399" s="900"/>
      <c r="R399" s="900"/>
      <c r="S399" s="900"/>
      <c r="T399" s="900"/>
      <c r="U399" s="900"/>
      <c r="V399" s="900"/>
      <c r="W399" s="900"/>
      <c r="X399" s="900"/>
      <c r="Y399" s="900"/>
      <c r="Z399" s="900"/>
      <c r="AA399" s="900"/>
      <c r="AB399" s="900"/>
    </row>
    <row r="400">
      <c r="A400" s="900"/>
      <c r="B400" s="900"/>
      <c r="C400" s="900"/>
      <c r="D400" s="900"/>
      <c r="E400" s="900"/>
      <c r="F400" s="900"/>
      <c r="G400" s="900"/>
      <c r="H400" s="900"/>
      <c r="I400" s="905"/>
      <c r="J400" s="905"/>
      <c r="K400" s="906"/>
      <c r="L400" s="900"/>
      <c r="M400" s="900"/>
      <c r="N400" s="900"/>
      <c r="O400" s="900"/>
      <c r="P400" s="900"/>
      <c r="Q400" s="900"/>
      <c r="R400" s="900"/>
      <c r="S400" s="900"/>
      <c r="T400" s="900"/>
      <c r="U400" s="900"/>
      <c r="V400" s="900"/>
      <c r="W400" s="900"/>
      <c r="X400" s="900"/>
      <c r="Y400" s="900"/>
      <c r="Z400" s="900"/>
      <c r="AA400" s="900"/>
      <c r="AB400" s="900"/>
    </row>
    <row r="401">
      <c r="A401" s="900"/>
      <c r="B401" s="900"/>
      <c r="C401" s="900"/>
      <c r="D401" s="900"/>
      <c r="E401" s="900"/>
      <c r="F401" s="900"/>
      <c r="G401" s="900"/>
      <c r="H401" s="900"/>
      <c r="I401" s="905"/>
      <c r="J401" s="905"/>
      <c r="K401" s="906"/>
      <c r="L401" s="900"/>
      <c r="M401" s="900"/>
      <c r="N401" s="900"/>
      <c r="O401" s="900"/>
      <c r="P401" s="900"/>
      <c r="Q401" s="900"/>
      <c r="R401" s="900"/>
      <c r="S401" s="900"/>
      <c r="T401" s="900"/>
      <c r="U401" s="900"/>
      <c r="V401" s="900"/>
      <c r="W401" s="900"/>
      <c r="X401" s="900"/>
      <c r="Y401" s="900"/>
      <c r="Z401" s="900"/>
      <c r="AA401" s="900"/>
      <c r="AB401" s="900"/>
    </row>
    <row r="402">
      <c r="A402" s="900"/>
      <c r="B402" s="900"/>
      <c r="C402" s="900"/>
      <c r="D402" s="900"/>
      <c r="E402" s="900"/>
      <c r="F402" s="900"/>
      <c r="G402" s="900"/>
      <c r="H402" s="900"/>
      <c r="I402" s="905"/>
      <c r="J402" s="905"/>
      <c r="K402" s="906"/>
      <c r="L402" s="900"/>
      <c r="M402" s="900"/>
      <c r="N402" s="900"/>
      <c r="O402" s="900"/>
      <c r="P402" s="900"/>
      <c r="Q402" s="900"/>
      <c r="R402" s="900"/>
      <c r="S402" s="900"/>
      <c r="T402" s="900"/>
      <c r="U402" s="900"/>
      <c r="V402" s="900"/>
      <c r="W402" s="900"/>
      <c r="X402" s="900"/>
      <c r="Y402" s="900"/>
      <c r="Z402" s="900"/>
      <c r="AA402" s="900"/>
      <c r="AB402" s="900"/>
    </row>
    <row r="403">
      <c r="A403" s="900"/>
      <c r="B403" s="900"/>
      <c r="C403" s="900"/>
      <c r="D403" s="900"/>
      <c r="E403" s="900"/>
      <c r="F403" s="900"/>
      <c r="G403" s="900"/>
      <c r="H403" s="900"/>
      <c r="I403" s="905"/>
      <c r="J403" s="905"/>
      <c r="K403" s="906"/>
      <c r="L403" s="900"/>
      <c r="M403" s="900"/>
      <c r="N403" s="900"/>
      <c r="O403" s="900"/>
      <c r="P403" s="900"/>
      <c r="Q403" s="900"/>
      <c r="R403" s="900"/>
      <c r="S403" s="900"/>
      <c r="T403" s="900"/>
      <c r="U403" s="900"/>
      <c r="V403" s="900"/>
      <c r="W403" s="900"/>
      <c r="X403" s="900"/>
      <c r="Y403" s="900"/>
      <c r="Z403" s="900"/>
      <c r="AA403" s="900"/>
      <c r="AB403" s="900"/>
    </row>
    <row r="404">
      <c r="A404" s="900"/>
      <c r="B404" s="900"/>
      <c r="C404" s="900"/>
      <c r="D404" s="900"/>
      <c r="E404" s="900"/>
      <c r="F404" s="900"/>
      <c r="G404" s="900"/>
      <c r="H404" s="900"/>
      <c r="I404" s="905"/>
      <c r="J404" s="905"/>
      <c r="K404" s="906"/>
      <c r="L404" s="900"/>
      <c r="M404" s="900"/>
      <c r="N404" s="900"/>
      <c r="O404" s="900"/>
      <c r="P404" s="900"/>
      <c r="Q404" s="900"/>
      <c r="R404" s="900"/>
      <c r="S404" s="900"/>
      <c r="T404" s="900"/>
      <c r="U404" s="900"/>
      <c r="V404" s="900"/>
      <c r="W404" s="900"/>
      <c r="X404" s="900"/>
      <c r="Y404" s="900"/>
      <c r="Z404" s="900"/>
      <c r="AA404" s="900"/>
      <c r="AB404" s="900"/>
    </row>
    <row r="405">
      <c r="A405" s="900"/>
      <c r="B405" s="900"/>
      <c r="C405" s="900"/>
      <c r="D405" s="900"/>
      <c r="E405" s="900"/>
      <c r="F405" s="900"/>
      <c r="G405" s="900"/>
      <c r="H405" s="900"/>
      <c r="I405" s="905"/>
      <c r="J405" s="905"/>
      <c r="K405" s="906"/>
      <c r="L405" s="900"/>
      <c r="M405" s="900"/>
      <c r="N405" s="900"/>
      <c r="O405" s="900"/>
      <c r="P405" s="900"/>
      <c r="Q405" s="900"/>
      <c r="R405" s="900"/>
      <c r="S405" s="900"/>
      <c r="T405" s="900"/>
      <c r="U405" s="900"/>
      <c r="V405" s="900"/>
      <c r="W405" s="900"/>
      <c r="X405" s="900"/>
      <c r="Y405" s="900"/>
      <c r="Z405" s="900"/>
      <c r="AA405" s="900"/>
      <c r="AB405" s="900"/>
    </row>
    <row r="406">
      <c r="A406" s="900"/>
      <c r="B406" s="900"/>
      <c r="C406" s="900"/>
      <c r="D406" s="900"/>
      <c r="E406" s="900"/>
      <c r="F406" s="900"/>
      <c r="G406" s="900"/>
      <c r="H406" s="900"/>
      <c r="I406" s="905"/>
      <c r="J406" s="905"/>
      <c r="K406" s="906"/>
      <c r="L406" s="900"/>
      <c r="M406" s="900"/>
      <c r="N406" s="900"/>
      <c r="O406" s="900"/>
      <c r="P406" s="900"/>
      <c r="Q406" s="900"/>
      <c r="R406" s="900"/>
      <c r="S406" s="900"/>
      <c r="T406" s="900"/>
      <c r="U406" s="900"/>
      <c r="V406" s="900"/>
      <c r="W406" s="900"/>
      <c r="X406" s="900"/>
      <c r="Y406" s="900"/>
      <c r="Z406" s="900"/>
      <c r="AA406" s="900"/>
      <c r="AB406" s="900"/>
    </row>
    <row r="407">
      <c r="A407" s="900"/>
      <c r="B407" s="900"/>
      <c r="C407" s="900"/>
      <c r="D407" s="900"/>
      <c r="E407" s="900"/>
      <c r="F407" s="900"/>
      <c r="G407" s="900"/>
      <c r="H407" s="900"/>
      <c r="I407" s="905"/>
      <c r="J407" s="905"/>
      <c r="K407" s="906"/>
      <c r="L407" s="900"/>
      <c r="M407" s="900"/>
      <c r="N407" s="900"/>
      <c r="O407" s="900"/>
      <c r="P407" s="900"/>
      <c r="Q407" s="900"/>
      <c r="R407" s="900"/>
      <c r="S407" s="900"/>
      <c r="T407" s="900"/>
      <c r="U407" s="900"/>
      <c r="V407" s="900"/>
      <c r="W407" s="900"/>
      <c r="X407" s="900"/>
      <c r="Y407" s="900"/>
      <c r="Z407" s="900"/>
      <c r="AA407" s="900"/>
      <c r="AB407" s="900"/>
    </row>
    <row r="408">
      <c r="A408" s="900"/>
      <c r="B408" s="900"/>
      <c r="C408" s="900"/>
      <c r="D408" s="900"/>
      <c r="E408" s="900"/>
      <c r="F408" s="900"/>
      <c r="G408" s="900"/>
      <c r="H408" s="900"/>
      <c r="I408" s="905"/>
      <c r="J408" s="905"/>
      <c r="K408" s="906"/>
      <c r="L408" s="900"/>
      <c r="M408" s="900"/>
      <c r="N408" s="900"/>
      <c r="O408" s="900"/>
      <c r="P408" s="900"/>
      <c r="Q408" s="900"/>
      <c r="R408" s="900"/>
      <c r="S408" s="900"/>
      <c r="T408" s="900"/>
      <c r="U408" s="900"/>
      <c r="V408" s="900"/>
      <c r="W408" s="900"/>
      <c r="X408" s="900"/>
      <c r="Y408" s="900"/>
      <c r="Z408" s="900"/>
      <c r="AA408" s="900"/>
      <c r="AB408" s="900"/>
    </row>
    <row r="409">
      <c r="A409" s="900"/>
      <c r="B409" s="900"/>
      <c r="C409" s="900"/>
      <c r="D409" s="900"/>
      <c r="E409" s="900"/>
      <c r="F409" s="900"/>
      <c r="G409" s="900"/>
      <c r="H409" s="900"/>
      <c r="I409" s="905"/>
      <c r="J409" s="905"/>
      <c r="K409" s="906"/>
      <c r="L409" s="900"/>
      <c r="M409" s="900"/>
      <c r="N409" s="900"/>
      <c r="O409" s="900"/>
      <c r="P409" s="900"/>
      <c r="Q409" s="900"/>
      <c r="R409" s="900"/>
      <c r="S409" s="900"/>
      <c r="T409" s="900"/>
      <c r="U409" s="900"/>
      <c r="V409" s="900"/>
      <c r="W409" s="900"/>
      <c r="X409" s="900"/>
      <c r="Y409" s="900"/>
      <c r="Z409" s="900"/>
      <c r="AA409" s="900"/>
      <c r="AB409" s="900"/>
    </row>
    <row r="410">
      <c r="A410" s="900"/>
      <c r="B410" s="900"/>
      <c r="C410" s="900"/>
      <c r="D410" s="900"/>
      <c r="E410" s="900"/>
      <c r="F410" s="900"/>
      <c r="G410" s="900"/>
      <c r="H410" s="900"/>
      <c r="I410" s="905"/>
      <c r="J410" s="905"/>
      <c r="K410" s="906"/>
      <c r="L410" s="900"/>
      <c r="M410" s="900"/>
      <c r="N410" s="900"/>
      <c r="O410" s="900"/>
      <c r="P410" s="900"/>
      <c r="Q410" s="900"/>
      <c r="R410" s="900"/>
      <c r="S410" s="900"/>
      <c r="T410" s="900"/>
      <c r="U410" s="900"/>
      <c r="V410" s="900"/>
      <c r="W410" s="900"/>
      <c r="X410" s="900"/>
      <c r="Y410" s="900"/>
      <c r="Z410" s="900"/>
      <c r="AA410" s="900"/>
      <c r="AB410" s="900"/>
    </row>
    <row r="411">
      <c r="A411" s="900"/>
      <c r="B411" s="900"/>
      <c r="C411" s="900"/>
      <c r="D411" s="900"/>
      <c r="E411" s="900"/>
      <c r="F411" s="900"/>
      <c r="G411" s="900"/>
      <c r="H411" s="900"/>
      <c r="I411" s="905"/>
      <c r="J411" s="905"/>
      <c r="K411" s="906"/>
      <c r="L411" s="900"/>
      <c r="M411" s="900"/>
      <c r="N411" s="900"/>
      <c r="O411" s="900"/>
      <c r="P411" s="900"/>
      <c r="Q411" s="900"/>
      <c r="R411" s="900"/>
      <c r="S411" s="900"/>
      <c r="T411" s="900"/>
      <c r="U411" s="900"/>
      <c r="V411" s="900"/>
      <c r="W411" s="900"/>
      <c r="X411" s="900"/>
      <c r="Y411" s="900"/>
      <c r="Z411" s="900"/>
      <c r="AA411" s="900"/>
      <c r="AB411" s="900"/>
    </row>
    <row r="412">
      <c r="A412" s="900"/>
      <c r="B412" s="900"/>
      <c r="C412" s="900"/>
      <c r="D412" s="900"/>
      <c r="E412" s="900"/>
      <c r="F412" s="900"/>
      <c r="G412" s="900"/>
      <c r="H412" s="900"/>
      <c r="I412" s="905"/>
      <c r="J412" s="905"/>
      <c r="K412" s="906"/>
      <c r="L412" s="900"/>
      <c r="M412" s="900"/>
      <c r="N412" s="900"/>
      <c r="O412" s="900"/>
      <c r="P412" s="900"/>
      <c r="Q412" s="900"/>
      <c r="R412" s="900"/>
      <c r="S412" s="900"/>
      <c r="T412" s="900"/>
      <c r="U412" s="900"/>
      <c r="V412" s="900"/>
      <c r="W412" s="900"/>
      <c r="X412" s="900"/>
      <c r="Y412" s="900"/>
      <c r="Z412" s="900"/>
      <c r="AA412" s="900"/>
      <c r="AB412" s="900"/>
    </row>
    <row r="413">
      <c r="A413" s="900"/>
      <c r="B413" s="900"/>
      <c r="C413" s="900"/>
      <c r="D413" s="900"/>
      <c r="E413" s="900"/>
      <c r="F413" s="900"/>
      <c r="G413" s="900"/>
      <c r="H413" s="900"/>
      <c r="I413" s="905"/>
      <c r="J413" s="905"/>
      <c r="K413" s="906"/>
      <c r="L413" s="900"/>
      <c r="M413" s="900"/>
      <c r="N413" s="900"/>
      <c r="O413" s="900"/>
      <c r="P413" s="900"/>
      <c r="Q413" s="900"/>
      <c r="R413" s="900"/>
      <c r="S413" s="900"/>
      <c r="T413" s="900"/>
      <c r="U413" s="900"/>
      <c r="V413" s="900"/>
      <c r="W413" s="900"/>
      <c r="X413" s="900"/>
      <c r="Y413" s="900"/>
      <c r="Z413" s="900"/>
      <c r="AA413" s="900"/>
      <c r="AB413" s="900"/>
    </row>
    <row r="414">
      <c r="A414" s="900"/>
      <c r="B414" s="900"/>
      <c r="C414" s="900"/>
      <c r="D414" s="900"/>
      <c r="E414" s="900"/>
      <c r="F414" s="900"/>
      <c r="G414" s="900"/>
      <c r="H414" s="900"/>
      <c r="I414" s="905"/>
      <c r="J414" s="905"/>
      <c r="K414" s="906"/>
      <c r="L414" s="900"/>
      <c r="M414" s="900"/>
      <c r="N414" s="900"/>
      <c r="O414" s="900"/>
      <c r="P414" s="900"/>
      <c r="Q414" s="900"/>
      <c r="R414" s="900"/>
      <c r="S414" s="900"/>
      <c r="T414" s="900"/>
      <c r="U414" s="900"/>
      <c r="V414" s="900"/>
      <c r="W414" s="900"/>
      <c r="X414" s="900"/>
      <c r="Y414" s="900"/>
      <c r="Z414" s="900"/>
      <c r="AA414" s="900"/>
      <c r="AB414" s="900"/>
    </row>
    <row r="415">
      <c r="A415" s="900"/>
      <c r="B415" s="900"/>
      <c r="C415" s="900"/>
      <c r="D415" s="900"/>
      <c r="E415" s="900"/>
      <c r="F415" s="900"/>
      <c r="G415" s="900"/>
      <c r="H415" s="900"/>
      <c r="I415" s="905"/>
      <c r="J415" s="905"/>
      <c r="K415" s="906"/>
      <c r="L415" s="900"/>
      <c r="M415" s="900"/>
      <c r="N415" s="900"/>
      <c r="O415" s="900"/>
      <c r="P415" s="900"/>
      <c r="Q415" s="900"/>
      <c r="R415" s="900"/>
      <c r="S415" s="900"/>
      <c r="T415" s="900"/>
      <c r="U415" s="900"/>
      <c r="V415" s="900"/>
      <c r="W415" s="900"/>
      <c r="X415" s="900"/>
      <c r="Y415" s="900"/>
      <c r="Z415" s="900"/>
      <c r="AA415" s="900"/>
      <c r="AB415" s="900"/>
    </row>
    <row r="416">
      <c r="A416" s="900"/>
      <c r="B416" s="900"/>
      <c r="C416" s="900"/>
      <c r="D416" s="900"/>
      <c r="E416" s="900"/>
      <c r="F416" s="900"/>
      <c r="G416" s="900"/>
      <c r="H416" s="900"/>
      <c r="I416" s="905"/>
      <c r="J416" s="905"/>
      <c r="K416" s="906"/>
      <c r="L416" s="900"/>
      <c r="M416" s="900"/>
      <c r="N416" s="900"/>
      <c r="O416" s="900"/>
      <c r="P416" s="900"/>
      <c r="Q416" s="900"/>
      <c r="R416" s="900"/>
      <c r="S416" s="900"/>
      <c r="T416" s="900"/>
      <c r="U416" s="900"/>
      <c r="V416" s="900"/>
      <c r="W416" s="900"/>
      <c r="X416" s="900"/>
      <c r="Y416" s="900"/>
      <c r="Z416" s="900"/>
      <c r="AA416" s="900"/>
      <c r="AB416" s="900"/>
    </row>
    <row r="417">
      <c r="A417" s="900"/>
      <c r="B417" s="900"/>
      <c r="C417" s="900"/>
      <c r="D417" s="900"/>
      <c r="E417" s="900"/>
      <c r="F417" s="900"/>
      <c r="G417" s="900"/>
      <c r="H417" s="900"/>
      <c r="I417" s="905"/>
      <c r="J417" s="905"/>
      <c r="K417" s="906"/>
      <c r="L417" s="900"/>
      <c r="M417" s="900"/>
      <c r="N417" s="900"/>
      <c r="O417" s="900"/>
      <c r="P417" s="900"/>
      <c r="Q417" s="900"/>
      <c r="R417" s="900"/>
      <c r="S417" s="900"/>
      <c r="T417" s="900"/>
      <c r="U417" s="900"/>
      <c r="V417" s="900"/>
      <c r="W417" s="900"/>
      <c r="X417" s="900"/>
      <c r="Y417" s="900"/>
      <c r="Z417" s="900"/>
      <c r="AA417" s="900"/>
      <c r="AB417" s="900"/>
    </row>
    <row r="418">
      <c r="A418" s="900"/>
      <c r="B418" s="900"/>
      <c r="C418" s="900"/>
      <c r="D418" s="900"/>
      <c r="E418" s="900"/>
      <c r="F418" s="900"/>
      <c r="G418" s="900"/>
      <c r="H418" s="900"/>
      <c r="I418" s="905"/>
      <c r="J418" s="905"/>
      <c r="K418" s="906"/>
      <c r="L418" s="900"/>
      <c r="M418" s="900"/>
      <c r="N418" s="900"/>
      <c r="O418" s="900"/>
      <c r="P418" s="900"/>
      <c r="Q418" s="900"/>
      <c r="R418" s="900"/>
      <c r="S418" s="900"/>
      <c r="T418" s="900"/>
      <c r="U418" s="900"/>
      <c r="V418" s="900"/>
      <c r="W418" s="900"/>
      <c r="X418" s="900"/>
      <c r="Y418" s="900"/>
      <c r="Z418" s="900"/>
      <c r="AA418" s="900"/>
      <c r="AB418" s="900"/>
    </row>
    <row r="419">
      <c r="A419" s="900"/>
      <c r="B419" s="900"/>
      <c r="C419" s="900"/>
      <c r="D419" s="900"/>
      <c r="E419" s="900"/>
      <c r="F419" s="900"/>
      <c r="G419" s="900"/>
      <c r="H419" s="900"/>
      <c r="I419" s="905"/>
      <c r="J419" s="905"/>
      <c r="K419" s="906"/>
      <c r="L419" s="900"/>
      <c r="M419" s="900"/>
      <c r="N419" s="900"/>
      <c r="O419" s="900"/>
      <c r="P419" s="900"/>
      <c r="Q419" s="900"/>
      <c r="R419" s="900"/>
      <c r="S419" s="900"/>
      <c r="T419" s="900"/>
      <c r="U419" s="900"/>
      <c r="V419" s="900"/>
      <c r="W419" s="900"/>
      <c r="X419" s="900"/>
      <c r="Y419" s="900"/>
      <c r="Z419" s="900"/>
      <c r="AA419" s="900"/>
      <c r="AB419" s="900"/>
    </row>
    <row r="420">
      <c r="A420" s="900"/>
      <c r="B420" s="900"/>
      <c r="C420" s="900"/>
      <c r="D420" s="900"/>
      <c r="E420" s="900"/>
      <c r="F420" s="900"/>
      <c r="G420" s="900"/>
      <c r="H420" s="900"/>
      <c r="I420" s="905"/>
      <c r="J420" s="905"/>
      <c r="K420" s="906"/>
      <c r="L420" s="900"/>
      <c r="M420" s="900"/>
      <c r="N420" s="900"/>
      <c r="O420" s="900"/>
      <c r="P420" s="900"/>
      <c r="Q420" s="900"/>
      <c r="R420" s="900"/>
      <c r="S420" s="900"/>
      <c r="T420" s="900"/>
      <c r="U420" s="900"/>
      <c r="V420" s="900"/>
      <c r="W420" s="900"/>
      <c r="X420" s="900"/>
      <c r="Y420" s="900"/>
      <c r="Z420" s="900"/>
      <c r="AA420" s="900"/>
      <c r="AB420" s="900"/>
    </row>
    <row r="421">
      <c r="A421" s="900"/>
      <c r="B421" s="900"/>
      <c r="C421" s="900"/>
      <c r="D421" s="900"/>
      <c r="E421" s="900"/>
      <c r="F421" s="900"/>
      <c r="G421" s="900"/>
      <c r="H421" s="900"/>
      <c r="I421" s="905"/>
      <c r="J421" s="905"/>
      <c r="K421" s="906"/>
      <c r="L421" s="900"/>
      <c r="M421" s="900"/>
      <c r="N421" s="900"/>
      <c r="O421" s="900"/>
      <c r="P421" s="900"/>
      <c r="Q421" s="900"/>
      <c r="R421" s="900"/>
      <c r="S421" s="900"/>
      <c r="T421" s="900"/>
      <c r="U421" s="900"/>
      <c r="V421" s="900"/>
      <c r="W421" s="900"/>
      <c r="X421" s="900"/>
      <c r="Y421" s="900"/>
      <c r="Z421" s="900"/>
      <c r="AA421" s="900"/>
      <c r="AB421" s="900"/>
    </row>
    <row r="422">
      <c r="A422" s="900"/>
      <c r="B422" s="900"/>
      <c r="C422" s="900"/>
      <c r="D422" s="900"/>
      <c r="E422" s="900"/>
      <c r="F422" s="900"/>
      <c r="G422" s="900"/>
      <c r="H422" s="900"/>
      <c r="I422" s="905"/>
      <c r="J422" s="905"/>
      <c r="K422" s="906"/>
      <c r="L422" s="900"/>
      <c r="M422" s="900"/>
      <c r="N422" s="900"/>
      <c r="O422" s="900"/>
      <c r="P422" s="900"/>
      <c r="Q422" s="900"/>
      <c r="R422" s="900"/>
      <c r="S422" s="900"/>
      <c r="T422" s="900"/>
      <c r="U422" s="900"/>
      <c r="V422" s="900"/>
      <c r="W422" s="900"/>
      <c r="X422" s="900"/>
      <c r="Y422" s="900"/>
      <c r="Z422" s="900"/>
      <c r="AA422" s="900"/>
      <c r="AB422" s="900"/>
    </row>
    <row r="423">
      <c r="A423" s="900"/>
      <c r="B423" s="900"/>
      <c r="C423" s="900"/>
      <c r="D423" s="900"/>
      <c r="E423" s="900"/>
      <c r="F423" s="900"/>
      <c r="G423" s="900"/>
      <c r="H423" s="900"/>
      <c r="I423" s="905"/>
      <c r="J423" s="905"/>
      <c r="K423" s="906"/>
      <c r="L423" s="900"/>
      <c r="M423" s="900"/>
      <c r="N423" s="900"/>
      <c r="O423" s="900"/>
      <c r="P423" s="900"/>
      <c r="Q423" s="900"/>
      <c r="R423" s="900"/>
      <c r="S423" s="900"/>
      <c r="T423" s="900"/>
      <c r="U423" s="900"/>
      <c r="V423" s="900"/>
      <c r="W423" s="900"/>
      <c r="X423" s="900"/>
      <c r="Y423" s="900"/>
      <c r="Z423" s="900"/>
      <c r="AA423" s="900"/>
      <c r="AB423" s="900"/>
    </row>
    <row r="424">
      <c r="A424" s="900"/>
      <c r="B424" s="900"/>
      <c r="C424" s="900"/>
      <c r="D424" s="900"/>
      <c r="E424" s="900"/>
      <c r="F424" s="900"/>
      <c r="G424" s="900"/>
      <c r="H424" s="900"/>
      <c r="I424" s="905"/>
      <c r="J424" s="905"/>
      <c r="K424" s="906"/>
      <c r="L424" s="900"/>
      <c r="M424" s="900"/>
      <c r="N424" s="900"/>
      <c r="O424" s="900"/>
      <c r="P424" s="900"/>
      <c r="Q424" s="900"/>
      <c r="R424" s="900"/>
      <c r="S424" s="900"/>
      <c r="T424" s="900"/>
      <c r="U424" s="900"/>
      <c r="V424" s="900"/>
      <c r="W424" s="900"/>
      <c r="X424" s="900"/>
      <c r="Y424" s="900"/>
      <c r="Z424" s="900"/>
      <c r="AA424" s="900"/>
      <c r="AB424" s="900"/>
    </row>
    <row r="425">
      <c r="A425" s="900"/>
      <c r="B425" s="900"/>
      <c r="C425" s="900"/>
      <c r="D425" s="900"/>
      <c r="E425" s="900"/>
      <c r="F425" s="900"/>
      <c r="G425" s="900"/>
      <c r="H425" s="900"/>
      <c r="I425" s="905"/>
      <c r="J425" s="905"/>
      <c r="K425" s="906"/>
      <c r="L425" s="900"/>
      <c r="M425" s="900"/>
      <c r="N425" s="900"/>
      <c r="O425" s="900"/>
      <c r="P425" s="900"/>
      <c r="Q425" s="900"/>
      <c r="R425" s="900"/>
      <c r="S425" s="900"/>
      <c r="T425" s="900"/>
      <c r="U425" s="900"/>
      <c r="V425" s="900"/>
      <c r="W425" s="900"/>
      <c r="X425" s="900"/>
      <c r="Y425" s="900"/>
      <c r="Z425" s="900"/>
      <c r="AA425" s="900"/>
      <c r="AB425" s="900"/>
    </row>
    <row r="426">
      <c r="A426" s="900"/>
      <c r="B426" s="900"/>
      <c r="C426" s="900"/>
      <c r="D426" s="900"/>
      <c r="E426" s="900"/>
      <c r="F426" s="900"/>
      <c r="G426" s="900"/>
      <c r="H426" s="900"/>
      <c r="I426" s="905"/>
      <c r="J426" s="905"/>
      <c r="K426" s="906"/>
      <c r="L426" s="900"/>
      <c r="M426" s="900"/>
      <c r="N426" s="900"/>
      <c r="O426" s="900"/>
      <c r="P426" s="900"/>
      <c r="Q426" s="900"/>
      <c r="R426" s="900"/>
      <c r="S426" s="900"/>
      <c r="T426" s="900"/>
      <c r="U426" s="900"/>
      <c r="V426" s="900"/>
      <c r="W426" s="900"/>
      <c r="X426" s="900"/>
      <c r="Y426" s="900"/>
      <c r="Z426" s="900"/>
      <c r="AA426" s="900"/>
      <c r="AB426" s="900"/>
    </row>
    <row r="427">
      <c r="A427" s="900"/>
      <c r="B427" s="900"/>
      <c r="C427" s="900"/>
      <c r="D427" s="900"/>
      <c r="E427" s="900"/>
      <c r="F427" s="900"/>
      <c r="G427" s="900"/>
      <c r="H427" s="900"/>
      <c r="I427" s="905"/>
      <c r="J427" s="905"/>
      <c r="K427" s="906"/>
      <c r="L427" s="900"/>
      <c r="M427" s="900"/>
      <c r="N427" s="900"/>
      <c r="O427" s="900"/>
      <c r="P427" s="900"/>
      <c r="Q427" s="900"/>
      <c r="R427" s="900"/>
      <c r="S427" s="900"/>
      <c r="T427" s="900"/>
      <c r="U427" s="900"/>
      <c r="V427" s="900"/>
      <c r="W427" s="900"/>
      <c r="X427" s="900"/>
      <c r="Y427" s="900"/>
      <c r="Z427" s="900"/>
      <c r="AA427" s="900"/>
      <c r="AB427" s="900"/>
    </row>
    <row r="428">
      <c r="A428" s="900"/>
      <c r="B428" s="900"/>
      <c r="C428" s="900"/>
      <c r="D428" s="900"/>
      <c r="E428" s="900"/>
      <c r="F428" s="900"/>
      <c r="G428" s="900"/>
      <c r="H428" s="900"/>
      <c r="I428" s="905"/>
      <c r="J428" s="905"/>
      <c r="K428" s="906"/>
      <c r="L428" s="900"/>
      <c r="M428" s="900"/>
      <c r="N428" s="900"/>
      <c r="O428" s="900"/>
      <c r="P428" s="900"/>
      <c r="Q428" s="900"/>
      <c r="R428" s="900"/>
      <c r="S428" s="900"/>
      <c r="T428" s="900"/>
      <c r="U428" s="900"/>
      <c r="V428" s="900"/>
      <c r="W428" s="900"/>
      <c r="X428" s="900"/>
      <c r="Y428" s="900"/>
      <c r="Z428" s="900"/>
      <c r="AA428" s="900"/>
      <c r="AB428" s="900"/>
    </row>
    <row r="429">
      <c r="A429" s="900"/>
      <c r="B429" s="900"/>
      <c r="C429" s="900"/>
      <c r="D429" s="900"/>
      <c r="E429" s="900"/>
      <c r="F429" s="900"/>
      <c r="G429" s="900"/>
      <c r="H429" s="900"/>
      <c r="I429" s="905"/>
      <c r="J429" s="905"/>
      <c r="K429" s="906"/>
      <c r="L429" s="900"/>
      <c r="M429" s="900"/>
      <c r="N429" s="900"/>
      <c r="O429" s="900"/>
      <c r="P429" s="900"/>
      <c r="Q429" s="900"/>
      <c r="R429" s="900"/>
      <c r="S429" s="900"/>
      <c r="T429" s="900"/>
      <c r="U429" s="900"/>
      <c r="V429" s="900"/>
      <c r="W429" s="900"/>
      <c r="X429" s="900"/>
      <c r="Y429" s="900"/>
      <c r="Z429" s="900"/>
      <c r="AA429" s="900"/>
      <c r="AB429" s="900"/>
    </row>
    <row r="430">
      <c r="A430" s="900"/>
      <c r="B430" s="900"/>
      <c r="C430" s="900"/>
      <c r="D430" s="900"/>
      <c r="E430" s="900"/>
      <c r="F430" s="900"/>
      <c r="G430" s="900"/>
      <c r="H430" s="900"/>
      <c r="I430" s="905"/>
      <c r="J430" s="905"/>
      <c r="K430" s="906"/>
      <c r="L430" s="900"/>
      <c r="M430" s="900"/>
      <c r="N430" s="900"/>
      <c r="O430" s="900"/>
      <c r="P430" s="900"/>
      <c r="Q430" s="900"/>
      <c r="R430" s="900"/>
      <c r="S430" s="900"/>
      <c r="T430" s="900"/>
      <c r="U430" s="900"/>
      <c r="V430" s="900"/>
      <c r="W430" s="900"/>
      <c r="X430" s="900"/>
      <c r="Y430" s="900"/>
      <c r="Z430" s="900"/>
      <c r="AA430" s="900"/>
      <c r="AB430" s="900"/>
    </row>
    <row r="431">
      <c r="A431" s="900"/>
      <c r="B431" s="900"/>
      <c r="C431" s="900"/>
      <c r="D431" s="900"/>
      <c r="E431" s="900"/>
      <c r="F431" s="900"/>
      <c r="G431" s="900"/>
      <c r="H431" s="900"/>
      <c r="I431" s="905"/>
      <c r="J431" s="905"/>
      <c r="K431" s="906"/>
      <c r="L431" s="900"/>
      <c r="M431" s="900"/>
      <c r="N431" s="900"/>
      <c r="O431" s="900"/>
      <c r="P431" s="900"/>
      <c r="Q431" s="900"/>
      <c r="R431" s="900"/>
      <c r="S431" s="900"/>
      <c r="T431" s="900"/>
      <c r="U431" s="900"/>
      <c r="V431" s="900"/>
      <c r="W431" s="900"/>
      <c r="X431" s="900"/>
      <c r="Y431" s="900"/>
      <c r="Z431" s="900"/>
      <c r="AA431" s="900"/>
      <c r="AB431" s="900"/>
    </row>
    <row r="432">
      <c r="A432" s="900"/>
      <c r="B432" s="900"/>
      <c r="C432" s="900"/>
      <c r="D432" s="900"/>
      <c r="E432" s="900"/>
      <c r="F432" s="900"/>
      <c r="G432" s="900"/>
      <c r="H432" s="900"/>
      <c r="I432" s="905"/>
      <c r="J432" s="905"/>
      <c r="K432" s="906"/>
      <c r="L432" s="900"/>
      <c r="M432" s="900"/>
      <c r="N432" s="900"/>
      <c r="O432" s="900"/>
      <c r="P432" s="900"/>
      <c r="Q432" s="900"/>
      <c r="R432" s="900"/>
      <c r="S432" s="900"/>
      <c r="T432" s="900"/>
      <c r="U432" s="900"/>
      <c r="V432" s="900"/>
      <c r="W432" s="900"/>
      <c r="X432" s="900"/>
      <c r="Y432" s="900"/>
      <c r="Z432" s="900"/>
      <c r="AA432" s="900"/>
      <c r="AB432" s="900"/>
    </row>
    <row r="433">
      <c r="A433" s="900"/>
      <c r="B433" s="900"/>
      <c r="C433" s="900"/>
      <c r="D433" s="900"/>
      <c r="E433" s="900"/>
      <c r="F433" s="900"/>
      <c r="G433" s="900"/>
      <c r="H433" s="900"/>
      <c r="I433" s="905"/>
      <c r="J433" s="905"/>
      <c r="K433" s="906"/>
      <c r="L433" s="900"/>
      <c r="M433" s="900"/>
      <c r="N433" s="900"/>
      <c r="O433" s="900"/>
      <c r="P433" s="900"/>
      <c r="Q433" s="900"/>
      <c r="R433" s="900"/>
      <c r="S433" s="900"/>
      <c r="T433" s="900"/>
      <c r="U433" s="900"/>
      <c r="V433" s="900"/>
      <c r="W433" s="900"/>
      <c r="X433" s="900"/>
      <c r="Y433" s="900"/>
      <c r="Z433" s="900"/>
      <c r="AA433" s="900"/>
      <c r="AB433" s="900"/>
    </row>
    <row r="434">
      <c r="A434" s="900"/>
      <c r="B434" s="900"/>
      <c r="C434" s="900"/>
      <c r="D434" s="900"/>
      <c r="E434" s="900"/>
      <c r="F434" s="900"/>
      <c r="G434" s="900"/>
      <c r="H434" s="900"/>
      <c r="I434" s="905"/>
      <c r="J434" s="905"/>
      <c r="K434" s="906"/>
      <c r="L434" s="900"/>
      <c r="M434" s="900"/>
      <c r="N434" s="900"/>
      <c r="O434" s="900"/>
      <c r="P434" s="900"/>
      <c r="Q434" s="900"/>
      <c r="R434" s="900"/>
      <c r="S434" s="900"/>
      <c r="T434" s="900"/>
      <c r="U434" s="900"/>
      <c r="V434" s="900"/>
      <c r="W434" s="900"/>
      <c r="X434" s="900"/>
      <c r="Y434" s="900"/>
      <c r="Z434" s="900"/>
      <c r="AA434" s="900"/>
      <c r="AB434" s="900"/>
    </row>
    <row r="435">
      <c r="A435" s="900"/>
      <c r="B435" s="900"/>
      <c r="C435" s="900"/>
      <c r="D435" s="900"/>
      <c r="E435" s="900"/>
      <c r="F435" s="900"/>
      <c r="G435" s="900"/>
      <c r="H435" s="900"/>
      <c r="I435" s="905"/>
      <c r="J435" s="905"/>
      <c r="K435" s="906"/>
      <c r="L435" s="900"/>
      <c r="M435" s="900"/>
      <c r="N435" s="900"/>
      <c r="O435" s="900"/>
      <c r="P435" s="900"/>
      <c r="Q435" s="900"/>
      <c r="R435" s="900"/>
      <c r="S435" s="900"/>
      <c r="T435" s="900"/>
      <c r="U435" s="900"/>
      <c r="V435" s="900"/>
      <c r="W435" s="900"/>
      <c r="X435" s="900"/>
      <c r="Y435" s="900"/>
      <c r="Z435" s="900"/>
      <c r="AA435" s="900"/>
      <c r="AB435" s="900"/>
    </row>
    <row r="436">
      <c r="A436" s="900"/>
      <c r="B436" s="900"/>
      <c r="C436" s="900"/>
      <c r="D436" s="900"/>
      <c r="E436" s="900"/>
      <c r="F436" s="900"/>
      <c r="G436" s="900"/>
      <c r="H436" s="900"/>
      <c r="I436" s="905"/>
      <c r="J436" s="905"/>
      <c r="K436" s="906"/>
      <c r="L436" s="900"/>
      <c r="M436" s="900"/>
      <c r="N436" s="900"/>
      <c r="O436" s="900"/>
      <c r="P436" s="900"/>
      <c r="Q436" s="900"/>
      <c r="R436" s="900"/>
      <c r="S436" s="900"/>
      <c r="T436" s="900"/>
      <c r="U436" s="900"/>
      <c r="V436" s="900"/>
      <c r="W436" s="900"/>
      <c r="X436" s="900"/>
      <c r="Y436" s="900"/>
      <c r="Z436" s="900"/>
      <c r="AA436" s="900"/>
      <c r="AB436" s="900"/>
    </row>
    <row r="437">
      <c r="A437" s="900"/>
      <c r="B437" s="900"/>
      <c r="C437" s="900"/>
      <c r="D437" s="900"/>
      <c r="E437" s="900"/>
      <c r="F437" s="900"/>
      <c r="G437" s="900"/>
      <c r="H437" s="900"/>
      <c r="I437" s="905"/>
      <c r="J437" s="905"/>
      <c r="K437" s="906"/>
      <c r="L437" s="900"/>
      <c r="M437" s="900"/>
      <c r="N437" s="900"/>
      <c r="O437" s="900"/>
      <c r="P437" s="900"/>
      <c r="Q437" s="900"/>
      <c r="R437" s="900"/>
      <c r="S437" s="900"/>
      <c r="T437" s="900"/>
      <c r="U437" s="900"/>
      <c r="V437" s="900"/>
      <c r="W437" s="900"/>
      <c r="X437" s="900"/>
      <c r="Y437" s="900"/>
      <c r="Z437" s="900"/>
      <c r="AA437" s="900"/>
      <c r="AB437" s="900"/>
    </row>
    <row r="438">
      <c r="A438" s="900"/>
      <c r="B438" s="900"/>
      <c r="C438" s="900"/>
      <c r="D438" s="900"/>
      <c r="E438" s="900"/>
      <c r="F438" s="900"/>
      <c r="G438" s="900"/>
      <c r="H438" s="900"/>
      <c r="I438" s="905"/>
      <c r="J438" s="905"/>
      <c r="K438" s="906"/>
      <c r="L438" s="900"/>
      <c r="M438" s="900"/>
      <c r="N438" s="900"/>
      <c r="O438" s="900"/>
      <c r="P438" s="900"/>
      <c r="Q438" s="900"/>
      <c r="R438" s="900"/>
      <c r="S438" s="900"/>
      <c r="T438" s="900"/>
      <c r="U438" s="900"/>
      <c r="V438" s="900"/>
      <c r="W438" s="900"/>
      <c r="X438" s="900"/>
      <c r="Y438" s="900"/>
      <c r="Z438" s="900"/>
      <c r="AA438" s="900"/>
      <c r="AB438" s="900"/>
    </row>
    <row r="439">
      <c r="A439" s="900"/>
      <c r="B439" s="900"/>
      <c r="C439" s="900"/>
      <c r="D439" s="900"/>
      <c r="E439" s="900"/>
      <c r="F439" s="900"/>
      <c r="G439" s="900"/>
      <c r="H439" s="900"/>
      <c r="I439" s="905"/>
      <c r="J439" s="905"/>
      <c r="K439" s="906"/>
      <c r="L439" s="900"/>
      <c r="M439" s="900"/>
      <c r="N439" s="900"/>
      <c r="O439" s="900"/>
      <c r="P439" s="900"/>
      <c r="Q439" s="900"/>
      <c r="R439" s="900"/>
      <c r="S439" s="900"/>
      <c r="T439" s="900"/>
      <c r="U439" s="900"/>
      <c r="V439" s="900"/>
      <c r="W439" s="900"/>
      <c r="X439" s="900"/>
      <c r="Y439" s="900"/>
      <c r="Z439" s="900"/>
      <c r="AA439" s="900"/>
      <c r="AB439" s="900"/>
    </row>
    <row r="440">
      <c r="A440" s="900"/>
      <c r="B440" s="900"/>
      <c r="C440" s="900"/>
      <c r="D440" s="900"/>
      <c r="E440" s="900"/>
      <c r="F440" s="900"/>
      <c r="G440" s="900"/>
      <c r="H440" s="900"/>
      <c r="I440" s="905"/>
      <c r="J440" s="905"/>
      <c r="K440" s="906"/>
      <c r="L440" s="900"/>
      <c r="M440" s="900"/>
      <c r="N440" s="900"/>
      <c r="O440" s="900"/>
      <c r="P440" s="900"/>
      <c r="Q440" s="900"/>
      <c r="R440" s="900"/>
      <c r="S440" s="900"/>
      <c r="T440" s="900"/>
      <c r="U440" s="900"/>
      <c r="V440" s="900"/>
      <c r="W440" s="900"/>
      <c r="X440" s="900"/>
      <c r="Y440" s="900"/>
      <c r="Z440" s="900"/>
      <c r="AA440" s="900"/>
      <c r="AB440" s="900"/>
    </row>
    <row r="441">
      <c r="A441" s="900"/>
      <c r="B441" s="900"/>
      <c r="C441" s="900"/>
      <c r="D441" s="900"/>
      <c r="E441" s="900"/>
      <c r="F441" s="900"/>
      <c r="G441" s="900"/>
      <c r="H441" s="900"/>
      <c r="I441" s="905"/>
      <c r="J441" s="905"/>
      <c r="K441" s="906"/>
      <c r="L441" s="900"/>
      <c r="M441" s="900"/>
      <c r="N441" s="900"/>
      <c r="O441" s="900"/>
      <c r="P441" s="900"/>
      <c r="Q441" s="900"/>
      <c r="R441" s="900"/>
      <c r="S441" s="900"/>
      <c r="T441" s="900"/>
      <c r="U441" s="900"/>
      <c r="V441" s="900"/>
      <c r="W441" s="900"/>
      <c r="X441" s="900"/>
      <c r="Y441" s="900"/>
      <c r="Z441" s="900"/>
      <c r="AA441" s="900"/>
      <c r="AB441" s="900"/>
    </row>
    <row r="442">
      <c r="A442" s="900"/>
      <c r="B442" s="900"/>
      <c r="C442" s="900"/>
      <c r="D442" s="900"/>
      <c r="E442" s="900"/>
      <c r="F442" s="900"/>
      <c r="G442" s="900"/>
      <c r="H442" s="900"/>
      <c r="I442" s="905"/>
      <c r="J442" s="905"/>
      <c r="K442" s="906"/>
      <c r="L442" s="900"/>
      <c r="M442" s="900"/>
      <c r="N442" s="900"/>
      <c r="O442" s="900"/>
      <c r="P442" s="900"/>
      <c r="Q442" s="900"/>
      <c r="R442" s="900"/>
      <c r="S442" s="900"/>
      <c r="T442" s="900"/>
      <c r="U442" s="900"/>
      <c r="V442" s="900"/>
      <c r="W442" s="900"/>
      <c r="X442" s="900"/>
      <c r="Y442" s="900"/>
      <c r="Z442" s="900"/>
      <c r="AA442" s="900"/>
      <c r="AB442" s="900"/>
    </row>
    <row r="443">
      <c r="A443" s="900"/>
      <c r="B443" s="900"/>
      <c r="C443" s="900"/>
      <c r="D443" s="900"/>
      <c r="E443" s="900"/>
      <c r="F443" s="900"/>
      <c r="G443" s="900"/>
      <c r="H443" s="900"/>
      <c r="I443" s="905"/>
      <c r="J443" s="905"/>
      <c r="K443" s="906"/>
      <c r="L443" s="900"/>
      <c r="M443" s="900"/>
      <c r="N443" s="900"/>
      <c r="O443" s="900"/>
      <c r="P443" s="900"/>
      <c r="Q443" s="900"/>
      <c r="R443" s="900"/>
      <c r="S443" s="900"/>
      <c r="T443" s="900"/>
      <c r="U443" s="900"/>
      <c r="V443" s="900"/>
      <c r="W443" s="900"/>
      <c r="X443" s="900"/>
      <c r="Y443" s="900"/>
      <c r="Z443" s="900"/>
      <c r="AA443" s="900"/>
      <c r="AB443" s="900"/>
    </row>
    <row r="444">
      <c r="A444" s="900"/>
      <c r="B444" s="900"/>
      <c r="C444" s="900"/>
      <c r="D444" s="900"/>
      <c r="E444" s="900"/>
      <c r="F444" s="900"/>
      <c r="G444" s="900"/>
      <c r="H444" s="900"/>
      <c r="I444" s="905"/>
      <c r="J444" s="905"/>
      <c r="K444" s="906"/>
      <c r="L444" s="900"/>
      <c r="M444" s="900"/>
      <c r="N444" s="900"/>
      <c r="O444" s="900"/>
      <c r="P444" s="900"/>
      <c r="Q444" s="900"/>
      <c r="R444" s="900"/>
      <c r="S444" s="900"/>
      <c r="T444" s="900"/>
      <c r="U444" s="900"/>
      <c r="V444" s="900"/>
      <c r="W444" s="900"/>
      <c r="X444" s="900"/>
      <c r="Y444" s="900"/>
      <c r="Z444" s="900"/>
      <c r="AA444" s="900"/>
      <c r="AB444" s="900"/>
    </row>
    <row r="445">
      <c r="A445" s="900"/>
      <c r="B445" s="900"/>
      <c r="C445" s="900"/>
      <c r="D445" s="900"/>
      <c r="E445" s="900"/>
      <c r="F445" s="900"/>
      <c r="G445" s="900"/>
      <c r="H445" s="900"/>
      <c r="I445" s="905"/>
      <c r="J445" s="905"/>
      <c r="K445" s="906"/>
      <c r="L445" s="900"/>
      <c r="M445" s="900"/>
      <c r="N445" s="900"/>
      <c r="O445" s="900"/>
      <c r="P445" s="900"/>
      <c r="Q445" s="900"/>
      <c r="R445" s="900"/>
      <c r="S445" s="900"/>
      <c r="T445" s="900"/>
      <c r="U445" s="900"/>
      <c r="V445" s="900"/>
      <c r="W445" s="900"/>
      <c r="X445" s="900"/>
      <c r="Y445" s="900"/>
      <c r="Z445" s="900"/>
      <c r="AA445" s="900"/>
      <c r="AB445" s="900"/>
    </row>
    <row r="446">
      <c r="A446" s="900"/>
      <c r="B446" s="900"/>
      <c r="C446" s="900"/>
      <c r="D446" s="900"/>
      <c r="E446" s="900"/>
      <c r="F446" s="900"/>
      <c r="G446" s="900"/>
      <c r="H446" s="900"/>
      <c r="I446" s="905"/>
      <c r="J446" s="905"/>
      <c r="K446" s="906"/>
      <c r="L446" s="900"/>
      <c r="M446" s="900"/>
      <c r="N446" s="900"/>
      <c r="O446" s="900"/>
      <c r="P446" s="900"/>
      <c r="Q446" s="900"/>
      <c r="R446" s="900"/>
      <c r="S446" s="900"/>
      <c r="T446" s="900"/>
      <c r="U446" s="900"/>
      <c r="V446" s="900"/>
      <c r="W446" s="900"/>
      <c r="X446" s="900"/>
      <c r="Y446" s="900"/>
      <c r="Z446" s="900"/>
      <c r="AA446" s="900"/>
      <c r="AB446" s="900"/>
    </row>
    <row r="447">
      <c r="A447" s="900"/>
      <c r="B447" s="900"/>
      <c r="C447" s="900"/>
      <c r="D447" s="900"/>
      <c r="E447" s="900"/>
      <c r="F447" s="900"/>
      <c r="G447" s="900"/>
      <c r="H447" s="900"/>
      <c r="I447" s="905"/>
      <c r="J447" s="905"/>
      <c r="K447" s="906"/>
      <c r="L447" s="900"/>
      <c r="M447" s="900"/>
      <c r="N447" s="900"/>
      <c r="O447" s="900"/>
      <c r="P447" s="900"/>
      <c r="Q447" s="900"/>
      <c r="R447" s="900"/>
      <c r="S447" s="900"/>
      <c r="T447" s="900"/>
      <c r="U447" s="900"/>
      <c r="V447" s="900"/>
      <c r="W447" s="900"/>
      <c r="X447" s="900"/>
      <c r="Y447" s="900"/>
      <c r="Z447" s="900"/>
      <c r="AA447" s="900"/>
      <c r="AB447" s="900"/>
    </row>
    <row r="448">
      <c r="A448" s="900"/>
      <c r="B448" s="900"/>
      <c r="C448" s="900"/>
      <c r="D448" s="900"/>
      <c r="E448" s="900"/>
      <c r="F448" s="900"/>
      <c r="G448" s="900"/>
      <c r="H448" s="900"/>
      <c r="I448" s="905"/>
      <c r="J448" s="905"/>
      <c r="K448" s="906"/>
      <c r="L448" s="900"/>
      <c r="M448" s="900"/>
      <c r="N448" s="900"/>
      <c r="O448" s="900"/>
      <c r="P448" s="900"/>
      <c r="Q448" s="900"/>
      <c r="R448" s="900"/>
      <c r="S448" s="900"/>
      <c r="T448" s="900"/>
      <c r="U448" s="900"/>
      <c r="V448" s="900"/>
      <c r="W448" s="900"/>
      <c r="X448" s="900"/>
      <c r="Y448" s="900"/>
      <c r="Z448" s="900"/>
      <c r="AA448" s="900"/>
      <c r="AB448" s="900"/>
    </row>
    <row r="449">
      <c r="A449" s="900"/>
      <c r="B449" s="900"/>
      <c r="C449" s="900"/>
      <c r="D449" s="900"/>
      <c r="E449" s="900"/>
      <c r="F449" s="900"/>
      <c r="G449" s="900"/>
      <c r="H449" s="900"/>
      <c r="I449" s="905"/>
      <c r="J449" s="905"/>
      <c r="K449" s="906"/>
      <c r="L449" s="900"/>
      <c r="M449" s="900"/>
      <c r="N449" s="900"/>
      <c r="O449" s="900"/>
      <c r="P449" s="900"/>
      <c r="Q449" s="900"/>
      <c r="R449" s="900"/>
      <c r="S449" s="900"/>
      <c r="T449" s="900"/>
      <c r="U449" s="900"/>
      <c r="V449" s="900"/>
      <c r="W449" s="900"/>
      <c r="X449" s="900"/>
      <c r="Y449" s="900"/>
      <c r="Z449" s="900"/>
      <c r="AA449" s="900"/>
      <c r="AB449" s="900"/>
    </row>
    <row r="450">
      <c r="A450" s="900"/>
      <c r="B450" s="900"/>
      <c r="C450" s="900"/>
      <c r="D450" s="900"/>
      <c r="E450" s="900"/>
      <c r="F450" s="900"/>
      <c r="G450" s="900"/>
      <c r="H450" s="900"/>
      <c r="I450" s="905"/>
      <c r="J450" s="905"/>
      <c r="K450" s="906"/>
      <c r="L450" s="900"/>
      <c r="M450" s="900"/>
      <c r="N450" s="900"/>
      <c r="O450" s="900"/>
      <c r="P450" s="900"/>
      <c r="Q450" s="900"/>
      <c r="R450" s="900"/>
      <c r="S450" s="900"/>
      <c r="T450" s="900"/>
      <c r="U450" s="900"/>
      <c r="V450" s="900"/>
      <c r="W450" s="900"/>
      <c r="X450" s="900"/>
      <c r="Y450" s="900"/>
      <c r="Z450" s="900"/>
      <c r="AA450" s="900"/>
      <c r="AB450" s="900"/>
    </row>
    <row r="451">
      <c r="A451" s="900"/>
      <c r="B451" s="900"/>
      <c r="C451" s="900"/>
      <c r="D451" s="900"/>
      <c r="E451" s="900"/>
      <c r="F451" s="900"/>
      <c r="G451" s="900"/>
      <c r="H451" s="900"/>
      <c r="I451" s="905"/>
      <c r="J451" s="905"/>
      <c r="K451" s="906"/>
      <c r="L451" s="900"/>
      <c r="M451" s="900"/>
      <c r="N451" s="900"/>
      <c r="O451" s="900"/>
      <c r="P451" s="900"/>
      <c r="Q451" s="900"/>
      <c r="R451" s="900"/>
      <c r="S451" s="900"/>
      <c r="T451" s="900"/>
      <c r="U451" s="900"/>
      <c r="V451" s="900"/>
      <c r="W451" s="900"/>
      <c r="X451" s="900"/>
      <c r="Y451" s="900"/>
      <c r="Z451" s="900"/>
      <c r="AA451" s="900"/>
      <c r="AB451" s="900"/>
    </row>
    <row r="452">
      <c r="A452" s="900"/>
      <c r="B452" s="900"/>
      <c r="C452" s="900"/>
      <c r="D452" s="900"/>
      <c r="E452" s="900"/>
      <c r="F452" s="900"/>
      <c r="G452" s="900"/>
      <c r="H452" s="900"/>
      <c r="I452" s="905"/>
      <c r="J452" s="905"/>
      <c r="K452" s="906"/>
      <c r="L452" s="900"/>
      <c r="M452" s="900"/>
      <c r="N452" s="900"/>
      <c r="O452" s="900"/>
      <c r="P452" s="900"/>
      <c r="Q452" s="900"/>
      <c r="R452" s="900"/>
      <c r="S452" s="900"/>
      <c r="T452" s="900"/>
      <c r="U452" s="900"/>
      <c r="V452" s="900"/>
      <c r="W452" s="900"/>
      <c r="X452" s="900"/>
      <c r="Y452" s="900"/>
      <c r="Z452" s="900"/>
      <c r="AA452" s="900"/>
      <c r="AB452" s="900"/>
    </row>
    <row r="453">
      <c r="A453" s="900"/>
      <c r="B453" s="900"/>
      <c r="C453" s="900"/>
      <c r="D453" s="900"/>
      <c r="E453" s="900"/>
      <c r="F453" s="900"/>
      <c r="G453" s="900"/>
      <c r="H453" s="900"/>
      <c r="I453" s="905"/>
      <c r="J453" s="905"/>
      <c r="K453" s="906"/>
      <c r="L453" s="900"/>
      <c r="M453" s="900"/>
      <c r="N453" s="900"/>
      <c r="O453" s="900"/>
      <c r="P453" s="900"/>
      <c r="Q453" s="900"/>
      <c r="R453" s="900"/>
      <c r="S453" s="900"/>
      <c r="T453" s="900"/>
      <c r="U453" s="900"/>
      <c r="V453" s="900"/>
      <c r="W453" s="900"/>
      <c r="X453" s="900"/>
      <c r="Y453" s="900"/>
      <c r="Z453" s="900"/>
      <c r="AA453" s="900"/>
      <c r="AB453" s="900"/>
    </row>
    <row r="454">
      <c r="A454" s="900"/>
      <c r="B454" s="900"/>
      <c r="C454" s="900"/>
      <c r="D454" s="900"/>
      <c r="E454" s="900"/>
      <c r="F454" s="900"/>
      <c r="G454" s="900"/>
      <c r="H454" s="900"/>
      <c r="I454" s="905"/>
      <c r="J454" s="905"/>
      <c r="K454" s="906"/>
      <c r="L454" s="900"/>
      <c r="M454" s="900"/>
      <c r="N454" s="900"/>
      <c r="O454" s="900"/>
      <c r="P454" s="900"/>
      <c r="Q454" s="900"/>
      <c r="R454" s="900"/>
      <c r="S454" s="900"/>
      <c r="T454" s="900"/>
      <c r="U454" s="900"/>
      <c r="V454" s="900"/>
      <c r="W454" s="900"/>
      <c r="X454" s="900"/>
      <c r="Y454" s="900"/>
      <c r="Z454" s="900"/>
      <c r="AA454" s="900"/>
      <c r="AB454" s="900"/>
    </row>
    <row r="455">
      <c r="A455" s="900"/>
      <c r="B455" s="900"/>
      <c r="C455" s="900"/>
      <c r="D455" s="900"/>
      <c r="E455" s="900"/>
      <c r="F455" s="900"/>
      <c r="G455" s="900"/>
      <c r="H455" s="900"/>
      <c r="I455" s="905"/>
      <c r="J455" s="905"/>
      <c r="K455" s="906"/>
      <c r="L455" s="900"/>
      <c r="M455" s="900"/>
      <c r="N455" s="900"/>
      <c r="O455" s="900"/>
      <c r="P455" s="900"/>
      <c r="Q455" s="900"/>
      <c r="R455" s="900"/>
      <c r="S455" s="900"/>
      <c r="T455" s="900"/>
      <c r="U455" s="900"/>
      <c r="V455" s="900"/>
      <c r="W455" s="900"/>
      <c r="X455" s="900"/>
      <c r="Y455" s="900"/>
      <c r="Z455" s="900"/>
      <c r="AA455" s="900"/>
      <c r="AB455" s="900"/>
    </row>
    <row r="456">
      <c r="A456" s="900"/>
      <c r="B456" s="900"/>
      <c r="C456" s="900"/>
      <c r="D456" s="900"/>
      <c r="E456" s="900"/>
      <c r="F456" s="900"/>
      <c r="G456" s="900"/>
      <c r="H456" s="900"/>
      <c r="I456" s="905"/>
      <c r="J456" s="905"/>
      <c r="K456" s="906"/>
      <c r="L456" s="900"/>
      <c r="M456" s="900"/>
      <c r="N456" s="900"/>
      <c r="O456" s="900"/>
      <c r="P456" s="900"/>
      <c r="Q456" s="900"/>
      <c r="R456" s="900"/>
      <c r="S456" s="900"/>
      <c r="T456" s="900"/>
      <c r="U456" s="900"/>
      <c r="V456" s="900"/>
      <c r="W456" s="900"/>
      <c r="X456" s="900"/>
      <c r="Y456" s="900"/>
      <c r="Z456" s="900"/>
      <c r="AA456" s="900"/>
      <c r="AB456" s="900"/>
    </row>
    <row r="457">
      <c r="A457" s="900"/>
      <c r="B457" s="900"/>
      <c r="C457" s="900"/>
      <c r="D457" s="900"/>
      <c r="E457" s="900"/>
      <c r="F457" s="900"/>
      <c r="G457" s="900"/>
      <c r="H457" s="900"/>
      <c r="I457" s="905"/>
      <c r="J457" s="905"/>
      <c r="K457" s="906"/>
      <c r="L457" s="900"/>
      <c r="M457" s="900"/>
      <c r="N457" s="900"/>
      <c r="O457" s="900"/>
      <c r="P457" s="900"/>
      <c r="Q457" s="900"/>
      <c r="R457" s="900"/>
      <c r="S457" s="900"/>
      <c r="T457" s="900"/>
      <c r="U457" s="900"/>
      <c r="V457" s="900"/>
      <c r="W457" s="900"/>
      <c r="X457" s="900"/>
      <c r="Y457" s="900"/>
      <c r="Z457" s="900"/>
      <c r="AA457" s="900"/>
      <c r="AB457" s="900"/>
    </row>
    <row r="458">
      <c r="A458" s="900"/>
      <c r="B458" s="900"/>
      <c r="C458" s="900"/>
      <c r="D458" s="900"/>
      <c r="E458" s="900"/>
      <c r="F458" s="900"/>
      <c r="G458" s="900"/>
      <c r="H458" s="900"/>
      <c r="I458" s="905"/>
      <c r="J458" s="905"/>
      <c r="K458" s="906"/>
      <c r="L458" s="900"/>
      <c r="M458" s="900"/>
      <c r="N458" s="900"/>
      <c r="O458" s="900"/>
      <c r="P458" s="900"/>
      <c r="Q458" s="900"/>
      <c r="R458" s="900"/>
      <c r="S458" s="900"/>
      <c r="T458" s="900"/>
      <c r="U458" s="900"/>
      <c r="V458" s="900"/>
      <c r="W458" s="900"/>
      <c r="X458" s="900"/>
      <c r="Y458" s="900"/>
      <c r="Z458" s="900"/>
      <c r="AA458" s="900"/>
      <c r="AB458" s="900"/>
    </row>
    <row r="459">
      <c r="A459" s="900"/>
      <c r="B459" s="900"/>
      <c r="C459" s="900"/>
      <c r="D459" s="900"/>
      <c r="E459" s="900"/>
      <c r="F459" s="900"/>
      <c r="G459" s="900"/>
      <c r="H459" s="900"/>
      <c r="I459" s="905"/>
      <c r="J459" s="905"/>
      <c r="K459" s="906"/>
      <c r="L459" s="900"/>
      <c r="M459" s="900"/>
      <c r="N459" s="900"/>
      <c r="O459" s="900"/>
      <c r="P459" s="900"/>
      <c r="Q459" s="900"/>
      <c r="R459" s="900"/>
      <c r="S459" s="900"/>
      <c r="T459" s="900"/>
      <c r="U459" s="900"/>
      <c r="V459" s="900"/>
      <c r="W459" s="900"/>
      <c r="X459" s="900"/>
      <c r="Y459" s="900"/>
      <c r="Z459" s="900"/>
      <c r="AA459" s="900"/>
      <c r="AB459" s="900"/>
    </row>
    <row r="460">
      <c r="A460" s="900"/>
      <c r="B460" s="900"/>
      <c r="C460" s="900"/>
      <c r="D460" s="900"/>
      <c r="E460" s="900"/>
      <c r="F460" s="900"/>
      <c r="G460" s="900"/>
      <c r="H460" s="900"/>
      <c r="I460" s="905"/>
      <c r="J460" s="905"/>
      <c r="K460" s="906"/>
      <c r="L460" s="900"/>
      <c r="M460" s="900"/>
      <c r="N460" s="900"/>
      <c r="O460" s="900"/>
      <c r="P460" s="900"/>
      <c r="Q460" s="900"/>
      <c r="R460" s="900"/>
      <c r="S460" s="900"/>
      <c r="T460" s="900"/>
      <c r="U460" s="900"/>
      <c r="V460" s="900"/>
      <c r="W460" s="900"/>
      <c r="X460" s="900"/>
      <c r="Y460" s="900"/>
      <c r="Z460" s="900"/>
      <c r="AA460" s="900"/>
      <c r="AB460" s="900"/>
    </row>
    <row r="461">
      <c r="A461" s="900"/>
      <c r="B461" s="900"/>
      <c r="C461" s="900"/>
      <c r="D461" s="900"/>
      <c r="E461" s="900"/>
      <c r="F461" s="900"/>
      <c r="G461" s="900"/>
      <c r="H461" s="900"/>
      <c r="I461" s="905"/>
      <c r="J461" s="905"/>
      <c r="K461" s="906"/>
      <c r="L461" s="900"/>
      <c r="M461" s="900"/>
      <c r="N461" s="900"/>
      <c r="O461" s="900"/>
      <c r="P461" s="900"/>
      <c r="Q461" s="900"/>
      <c r="R461" s="900"/>
      <c r="S461" s="900"/>
      <c r="T461" s="900"/>
      <c r="U461" s="900"/>
      <c r="V461" s="900"/>
      <c r="W461" s="900"/>
      <c r="X461" s="900"/>
      <c r="Y461" s="900"/>
      <c r="Z461" s="900"/>
      <c r="AA461" s="900"/>
      <c r="AB461" s="900"/>
    </row>
    <row r="462">
      <c r="A462" s="900"/>
      <c r="B462" s="900"/>
      <c r="C462" s="900"/>
      <c r="D462" s="900"/>
      <c r="E462" s="900"/>
      <c r="F462" s="900"/>
      <c r="G462" s="900"/>
      <c r="H462" s="900"/>
      <c r="I462" s="905"/>
      <c r="J462" s="905"/>
      <c r="K462" s="906"/>
      <c r="L462" s="900"/>
      <c r="M462" s="900"/>
      <c r="N462" s="900"/>
      <c r="O462" s="900"/>
      <c r="P462" s="900"/>
      <c r="Q462" s="900"/>
      <c r="R462" s="900"/>
      <c r="S462" s="900"/>
      <c r="T462" s="900"/>
      <c r="U462" s="900"/>
      <c r="V462" s="900"/>
      <c r="W462" s="900"/>
      <c r="X462" s="900"/>
      <c r="Y462" s="900"/>
      <c r="Z462" s="900"/>
      <c r="AA462" s="900"/>
      <c r="AB462" s="900"/>
    </row>
    <row r="463">
      <c r="A463" s="900"/>
      <c r="B463" s="900"/>
      <c r="C463" s="900"/>
      <c r="D463" s="900"/>
      <c r="E463" s="900"/>
      <c r="F463" s="900"/>
      <c r="G463" s="900"/>
      <c r="H463" s="900"/>
      <c r="I463" s="905"/>
      <c r="J463" s="905"/>
      <c r="K463" s="906"/>
      <c r="L463" s="900"/>
      <c r="M463" s="900"/>
      <c r="N463" s="900"/>
      <c r="O463" s="900"/>
      <c r="P463" s="900"/>
      <c r="Q463" s="900"/>
      <c r="R463" s="900"/>
      <c r="S463" s="900"/>
      <c r="T463" s="900"/>
      <c r="U463" s="900"/>
      <c r="V463" s="900"/>
      <c r="W463" s="900"/>
      <c r="X463" s="900"/>
      <c r="Y463" s="900"/>
      <c r="Z463" s="900"/>
      <c r="AA463" s="900"/>
      <c r="AB463" s="900"/>
    </row>
    <row r="464">
      <c r="A464" s="900"/>
      <c r="B464" s="900"/>
      <c r="C464" s="900"/>
      <c r="D464" s="900"/>
      <c r="E464" s="900"/>
      <c r="F464" s="900"/>
      <c r="G464" s="900"/>
      <c r="H464" s="900"/>
      <c r="I464" s="905"/>
      <c r="J464" s="905"/>
      <c r="K464" s="906"/>
      <c r="L464" s="900"/>
      <c r="M464" s="900"/>
      <c r="N464" s="900"/>
      <c r="O464" s="900"/>
      <c r="P464" s="900"/>
      <c r="Q464" s="900"/>
      <c r="R464" s="900"/>
      <c r="S464" s="900"/>
      <c r="T464" s="900"/>
      <c r="U464" s="900"/>
      <c r="V464" s="900"/>
      <c r="W464" s="900"/>
      <c r="X464" s="900"/>
      <c r="Y464" s="900"/>
      <c r="Z464" s="900"/>
      <c r="AA464" s="900"/>
      <c r="AB464" s="900"/>
    </row>
    <row r="465">
      <c r="A465" s="900"/>
      <c r="B465" s="900"/>
      <c r="C465" s="900"/>
      <c r="D465" s="900"/>
      <c r="E465" s="900"/>
      <c r="F465" s="900"/>
      <c r="G465" s="900"/>
      <c r="H465" s="900"/>
      <c r="I465" s="905"/>
      <c r="J465" s="905"/>
      <c r="K465" s="906"/>
      <c r="L465" s="900"/>
      <c r="M465" s="900"/>
      <c r="N465" s="900"/>
      <c r="O465" s="900"/>
      <c r="P465" s="900"/>
      <c r="Q465" s="900"/>
      <c r="R465" s="900"/>
      <c r="S465" s="900"/>
      <c r="T465" s="900"/>
      <c r="U465" s="900"/>
      <c r="V465" s="900"/>
      <c r="W465" s="900"/>
      <c r="X465" s="900"/>
      <c r="Y465" s="900"/>
      <c r="Z465" s="900"/>
      <c r="AA465" s="900"/>
      <c r="AB465" s="900"/>
    </row>
    <row r="466">
      <c r="A466" s="900"/>
      <c r="B466" s="900"/>
      <c r="C466" s="900"/>
      <c r="D466" s="900"/>
      <c r="E466" s="900"/>
      <c r="F466" s="900"/>
      <c r="G466" s="900"/>
      <c r="H466" s="900"/>
      <c r="I466" s="905"/>
      <c r="J466" s="905"/>
      <c r="K466" s="906"/>
      <c r="L466" s="900"/>
      <c r="M466" s="900"/>
      <c r="N466" s="900"/>
      <c r="O466" s="900"/>
      <c r="P466" s="900"/>
      <c r="Q466" s="900"/>
      <c r="R466" s="900"/>
      <c r="S466" s="900"/>
      <c r="T466" s="900"/>
      <c r="U466" s="900"/>
      <c r="V466" s="900"/>
      <c r="W466" s="900"/>
      <c r="X466" s="900"/>
      <c r="Y466" s="900"/>
      <c r="Z466" s="900"/>
      <c r="AA466" s="900"/>
      <c r="AB466" s="900"/>
    </row>
    <row r="467">
      <c r="A467" s="900"/>
      <c r="B467" s="900"/>
      <c r="C467" s="900"/>
      <c r="D467" s="900"/>
      <c r="E467" s="900"/>
      <c r="F467" s="900"/>
      <c r="G467" s="900"/>
      <c r="H467" s="900"/>
      <c r="I467" s="905"/>
      <c r="J467" s="905"/>
      <c r="K467" s="906"/>
      <c r="L467" s="900"/>
      <c r="M467" s="900"/>
      <c r="N467" s="900"/>
      <c r="O467" s="900"/>
      <c r="P467" s="900"/>
      <c r="Q467" s="900"/>
      <c r="R467" s="900"/>
      <c r="S467" s="900"/>
      <c r="T467" s="900"/>
      <c r="U467" s="900"/>
      <c r="V467" s="900"/>
      <c r="W467" s="900"/>
      <c r="X467" s="900"/>
      <c r="Y467" s="900"/>
      <c r="Z467" s="900"/>
      <c r="AA467" s="900"/>
      <c r="AB467" s="900"/>
    </row>
    <row r="468">
      <c r="A468" s="900"/>
      <c r="B468" s="900"/>
      <c r="C468" s="900"/>
      <c r="D468" s="900"/>
      <c r="E468" s="900"/>
      <c r="F468" s="900"/>
      <c r="G468" s="900"/>
      <c r="H468" s="900"/>
      <c r="I468" s="905"/>
      <c r="J468" s="905"/>
      <c r="K468" s="906"/>
      <c r="L468" s="900"/>
      <c r="M468" s="900"/>
      <c r="N468" s="900"/>
      <c r="O468" s="900"/>
      <c r="P468" s="900"/>
      <c r="Q468" s="900"/>
      <c r="R468" s="900"/>
      <c r="S468" s="900"/>
      <c r="T468" s="900"/>
      <c r="U468" s="900"/>
      <c r="V468" s="900"/>
      <c r="W468" s="900"/>
      <c r="X468" s="900"/>
      <c r="Y468" s="900"/>
      <c r="Z468" s="900"/>
      <c r="AA468" s="900"/>
      <c r="AB468" s="900"/>
    </row>
    <row r="469">
      <c r="A469" s="900"/>
      <c r="B469" s="900"/>
      <c r="C469" s="900"/>
      <c r="D469" s="900"/>
      <c r="E469" s="900"/>
      <c r="F469" s="900"/>
      <c r="G469" s="900"/>
      <c r="H469" s="900"/>
      <c r="I469" s="905"/>
      <c r="J469" s="905"/>
      <c r="K469" s="906"/>
      <c r="L469" s="900"/>
      <c r="M469" s="900"/>
      <c r="N469" s="900"/>
      <c r="O469" s="900"/>
      <c r="P469" s="900"/>
      <c r="Q469" s="900"/>
      <c r="R469" s="900"/>
      <c r="S469" s="900"/>
      <c r="T469" s="900"/>
      <c r="U469" s="900"/>
      <c r="V469" s="900"/>
      <c r="W469" s="900"/>
      <c r="X469" s="900"/>
      <c r="Y469" s="900"/>
      <c r="Z469" s="900"/>
      <c r="AA469" s="900"/>
      <c r="AB469" s="900"/>
    </row>
    <row r="470">
      <c r="A470" s="900"/>
      <c r="B470" s="900"/>
      <c r="C470" s="900"/>
      <c r="D470" s="900"/>
      <c r="E470" s="900"/>
      <c r="F470" s="900"/>
      <c r="G470" s="900"/>
      <c r="H470" s="900"/>
      <c r="I470" s="905"/>
      <c r="J470" s="905"/>
      <c r="K470" s="906"/>
      <c r="L470" s="900"/>
      <c r="M470" s="900"/>
      <c r="N470" s="900"/>
      <c r="O470" s="900"/>
      <c r="P470" s="900"/>
      <c r="Q470" s="900"/>
      <c r="R470" s="900"/>
      <c r="S470" s="900"/>
      <c r="T470" s="900"/>
      <c r="U470" s="900"/>
      <c r="V470" s="900"/>
      <c r="W470" s="900"/>
      <c r="X470" s="900"/>
      <c r="Y470" s="900"/>
      <c r="Z470" s="900"/>
      <c r="AA470" s="900"/>
      <c r="AB470" s="900"/>
    </row>
    <row r="471">
      <c r="A471" s="900"/>
      <c r="B471" s="900"/>
      <c r="C471" s="900"/>
      <c r="D471" s="900"/>
      <c r="E471" s="900"/>
      <c r="F471" s="900"/>
      <c r="G471" s="900"/>
      <c r="H471" s="900"/>
      <c r="I471" s="905"/>
      <c r="J471" s="905"/>
      <c r="K471" s="906"/>
      <c r="L471" s="900"/>
      <c r="M471" s="900"/>
      <c r="N471" s="900"/>
      <c r="O471" s="900"/>
      <c r="P471" s="900"/>
      <c r="Q471" s="900"/>
      <c r="R471" s="900"/>
      <c r="S471" s="900"/>
      <c r="T471" s="900"/>
      <c r="U471" s="900"/>
      <c r="V471" s="900"/>
      <c r="W471" s="900"/>
      <c r="X471" s="900"/>
      <c r="Y471" s="900"/>
      <c r="Z471" s="900"/>
      <c r="AA471" s="900"/>
      <c r="AB471" s="900"/>
    </row>
    <row r="472">
      <c r="A472" s="900"/>
      <c r="B472" s="900"/>
      <c r="C472" s="900"/>
      <c r="D472" s="900"/>
      <c r="E472" s="900"/>
      <c r="F472" s="900"/>
      <c r="G472" s="900"/>
      <c r="H472" s="900"/>
      <c r="I472" s="905"/>
      <c r="J472" s="905"/>
      <c r="K472" s="906"/>
      <c r="L472" s="900"/>
      <c r="M472" s="900"/>
      <c r="N472" s="900"/>
      <c r="O472" s="900"/>
      <c r="P472" s="900"/>
      <c r="Q472" s="900"/>
      <c r="R472" s="900"/>
      <c r="S472" s="900"/>
      <c r="T472" s="900"/>
      <c r="U472" s="900"/>
      <c r="V472" s="900"/>
      <c r="W472" s="900"/>
      <c r="X472" s="900"/>
      <c r="Y472" s="900"/>
      <c r="Z472" s="900"/>
      <c r="AA472" s="900"/>
      <c r="AB472" s="900"/>
    </row>
    <row r="473">
      <c r="A473" s="900"/>
      <c r="B473" s="900"/>
      <c r="C473" s="900"/>
      <c r="D473" s="900"/>
      <c r="E473" s="900"/>
      <c r="F473" s="900"/>
      <c r="G473" s="900"/>
      <c r="H473" s="900"/>
      <c r="I473" s="905"/>
      <c r="J473" s="905"/>
      <c r="K473" s="906"/>
      <c r="L473" s="900"/>
      <c r="M473" s="900"/>
      <c r="N473" s="900"/>
      <c r="O473" s="900"/>
      <c r="P473" s="900"/>
      <c r="Q473" s="900"/>
      <c r="R473" s="900"/>
      <c r="S473" s="900"/>
      <c r="T473" s="900"/>
      <c r="U473" s="900"/>
      <c r="V473" s="900"/>
      <c r="W473" s="900"/>
      <c r="X473" s="900"/>
      <c r="Y473" s="900"/>
      <c r="Z473" s="900"/>
      <c r="AA473" s="900"/>
      <c r="AB473" s="900"/>
    </row>
    <row r="474">
      <c r="A474" s="900"/>
      <c r="B474" s="900"/>
      <c r="C474" s="900"/>
      <c r="D474" s="900"/>
      <c r="E474" s="900"/>
      <c r="F474" s="900"/>
      <c r="G474" s="900"/>
      <c r="H474" s="900"/>
      <c r="I474" s="905"/>
      <c r="J474" s="905"/>
      <c r="K474" s="906"/>
      <c r="L474" s="900"/>
      <c r="M474" s="900"/>
      <c r="N474" s="900"/>
      <c r="O474" s="900"/>
      <c r="P474" s="900"/>
      <c r="Q474" s="900"/>
      <c r="R474" s="900"/>
      <c r="S474" s="900"/>
      <c r="T474" s="900"/>
      <c r="U474" s="900"/>
      <c r="V474" s="900"/>
      <c r="W474" s="900"/>
      <c r="X474" s="900"/>
      <c r="Y474" s="900"/>
      <c r="Z474" s="900"/>
      <c r="AA474" s="900"/>
      <c r="AB474" s="900"/>
    </row>
    <row r="475">
      <c r="A475" s="900"/>
      <c r="B475" s="900"/>
      <c r="C475" s="900"/>
      <c r="D475" s="900"/>
      <c r="E475" s="900"/>
      <c r="F475" s="900"/>
      <c r="G475" s="900"/>
      <c r="H475" s="900"/>
      <c r="I475" s="905"/>
      <c r="J475" s="905"/>
      <c r="K475" s="906"/>
      <c r="L475" s="900"/>
      <c r="M475" s="900"/>
      <c r="N475" s="900"/>
      <c r="O475" s="900"/>
      <c r="P475" s="900"/>
      <c r="Q475" s="900"/>
      <c r="R475" s="900"/>
      <c r="S475" s="900"/>
      <c r="T475" s="900"/>
      <c r="U475" s="900"/>
      <c r="V475" s="900"/>
      <c r="W475" s="900"/>
      <c r="X475" s="900"/>
      <c r="Y475" s="900"/>
      <c r="Z475" s="900"/>
      <c r="AA475" s="900"/>
      <c r="AB475" s="900"/>
    </row>
    <row r="476">
      <c r="A476" s="900"/>
      <c r="B476" s="900"/>
      <c r="C476" s="900"/>
      <c r="D476" s="900"/>
      <c r="E476" s="900"/>
      <c r="F476" s="900"/>
      <c r="G476" s="900"/>
      <c r="H476" s="900"/>
      <c r="I476" s="905"/>
      <c r="J476" s="905"/>
      <c r="K476" s="906"/>
      <c r="L476" s="900"/>
      <c r="M476" s="900"/>
      <c r="N476" s="900"/>
      <c r="O476" s="900"/>
      <c r="P476" s="900"/>
      <c r="Q476" s="900"/>
      <c r="R476" s="900"/>
      <c r="S476" s="900"/>
      <c r="T476" s="900"/>
      <c r="U476" s="900"/>
      <c r="V476" s="900"/>
      <c r="W476" s="900"/>
      <c r="X476" s="900"/>
      <c r="Y476" s="900"/>
      <c r="Z476" s="900"/>
      <c r="AA476" s="900"/>
      <c r="AB476" s="900"/>
    </row>
    <row r="477">
      <c r="A477" s="900"/>
      <c r="B477" s="900"/>
      <c r="C477" s="900"/>
      <c r="D477" s="900"/>
      <c r="E477" s="900"/>
      <c r="F477" s="900"/>
      <c r="G477" s="900"/>
      <c r="H477" s="900"/>
      <c r="I477" s="905"/>
      <c r="J477" s="905"/>
      <c r="K477" s="906"/>
      <c r="L477" s="900"/>
      <c r="M477" s="900"/>
      <c r="N477" s="900"/>
      <c r="O477" s="900"/>
      <c r="P477" s="900"/>
      <c r="Q477" s="900"/>
      <c r="R477" s="900"/>
      <c r="S477" s="900"/>
      <c r="T477" s="900"/>
      <c r="U477" s="900"/>
      <c r="V477" s="900"/>
      <c r="W477" s="900"/>
      <c r="X477" s="900"/>
      <c r="Y477" s="900"/>
      <c r="Z477" s="900"/>
      <c r="AA477" s="900"/>
      <c r="AB477" s="900"/>
    </row>
    <row r="478">
      <c r="A478" s="900"/>
      <c r="B478" s="900"/>
      <c r="C478" s="900"/>
      <c r="D478" s="900"/>
      <c r="E478" s="900"/>
      <c r="F478" s="900"/>
      <c r="G478" s="900"/>
      <c r="H478" s="900"/>
      <c r="I478" s="905"/>
      <c r="J478" s="905"/>
      <c r="K478" s="906"/>
      <c r="L478" s="900"/>
      <c r="M478" s="900"/>
      <c r="N478" s="900"/>
      <c r="O478" s="900"/>
      <c r="P478" s="900"/>
      <c r="Q478" s="900"/>
      <c r="R478" s="900"/>
      <c r="S478" s="900"/>
      <c r="T478" s="900"/>
      <c r="U478" s="900"/>
      <c r="V478" s="900"/>
      <c r="W478" s="900"/>
      <c r="X478" s="900"/>
      <c r="Y478" s="900"/>
      <c r="Z478" s="900"/>
      <c r="AA478" s="900"/>
      <c r="AB478" s="900"/>
    </row>
    <row r="479">
      <c r="A479" s="900"/>
      <c r="B479" s="900"/>
      <c r="C479" s="900"/>
      <c r="D479" s="900"/>
      <c r="E479" s="900"/>
      <c r="F479" s="900"/>
      <c r="G479" s="900"/>
      <c r="H479" s="900"/>
      <c r="I479" s="905"/>
      <c r="J479" s="905"/>
      <c r="K479" s="906"/>
      <c r="L479" s="900"/>
      <c r="M479" s="900"/>
      <c r="N479" s="900"/>
      <c r="O479" s="900"/>
      <c r="P479" s="900"/>
      <c r="Q479" s="900"/>
      <c r="R479" s="900"/>
      <c r="S479" s="900"/>
      <c r="T479" s="900"/>
      <c r="U479" s="900"/>
      <c r="V479" s="900"/>
      <c r="W479" s="900"/>
      <c r="X479" s="900"/>
      <c r="Y479" s="900"/>
      <c r="Z479" s="900"/>
      <c r="AA479" s="900"/>
      <c r="AB479" s="900"/>
    </row>
    <row r="480">
      <c r="A480" s="900"/>
      <c r="B480" s="900"/>
      <c r="C480" s="900"/>
      <c r="D480" s="900"/>
      <c r="E480" s="900"/>
      <c r="F480" s="900"/>
      <c r="G480" s="900"/>
      <c r="H480" s="900"/>
      <c r="I480" s="905"/>
      <c r="J480" s="905"/>
      <c r="K480" s="906"/>
      <c r="L480" s="900"/>
      <c r="M480" s="900"/>
      <c r="N480" s="900"/>
      <c r="O480" s="900"/>
      <c r="P480" s="900"/>
      <c r="Q480" s="900"/>
      <c r="R480" s="900"/>
      <c r="S480" s="900"/>
      <c r="T480" s="900"/>
      <c r="U480" s="900"/>
      <c r="V480" s="900"/>
      <c r="W480" s="900"/>
      <c r="X480" s="900"/>
      <c r="Y480" s="900"/>
      <c r="Z480" s="900"/>
      <c r="AA480" s="900"/>
      <c r="AB480" s="900"/>
    </row>
    <row r="481">
      <c r="A481" s="900"/>
      <c r="B481" s="900"/>
      <c r="C481" s="900"/>
      <c r="D481" s="900"/>
      <c r="E481" s="900"/>
      <c r="F481" s="900"/>
      <c r="G481" s="900"/>
      <c r="H481" s="900"/>
      <c r="I481" s="905"/>
      <c r="J481" s="905"/>
      <c r="K481" s="906"/>
      <c r="L481" s="900"/>
      <c r="M481" s="900"/>
      <c r="N481" s="900"/>
      <c r="O481" s="900"/>
      <c r="P481" s="900"/>
      <c r="Q481" s="900"/>
      <c r="R481" s="900"/>
      <c r="S481" s="900"/>
      <c r="T481" s="900"/>
      <c r="U481" s="900"/>
      <c r="V481" s="900"/>
      <c r="W481" s="900"/>
      <c r="X481" s="900"/>
      <c r="Y481" s="900"/>
      <c r="Z481" s="900"/>
      <c r="AA481" s="900"/>
      <c r="AB481" s="900"/>
    </row>
    <row r="482">
      <c r="A482" s="900"/>
      <c r="B482" s="900"/>
      <c r="C482" s="900"/>
      <c r="D482" s="900"/>
      <c r="E482" s="900"/>
      <c r="F482" s="900"/>
      <c r="G482" s="900"/>
      <c r="H482" s="900"/>
      <c r="I482" s="905"/>
      <c r="J482" s="905"/>
      <c r="K482" s="906"/>
      <c r="L482" s="900"/>
      <c r="M482" s="900"/>
      <c r="N482" s="900"/>
      <c r="O482" s="900"/>
      <c r="P482" s="900"/>
      <c r="Q482" s="900"/>
      <c r="R482" s="900"/>
      <c r="S482" s="900"/>
      <c r="T482" s="900"/>
      <c r="U482" s="900"/>
      <c r="V482" s="900"/>
      <c r="W482" s="900"/>
      <c r="X482" s="900"/>
      <c r="Y482" s="900"/>
      <c r="Z482" s="900"/>
      <c r="AA482" s="900"/>
      <c r="AB482" s="900"/>
    </row>
    <row r="483">
      <c r="A483" s="900"/>
      <c r="B483" s="900"/>
      <c r="C483" s="900"/>
      <c r="D483" s="900"/>
      <c r="E483" s="900"/>
      <c r="F483" s="900"/>
      <c r="G483" s="900"/>
      <c r="H483" s="900"/>
      <c r="I483" s="905"/>
      <c r="J483" s="905"/>
      <c r="K483" s="906"/>
      <c r="L483" s="900"/>
      <c r="M483" s="900"/>
      <c r="N483" s="900"/>
      <c r="O483" s="900"/>
      <c r="P483" s="900"/>
      <c r="Q483" s="900"/>
      <c r="R483" s="900"/>
      <c r="S483" s="900"/>
      <c r="T483" s="900"/>
      <c r="U483" s="900"/>
      <c r="V483" s="900"/>
      <c r="W483" s="900"/>
      <c r="X483" s="900"/>
      <c r="Y483" s="900"/>
      <c r="Z483" s="900"/>
      <c r="AA483" s="900"/>
      <c r="AB483" s="900"/>
    </row>
    <row r="484">
      <c r="A484" s="900"/>
      <c r="B484" s="900"/>
      <c r="C484" s="900"/>
      <c r="D484" s="900"/>
      <c r="E484" s="900"/>
      <c r="F484" s="900"/>
      <c r="G484" s="900"/>
      <c r="H484" s="900"/>
      <c r="I484" s="905"/>
      <c r="J484" s="905"/>
      <c r="K484" s="906"/>
      <c r="L484" s="900"/>
      <c r="M484" s="900"/>
      <c r="N484" s="900"/>
      <c r="O484" s="900"/>
      <c r="P484" s="900"/>
      <c r="Q484" s="900"/>
      <c r="R484" s="900"/>
      <c r="S484" s="900"/>
      <c r="T484" s="900"/>
      <c r="U484" s="900"/>
      <c r="V484" s="900"/>
      <c r="W484" s="900"/>
      <c r="X484" s="900"/>
      <c r="Y484" s="900"/>
      <c r="Z484" s="900"/>
      <c r="AA484" s="900"/>
      <c r="AB484" s="900"/>
    </row>
    <row r="485">
      <c r="A485" s="900"/>
      <c r="B485" s="900"/>
      <c r="C485" s="900"/>
      <c r="D485" s="900"/>
      <c r="E485" s="900"/>
      <c r="F485" s="900"/>
      <c r="G485" s="900"/>
      <c r="H485" s="900"/>
      <c r="I485" s="905"/>
      <c r="J485" s="905"/>
      <c r="K485" s="906"/>
      <c r="L485" s="900"/>
      <c r="M485" s="900"/>
      <c r="N485" s="900"/>
      <c r="O485" s="900"/>
      <c r="P485" s="900"/>
      <c r="Q485" s="900"/>
      <c r="R485" s="900"/>
      <c r="S485" s="900"/>
      <c r="T485" s="900"/>
      <c r="U485" s="900"/>
      <c r="V485" s="900"/>
      <c r="W485" s="900"/>
      <c r="X485" s="900"/>
      <c r="Y485" s="900"/>
      <c r="Z485" s="900"/>
      <c r="AA485" s="900"/>
      <c r="AB485" s="900"/>
    </row>
    <row r="486">
      <c r="A486" s="900"/>
      <c r="B486" s="900"/>
      <c r="C486" s="900"/>
      <c r="D486" s="900"/>
      <c r="E486" s="900"/>
      <c r="F486" s="900"/>
      <c r="G486" s="900"/>
      <c r="H486" s="900"/>
      <c r="I486" s="905"/>
      <c r="J486" s="905"/>
      <c r="K486" s="906"/>
      <c r="L486" s="900"/>
      <c r="M486" s="900"/>
      <c r="N486" s="900"/>
      <c r="O486" s="900"/>
      <c r="P486" s="900"/>
      <c r="Q486" s="900"/>
      <c r="R486" s="900"/>
      <c r="S486" s="900"/>
      <c r="T486" s="900"/>
      <c r="U486" s="900"/>
      <c r="V486" s="900"/>
      <c r="W486" s="900"/>
      <c r="X486" s="900"/>
      <c r="Y486" s="900"/>
      <c r="Z486" s="900"/>
      <c r="AA486" s="900"/>
      <c r="AB486" s="900"/>
    </row>
    <row r="487">
      <c r="A487" s="900"/>
      <c r="B487" s="900"/>
      <c r="C487" s="900"/>
      <c r="D487" s="900"/>
      <c r="E487" s="900"/>
      <c r="F487" s="900"/>
      <c r="G487" s="900"/>
      <c r="H487" s="900"/>
      <c r="I487" s="905"/>
      <c r="J487" s="905"/>
      <c r="K487" s="906"/>
      <c r="L487" s="900"/>
      <c r="M487" s="900"/>
      <c r="N487" s="900"/>
      <c r="O487" s="900"/>
      <c r="P487" s="900"/>
      <c r="Q487" s="900"/>
      <c r="R487" s="900"/>
      <c r="S487" s="900"/>
      <c r="T487" s="900"/>
      <c r="U487" s="900"/>
      <c r="V487" s="900"/>
      <c r="W487" s="900"/>
      <c r="X487" s="900"/>
      <c r="Y487" s="900"/>
      <c r="Z487" s="900"/>
      <c r="AA487" s="900"/>
      <c r="AB487" s="900"/>
    </row>
    <row r="488">
      <c r="A488" s="900"/>
      <c r="B488" s="900"/>
      <c r="C488" s="900"/>
      <c r="D488" s="900"/>
      <c r="E488" s="900"/>
      <c r="F488" s="900"/>
      <c r="G488" s="900"/>
      <c r="H488" s="900"/>
      <c r="I488" s="905"/>
      <c r="J488" s="905"/>
      <c r="K488" s="906"/>
      <c r="L488" s="900"/>
      <c r="M488" s="900"/>
      <c r="N488" s="900"/>
      <c r="O488" s="900"/>
      <c r="P488" s="900"/>
      <c r="Q488" s="900"/>
      <c r="R488" s="900"/>
      <c r="S488" s="900"/>
      <c r="T488" s="900"/>
      <c r="U488" s="900"/>
      <c r="V488" s="900"/>
      <c r="W488" s="900"/>
      <c r="X488" s="900"/>
      <c r="Y488" s="900"/>
      <c r="Z488" s="900"/>
      <c r="AA488" s="900"/>
      <c r="AB488" s="900"/>
    </row>
    <row r="489">
      <c r="A489" s="900"/>
      <c r="B489" s="900"/>
      <c r="C489" s="900"/>
      <c r="D489" s="900"/>
      <c r="E489" s="900"/>
      <c r="F489" s="900"/>
      <c r="G489" s="900"/>
      <c r="H489" s="900"/>
      <c r="I489" s="905"/>
      <c r="J489" s="905"/>
      <c r="K489" s="906"/>
      <c r="L489" s="900"/>
      <c r="M489" s="900"/>
      <c r="N489" s="900"/>
      <c r="O489" s="900"/>
      <c r="P489" s="900"/>
      <c r="Q489" s="900"/>
      <c r="R489" s="900"/>
      <c r="S489" s="900"/>
      <c r="T489" s="900"/>
      <c r="U489" s="900"/>
      <c r="V489" s="900"/>
      <c r="W489" s="900"/>
      <c r="X489" s="900"/>
      <c r="Y489" s="900"/>
      <c r="Z489" s="900"/>
      <c r="AA489" s="900"/>
      <c r="AB489" s="900"/>
    </row>
    <row r="490">
      <c r="A490" s="900"/>
      <c r="B490" s="900"/>
      <c r="C490" s="900"/>
      <c r="D490" s="900"/>
      <c r="E490" s="900"/>
      <c r="F490" s="900"/>
      <c r="G490" s="900"/>
      <c r="H490" s="900"/>
      <c r="I490" s="905"/>
      <c r="J490" s="905"/>
      <c r="K490" s="906"/>
      <c r="L490" s="900"/>
      <c r="M490" s="900"/>
      <c r="N490" s="900"/>
      <c r="O490" s="900"/>
      <c r="P490" s="900"/>
      <c r="Q490" s="900"/>
      <c r="R490" s="900"/>
      <c r="S490" s="900"/>
      <c r="T490" s="900"/>
      <c r="U490" s="900"/>
      <c r="V490" s="900"/>
      <c r="W490" s="900"/>
      <c r="X490" s="900"/>
      <c r="Y490" s="900"/>
      <c r="Z490" s="900"/>
      <c r="AA490" s="900"/>
      <c r="AB490" s="900"/>
    </row>
    <row r="491">
      <c r="A491" s="900"/>
      <c r="B491" s="900"/>
      <c r="C491" s="900"/>
      <c r="D491" s="900"/>
      <c r="E491" s="900"/>
      <c r="F491" s="900"/>
      <c r="G491" s="900"/>
      <c r="H491" s="900"/>
      <c r="I491" s="905"/>
      <c r="J491" s="905"/>
      <c r="K491" s="906"/>
      <c r="L491" s="900"/>
      <c r="M491" s="900"/>
      <c r="N491" s="900"/>
      <c r="O491" s="900"/>
      <c r="P491" s="900"/>
      <c r="Q491" s="900"/>
      <c r="R491" s="900"/>
      <c r="S491" s="900"/>
      <c r="T491" s="900"/>
      <c r="U491" s="900"/>
      <c r="V491" s="900"/>
      <c r="W491" s="900"/>
      <c r="X491" s="900"/>
      <c r="Y491" s="900"/>
      <c r="Z491" s="900"/>
      <c r="AA491" s="900"/>
      <c r="AB491" s="900"/>
    </row>
    <row r="492">
      <c r="A492" s="900"/>
      <c r="B492" s="900"/>
      <c r="C492" s="900"/>
      <c r="D492" s="900"/>
      <c r="E492" s="900"/>
      <c r="F492" s="900"/>
      <c r="G492" s="900"/>
      <c r="H492" s="900"/>
      <c r="I492" s="905"/>
      <c r="J492" s="905"/>
      <c r="K492" s="906"/>
      <c r="L492" s="900"/>
      <c r="M492" s="900"/>
      <c r="N492" s="900"/>
      <c r="O492" s="900"/>
      <c r="P492" s="900"/>
      <c r="Q492" s="900"/>
      <c r="R492" s="900"/>
      <c r="S492" s="900"/>
      <c r="T492" s="900"/>
      <c r="U492" s="900"/>
      <c r="V492" s="900"/>
      <c r="W492" s="900"/>
      <c r="X492" s="900"/>
      <c r="Y492" s="900"/>
      <c r="Z492" s="900"/>
      <c r="AA492" s="900"/>
      <c r="AB492" s="900"/>
    </row>
    <row r="493">
      <c r="A493" s="900"/>
      <c r="B493" s="900"/>
      <c r="C493" s="900"/>
      <c r="D493" s="900"/>
      <c r="E493" s="900"/>
      <c r="F493" s="900"/>
      <c r="G493" s="900"/>
      <c r="H493" s="900"/>
      <c r="I493" s="905"/>
      <c r="J493" s="905"/>
      <c r="K493" s="906"/>
      <c r="L493" s="900"/>
      <c r="M493" s="900"/>
      <c r="N493" s="900"/>
      <c r="O493" s="900"/>
      <c r="P493" s="900"/>
      <c r="Q493" s="900"/>
      <c r="R493" s="900"/>
      <c r="S493" s="900"/>
      <c r="T493" s="900"/>
      <c r="U493" s="900"/>
      <c r="V493" s="900"/>
      <c r="W493" s="900"/>
      <c r="X493" s="900"/>
      <c r="Y493" s="900"/>
      <c r="Z493" s="900"/>
      <c r="AA493" s="900"/>
      <c r="AB493" s="900"/>
    </row>
    <row r="494">
      <c r="A494" s="900"/>
      <c r="B494" s="900"/>
      <c r="C494" s="900"/>
      <c r="D494" s="900"/>
      <c r="E494" s="900"/>
      <c r="F494" s="900"/>
      <c r="G494" s="900"/>
      <c r="H494" s="900"/>
      <c r="I494" s="905"/>
      <c r="J494" s="905"/>
      <c r="K494" s="906"/>
      <c r="L494" s="900"/>
      <c r="M494" s="900"/>
      <c r="N494" s="900"/>
      <c r="O494" s="900"/>
      <c r="P494" s="900"/>
      <c r="Q494" s="900"/>
      <c r="R494" s="900"/>
      <c r="S494" s="900"/>
      <c r="T494" s="900"/>
      <c r="U494" s="900"/>
      <c r="V494" s="900"/>
      <c r="W494" s="900"/>
      <c r="X494" s="900"/>
      <c r="Y494" s="900"/>
      <c r="Z494" s="900"/>
      <c r="AA494" s="900"/>
      <c r="AB494" s="900"/>
    </row>
    <row r="495">
      <c r="A495" s="900"/>
      <c r="B495" s="900"/>
      <c r="C495" s="900"/>
      <c r="D495" s="900"/>
      <c r="E495" s="900"/>
      <c r="F495" s="900"/>
      <c r="G495" s="900"/>
      <c r="H495" s="900"/>
      <c r="I495" s="905"/>
      <c r="J495" s="905"/>
      <c r="K495" s="906"/>
      <c r="L495" s="900"/>
      <c r="M495" s="900"/>
      <c r="N495" s="900"/>
      <c r="O495" s="900"/>
      <c r="P495" s="900"/>
      <c r="Q495" s="900"/>
      <c r="R495" s="900"/>
      <c r="S495" s="900"/>
      <c r="T495" s="900"/>
      <c r="U495" s="900"/>
      <c r="V495" s="900"/>
      <c r="W495" s="900"/>
      <c r="X495" s="900"/>
      <c r="Y495" s="900"/>
      <c r="Z495" s="900"/>
      <c r="AA495" s="900"/>
      <c r="AB495" s="900"/>
    </row>
    <row r="496">
      <c r="A496" s="900"/>
      <c r="B496" s="900"/>
      <c r="C496" s="900"/>
      <c r="D496" s="900"/>
      <c r="E496" s="900"/>
      <c r="F496" s="900"/>
      <c r="G496" s="900"/>
      <c r="H496" s="900"/>
      <c r="I496" s="905"/>
      <c r="J496" s="905"/>
      <c r="K496" s="906"/>
      <c r="L496" s="900"/>
      <c r="M496" s="900"/>
      <c r="N496" s="900"/>
      <c r="O496" s="900"/>
      <c r="P496" s="900"/>
      <c r="Q496" s="900"/>
      <c r="R496" s="900"/>
      <c r="S496" s="900"/>
      <c r="T496" s="900"/>
      <c r="U496" s="900"/>
      <c r="V496" s="900"/>
      <c r="W496" s="900"/>
      <c r="X496" s="900"/>
      <c r="Y496" s="900"/>
      <c r="Z496" s="900"/>
      <c r="AA496" s="900"/>
      <c r="AB496" s="900"/>
    </row>
    <row r="497">
      <c r="A497" s="900"/>
      <c r="B497" s="900"/>
      <c r="C497" s="900"/>
      <c r="D497" s="900"/>
      <c r="E497" s="900"/>
      <c r="F497" s="900"/>
      <c r="G497" s="900"/>
      <c r="H497" s="900"/>
      <c r="I497" s="905"/>
      <c r="J497" s="905"/>
      <c r="K497" s="906"/>
      <c r="L497" s="900"/>
      <c r="M497" s="900"/>
      <c r="N497" s="900"/>
      <c r="O497" s="900"/>
      <c r="P497" s="900"/>
      <c r="Q497" s="900"/>
      <c r="R497" s="900"/>
      <c r="S497" s="900"/>
      <c r="T497" s="900"/>
      <c r="U497" s="900"/>
      <c r="V497" s="900"/>
      <c r="W497" s="900"/>
      <c r="X497" s="900"/>
      <c r="Y497" s="900"/>
      <c r="Z497" s="900"/>
      <c r="AA497" s="900"/>
      <c r="AB497" s="900"/>
    </row>
    <row r="498">
      <c r="A498" s="900"/>
      <c r="B498" s="900"/>
      <c r="C498" s="900"/>
      <c r="D498" s="900"/>
      <c r="E498" s="900"/>
      <c r="F498" s="900"/>
      <c r="G498" s="900"/>
      <c r="H498" s="900"/>
      <c r="I498" s="905"/>
      <c r="J498" s="905"/>
      <c r="K498" s="906"/>
      <c r="L498" s="900"/>
      <c r="M498" s="900"/>
      <c r="N498" s="900"/>
      <c r="O498" s="900"/>
      <c r="P498" s="900"/>
      <c r="Q498" s="900"/>
      <c r="R498" s="900"/>
      <c r="S498" s="900"/>
      <c r="T498" s="900"/>
      <c r="U498" s="900"/>
      <c r="V498" s="900"/>
      <c r="W498" s="900"/>
      <c r="X498" s="900"/>
      <c r="Y498" s="900"/>
      <c r="Z498" s="900"/>
      <c r="AA498" s="900"/>
      <c r="AB498" s="900"/>
    </row>
    <row r="499">
      <c r="A499" s="900"/>
      <c r="B499" s="900"/>
      <c r="C499" s="900"/>
      <c r="D499" s="900"/>
      <c r="E499" s="900"/>
      <c r="F499" s="900"/>
      <c r="G499" s="900"/>
      <c r="H499" s="900"/>
      <c r="I499" s="905"/>
      <c r="J499" s="905"/>
      <c r="K499" s="906"/>
      <c r="L499" s="900"/>
      <c r="M499" s="900"/>
      <c r="N499" s="900"/>
      <c r="O499" s="900"/>
      <c r="P499" s="900"/>
      <c r="Q499" s="900"/>
      <c r="R499" s="900"/>
      <c r="S499" s="900"/>
      <c r="T499" s="900"/>
      <c r="U499" s="900"/>
      <c r="V499" s="900"/>
      <c r="W499" s="900"/>
      <c r="X499" s="900"/>
      <c r="Y499" s="900"/>
      <c r="Z499" s="900"/>
      <c r="AA499" s="900"/>
      <c r="AB499" s="900"/>
    </row>
    <row r="500">
      <c r="A500" s="900"/>
      <c r="B500" s="900"/>
      <c r="C500" s="900"/>
      <c r="D500" s="900"/>
      <c r="E500" s="900"/>
      <c r="F500" s="900"/>
      <c r="G500" s="900"/>
      <c r="H500" s="900"/>
      <c r="I500" s="905"/>
      <c r="J500" s="905"/>
      <c r="K500" s="906"/>
      <c r="L500" s="900"/>
      <c r="M500" s="900"/>
      <c r="N500" s="900"/>
      <c r="O500" s="900"/>
      <c r="P500" s="900"/>
      <c r="Q500" s="900"/>
      <c r="R500" s="900"/>
      <c r="S500" s="900"/>
      <c r="T500" s="900"/>
      <c r="U500" s="900"/>
      <c r="V500" s="900"/>
      <c r="W500" s="900"/>
      <c r="X500" s="900"/>
      <c r="Y500" s="900"/>
      <c r="Z500" s="900"/>
      <c r="AA500" s="900"/>
      <c r="AB500" s="900"/>
    </row>
    <row r="501">
      <c r="A501" s="900"/>
      <c r="B501" s="900"/>
      <c r="C501" s="900"/>
      <c r="D501" s="900"/>
      <c r="E501" s="900"/>
      <c r="F501" s="900"/>
      <c r="G501" s="900"/>
      <c r="H501" s="900"/>
      <c r="I501" s="905"/>
      <c r="J501" s="905"/>
      <c r="K501" s="906"/>
      <c r="L501" s="900"/>
      <c r="M501" s="900"/>
      <c r="N501" s="900"/>
      <c r="O501" s="900"/>
      <c r="P501" s="900"/>
      <c r="Q501" s="900"/>
      <c r="R501" s="900"/>
      <c r="S501" s="900"/>
      <c r="T501" s="900"/>
      <c r="U501" s="900"/>
      <c r="V501" s="900"/>
      <c r="W501" s="900"/>
      <c r="X501" s="900"/>
      <c r="Y501" s="900"/>
      <c r="Z501" s="900"/>
      <c r="AA501" s="900"/>
      <c r="AB501" s="900"/>
    </row>
    <row r="502">
      <c r="A502" s="900"/>
      <c r="B502" s="900"/>
      <c r="C502" s="900"/>
      <c r="D502" s="900"/>
      <c r="E502" s="900"/>
      <c r="F502" s="900"/>
      <c r="G502" s="900"/>
      <c r="H502" s="900"/>
      <c r="I502" s="905"/>
      <c r="J502" s="905"/>
      <c r="K502" s="906"/>
      <c r="L502" s="900"/>
      <c r="M502" s="900"/>
      <c r="N502" s="900"/>
      <c r="O502" s="900"/>
      <c r="P502" s="900"/>
      <c r="Q502" s="900"/>
      <c r="R502" s="900"/>
      <c r="S502" s="900"/>
      <c r="T502" s="900"/>
      <c r="U502" s="900"/>
      <c r="V502" s="900"/>
      <c r="W502" s="900"/>
      <c r="X502" s="900"/>
      <c r="Y502" s="900"/>
      <c r="Z502" s="900"/>
      <c r="AA502" s="900"/>
      <c r="AB502" s="900"/>
    </row>
    <row r="503">
      <c r="A503" s="900"/>
      <c r="B503" s="900"/>
      <c r="C503" s="900"/>
      <c r="D503" s="900"/>
      <c r="E503" s="900"/>
      <c r="F503" s="900"/>
      <c r="G503" s="900"/>
      <c r="H503" s="900"/>
      <c r="I503" s="905"/>
      <c r="J503" s="905"/>
      <c r="K503" s="906"/>
      <c r="L503" s="900"/>
      <c r="M503" s="900"/>
      <c r="N503" s="900"/>
      <c r="O503" s="900"/>
      <c r="P503" s="900"/>
      <c r="Q503" s="900"/>
      <c r="R503" s="900"/>
      <c r="S503" s="900"/>
      <c r="T503" s="900"/>
      <c r="U503" s="900"/>
      <c r="V503" s="900"/>
      <c r="W503" s="900"/>
      <c r="X503" s="900"/>
      <c r="Y503" s="900"/>
      <c r="Z503" s="900"/>
      <c r="AA503" s="900"/>
      <c r="AB503" s="900"/>
    </row>
    <row r="504">
      <c r="A504" s="900"/>
      <c r="B504" s="900"/>
      <c r="C504" s="900"/>
      <c r="D504" s="900"/>
      <c r="E504" s="900"/>
      <c r="F504" s="900"/>
      <c r="G504" s="900"/>
      <c r="H504" s="900"/>
      <c r="I504" s="905"/>
      <c r="J504" s="905"/>
      <c r="K504" s="906"/>
      <c r="L504" s="900"/>
      <c r="M504" s="900"/>
      <c r="N504" s="900"/>
      <c r="O504" s="900"/>
      <c r="P504" s="900"/>
      <c r="Q504" s="900"/>
      <c r="R504" s="900"/>
      <c r="S504" s="900"/>
      <c r="T504" s="900"/>
      <c r="U504" s="900"/>
      <c r="V504" s="900"/>
      <c r="W504" s="900"/>
      <c r="X504" s="900"/>
      <c r="Y504" s="900"/>
      <c r="Z504" s="900"/>
      <c r="AA504" s="900"/>
      <c r="AB504" s="900"/>
    </row>
    <row r="505">
      <c r="A505" s="900"/>
      <c r="B505" s="900"/>
      <c r="C505" s="900"/>
      <c r="D505" s="900"/>
      <c r="E505" s="900"/>
      <c r="F505" s="900"/>
      <c r="G505" s="900"/>
      <c r="H505" s="900"/>
      <c r="I505" s="905"/>
      <c r="J505" s="905"/>
      <c r="K505" s="906"/>
      <c r="L505" s="900"/>
      <c r="M505" s="900"/>
      <c r="N505" s="900"/>
      <c r="O505" s="900"/>
      <c r="P505" s="900"/>
      <c r="Q505" s="900"/>
      <c r="R505" s="900"/>
      <c r="S505" s="900"/>
      <c r="T505" s="900"/>
      <c r="U505" s="900"/>
      <c r="V505" s="900"/>
      <c r="W505" s="900"/>
      <c r="X505" s="900"/>
      <c r="Y505" s="900"/>
      <c r="Z505" s="900"/>
      <c r="AA505" s="900"/>
      <c r="AB505" s="900"/>
    </row>
    <row r="506">
      <c r="A506" s="900"/>
      <c r="B506" s="900"/>
      <c r="C506" s="900"/>
      <c r="D506" s="900"/>
      <c r="E506" s="900"/>
      <c r="F506" s="900"/>
      <c r="G506" s="900"/>
      <c r="H506" s="900"/>
      <c r="I506" s="905"/>
      <c r="J506" s="905"/>
      <c r="K506" s="906"/>
      <c r="L506" s="900"/>
      <c r="M506" s="900"/>
      <c r="N506" s="900"/>
      <c r="O506" s="900"/>
      <c r="P506" s="900"/>
      <c r="Q506" s="900"/>
      <c r="R506" s="900"/>
      <c r="S506" s="900"/>
      <c r="T506" s="900"/>
      <c r="U506" s="900"/>
      <c r="V506" s="900"/>
      <c r="W506" s="900"/>
      <c r="X506" s="900"/>
      <c r="Y506" s="900"/>
      <c r="Z506" s="900"/>
      <c r="AA506" s="900"/>
      <c r="AB506" s="900"/>
    </row>
    <row r="507">
      <c r="A507" s="900"/>
      <c r="B507" s="900"/>
      <c r="C507" s="900"/>
      <c r="D507" s="900"/>
      <c r="E507" s="900"/>
      <c r="F507" s="900"/>
      <c r="G507" s="900"/>
      <c r="H507" s="900"/>
      <c r="I507" s="905"/>
      <c r="J507" s="905"/>
      <c r="K507" s="906"/>
      <c r="L507" s="900"/>
      <c r="M507" s="900"/>
      <c r="N507" s="900"/>
      <c r="O507" s="900"/>
      <c r="P507" s="900"/>
      <c r="Q507" s="900"/>
      <c r="R507" s="900"/>
      <c r="S507" s="900"/>
      <c r="T507" s="900"/>
      <c r="U507" s="900"/>
      <c r="V507" s="900"/>
      <c r="W507" s="900"/>
      <c r="X507" s="900"/>
      <c r="Y507" s="900"/>
      <c r="Z507" s="900"/>
      <c r="AA507" s="900"/>
      <c r="AB507" s="900"/>
    </row>
    <row r="508">
      <c r="A508" s="900"/>
      <c r="B508" s="900"/>
      <c r="C508" s="900"/>
      <c r="D508" s="900"/>
      <c r="E508" s="900"/>
      <c r="F508" s="900"/>
      <c r="G508" s="900"/>
      <c r="H508" s="900"/>
      <c r="I508" s="905"/>
      <c r="J508" s="905"/>
      <c r="K508" s="906"/>
      <c r="L508" s="900"/>
      <c r="M508" s="900"/>
      <c r="N508" s="900"/>
      <c r="O508" s="900"/>
      <c r="P508" s="900"/>
      <c r="Q508" s="900"/>
      <c r="R508" s="900"/>
      <c r="S508" s="900"/>
      <c r="T508" s="900"/>
      <c r="U508" s="900"/>
      <c r="V508" s="900"/>
      <c r="W508" s="900"/>
      <c r="X508" s="900"/>
      <c r="Y508" s="900"/>
      <c r="Z508" s="900"/>
      <c r="AA508" s="900"/>
      <c r="AB508" s="900"/>
    </row>
    <row r="509">
      <c r="A509" s="900"/>
      <c r="B509" s="900"/>
      <c r="C509" s="900"/>
      <c r="D509" s="900"/>
      <c r="E509" s="900"/>
      <c r="F509" s="900"/>
      <c r="G509" s="900"/>
      <c r="H509" s="900"/>
      <c r="I509" s="905"/>
      <c r="J509" s="905"/>
      <c r="K509" s="906"/>
      <c r="L509" s="900"/>
      <c r="M509" s="900"/>
      <c r="N509" s="900"/>
      <c r="O509" s="900"/>
      <c r="P509" s="900"/>
      <c r="Q509" s="900"/>
      <c r="R509" s="900"/>
      <c r="S509" s="900"/>
      <c r="T509" s="900"/>
      <c r="U509" s="900"/>
      <c r="V509" s="900"/>
      <c r="W509" s="900"/>
      <c r="X509" s="900"/>
      <c r="Y509" s="900"/>
      <c r="Z509" s="900"/>
      <c r="AA509" s="900"/>
      <c r="AB509" s="900"/>
    </row>
    <row r="510">
      <c r="A510" s="900"/>
      <c r="B510" s="900"/>
      <c r="C510" s="900"/>
      <c r="D510" s="900"/>
      <c r="E510" s="900"/>
      <c r="F510" s="900"/>
      <c r="G510" s="900"/>
      <c r="H510" s="900"/>
      <c r="I510" s="905"/>
      <c r="J510" s="905"/>
      <c r="K510" s="906"/>
      <c r="L510" s="900"/>
      <c r="M510" s="900"/>
      <c r="N510" s="900"/>
      <c r="O510" s="900"/>
      <c r="P510" s="900"/>
      <c r="Q510" s="900"/>
      <c r="R510" s="900"/>
      <c r="S510" s="900"/>
      <c r="T510" s="900"/>
      <c r="U510" s="900"/>
      <c r="V510" s="900"/>
      <c r="W510" s="900"/>
      <c r="X510" s="900"/>
      <c r="Y510" s="900"/>
      <c r="Z510" s="900"/>
      <c r="AA510" s="900"/>
      <c r="AB510" s="900"/>
    </row>
    <row r="511">
      <c r="A511" s="900"/>
      <c r="B511" s="900"/>
      <c r="C511" s="900"/>
      <c r="D511" s="900"/>
      <c r="E511" s="900"/>
      <c r="F511" s="900"/>
      <c r="G511" s="900"/>
      <c r="H511" s="900"/>
      <c r="I511" s="905"/>
      <c r="J511" s="905"/>
      <c r="K511" s="906"/>
      <c r="L511" s="900"/>
      <c r="M511" s="900"/>
      <c r="N511" s="900"/>
      <c r="O511" s="900"/>
      <c r="P511" s="900"/>
      <c r="Q511" s="900"/>
      <c r="R511" s="900"/>
      <c r="S511" s="900"/>
      <c r="T511" s="900"/>
      <c r="U511" s="900"/>
      <c r="V511" s="900"/>
      <c r="W511" s="900"/>
      <c r="X511" s="900"/>
      <c r="Y511" s="900"/>
      <c r="Z511" s="900"/>
      <c r="AA511" s="900"/>
      <c r="AB511" s="900"/>
    </row>
    <row r="512">
      <c r="A512" s="900"/>
      <c r="B512" s="900"/>
      <c r="C512" s="900"/>
      <c r="D512" s="900"/>
      <c r="E512" s="900"/>
      <c r="F512" s="900"/>
      <c r="G512" s="900"/>
      <c r="H512" s="900"/>
      <c r="I512" s="905"/>
      <c r="J512" s="905"/>
      <c r="K512" s="906"/>
      <c r="L512" s="900"/>
      <c r="M512" s="900"/>
      <c r="N512" s="900"/>
      <c r="O512" s="900"/>
      <c r="P512" s="900"/>
      <c r="Q512" s="900"/>
      <c r="R512" s="900"/>
      <c r="S512" s="900"/>
      <c r="T512" s="900"/>
      <c r="U512" s="900"/>
      <c r="V512" s="900"/>
      <c r="W512" s="900"/>
      <c r="X512" s="900"/>
      <c r="Y512" s="900"/>
      <c r="Z512" s="900"/>
      <c r="AA512" s="900"/>
      <c r="AB512" s="900"/>
    </row>
    <row r="513">
      <c r="A513" s="900"/>
      <c r="B513" s="900"/>
      <c r="C513" s="900"/>
      <c r="D513" s="900"/>
      <c r="E513" s="900"/>
      <c r="F513" s="900"/>
      <c r="G513" s="900"/>
      <c r="H513" s="900"/>
      <c r="I513" s="905"/>
      <c r="J513" s="905"/>
      <c r="K513" s="906"/>
      <c r="L513" s="900"/>
      <c r="M513" s="900"/>
      <c r="N513" s="900"/>
      <c r="O513" s="900"/>
      <c r="P513" s="900"/>
      <c r="Q513" s="900"/>
      <c r="R513" s="900"/>
      <c r="S513" s="900"/>
      <c r="T513" s="900"/>
      <c r="U513" s="900"/>
      <c r="V513" s="900"/>
      <c r="W513" s="900"/>
      <c r="X513" s="900"/>
      <c r="Y513" s="900"/>
      <c r="Z513" s="900"/>
      <c r="AA513" s="900"/>
      <c r="AB513" s="900"/>
    </row>
    <row r="514">
      <c r="A514" s="900"/>
      <c r="B514" s="900"/>
      <c r="C514" s="900"/>
      <c r="D514" s="900"/>
      <c r="E514" s="900"/>
      <c r="F514" s="900"/>
      <c r="G514" s="900"/>
      <c r="H514" s="900"/>
      <c r="I514" s="905"/>
      <c r="J514" s="905"/>
      <c r="K514" s="906"/>
      <c r="L514" s="900"/>
      <c r="M514" s="900"/>
      <c r="N514" s="900"/>
      <c r="O514" s="900"/>
      <c r="P514" s="900"/>
      <c r="Q514" s="900"/>
      <c r="R514" s="900"/>
      <c r="S514" s="900"/>
      <c r="T514" s="900"/>
      <c r="U514" s="900"/>
      <c r="V514" s="900"/>
      <c r="W514" s="900"/>
      <c r="X514" s="900"/>
      <c r="Y514" s="900"/>
      <c r="Z514" s="900"/>
      <c r="AA514" s="900"/>
      <c r="AB514" s="900"/>
    </row>
    <row r="515">
      <c r="A515" s="900"/>
      <c r="B515" s="900"/>
      <c r="C515" s="900"/>
      <c r="D515" s="900"/>
      <c r="E515" s="900"/>
      <c r="F515" s="900"/>
      <c r="G515" s="900"/>
      <c r="H515" s="900"/>
      <c r="I515" s="905"/>
      <c r="J515" s="905"/>
      <c r="K515" s="906"/>
      <c r="L515" s="900"/>
      <c r="M515" s="900"/>
      <c r="N515" s="900"/>
      <c r="O515" s="900"/>
      <c r="P515" s="900"/>
      <c r="Q515" s="900"/>
      <c r="R515" s="900"/>
      <c r="S515" s="900"/>
      <c r="T515" s="900"/>
      <c r="U515" s="900"/>
      <c r="V515" s="900"/>
      <c r="W515" s="900"/>
      <c r="X515" s="900"/>
      <c r="Y515" s="900"/>
      <c r="Z515" s="900"/>
      <c r="AA515" s="900"/>
      <c r="AB515" s="900"/>
    </row>
    <row r="516">
      <c r="A516" s="900"/>
      <c r="B516" s="900"/>
      <c r="C516" s="900"/>
      <c r="D516" s="900"/>
      <c r="E516" s="900"/>
      <c r="F516" s="900"/>
      <c r="G516" s="900"/>
      <c r="H516" s="900"/>
      <c r="I516" s="905"/>
      <c r="J516" s="905"/>
      <c r="K516" s="906"/>
      <c r="L516" s="900"/>
      <c r="M516" s="900"/>
      <c r="N516" s="900"/>
      <c r="O516" s="900"/>
      <c r="P516" s="900"/>
      <c r="Q516" s="900"/>
      <c r="R516" s="900"/>
      <c r="S516" s="900"/>
      <c r="T516" s="900"/>
      <c r="U516" s="900"/>
      <c r="V516" s="900"/>
      <c r="W516" s="900"/>
      <c r="X516" s="900"/>
      <c r="Y516" s="900"/>
      <c r="Z516" s="900"/>
      <c r="AA516" s="900"/>
      <c r="AB516" s="900"/>
    </row>
    <row r="517">
      <c r="A517" s="900"/>
      <c r="B517" s="900"/>
      <c r="C517" s="900"/>
      <c r="D517" s="900"/>
      <c r="E517" s="900"/>
      <c r="F517" s="900"/>
      <c r="G517" s="900"/>
      <c r="H517" s="900"/>
      <c r="I517" s="905"/>
      <c r="J517" s="905"/>
      <c r="K517" s="906"/>
      <c r="L517" s="900"/>
      <c r="M517" s="900"/>
      <c r="N517" s="900"/>
      <c r="O517" s="900"/>
      <c r="P517" s="900"/>
      <c r="Q517" s="900"/>
      <c r="R517" s="900"/>
      <c r="S517" s="900"/>
      <c r="T517" s="900"/>
      <c r="U517" s="900"/>
      <c r="V517" s="900"/>
      <c r="W517" s="900"/>
      <c r="X517" s="900"/>
      <c r="Y517" s="900"/>
      <c r="Z517" s="900"/>
      <c r="AA517" s="900"/>
      <c r="AB517" s="900"/>
    </row>
    <row r="518">
      <c r="A518" s="900"/>
      <c r="B518" s="900"/>
      <c r="C518" s="900"/>
      <c r="D518" s="900"/>
      <c r="E518" s="900"/>
      <c r="F518" s="900"/>
      <c r="G518" s="900"/>
      <c r="H518" s="900"/>
      <c r="I518" s="905"/>
      <c r="J518" s="905"/>
      <c r="K518" s="906"/>
      <c r="L518" s="900"/>
      <c r="M518" s="900"/>
      <c r="N518" s="900"/>
      <c r="O518" s="900"/>
      <c r="P518" s="900"/>
      <c r="Q518" s="900"/>
      <c r="R518" s="900"/>
      <c r="S518" s="900"/>
      <c r="T518" s="900"/>
      <c r="U518" s="900"/>
      <c r="V518" s="900"/>
      <c r="W518" s="900"/>
      <c r="X518" s="900"/>
      <c r="Y518" s="900"/>
      <c r="Z518" s="900"/>
      <c r="AA518" s="900"/>
      <c r="AB518" s="900"/>
    </row>
    <row r="519">
      <c r="A519" s="900"/>
      <c r="B519" s="900"/>
      <c r="C519" s="900"/>
      <c r="D519" s="900"/>
      <c r="E519" s="900"/>
      <c r="F519" s="900"/>
      <c r="G519" s="900"/>
      <c r="H519" s="900"/>
      <c r="I519" s="905"/>
      <c r="J519" s="905"/>
      <c r="K519" s="906"/>
      <c r="L519" s="900"/>
      <c r="M519" s="900"/>
      <c r="N519" s="900"/>
      <c r="O519" s="900"/>
      <c r="P519" s="900"/>
      <c r="Q519" s="900"/>
      <c r="R519" s="900"/>
      <c r="S519" s="900"/>
      <c r="T519" s="900"/>
      <c r="U519" s="900"/>
      <c r="V519" s="900"/>
      <c r="W519" s="900"/>
      <c r="X519" s="900"/>
      <c r="Y519" s="900"/>
      <c r="Z519" s="900"/>
      <c r="AA519" s="900"/>
      <c r="AB519" s="900"/>
    </row>
    <row r="520">
      <c r="A520" s="900"/>
      <c r="B520" s="900"/>
      <c r="C520" s="900"/>
      <c r="D520" s="900"/>
      <c r="E520" s="900"/>
      <c r="F520" s="900"/>
      <c r="G520" s="900"/>
      <c r="H520" s="900"/>
      <c r="I520" s="905"/>
      <c r="J520" s="905"/>
      <c r="K520" s="906"/>
      <c r="L520" s="900"/>
      <c r="M520" s="900"/>
      <c r="N520" s="900"/>
      <c r="O520" s="900"/>
      <c r="P520" s="900"/>
      <c r="Q520" s="900"/>
      <c r="R520" s="900"/>
      <c r="S520" s="900"/>
      <c r="T520" s="900"/>
      <c r="U520" s="900"/>
      <c r="V520" s="900"/>
      <c r="W520" s="900"/>
      <c r="X520" s="900"/>
      <c r="Y520" s="900"/>
      <c r="Z520" s="900"/>
      <c r="AA520" s="900"/>
      <c r="AB520" s="900"/>
    </row>
    <row r="521">
      <c r="A521" s="900"/>
      <c r="B521" s="900"/>
      <c r="C521" s="900"/>
      <c r="D521" s="900"/>
      <c r="E521" s="900"/>
      <c r="F521" s="900"/>
      <c r="G521" s="900"/>
      <c r="H521" s="900"/>
      <c r="I521" s="905"/>
      <c r="J521" s="905"/>
      <c r="K521" s="906"/>
      <c r="L521" s="900"/>
      <c r="M521" s="900"/>
      <c r="N521" s="900"/>
      <c r="O521" s="900"/>
      <c r="P521" s="900"/>
      <c r="Q521" s="900"/>
      <c r="R521" s="900"/>
      <c r="S521" s="900"/>
      <c r="T521" s="900"/>
      <c r="U521" s="900"/>
      <c r="V521" s="900"/>
      <c r="W521" s="900"/>
      <c r="X521" s="900"/>
      <c r="Y521" s="900"/>
      <c r="Z521" s="900"/>
      <c r="AA521" s="900"/>
      <c r="AB521" s="900"/>
    </row>
    <row r="522">
      <c r="A522" s="900"/>
      <c r="B522" s="900"/>
      <c r="C522" s="900"/>
      <c r="D522" s="900"/>
      <c r="E522" s="900"/>
      <c r="F522" s="900"/>
      <c r="G522" s="900"/>
      <c r="H522" s="900"/>
      <c r="I522" s="905"/>
      <c r="J522" s="905"/>
      <c r="K522" s="906"/>
      <c r="L522" s="900"/>
      <c r="M522" s="900"/>
      <c r="N522" s="900"/>
      <c r="O522" s="900"/>
      <c r="P522" s="900"/>
      <c r="Q522" s="900"/>
      <c r="R522" s="900"/>
      <c r="S522" s="900"/>
      <c r="T522" s="900"/>
      <c r="U522" s="900"/>
      <c r="V522" s="900"/>
      <c r="W522" s="900"/>
      <c r="X522" s="900"/>
      <c r="Y522" s="900"/>
      <c r="Z522" s="900"/>
      <c r="AA522" s="900"/>
      <c r="AB522" s="900"/>
    </row>
    <row r="523">
      <c r="A523" s="900"/>
      <c r="B523" s="900"/>
      <c r="C523" s="900"/>
      <c r="D523" s="900"/>
      <c r="E523" s="900"/>
      <c r="F523" s="900"/>
      <c r="G523" s="900"/>
      <c r="H523" s="900"/>
      <c r="I523" s="905"/>
      <c r="J523" s="905"/>
      <c r="K523" s="906"/>
      <c r="L523" s="900"/>
      <c r="M523" s="900"/>
      <c r="N523" s="900"/>
      <c r="O523" s="900"/>
      <c r="P523" s="900"/>
      <c r="Q523" s="900"/>
      <c r="R523" s="900"/>
      <c r="S523" s="900"/>
      <c r="T523" s="900"/>
      <c r="U523" s="900"/>
      <c r="V523" s="900"/>
      <c r="W523" s="900"/>
      <c r="X523" s="900"/>
      <c r="Y523" s="900"/>
      <c r="Z523" s="900"/>
      <c r="AA523" s="900"/>
      <c r="AB523" s="900"/>
    </row>
    <row r="524">
      <c r="A524" s="900"/>
      <c r="B524" s="900"/>
      <c r="C524" s="900"/>
      <c r="D524" s="900"/>
      <c r="E524" s="900"/>
      <c r="F524" s="900"/>
      <c r="G524" s="900"/>
      <c r="H524" s="900"/>
      <c r="I524" s="905"/>
      <c r="J524" s="905"/>
      <c r="K524" s="906"/>
      <c r="L524" s="900"/>
      <c r="M524" s="900"/>
      <c r="N524" s="900"/>
      <c r="O524" s="900"/>
      <c r="P524" s="900"/>
      <c r="Q524" s="900"/>
      <c r="R524" s="900"/>
      <c r="S524" s="900"/>
      <c r="T524" s="900"/>
      <c r="U524" s="900"/>
      <c r="V524" s="900"/>
      <c r="W524" s="900"/>
      <c r="X524" s="900"/>
      <c r="Y524" s="900"/>
      <c r="Z524" s="900"/>
      <c r="AA524" s="900"/>
      <c r="AB524" s="900"/>
    </row>
    <row r="525">
      <c r="A525" s="900"/>
      <c r="B525" s="900"/>
      <c r="C525" s="900"/>
      <c r="D525" s="900"/>
      <c r="E525" s="900"/>
      <c r="F525" s="900"/>
      <c r="G525" s="900"/>
      <c r="H525" s="900"/>
      <c r="I525" s="905"/>
      <c r="J525" s="905"/>
      <c r="K525" s="906"/>
      <c r="L525" s="900"/>
      <c r="M525" s="900"/>
      <c r="N525" s="900"/>
      <c r="O525" s="900"/>
      <c r="P525" s="900"/>
      <c r="Q525" s="900"/>
      <c r="R525" s="900"/>
      <c r="S525" s="900"/>
      <c r="T525" s="900"/>
      <c r="U525" s="900"/>
      <c r="V525" s="900"/>
      <c r="W525" s="900"/>
      <c r="X525" s="900"/>
      <c r="Y525" s="900"/>
      <c r="Z525" s="900"/>
      <c r="AA525" s="900"/>
      <c r="AB525" s="900"/>
    </row>
    <row r="526">
      <c r="A526" s="900"/>
      <c r="B526" s="900"/>
      <c r="C526" s="900"/>
      <c r="D526" s="900"/>
      <c r="E526" s="900"/>
      <c r="F526" s="900"/>
      <c r="G526" s="900"/>
      <c r="H526" s="900"/>
      <c r="I526" s="905"/>
      <c r="J526" s="905"/>
      <c r="K526" s="906"/>
      <c r="L526" s="900"/>
      <c r="M526" s="900"/>
      <c r="N526" s="900"/>
      <c r="O526" s="900"/>
      <c r="P526" s="900"/>
      <c r="Q526" s="900"/>
      <c r="R526" s="900"/>
      <c r="S526" s="900"/>
      <c r="T526" s="900"/>
      <c r="U526" s="900"/>
      <c r="V526" s="900"/>
      <c r="W526" s="900"/>
      <c r="X526" s="900"/>
      <c r="Y526" s="900"/>
      <c r="Z526" s="900"/>
      <c r="AA526" s="900"/>
      <c r="AB526" s="900"/>
    </row>
    <row r="527">
      <c r="A527" s="900"/>
      <c r="B527" s="900"/>
      <c r="C527" s="900"/>
      <c r="D527" s="900"/>
      <c r="E527" s="900"/>
      <c r="F527" s="900"/>
      <c r="G527" s="900"/>
      <c r="H527" s="900"/>
      <c r="I527" s="905"/>
      <c r="J527" s="905"/>
      <c r="K527" s="906"/>
      <c r="L527" s="900"/>
      <c r="M527" s="900"/>
      <c r="N527" s="900"/>
      <c r="O527" s="900"/>
      <c r="P527" s="900"/>
      <c r="Q527" s="900"/>
      <c r="R527" s="900"/>
      <c r="S527" s="900"/>
      <c r="T527" s="900"/>
      <c r="U527" s="900"/>
      <c r="V527" s="900"/>
      <c r="W527" s="900"/>
      <c r="X527" s="900"/>
      <c r="Y527" s="900"/>
      <c r="Z527" s="900"/>
      <c r="AA527" s="900"/>
      <c r="AB527" s="900"/>
    </row>
    <row r="528">
      <c r="A528" s="900"/>
      <c r="B528" s="900"/>
      <c r="C528" s="900"/>
      <c r="D528" s="900"/>
      <c r="E528" s="900"/>
      <c r="F528" s="900"/>
      <c r="G528" s="900"/>
      <c r="H528" s="900"/>
      <c r="I528" s="905"/>
      <c r="J528" s="905"/>
      <c r="K528" s="906"/>
      <c r="L528" s="900"/>
      <c r="M528" s="900"/>
      <c r="N528" s="900"/>
      <c r="O528" s="900"/>
      <c r="P528" s="900"/>
      <c r="Q528" s="900"/>
      <c r="R528" s="900"/>
      <c r="S528" s="900"/>
      <c r="T528" s="900"/>
      <c r="U528" s="900"/>
      <c r="V528" s="900"/>
      <c r="W528" s="900"/>
      <c r="X528" s="900"/>
      <c r="Y528" s="900"/>
      <c r="Z528" s="900"/>
      <c r="AA528" s="900"/>
      <c r="AB528" s="900"/>
    </row>
    <row r="529">
      <c r="A529" s="900"/>
      <c r="B529" s="900"/>
      <c r="C529" s="900"/>
      <c r="D529" s="900"/>
      <c r="E529" s="900"/>
      <c r="F529" s="900"/>
      <c r="G529" s="900"/>
      <c r="H529" s="900"/>
      <c r="I529" s="905"/>
      <c r="J529" s="905"/>
      <c r="K529" s="906"/>
      <c r="L529" s="900"/>
      <c r="M529" s="900"/>
      <c r="N529" s="900"/>
      <c r="O529" s="900"/>
      <c r="P529" s="900"/>
      <c r="Q529" s="900"/>
      <c r="R529" s="900"/>
      <c r="S529" s="900"/>
      <c r="T529" s="900"/>
      <c r="U529" s="900"/>
      <c r="V529" s="900"/>
      <c r="W529" s="900"/>
      <c r="X529" s="900"/>
      <c r="Y529" s="900"/>
      <c r="Z529" s="900"/>
      <c r="AA529" s="900"/>
      <c r="AB529" s="900"/>
    </row>
    <row r="530">
      <c r="A530" s="900"/>
      <c r="B530" s="900"/>
      <c r="C530" s="900"/>
      <c r="D530" s="900"/>
      <c r="E530" s="900"/>
      <c r="F530" s="900"/>
      <c r="G530" s="900"/>
      <c r="H530" s="900"/>
      <c r="I530" s="905"/>
      <c r="J530" s="905"/>
      <c r="K530" s="906"/>
      <c r="L530" s="900"/>
      <c r="M530" s="900"/>
      <c r="N530" s="900"/>
      <c r="O530" s="900"/>
      <c r="P530" s="900"/>
      <c r="Q530" s="900"/>
      <c r="R530" s="900"/>
      <c r="S530" s="900"/>
      <c r="T530" s="900"/>
      <c r="U530" s="900"/>
      <c r="V530" s="900"/>
      <c r="W530" s="900"/>
      <c r="X530" s="900"/>
      <c r="Y530" s="900"/>
      <c r="Z530" s="900"/>
      <c r="AA530" s="900"/>
      <c r="AB530" s="900"/>
    </row>
    <row r="531">
      <c r="A531" s="900"/>
      <c r="B531" s="900"/>
      <c r="C531" s="900"/>
      <c r="D531" s="900"/>
      <c r="E531" s="900"/>
      <c r="F531" s="900"/>
      <c r="G531" s="900"/>
      <c r="H531" s="900"/>
      <c r="I531" s="905"/>
      <c r="J531" s="905"/>
      <c r="K531" s="906"/>
      <c r="L531" s="900"/>
      <c r="M531" s="900"/>
      <c r="N531" s="900"/>
      <c r="O531" s="900"/>
      <c r="P531" s="900"/>
      <c r="Q531" s="900"/>
      <c r="R531" s="900"/>
      <c r="S531" s="900"/>
      <c r="T531" s="900"/>
      <c r="U531" s="900"/>
      <c r="V531" s="900"/>
      <c r="W531" s="900"/>
      <c r="X531" s="900"/>
      <c r="Y531" s="900"/>
      <c r="Z531" s="900"/>
      <c r="AA531" s="900"/>
      <c r="AB531" s="900"/>
    </row>
    <row r="532">
      <c r="A532" s="900"/>
      <c r="B532" s="900"/>
      <c r="C532" s="900"/>
      <c r="D532" s="900"/>
      <c r="E532" s="900"/>
      <c r="F532" s="900"/>
      <c r="G532" s="900"/>
      <c r="H532" s="900"/>
      <c r="I532" s="905"/>
      <c r="J532" s="905"/>
      <c r="K532" s="906"/>
      <c r="L532" s="900"/>
      <c r="M532" s="900"/>
      <c r="N532" s="900"/>
      <c r="O532" s="900"/>
      <c r="P532" s="900"/>
      <c r="Q532" s="900"/>
      <c r="R532" s="900"/>
      <c r="S532" s="900"/>
      <c r="T532" s="900"/>
      <c r="U532" s="900"/>
      <c r="V532" s="900"/>
      <c r="W532" s="900"/>
      <c r="X532" s="900"/>
      <c r="Y532" s="900"/>
      <c r="Z532" s="900"/>
      <c r="AA532" s="900"/>
      <c r="AB532" s="900"/>
    </row>
    <row r="533">
      <c r="A533" s="900"/>
      <c r="B533" s="900"/>
      <c r="C533" s="900"/>
      <c r="D533" s="900"/>
      <c r="E533" s="900"/>
      <c r="F533" s="900"/>
      <c r="G533" s="900"/>
      <c r="H533" s="900"/>
      <c r="I533" s="905"/>
      <c r="J533" s="905"/>
      <c r="K533" s="906"/>
      <c r="L533" s="900"/>
      <c r="M533" s="900"/>
      <c r="N533" s="900"/>
      <c r="O533" s="900"/>
      <c r="P533" s="900"/>
      <c r="Q533" s="900"/>
      <c r="R533" s="900"/>
      <c r="S533" s="900"/>
      <c r="T533" s="900"/>
      <c r="U533" s="900"/>
      <c r="V533" s="900"/>
      <c r="W533" s="900"/>
      <c r="X533" s="900"/>
      <c r="Y533" s="900"/>
      <c r="Z533" s="900"/>
      <c r="AA533" s="900"/>
      <c r="AB533" s="900"/>
    </row>
    <row r="534">
      <c r="A534" s="900"/>
      <c r="B534" s="900"/>
      <c r="C534" s="900"/>
      <c r="D534" s="900"/>
      <c r="E534" s="900"/>
      <c r="F534" s="900"/>
      <c r="G534" s="900"/>
      <c r="H534" s="900"/>
      <c r="I534" s="905"/>
      <c r="J534" s="905"/>
      <c r="K534" s="906"/>
      <c r="L534" s="900"/>
      <c r="M534" s="900"/>
      <c r="N534" s="900"/>
      <c r="O534" s="900"/>
      <c r="P534" s="900"/>
      <c r="Q534" s="900"/>
      <c r="R534" s="900"/>
      <c r="S534" s="900"/>
      <c r="T534" s="900"/>
      <c r="U534" s="900"/>
      <c r="V534" s="900"/>
      <c r="W534" s="900"/>
      <c r="X534" s="900"/>
      <c r="Y534" s="900"/>
      <c r="Z534" s="900"/>
      <c r="AA534" s="900"/>
      <c r="AB534" s="900"/>
    </row>
    <row r="535">
      <c r="A535" s="900"/>
      <c r="B535" s="900"/>
      <c r="C535" s="900"/>
      <c r="D535" s="900"/>
      <c r="E535" s="900"/>
      <c r="F535" s="900"/>
      <c r="G535" s="900"/>
      <c r="H535" s="900"/>
      <c r="I535" s="905"/>
      <c r="J535" s="905"/>
      <c r="K535" s="906"/>
      <c r="L535" s="900"/>
      <c r="M535" s="900"/>
      <c r="N535" s="900"/>
      <c r="O535" s="900"/>
      <c r="P535" s="900"/>
      <c r="Q535" s="900"/>
      <c r="R535" s="900"/>
      <c r="S535" s="900"/>
      <c r="T535" s="900"/>
      <c r="U535" s="900"/>
      <c r="V535" s="900"/>
      <c r="W535" s="900"/>
      <c r="X535" s="900"/>
      <c r="Y535" s="900"/>
      <c r="Z535" s="900"/>
      <c r="AA535" s="900"/>
      <c r="AB535" s="900"/>
    </row>
    <row r="536">
      <c r="A536" s="900"/>
      <c r="B536" s="900"/>
      <c r="C536" s="900"/>
      <c r="D536" s="900"/>
      <c r="E536" s="900"/>
      <c r="F536" s="900"/>
      <c r="G536" s="900"/>
      <c r="H536" s="900"/>
      <c r="I536" s="905"/>
      <c r="J536" s="905"/>
      <c r="K536" s="906"/>
      <c r="L536" s="900"/>
      <c r="M536" s="900"/>
      <c r="N536" s="900"/>
      <c r="O536" s="900"/>
      <c r="P536" s="900"/>
      <c r="Q536" s="900"/>
      <c r="R536" s="900"/>
      <c r="S536" s="900"/>
      <c r="T536" s="900"/>
      <c r="U536" s="900"/>
      <c r="V536" s="900"/>
      <c r="W536" s="900"/>
      <c r="X536" s="900"/>
      <c r="Y536" s="900"/>
      <c r="Z536" s="900"/>
      <c r="AA536" s="900"/>
      <c r="AB536" s="900"/>
    </row>
    <row r="537">
      <c r="A537" s="900"/>
      <c r="B537" s="900"/>
      <c r="C537" s="900"/>
      <c r="D537" s="900"/>
      <c r="E537" s="900"/>
      <c r="F537" s="900"/>
      <c r="G537" s="900"/>
      <c r="H537" s="900"/>
      <c r="I537" s="905"/>
      <c r="J537" s="905"/>
      <c r="K537" s="906"/>
      <c r="L537" s="900"/>
      <c r="M537" s="900"/>
      <c r="N537" s="900"/>
      <c r="O537" s="900"/>
      <c r="P537" s="900"/>
      <c r="Q537" s="900"/>
      <c r="R537" s="900"/>
      <c r="S537" s="900"/>
      <c r="T537" s="900"/>
      <c r="U537" s="900"/>
      <c r="V537" s="900"/>
      <c r="W537" s="900"/>
      <c r="X537" s="900"/>
      <c r="Y537" s="900"/>
      <c r="Z537" s="900"/>
      <c r="AA537" s="900"/>
      <c r="AB537" s="900"/>
    </row>
    <row r="538">
      <c r="A538" s="900"/>
      <c r="B538" s="900"/>
      <c r="C538" s="900"/>
      <c r="D538" s="900"/>
      <c r="E538" s="900"/>
      <c r="F538" s="900"/>
      <c r="G538" s="900"/>
      <c r="H538" s="900"/>
      <c r="I538" s="905"/>
      <c r="J538" s="905"/>
      <c r="K538" s="906"/>
      <c r="L538" s="900"/>
      <c r="M538" s="900"/>
      <c r="N538" s="900"/>
      <c r="O538" s="900"/>
      <c r="P538" s="900"/>
      <c r="Q538" s="900"/>
      <c r="R538" s="900"/>
      <c r="S538" s="900"/>
      <c r="T538" s="900"/>
      <c r="U538" s="900"/>
      <c r="V538" s="900"/>
      <c r="W538" s="900"/>
      <c r="X538" s="900"/>
      <c r="Y538" s="900"/>
      <c r="Z538" s="900"/>
      <c r="AA538" s="900"/>
      <c r="AB538" s="900"/>
    </row>
    <row r="539">
      <c r="A539" s="900"/>
      <c r="B539" s="900"/>
      <c r="C539" s="900"/>
      <c r="D539" s="900"/>
      <c r="E539" s="900"/>
      <c r="F539" s="900"/>
      <c r="G539" s="900"/>
      <c r="H539" s="900"/>
      <c r="I539" s="905"/>
      <c r="J539" s="905"/>
      <c r="K539" s="906"/>
      <c r="L539" s="900"/>
      <c r="M539" s="900"/>
      <c r="N539" s="900"/>
      <c r="O539" s="900"/>
      <c r="P539" s="900"/>
      <c r="Q539" s="900"/>
      <c r="R539" s="900"/>
      <c r="S539" s="900"/>
      <c r="T539" s="900"/>
      <c r="U539" s="900"/>
      <c r="V539" s="900"/>
      <c r="W539" s="900"/>
      <c r="X539" s="900"/>
      <c r="Y539" s="900"/>
      <c r="Z539" s="900"/>
      <c r="AA539" s="900"/>
      <c r="AB539" s="900"/>
    </row>
    <row r="540">
      <c r="A540" s="900"/>
      <c r="B540" s="900"/>
      <c r="C540" s="900"/>
      <c r="D540" s="900"/>
      <c r="E540" s="900"/>
      <c r="F540" s="900"/>
      <c r="G540" s="900"/>
      <c r="H540" s="900"/>
      <c r="I540" s="905"/>
      <c r="J540" s="905"/>
      <c r="K540" s="906"/>
      <c r="L540" s="900"/>
      <c r="M540" s="900"/>
      <c r="N540" s="900"/>
      <c r="O540" s="900"/>
      <c r="P540" s="900"/>
      <c r="Q540" s="900"/>
      <c r="R540" s="900"/>
      <c r="S540" s="900"/>
      <c r="T540" s="900"/>
      <c r="U540" s="900"/>
      <c r="V540" s="900"/>
      <c r="W540" s="900"/>
      <c r="X540" s="900"/>
      <c r="Y540" s="900"/>
      <c r="Z540" s="900"/>
      <c r="AA540" s="900"/>
      <c r="AB540" s="900"/>
    </row>
    <row r="541">
      <c r="A541" s="900"/>
      <c r="B541" s="900"/>
      <c r="C541" s="900"/>
      <c r="D541" s="900"/>
      <c r="E541" s="900"/>
      <c r="F541" s="900"/>
      <c r="G541" s="900"/>
      <c r="H541" s="900"/>
      <c r="I541" s="905"/>
      <c r="J541" s="905"/>
      <c r="K541" s="906"/>
      <c r="L541" s="900"/>
      <c r="M541" s="900"/>
      <c r="N541" s="900"/>
      <c r="O541" s="900"/>
      <c r="P541" s="900"/>
      <c r="Q541" s="900"/>
      <c r="R541" s="900"/>
      <c r="S541" s="900"/>
      <c r="T541" s="900"/>
      <c r="U541" s="900"/>
      <c r="V541" s="900"/>
      <c r="W541" s="900"/>
      <c r="X541" s="900"/>
      <c r="Y541" s="900"/>
      <c r="Z541" s="900"/>
      <c r="AA541" s="900"/>
      <c r="AB541" s="900"/>
    </row>
    <row r="542">
      <c r="A542" s="900"/>
      <c r="B542" s="900"/>
      <c r="C542" s="900"/>
      <c r="D542" s="900"/>
      <c r="E542" s="900"/>
      <c r="F542" s="900"/>
      <c r="G542" s="900"/>
      <c r="H542" s="900"/>
      <c r="I542" s="905"/>
      <c r="J542" s="905"/>
      <c r="K542" s="906"/>
      <c r="L542" s="900"/>
      <c r="M542" s="900"/>
      <c r="N542" s="900"/>
      <c r="O542" s="900"/>
      <c r="P542" s="900"/>
      <c r="Q542" s="900"/>
      <c r="R542" s="900"/>
      <c r="S542" s="900"/>
      <c r="T542" s="900"/>
      <c r="U542" s="900"/>
      <c r="V542" s="900"/>
      <c r="W542" s="900"/>
      <c r="X542" s="900"/>
      <c r="Y542" s="900"/>
      <c r="Z542" s="900"/>
      <c r="AA542" s="900"/>
      <c r="AB542" s="900"/>
    </row>
    <row r="543">
      <c r="A543" s="900"/>
      <c r="B543" s="900"/>
      <c r="C543" s="900"/>
      <c r="D543" s="900"/>
      <c r="E543" s="900"/>
      <c r="F543" s="900"/>
      <c r="G543" s="900"/>
      <c r="H543" s="900"/>
      <c r="I543" s="905"/>
      <c r="J543" s="905"/>
      <c r="K543" s="906"/>
      <c r="L543" s="900"/>
      <c r="M543" s="900"/>
      <c r="N543" s="900"/>
      <c r="O543" s="900"/>
      <c r="P543" s="900"/>
      <c r="Q543" s="900"/>
      <c r="R543" s="900"/>
      <c r="S543" s="900"/>
      <c r="T543" s="900"/>
      <c r="U543" s="900"/>
      <c r="V543" s="900"/>
      <c r="W543" s="900"/>
      <c r="X543" s="900"/>
      <c r="Y543" s="900"/>
      <c r="Z543" s="900"/>
      <c r="AA543" s="900"/>
      <c r="AB543" s="900"/>
    </row>
    <row r="544">
      <c r="A544" s="900"/>
      <c r="B544" s="900"/>
      <c r="C544" s="900"/>
      <c r="D544" s="900"/>
      <c r="E544" s="900"/>
      <c r="F544" s="900"/>
      <c r="G544" s="900"/>
      <c r="H544" s="900"/>
      <c r="I544" s="905"/>
      <c r="J544" s="905"/>
      <c r="K544" s="906"/>
      <c r="L544" s="900"/>
      <c r="M544" s="900"/>
      <c r="N544" s="900"/>
      <c r="O544" s="900"/>
      <c r="P544" s="900"/>
      <c r="Q544" s="900"/>
      <c r="R544" s="900"/>
      <c r="S544" s="900"/>
      <c r="T544" s="900"/>
      <c r="U544" s="900"/>
      <c r="V544" s="900"/>
      <c r="W544" s="900"/>
      <c r="X544" s="900"/>
      <c r="Y544" s="900"/>
      <c r="Z544" s="900"/>
      <c r="AA544" s="900"/>
      <c r="AB544" s="900"/>
    </row>
    <row r="545">
      <c r="A545" s="900"/>
      <c r="B545" s="900"/>
      <c r="C545" s="900"/>
      <c r="D545" s="900"/>
      <c r="E545" s="900"/>
      <c r="F545" s="900"/>
      <c r="G545" s="900"/>
      <c r="H545" s="900"/>
      <c r="I545" s="905"/>
      <c r="J545" s="905"/>
      <c r="K545" s="906"/>
      <c r="L545" s="900"/>
      <c r="M545" s="900"/>
      <c r="N545" s="900"/>
      <c r="O545" s="900"/>
      <c r="P545" s="900"/>
      <c r="Q545" s="900"/>
      <c r="R545" s="900"/>
      <c r="S545" s="900"/>
      <c r="T545" s="900"/>
      <c r="U545" s="900"/>
      <c r="V545" s="900"/>
      <c r="W545" s="900"/>
      <c r="X545" s="900"/>
      <c r="Y545" s="900"/>
      <c r="Z545" s="900"/>
      <c r="AA545" s="900"/>
      <c r="AB545" s="900"/>
    </row>
    <row r="546">
      <c r="A546" s="900"/>
      <c r="B546" s="900"/>
      <c r="C546" s="900"/>
      <c r="D546" s="900"/>
      <c r="E546" s="900"/>
      <c r="F546" s="900"/>
      <c r="G546" s="900"/>
      <c r="H546" s="900"/>
      <c r="I546" s="905"/>
      <c r="J546" s="905"/>
      <c r="K546" s="906"/>
      <c r="L546" s="900"/>
      <c r="M546" s="900"/>
      <c r="N546" s="900"/>
      <c r="O546" s="900"/>
      <c r="P546" s="900"/>
      <c r="Q546" s="900"/>
      <c r="R546" s="900"/>
      <c r="S546" s="900"/>
      <c r="T546" s="900"/>
      <c r="U546" s="900"/>
      <c r="V546" s="900"/>
      <c r="W546" s="900"/>
      <c r="X546" s="900"/>
      <c r="Y546" s="900"/>
      <c r="Z546" s="900"/>
      <c r="AA546" s="900"/>
      <c r="AB546" s="900"/>
    </row>
    <row r="547">
      <c r="A547" s="900"/>
      <c r="B547" s="900"/>
      <c r="C547" s="900"/>
      <c r="D547" s="900"/>
      <c r="E547" s="900"/>
      <c r="F547" s="900"/>
      <c r="G547" s="900"/>
      <c r="H547" s="900"/>
      <c r="I547" s="905"/>
      <c r="J547" s="905"/>
      <c r="K547" s="906"/>
      <c r="L547" s="900"/>
      <c r="M547" s="900"/>
      <c r="N547" s="900"/>
      <c r="O547" s="900"/>
      <c r="P547" s="900"/>
      <c r="Q547" s="900"/>
      <c r="R547" s="900"/>
      <c r="S547" s="900"/>
      <c r="T547" s="900"/>
      <c r="U547" s="900"/>
      <c r="V547" s="900"/>
      <c r="W547" s="900"/>
      <c r="X547" s="900"/>
      <c r="Y547" s="900"/>
      <c r="Z547" s="900"/>
      <c r="AA547" s="900"/>
      <c r="AB547" s="900"/>
    </row>
    <row r="548">
      <c r="A548" s="900"/>
      <c r="B548" s="900"/>
      <c r="C548" s="900"/>
      <c r="D548" s="900"/>
      <c r="E548" s="900"/>
      <c r="F548" s="900"/>
      <c r="G548" s="900"/>
      <c r="H548" s="900"/>
      <c r="I548" s="905"/>
      <c r="J548" s="905"/>
      <c r="K548" s="906"/>
      <c r="L548" s="900"/>
      <c r="M548" s="900"/>
      <c r="N548" s="900"/>
      <c r="O548" s="900"/>
      <c r="P548" s="900"/>
      <c r="Q548" s="900"/>
      <c r="R548" s="900"/>
      <c r="S548" s="900"/>
      <c r="T548" s="900"/>
      <c r="U548" s="900"/>
      <c r="V548" s="900"/>
      <c r="W548" s="900"/>
      <c r="X548" s="900"/>
      <c r="Y548" s="900"/>
      <c r="Z548" s="900"/>
      <c r="AA548" s="900"/>
      <c r="AB548" s="900"/>
    </row>
    <row r="549">
      <c r="A549" s="900"/>
      <c r="B549" s="900"/>
      <c r="C549" s="900"/>
      <c r="D549" s="900"/>
      <c r="E549" s="900"/>
      <c r="F549" s="900"/>
      <c r="G549" s="900"/>
      <c r="H549" s="900"/>
      <c r="I549" s="905"/>
      <c r="J549" s="905"/>
      <c r="K549" s="906"/>
      <c r="L549" s="900"/>
      <c r="M549" s="900"/>
      <c r="N549" s="900"/>
      <c r="O549" s="900"/>
      <c r="P549" s="900"/>
      <c r="Q549" s="900"/>
      <c r="R549" s="900"/>
      <c r="S549" s="900"/>
      <c r="T549" s="900"/>
      <c r="U549" s="900"/>
      <c r="V549" s="900"/>
      <c r="W549" s="900"/>
      <c r="X549" s="900"/>
      <c r="Y549" s="900"/>
      <c r="Z549" s="900"/>
      <c r="AA549" s="900"/>
      <c r="AB549" s="900"/>
    </row>
    <row r="550">
      <c r="A550" s="900"/>
      <c r="B550" s="900"/>
      <c r="C550" s="900"/>
      <c r="D550" s="900"/>
      <c r="E550" s="900"/>
      <c r="F550" s="900"/>
      <c r="G550" s="900"/>
      <c r="H550" s="900"/>
      <c r="I550" s="905"/>
      <c r="J550" s="905"/>
      <c r="K550" s="906"/>
      <c r="L550" s="900"/>
      <c r="M550" s="900"/>
      <c r="N550" s="900"/>
      <c r="O550" s="900"/>
      <c r="P550" s="900"/>
      <c r="Q550" s="900"/>
      <c r="R550" s="900"/>
      <c r="S550" s="900"/>
      <c r="T550" s="900"/>
      <c r="U550" s="900"/>
      <c r="V550" s="900"/>
      <c r="W550" s="900"/>
      <c r="X550" s="900"/>
      <c r="Y550" s="900"/>
      <c r="Z550" s="900"/>
      <c r="AA550" s="900"/>
      <c r="AB550" s="900"/>
    </row>
    <row r="551">
      <c r="A551" s="900"/>
      <c r="B551" s="900"/>
      <c r="C551" s="900"/>
      <c r="D551" s="900"/>
      <c r="E551" s="900"/>
      <c r="F551" s="900"/>
      <c r="G551" s="900"/>
      <c r="H551" s="900"/>
      <c r="I551" s="905"/>
      <c r="J551" s="905"/>
      <c r="K551" s="906"/>
      <c r="L551" s="900"/>
      <c r="M551" s="900"/>
      <c r="N551" s="900"/>
      <c r="O551" s="900"/>
      <c r="P551" s="900"/>
      <c r="Q551" s="900"/>
      <c r="R551" s="900"/>
      <c r="S551" s="900"/>
      <c r="T551" s="900"/>
      <c r="U551" s="900"/>
      <c r="V551" s="900"/>
      <c r="W551" s="900"/>
      <c r="X551" s="900"/>
      <c r="Y551" s="900"/>
      <c r="Z551" s="900"/>
      <c r="AA551" s="900"/>
      <c r="AB551" s="900"/>
    </row>
    <row r="552">
      <c r="A552" s="900"/>
      <c r="B552" s="900"/>
      <c r="C552" s="900"/>
      <c r="D552" s="900"/>
      <c r="E552" s="900"/>
      <c r="F552" s="900"/>
      <c r="G552" s="900"/>
      <c r="H552" s="900"/>
      <c r="I552" s="905"/>
      <c r="J552" s="905"/>
      <c r="K552" s="906"/>
      <c r="L552" s="900"/>
      <c r="M552" s="900"/>
      <c r="N552" s="900"/>
      <c r="O552" s="900"/>
      <c r="P552" s="900"/>
      <c r="Q552" s="900"/>
      <c r="R552" s="900"/>
      <c r="S552" s="900"/>
      <c r="T552" s="900"/>
      <c r="U552" s="900"/>
      <c r="V552" s="900"/>
      <c r="W552" s="900"/>
      <c r="X552" s="900"/>
      <c r="Y552" s="900"/>
      <c r="Z552" s="900"/>
      <c r="AA552" s="900"/>
      <c r="AB552" s="900"/>
    </row>
    <row r="553">
      <c r="A553" s="900"/>
      <c r="B553" s="900"/>
      <c r="C553" s="900"/>
      <c r="D553" s="900"/>
      <c r="E553" s="900"/>
      <c r="F553" s="900"/>
      <c r="G553" s="900"/>
      <c r="H553" s="900"/>
      <c r="I553" s="905"/>
      <c r="J553" s="905"/>
      <c r="K553" s="906"/>
      <c r="L553" s="900"/>
      <c r="M553" s="900"/>
      <c r="N553" s="900"/>
      <c r="O553" s="900"/>
      <c r="P553" s="900"/>
      <c r="Q553" s="900"/>
      <c r="R553" s="900"/>
      <c r="S553" s="900"/>
      <c r="T553" s="900"/>
      <c r="U553" s="900"/>
      <c r="V553" s="900"/>
      <c r="W553" s="900"/>
      <c r="X553" s="900"/>
      <c r="Y553" s="900"/>
      <c r="Z553" s="900"/>
      <c r="AA553" s="900"/>
      <c r="AB553" s="900"/>
    </row>
    <row r="554">
      <c r="A554" s="900"/>
      <c r="B554" s="900"/>
      <c r="C554" s="900"/>
      <c r="D554" s="900"/>
      <c r="E554" s="900"/>
      <c r="F554" s="900"/>
      <c r="G554" s="900"/>
      <c r="H554" s="900"/>
      <c r="I554" s="905"/>
      <c r="J554" s="905"/>
      <c r="K554" s="906"/>
      <c r="L554" s="900"/>
      <c r="M554" s="900"/>
      <c r="N554" s="900"/>
      <c r="O554" s="900"/>
      <c r="P554" s="900"/>
      <c r="Q554" s="900"/>
      <c r="R554" s="900"/>
      <c r="S554" s="900"/>
      <c r="T554" s="900"/>
      <c r="U554" s="900"/>
      <c r="V554" s="900"/>
      <c r="W554" s="900"/>
      <c r="X554" s="900"/>
      <c r="Y554" s="900"/>
      <c r="Z554" s="900"/>
      <c r="AA554" s="900"/>
      <c r="AB554" s="900"/>
    </row>
    <row r="555">
      <c r="A555" s="900"/>
      <c r="B555" s="900"/>
      <c r="C555" s="900"/>
      <c r="D555" s="900"/>
      <c r="E555" s="900"/>
      <c r="F555" s="900"/>
      <c r="G555" s="900"/>
      <c r="H555" s="900"/>
      <c r="I555" s="905"/>
      <c r="J555" s="905"/>
      <c r="K555" s="906"/>
      <c r="L555" s="900"/>
      <c r="M555" s="900"/>
      <c r="N555" s="900"/>
      <c r="O555" s="900"/>
      <c r="P555" s="900"/>
      <c r="Q555" s="900"/>
      <c r="R555" s="900"/>
      <c r="S555" s="900"/>
      <c r="T555" s="900"/>
      <c r="U555" s="900"/>
      <c r="V555" s="900"/>
      <c r="W555" s="900"/>
      <c r="X555" s="900"/>
      <c r="Y555" s="900"/>
      <c r="Z555" s="900"/>
      <c r="AA555" s="900"/>
      <c r="AB555" s="900"/>
    </row>
    <row r="556">
      <c r="A556" s="900"/>
      <c r="B556" s="900"/>
      <c r="C556" s="900"/>
      <c r="D556" s="900"/>
      <c r="E556" s="900"/>
      <c r="F556" s="900"/>
      <c r="G556" s="900"/>
      <c r="H556" s="900"/>
      <c r="I556" s="905"/>
      <c r="J556" s="905"/>
      <c r="K556" s="906"/>
      <c r="L556" s="900"/>
      <c r="M556" s="900"/>
      <c r="N556" s="900"/>
      <c r="O556" s="900"/>
      <c r="P556" s="900"/>
      <c r="Q556" s="900"/>
      <c r="R556" s="900"/>
      <c r="S556" s="900"/>
      <c r="T556" s="900"/>
      <c r="U556" s="900"/>
      <c r="V556" s="900"/>
      <c r="W556" s="900"/>
      <c r="X556" s="900"/>
      <c r="Y556" s="900"/>
      <c r="Z556" s="900"/>
      <c r="AA556" s="900"/>
      <c r="AB556" s="900"/>
    </row>
    <row r="557">
      <c r="A557" s="900"/>
      <c r="B557" s="900"/>
      <c r="C557" s="900"/>
      <c r="D557" s="900"/>
      <c r="E557" s="900"/>
      <c r="F557" s="900"/>
      <c r="G557" s="900"/>
      <c r="H557" s="900"/>
      <c r="I557" s="905"/>
      <c r="J557" s="905"/>
      <c r="K557" s="906"/>
      <c r="L557" s="900"/>
      <c r="M557" s="900"/>
      <c r="N557" s="900"/>
      <c r="O557" s="900"/>
      <c r="P557" s="900"/>
      <c r="Q557" s="900"/>
      <c r="R557" s="900"/>
      <c r="S557" s="900"/>
      <c r="T557" s="900"/>
      <c r="U557" s="900"/>
      <c r="V557" s="900"/>
      <c r="W557" s="900"/>
      <c r="X557" s="900"/>
      <c r="Y557" s="900"/>
      <c r="Z557" s="900"/>
      <c r="AA557" s="900"/>
      <c r="AB557" s="900"/>
    </row>
    <row r="558">
      <c r="A558" s="900"/>
      <c r="B558" s="900"/>
      <c r="C558" s="900"/>
      <c r="D558" s="900"/>
      <c r="E558" s="900"/>
      <c r="F558" s="900"/>
      <c r="G558" s="900"/>
      <c r="H558" s="900"/>
      <c r="I558" s="905"/>
      <c r="J558" s="905"/>
      <c r="K558" s="906"/>
      <c r="L558" s="900"/>
      <c r="M558" s="900"/>
      <c r="N558" s="900"/>
      <c r="O558" s="900"/>
      <c r="P558" s="900"/>
      <c r="Q558" s="900"/>
      <c r="R558" s="900"/>
      <c r="S558" s="900"/>
      <c r="T558" s="900"/>
      <c r="U558" s="900"/>
      <c r="V558" s="900"/>
      <c r="W558" s="900"/>
      <c r="X558" s="900"/>
      <c r="Y558" s="900"/>
      <c r="Z558" s="900"/>
      <c r="AA558" s="900"/>
      <c r="AB558" s="900"/>
    </row>
    <row r="559">
      <c r="A559" s="900"/>
      <c r="B559" s="900"/>
      <c r="C559" s="900"/>
      <c r="D559" s="900"/>
      <c r="E559" s="900"/>
      <c r="F559" s="900"/>
      <c r="G559" s="900"/>
      <c r="H559" s="900"/>
      <c r="I559" s="905"/>
      <c r="J559" s="905"/>
      <c r="K559" s="906"/>
      <c r="L559" s="900"/>
      <c r="M559" s="900"/>
      <c r="N559" s="900"/>
      <c r="O559" s="900"/>
      <c r="P559" s="900"/>
      <c r="Q559" s="900"/>
      <c r="R559" s="900"/>
      <c r="S559" s="900"/>
      <c r="T559" s="900"/>
      <c r="U559" s="900"/>
      <c r="V559" s="900"/>
      <c r="W559" s="900"/>
      <c r="X559" s="900"/>
      <c r="Y559" s="900"/>
      <c r="Z559" s="900"/>
      <c r="AA559" s="900"/>
      <c r="AB559" s="900"/>
    </row>
    <row r="560">
      <c r="A560" s="900"/>
      <c r="B560" s="900"/>
      <c r="C560" s="900"/>
      <c r="D560" s="900"/>
      <c r="E560" s="900"/>
      <c r="F560" s="900"/>
      <c r="G560" s="900"/>
      <c r="H560" s="900"/>
      <c r="I560" s="905"/>
      <c r="J560" s="905"/>
      <c r="K560" s="906"/>
      <c r="L560" s="900"/>
      <c r="M560" s="900"/>
      <c r="N560" s="900"/>
      <c r="O560" s="900"/>
      <c r="P560" s="900"/>
      <c r="Q560" s="900"/>
      <c r="R560" s="900"/>
      <c r="S560" s="900"/>
      <c r="T560" s="900"/>
      <c r="U560" s="900"/>
      <c r="V560" s="900"/>
      <c r="W560" s="900"/>
      <c r="X560" s="900"/>
      <c r="Y560" s="900"/>
      <c r="Z560" s="900"/>
      <c r="AA560" s="900"/>
      <c r="AB560" s="900"/>
    </row>
    <row r="561">
      <c r="A561" s="900"/>
      <c r="B561" s="900"/>
      <c r="C561" s="900"/>
      <c r="D561" s="900"/>
      <c r="E561" s="900"/>
      <c r="F561" s="900"/>
      <c r="G561" s="900"/>
      <c r="H561" s="900"/>
      <c r="I561" s="905"/>
      <c r="J561" s="905"/>
      <c r="K561" s="906"/>
      <c r="L561" s="900"/>
      <c r="M561" s="900"/>
      <c r="N561" s="900"/>
      <c r="O561" s="900"/>
      <c r="P561" s="900"/>
      <c r="Q561" s="900"/>
      <c r="R561" s="900"/>
      <c r="S561" s="900"/>
      <c r="T561" s="900"/>
      <c r="U561" s="900"/>
      <c r="V561" s="900"/>
      <c r="W561" s="900"/>
      <c r="X561" s="900"/>
      <c r="Y561" s="900"/>
      <c r="Z561" s="900"/>
      <c r="AA561" s="900"/>
      <c r="AB561" s="900"/>
    </row>
    <row r="562">
      <c r="A562" s="900"/>
      <c r="B562" s="900"/>
      <c r="C562" s="900"/>
      <c r="D562" s="900"/>
      <c r="E562" s="900"/>
      <c r="F562" s="900"/>
      <c r="G562" s="900"/>
      <c r="H562" s="900"/>
      <c r="I562" s="905"/>
      <c r="J562" s="905"/>
      <c r="K562" s="906"/>
      <c r="L562" s="900"/>
      <c r="M562" s="900"/>
      <c r="N562" s="900"/>
      <c r="O562" s="900"/>
      <c r="P562" s="900"/>
      <c r="Q562" s="900"/>
      <c r="R562" s="900"/>
      <c r="S562" s="900"/>
      <c r="T562" s="900"/>
      <c r="U562" s="900"/>
      <c r="V562" s="900"/>
      <c r="W562" s="900"/>
      <c r="X562" s="900"/>
      <c r="Y562" s="900"/>
      <c r="Z562" s="900"/>
      <c r="AA562" s="900"/>
      <c r="AB562" s="900"/>
    </row>
    <row r="563">
      <c r="A563" s="900"/>
      <c r="B563" s="900"/>
      <c r="C563" s="900"/>
      <c r="D563" s="900"/>
      <c r="E563" s="900"/>
      <c r="F563" s="900"/>
      <c r="G563" s="900"/>
      <c r="H563" s="900"/>
      <c r="I563" s="905"/>
      <c r="J563" s="905"/>
      <c r="K563" s="906"/>
      <c r="L563" s="900"/>
      <c r="M563" s="900"/>
      <c r="N563" s="900"/>
      <c r="O563" s="900"/>
      <c r="P563" s="900"/>
      <c r="Q563" s="900"/>
      <c r="R563" s="900"/>
      <c r="S563" s="900"/>
      <c r="T563" s="900"/>
      <c r="U563" s="900"/>
      <c r="V563" s="900"/>
      <c r="W563" s="900"/>
      <c r="X563" s="900"/>
      <c r="Y563" s="900"/>
      <c r="Z563" s="900"/>
      <c r="AA563" s="900"/>
      <c r="AB563" s="900"/>
    </row>
    <row r="564">
      <c r="A564" s="900"/>
      <c r="B564" s="900"/>
      <c r="C564" s="900"/>
      <c r="D564" s="900"/>
      <c r="E564" s="900"/>
      <c r="F564" s="900"/>
      <c r="G564" s="900"/>
      <c r="H564" s="900"/>
      <c r="I564" s="905"/>
      <c r="J564" s="905"/>
      <c r="K564" s="906"/>
      <c r="L564" s="900"/>
      <c r="M564" s="900"/>
      <c r="N564" s="900"/>
      <c r="O564" s="900"/>
      <c r="P564" s="900"/>
      <c r="Q564" s="900"/>
      <c r="R564" s="900"/>
      <c r="S564" s="900"/>
      <c r="T564" s="900"/>
      <c r="U564" s="900"/>
      <c r="V564" s="900"/>
      <c r="W564" s="900"/>
      <c r="X564" s="900"/>
      <c r="Y564" s="900"/>
      <c r="Z564" s="900"/>
      <c r="AA564" s="900"/>
      <c r="AB564" s="900"/>
    </row>
    <row r="565">
      <c r="A565" s="900"/>
      <c r="B565" s="900"/>
      <c r="C565" s="900"/>
      <c r="D565" s="900"/>
      <c r="E565" s="900"/>
      <c r="F565" s="900"/>
      <c r="G565" s="900"/>
      <c r="H565" s="900"/>
      <c r="I565" s="905"/>
      <c r="J565" s="905"/>
      <c r="K565" s="906"/>
      <c r="L565" s="900"/>
      <c r="M565" s="900"/>
      <c r="N565" s="900"/>
      <c r="O565" s="900"/>
      <c r="P565" s="900"/>
      <c r="Q565" s="900"/>
      <c r="R565" s="900"/>
      <c r="S565" s="900"/>
      <c r="T565" s="900"/>
      <c r="U565" s="900"/>
      <c r="V565" s="900"/>
      <c r="W565" s="900"/>
      <c r="X565" s="900"/>
      <c r="Y565" s="900"/>
      <c r="Z565" s="900"/>
      <c r="AA565" s="900"/>
      <c r="AB565" s="900"/>
    </row>
    <row r="566">
      <c r="A566" s="900"/>
      <c r="B566" s="900"/>
      <c r="C566" s="900"/>
      <c r="D566" s="900"/>
      <c r="E566" s="900"/>
      <c r="F566" s="900"/>
      <c r="G566" s="900"/>
      <c r="H566" s="900"/>
      <c r="I566" s="905"/>
      <c r="J566" s="905"/>
      <c r="K566" s="906"/>
      <c r="L566" s="900"/>
      <c r="M566" s="900"/>
      <c r="N566" s="900"/>
      <c r="O566" s="900"/>
      <c r="P566" s="900"/>
      <c r="Q566" s="900"/>
      <c r="R566" s="900"/>
      <c r="S566" s="900"/>
      <c r="T566" s="900"/>
      <c r="U566" s="900"/>
      <c r="V566" s="900"/>
      <c r="W566" s="900"/>
      <c r="X566" s="900"/>
      <c r="Y566" s="900"/>
      <c r="Z566" s="900"/>
      <c r="AA566" s="900"/>
      <c r="AB566" s="900"/>
    </row>
    <row r="567">
      <c r="A567" s="900"/>
      <c r="B567" s="900"/>
      <c r="C567" s="900"/>
      <c r="D567" s="900"/>
      <c r="E567" s="900"/>
      <c r="F567" s="900"/>
      <c r="G567" s="900"/>
      <c r="H567" s="900"/>
      <c r="I567" s="905"/>
      <c r="J567" s="905"/>
      <c r="K567" s="906"/>
      <c r="L567" s="900"/>
      <c r="M567" s="900"/>
      <c r="N567" s="900"/>
      <c r="O567" s="900"/>
      <c r="P567" s="900"/>
      <c r="Q567" s="900"/>
      <c r="R567" s="900"/>
      <c r="S567" s="900"/>
      <c r="T567" s="900"/>
      <c r="U567" s="900"/>
      <c r="V567" s="900"/>
      <c r="W567" s="900"/>
      <c r="X567" s="900"/>
      <c r="Y567" s="900"/>
      <c r="Z567" s="900"/>
      <c r="AA567" s="900"/>
      <c r="AB567" s="900"/>
    </row>
    <row r="568">
      <c r="A568" s="900"/>
      <c r="B568" s="900"/>
      <c r="C568" s="900"/>
      <c r="D568" s="900"/>
      <c r="E568" s="900"/>
      <c r="F568" s="900"/>
      <c r="G568" s="900"/>
      <c r="H568" s="900"/>
      <c r="I568" s="905"/>
      <c r="J568" s="905"/>
      <c r="K568" s="906"/>
      <c r="L568" s="900"/>
      <c r="M568" s="900"/>
      <c r="N568" s="900"/>
      <c r="O568" s="900"/>
      <c r="P568" s="900"/>
      <c r="Q568" s="900"/>
      <c r="R568" s="900"/>
      <c r="S568" s="900"/>
      <c r="T568" s="900"/>
      <c r="U568" s="900"/>
      <c r="V568" s="900"/>
      <c r="W568" s="900"/>
      <c r="X568" s="900"/>
      <c r="Y568" s="900"/>
      <c r="Z568" s="900"/>
      <c r="AA568" s="900"/>
      <c r="AB568" s="900"/>
    </row>
    <row r="569">
      <c r="A569" s="900"/>
      <c r="B569" s="900"/>
      <c r="C569" s="900"/>
      <c r="D569" s="900"/>
      <c r="E569" s="900"/>
      <c r="F569" s="900"/>
      <c r="G569" s="900"/>
      <c r="H569" s="900"/>
      <c r="I569" s="905"/>
      <c r="J569" s="905"/>
      <c r="K569" s="906"/>
      <c r="L569" s="900"/>
      <c r="M569" s="900"/>
      <c r="N569" s="900"/>
      <c r="O569" s="900"/>
      <c r="P569" s="900"/>
      <c r="Q569" s="900"/>
      <c r="R569" s="900"/>
      <c r="S569" s="900"/>
      <c r="T569" s="900"/>
      <c r="U569" s="900"/>
      <c r="V569" s="900"/>
      <c r="W569" s="900"/>
      <c r="X569" s="900"/>
      <c r="Y569" s="900"/>
      <c r="Z569" s="900"/>
      <c r="AA569" s="900"/>
      <c r="AB569" s="900"/>
    </row>
    <row r="570">
      <c r="A570" s="900"/>
      <c r="B570" s="900"/>
      <c r="C570" s="900"/>
      <c r="D570" s="900"/>
      <c r="E570" s="900"/>
      <c r="F570" s="900"/>
      <c r="G570" s="900"/>
      <c r="H570" s="900"/>
      <c r="I570" s="905"/>
      <c r="J570" s="905"/>
      <c r="K570" s="906"/>
      <c r="L570" s="900"/>
      <c r="M570" s="900"/>
      <c r="N570" s="900"/>
      <c r="O570" s="900"/>
      <c r="P570" s="900"/>
      <c r="Q570" s="900"/>
      <c r="R570" s="900"/>
      <c r="S570" s="900"/>
      <c r="T570" s="900"/>
      <c r="U570" s="900"/>
      <c r="V570" s="900"/>
      <c r="W570" s="900"/>
      <c r="X570" s="900"/>
      <c r="Y570" s="900"/>
      <c r="Z570" s="900"/>
      <c r="AA570" s="900"/>
      <c r="AB570" s="900"/>
    </row>
    <row r="571">
      <c r="A571" s="900"/>
      <c r="B571" s="900"/>
      <c r="C571" s="900"/>
      <c r="D571" s="900"/>
      <c r="E571" s="900"/>
      <c r="F571" s="900"/>
      <c r="G571" s="900"/>
      <c r="H571" s="900"/>
      <c r="I571" s="905"/>
      <c r="J571" s="905"/>
      <c r="K571" s="906"/>
      <c r="L571" s="900"/>
      <c r="M571" s="900"/>
      <c r="N571" s="900"/>
      <c r="O571" s="900"/>
      <c r="P571" s="900"/>
      <c r="Q571" s="900"/>
      <c r="R571" s="900"/>
      <c r="S571" s="900"/>
      <c r="T571" s="900"/>
      <c r="U571" s="900"/>
      <c r="V571" s="900"/>
      <c r="W571" s="900"/>
      <c r="X571" s="900"/>
      <c r="Y571" s="900"/>
      <c r="Z571" s="900"/>
      <c r="AA571" s="900"/>
      <c r="AB571" s="900"/>
    </row>
    <row r="572">
      <c r="A572" s="900"/>
      <c r="B572" s="900"/>
      <c r="C572" s="900"/>
      <c r="D572" s="900"/>
      <c r="E572" s="900"/>
      <c r="F572" s="900"/>
      <c r="G572" s="900"/>
      <c r="H572" s="900"/>
      <c r="I572" s="905"/>
      <c r="J572" s="905"/>
      <c r="K572" s="906"/>
      <c r="L572" s="900"/>
      <c r="M572" s="900"/>
      <c r="N572" s="900"/>
      <c r="O572" s="900"/>
      <c r="P572" s="900"/>
      <c r="Q572" s="900"/>
      <c r="R572" s="900"/>
      <c r="S572" s="900"/>
      <c r="T572" s="900"/>
      <c r="U572" s="900"/>
      <c r="V572" s="900"/>
      <c r="W572" s="900"/>
      <c r="X572" s="900"/>
      <c r="Y572" s="900"/>
      <c r="Z572" s="900"/>
      <c r="AA572" s="900"/>
      <c r="AB572" s="900"/>
    </row>
    <row r="573">
      <c r="A573" s="900"/>
      <c r="B573" s="900"/>
      <c r="C573" s="900"/>
      <c r="D573" s="900"/>
      <c r="E573" s="900"/>
      <c r="F573" s="900"/>
      <c r="G573" s="900"/>
      <c r="H573" s="900"/>
      <c r="I573" s="905"/>
      <c r="J573" s="905"/>
      <c r="K573" s="906"/>
      <c r="L573" s="900"/>
      <c r="M573" s="900"/>
      <c r="N573" s="900"/>
      <c r="O573" s="900"/>
      <c r="P573" s="900"/>
      <c r="Q573" s="900"/>
      <c r="R573" s="900"/>
      <c r="S573" s="900"/>
      <c r="T573" s="900"/>
      <c r="U573" s="900"/>
      <c r="V573" s="900"/>
      <c r="W573" s="900"/>
      <c r="X573" s="900"/>
      <c r="Y573" s="900"/>
      <c r="Z573" s="900"/>
      <c r="AA573" s="900"/>
      <c r="AB573" s="900"/>
    </row>
    <row r="574">
      <c r="A574" s="900"/>
      <c r="B574" s="900"/>
      <c r="C574" s="900"/>
      <c r="D574" s="900"/>
      <c r="E574" s="900"/>
      <c r="F574" s="900"/>
      <c r="G574" s="900"/>
      <c r="H574" s="900"/>
      <c r="I574" s="905"/>
      <c r="J574" s="905"/>
      <c r="K574" s="906"/>
      <c r="L574" s="900"/>
      <c r="M574" s="900"/>
      <c r="N574" s="900"/>
      <c r="O574" s="900"/>
      <c r="P574" s="900"/>
      <c r="Q574" s="900"/>
      <c r="R574" s="900"/>
      <c r="S574" s="900"/>
      <c r="T574" s="900"/>
      <c r="U574" s="900"/>
      <c r="V574" s="900"/>
      <c r="W574" s="900"/>
      <c r="X574" s="900"/>
      <c r="Y574" s="900"/>
      <c r="Z574" s="900"/>
      <c r="AA574" s="900"/>
      <c r="AB574" s="900"/>
    </row>
    <row r="575">
      <c r="A575" s="900"/>
      <c r="B575" s="900"/>
      <c r="C575" s="900"/>
      <c r="D575" s="900"/>
      <c r="E575" s="900"/>
      <c r="F575" s="900"/>
      <c r="G575" s="900"/>
      <c r="H575" s="900"/>
      <c r="I575" s="905"/>
      <c r="J575" s="905"/>
      <c r="K575" s="906"/>
      <c r="L575" s="900"/>
      <c r="M575" s="900"/>
      <c r="N575" s="900"/>
      <c r="O575" s="900"/>
      <c r="P575" s="900"/>
      <c r="Q575" s="900"/>
      <c r="R575" s="900"/>
      <c r="S575" s="900"/>
      <c r="T575" s="900"/>
      <c r="U575" s="900"/>
      <c r="V575" s="900"/>
      <c r="W575" s="900"/>
      <c r="X575" s="900"/>
      <c r="Y575" s="900"/>
      <c r="Z575" s="900"/>
      <c r="AA575" s="900"/>
      <c r="AB575" s="900"/>
    </row>
    <row r="576">
      <c r="A576" s="900"/>
      <c r="B576" s="900"/>
      <c r="C576" s="900"/>
      <c r="D576" s="900"/>
      <c r="E576" s="900"/>
      <c r="F576" s="900"/>
      <c r="G576" s="900"/>
      <c r="H576" s="900"/>
      <c r="I576" s="905"/>
      <c r="J576" s="905"/>
      <c r="K576" s="906"/>
      <c r="L576" s="900"/>
      <c r="M576" s="900"/>
      <c r="N576" s="900"/>
      <c r="O576" s="900"/>
      <c r="P576" s="900"/>
      <c r="Q576" s="900"/>
      <c r="R576" s="900"/>
      <c r="S576" s="900"/>
      <c r="T576" s="900"/>
      <c r="U576" s="900"/>
      <c r="V576" s="900"/>
      <c r="W576" s="900"/>
      <c r="X576" s="900"/>
      <c r="Y576" s="900"/>
      <c r="Z576" s="900"/>
      <c r="AA576" s="900"/>
      <c r="AB576" s="900"/>
    </row>
    <row r="577">
      <c r="A577" s="900"/>
      <c r="B577" s="900"/>
      <c r="C577" s="900"/>
      <c r="D577" s="900"/>
      <c r="E577" s="900"/>
      <c r="F577" s="900"/>
      <c r="G577" s="900"/>
      <c r="H577" s="900"/>
      <c r="I577" s="905"/>
      <c r="J577" s="905"/>
      <c r="K577" s="906"/>
      <c r="L577" s="900"/>
      <c r="M577" s="900"/>
      <c r="N577" s="900"/>
      <c r="O577" s="900"/>
      <c r="P577" s="900"/>
      <c r="Q577" s="900"/>
      <c r="R577" s="900"/>
      <c r="S577" s="900"/>
      <c r="T577" s="900"/>
      <c r="U577" s="900"/>
      <c r="V577" s="900"/>
      <c r="W577" s="900"/>
      <c r="X577" s="900"/>
      <c r="Y577" s="900"/>
      <c r="Z577" s="900"/>
      <c r="AA577" s="900"/>
      <c r="AB577" s="900"/>
    </row>
    <row r="578">
      <c r="A578" s="900"/>
      <c r="B578" s="900"/>
      <c r="C578" s="900"/>
      <c r="D578" s="900"/>
      <c r="E578" s="900"/>
      <c r="F578" s="900"/>
      <c r="G578" s="900"/>
      <c r="H578" s="900"/>
      <c r="I578" s="905"/>
      <c r="J578" s="905"/>
      <c r="K578" s="906"/>
      <c r="L578" s="900"/>
      <c r="M578" s="900"/>
      <c r="N578" s="900"/>
      <c r="O578" s="900"/>
      <c r="P578" s="900"/>
      <c r="Q578" s="900"/>
      <c r="R578" s="900"/>
      <c r="S578" s="900"/>
      <c r="T578" s="900"/>
      <c r="U578" s="900"/>
      <c r="V578" s="900"/>
      <c r="W578" s="900"/>
      <c r="X578" s="900"/>
      <c r="Y578" s="900"/>
      <c r="Z578" s="900"/>
      <c r="AA578" s="900"/>
      <c r="AB578" s="900"/>
    </row>
    <row r="579">
      <c r="A579" s="900"/>
      <c r="B579" s="900"/>
      <c r="C579" s="900"/>
      <c r="D579" s="900"/>
      <c r="E579" s="900"/>
      <c r="F579" s="900"/>
      <c r="G579" s="900"/>
      <c r="H579" s="900"/>
      <c r="I579" s="905"/>
      <c r="J579" s="905"/>
      <c r="K579" s="906"/>
      <c r="L579" s="900"/>
      <c r="M579" s="900"/>
      <c r="N579" s="900"/>
      <c r="O579" s="900"/>
      <c r="P579" s="900"/>
      <c r="Q579" s="900"/>
      <c r="R579" s="900"/>
      <c r="S579" s="900"/>
      <c r="T579" s="900"/>
      <c r="U579" s="900"/>
      <c r="V579" s="900"/>
      <c r="W579" s="900"/>
      <c r="X579" s="900"/>
      <c r="Y579" s="900"/>
      <c r="Z579" s="900"/>
      <c r="AA579" s="900"/>
      <c r="AB579" s="900"/>
    </row>
    <row r="580">
      <c r="A580" s="900"/>
      <c r="B580" s="900"/>
      <c r="C580" s="900"/>
      <c r="D580" s="900"/>
      <c r="E580" s="900"/>
      <c r="F580" s="900"/>
      <c r="G580" s="900"/>
      <c r="H580" s="900"/>
      <c r="I580" s="905"/>
      <c r="J580" s="905"/>
      <c r="K580" s="906"/>
      <c r="L580" s="900"/>
      <c r="M580" s="900"/>
      <c r="N580" s="900"/>
      <c r="O580" s="900"/>
      <c r="P580" s="900"/>
      <c r="Q580" s="900"/>
      <c r="R580" s="900"/>
      <c r="S580" s="900"/>
      <c r="T580" s="900"/>
      <c r="U580" s="900"/>
      <c r="V580" s="900"/>
      <c r="W580" s="900"/>
      <c r="X580" s="900"/>
      <c r="Y580" s="900"/>
      <c r="Z580" s="900"/>
      <c r="AA580" s="900"/>
      <c r="AB580" s="900"/>
    </row>
    <row r="581">
      <c r="A581" s="900"/>
      <c r="B581" s="900"/>
      <c r="C581" s="900"/>
      <c r="D581" s="900"/>
      <c r="E581" s="900"/>
      <c r="F581" s="900"/>
      <c r="G581" s="900"/>
      <c r="H581" s="900"/>
      <c r="I581" s="905"/>
      <c r="J581" s="905"/>
      <c r="K581" s="906"/>
      <c r="L581" s="900"/>
      <c r="M581" s="900"/>
      <c r="N581" s="900"/>
      <c r="O581" s="900"/>
      <c r="P581" s="900"/>
      <c r="Q581" s="900"/>
      <c r="R581" s="900"/>
      <c r="S581" s="900"/>
      <c r="T581" s="900"/>
      <c r="U581" s="900"/>
      <c r="V581" s="900"/>
      <c r="W581" s="900"/>
      <c r="X581" s="900"/>
      <c r="Y581" s="900"/>
      <c r="Z581" s="900"/>
      <c r="AA581" s="900"/>
      <c r="AB581" s="900"/>
    </row>
    <row r="582">
      <c r="A582" s="900"/>
      <c r="B582" s="900"/>
      <c r="C582" s="900"/>
      <c r="D582" s="900"/>
      <c r="E582" s="900"/>
      <c r="F582" s="900"/>
      <c r="G582" s="900"/>
      <c r="H582" s="900"/>
      <c r="I582" s="905"/>
      <c r="J582" s="905"/>
      <c r="K582" s="906"/>
      <c r="L582" s="900"/>
      <c r="M582" s="900"/>
      <c r="N582" s="900"/>
      <c r="O582" s="900"/>
      <c r="P582" s="900"/>
      <c r="Q582" s="900"/>
      <c r="R582" s="900"/>
      <c r="S582" s="900"/>
      <c r="T582" s="900"/>
      <c r="U582" s="900"/>
      <c r="V582" s="900"/>
      <c r="W582" s="900"/>
      <c r="X582" s="900"/>
      <c r="Y582" s="900"/>
      <c r="Z582" s="900"/>
      <c r="AA582" s="900"/>
      <c r="AB582" s="900"/>
    </row>
    <row r="583">
      <c r="A583" s="900"/>
      <c r="B583" s="900"/>
      <c r="C583" s="900"/>
      <c r="D583" s="900"/>
      <c r="E583" s="900"/>
      <c r="F583" s="900"/>
      <c r="G583" s="900"/>
      <c r="H583" s="900"/>
      <c r="I583" s="905"/>
      <c r="J583" s="905"/>
      <c r="K583" s="906"/>
      <c r="L583" s="900"/>
      <c r="M583" s="900"/>
      <c r="N583" s="900"/>
      <c r="O583" s="900"/>
      <c r="P583" s="900"/>
      <c r="Q583" s="900"/>
      <c r="R583" s="900"/>
      <c r="S583" s="900"/>
      <c r="T583" s="900"/>
      <c r="U583" s="900"/>
      <c r="V583" s="900"/>
      <c r="W583" s="900"/>
      <c r="X583" s="900"/>
      <c r="Y583" s="900"/>
      <c r="Z583" s="900"/>
      <c r="AA583" s="900"/>
      <c r="AB583" s="900"/>
    </row>
    <row r="584">
      <c r="A584" s="900"/>
      <c r="B584" s="900"/>
      <c r="C584" s="900"/>
      <c r="D584" s="900"/>
      <c r="E584" s="900"/>
      <c r="F584" s="900"/>
      <c r="G584" s="900"/>
      <c r="H584" s="900"/>
      <c r="I584" s="905"/>
      <c r="J584" s="905"/>
      <c r="K584" s="906"/>
      <c r="L584" s="900"/>
      <c r="M584" s="900"/>
      <c r="N584" s="900"/>
      <c r="O584" s="900"/>
      <c r="P584" s="900"/>
      <c r="Q584" s="900"/>
      <c r="R584" s="900"/>
      <c r="S584" s="900"/>
      <c r="T584" s="900"/>
      <c r="U584" s="900"/>
      <c r="V584" s="900"/>
      <c r="W584" s="900"/>
      <c r="X584" s="900"/>
      <c r="Y584" s="900"/>
      <c r="Z584" s="900"/>
      <c r="AA584" s="900"/>
      <c r="AB584" s="900"/>
    </row>
    <row r="585">
      <c r="A585" s="900"/>
      <c r="B585" s="900"/>
      <c r="C585" s="900"/>
      <c r="D585" s="900"/>
      <c r="E585" s="900"/>
      <c r="F585" s="900"/>
      <c r="G585" s="900"/>
      <c r="H585" s="900"/>
      <c r="I585" s="905"/>
      <c r="J585" s="905"/>
      <c r="K585" s="906"/>
      <c r="L585" s="900"/>
      <c r="M585" s="900"/>
      <c r="N585" s="900"/>
      <c r="O585" s="900"/>
      <c r="P585" s="900"/>
      <c r="Q585" s="900"/>
      <c r="R585" s="900"/>
      <c r="S585" s="900"/>
      <c r="T585" s="900"/>
      <c r="U585" s="900"/>
      <c r="V585" s="900"/>
      <c r="W585" s="900"/>
      <c r="X585" s="900"/>
      <c r="Y585" s="900"/>
      <c r="Z585" s="900"/>
      <c r="AA585" s="900"/>
      <c r="AB585" s="900"/>
    </row>
    <row r="586">
      <c r="A586" s="900"/>
      <c r="B586" s="900"/>
      <c r="C586" s="900"/>
      <c r="D586" s="900"/>
      <c r="E586" s="900"/>
      <c r="F586" s="900"/>
      <c r="G586" s="900"/>
      <c r="H586" s="900"/>
      <c r="I586" s="905"/>
      <c r="J586" s="905"/>
      <c r="K586" s="906"/>
      <c r="L586" s="900"/>
      <c r="M586" s="900"/>
      <c r="N586" s="900"/>
      <c r="O586" s="900"/>
      <c r="P586" s="900"/>
      <c r="Q586" s="900"/>
      <c r="R586" s="900"/>
      <c r="S586" s="900"/>
      <c r="T586" s="900"/>
      <c r="U586" s="900"/>
      <c r="V586" s="900"/>
      <c r="W586" s="900"/>
      <c r="X586" s="900"/>
      <c r="Y586" s="900"/>
      <c r="Z586" s="900"/>
      <c r="AA586" s="900"/>
      <c r="AB586" s="900"/>
    </row>
    <row r="587">
      <c r="A587" s="900"/>
      <c r="B587" s="900"/>
      <c r="C587" s="900"/>
      <c r="D587" s="900"/>
      <c r="E587" s="900"/>
      <c r="F587" s="900"/>
      <c r="G587" s="900"/>
      <c r="H587" s="900"/>
      <c r="I587" s="905"/>
      <c r="J587" s="905"/>
      <c r="K587" s="906"/>
      <c r="L587" s="900"/>
      <c r="M587" s="900"/>
      <c r="N587" s="900"/>
      <c r="O587" s="900"/>
      <c r="P587" s="900"/>
      <c r="Q587" s="900"/>
      <c r="R587" s="900"/>
      <c r="S587" s="900"/>
      <c r="T587" s="900"/>
      <c r="U587" s="900"/>
      <c r="V587" s="900"/>
      <c r="W587" s="900"/>
      <c r="X587" s="900"/>
      <c r="Y587" s="900"/>
      <c r="Z587" s="900"/>
      <c r="AA587" s="900"/>
      <c r="AB587" s="900"/>
    </row>
    <row r="588">
      <c r="A588" s="900"/>
      <c r="B588" s="900"/>
      <c r="C588" s="900"/>
      <c r="D588" s="900"/>
      <c r="E588" s="900"/>
      <c r="F588" s="900"/>
      <c r="G588" s="900"/>
      <c r="H588" s="900"/>
      <c r="I588" s="905"/>
      <c r="J588" s="905"/>
      <c r="K588" s="906"/>
      <c r="L588" s="900"/>
      <c r="M588" s="900"/>
      <c r="N588" s="900"/>
      <c r="O588" s="900"/>
      <c r="P588" s="900"/>
      <c r="Q588" s="900"/>
      <c r="R588" s="900"/>
      <c r="S588" s="900"/>
      <c r="T588" s="900"/>
      <c r="U588" s="900"/>
      <c r="V588" s="900"/>
      <c r="W588" s="900"/>
      <c r="X588" s="900"/>
      <c r="Y588" s="900"/>
      <c r="Z588" s="900"/>
      <c r="AA588" s="900"/>
      <c r="AB588" s="900"/>
    </row>
    <row r="589">
      <c r="A589" s="900"/>
      <c r="B589" s="900"/>
      <c r="C589" s="900"/>
      <c r="D589" s="900"/>
      <c r="E589" s="900"/>
      <c r="F589" s="900"/>
      <c r="G589" s="900"/>
      <c r="H589" s="900"/>
      <c r="I589" s="905"/>
      <c r="J589" s="905"/>
      <c r="K589" s="906"/>
      <c r="L589" s="900"/>
      <c r="M589" s="900"/>
      <c r="N589" s="900"/>
      <c r="O589" s="900"/>
      <c r="P589" s="900"/>
      <c r="Q589" s="900"/>
      <c r="R589" s="900"/>
      <c r="S589" s="900"/>
      <c r="T589" s="900"/>
      <c r="U589" s="900"/>
      <c r="V589" s="900"/>
      <c r="W589" s="900"/>
      <c r="X589" s="900"/>
      <c r="Y589" s="900"/>
      <c r="Z589" s="900"/>
      <c r="AA589" s="900"/>
      <c r="AB589" s="900"/>
    </row>
    <row r="590">
      <c r="A590" s="900"/>
      <c r="B590" s="900"/>
      <c r="C590" s="900"/>
      <c r="D590" s="900"/>
      <c r="E590" s="900"/>
      <c r="F590" s="900"/>
      <c r="G590" s="900"/>
      <c r="H590" s="900"/>
      <c r="I590" s="905"/>
      <c r="J590" s="905"/>
      <c r="K590" s="906"/>
      <c r="L590" s="900"/>
      <c r="M590" s="900"/>
      <c r="N590" s="900"/>
      <c r="O590" s="900"/>
      <c r="P590" s="900"/>
      <c r="Q590" s="900"/>
      <c r="R590" s="900"/>
      <c r="S590" s="900"/>
      <c r="T590" s="900"/>
      <c r="U590" s="900"/>
      <c r="V590" s="900"/>
      <c r="W590" s="900"/>
      <c r="X590" s="900"/>
      <c r="Y590" s="900"/>
      <c r="Z590" s="900"/>
      <c r="AA590" s="900"/>
      <c r="AB590" s="900"/>
    </row>
    <row r="591">
      <c r="A591" s="900"/>
      <c r="B591" s="900"/>
      <c r="C591" s="900"/>
      <c r="D591" s="900"/>
      <c r="E591" s="900"/>
      <c r="F591" s="900"/>
      <c r="G591" s="900"/>
      <c r="H591" s="900"/>
      <c r="I591" s="905"/>
      <c r="J591" s="905"/>
      <c r="K591" s="906"/>
      <c r="L591" s="900"/>
      <c r="M591" s="900"/>
      <c r="N591" s="900"/>
      <c r="O591" s="900"/>
      <c r="P591" s="900"/>
      <c r="Q591" s="900"/>
      <c r="R591" s="900"/>
      <c r="S591" s="900"/>
      <c r="T591" s="900"/>
      <c r="U591" s="900"/>
      <c r="V591" s="900"/>
      <c r="W591" s="900"/>
      <c r="X591" s="900"/>
      <c r="Y591" s="900"/>
      <c r="Z591" s="900"/>
      <c r="AA591" s="900"/>
      <c r="AB591" s="900"/>
    </row>
    <row r="592">
      <c r="A592" s="900"/>
      <c r="B592" s="900"/>
      <c r="C592" s="900"/>
      <c r="D592" s="900"/>
      <c r="E592" s="900"/>
      <c r="F592" s="900"/>
      <c r="G592" s="900"/>
      <c r="H592" s="900"/>
      <c r="I592" s="905"/>
      <c r="J592" s="905"/>
      <c r="K592" s="906"/>
      <c r="L592" s="900"/>
      <c r="M592" s="900"/>
      <c r="N592" s="900"/>
      <c r="O592" s="900"/>
      <c r="P592" s="900"/>
      <c r="Q592" s="900"/>
      <c r="R592" s="900"/>
      <c r="S592" s="900"/>
      <c r="T592" s="900"/>
      <c r="U592" s="900"/>
      <c r="V592" s="900"/>
      <c r="W592" s="900"/>
      <c r="X592" s="900"/>
      <c r="Y592" s="900"/>
      <c r="Z592" s="900"/>
      <c r="AA592" s="900"/>
      <c r="AB592" s="900"/>
    </row>
    <row r="593">
      <c r="A593" s="900"/>
      <c r="B593" s="900"/>
      <c r="C593" s="900"/>
      <c r="D593" s="900"/>
      <c r="E593" s="900"/>
      <c r="F593" s="900"/>
      <c r="G593" s="900"/>
      <c r="H593" s="900"/>
      <c r="I593" s="905"/>
      <c r="J593" s="905"/>
      <c r="K593" s="906"/>
      <c r="L593" s="900"/>
      <c r="M593" s="900"/>
      <c r="N593" s="900"/>
      <c r="O593" s="900"/>
      <c r="P593" s="900"/>
      <c r="Q593" s="900"/>
      <c r="R593" s="900"/>
      <c r="S593" s="900"/>
      <c r="T593" s="900"/>
      <c r="U593" s="900"/>
      <c r="V593" s="900"/>
      <c r="W593" s="900"/>
      <c r="X593" s="900"/>
      <c r="Y593" s="900"/>
      <c r="Z593" s="900"/>
      <c r="AA593" s="900"/>
      <c r="AB593" s="900"/>
    </row>
    <row r="594">
      <c r="A594" s="900"/>
      <c r="B594" s="900"/>
      <c r="C594" s="900"/>
      <c r="D594" s="900"/>
      <c r="E594" s="900"/>
      <c r="F594" s="900"/>
      <c r="G594" s="900"/>
      <c r="H594" s="900"/>
      <c r="I594" s="905"/>
      <c r="J594" s="905"/>
      <c r="K594" s="906"/>
      <c r="L594" s="900"/>
      <c r="M594" s="900"/>
      <c r="N594" s="900"/>
      <c r="O594" s="900"/>
      <c r="P594" s="900"/>
      <c r="Q594" s="900"/>
      <c r="R594" s="900"/>
      <c r="S594" s="900"/>
      <c r="T594" s="900"/>
      <c r="U594" s="900"/>
      <c r="V594" s="900"/>
      <c r="W594" s="900"/>
      <c r="X594" s="900"/>
      <c r="Y594" s="900"/>
      <c r="Z594" s="900"/>
      <c r="AA594" s="900"/>
      <c r="AB594" s="900"/>
    </row>
    <row r="595">
      <c r="A595" s="900"/>
      <c r="B595" s="900"/>
      <c r="C595" s="900"/>
      <c r="D595" s="900"/>
      <c r="E595" s="900"/>
      <c r="F595" s="900"/>
      <c r="G595" s="900"/>
      <c r="H595" s="900"/>
      <c r="I595" s="905"/>
      <c r="J595" s="905"/>
      <c r="K595" s="906"/>
      <c r="L595" s="900"/>
      <c r="M595" s="900"/>
      <c r="N595" s="900"/>
      <c r="O595" s="900"/>
      <c r="P595" s="900"/>
      <c r="Q595" s="900"/>
      <c r="R595" s="900"/>
      <c r="S595" s="900"/>
      <c r="T595" s="900"/>
      <c r="U595" s="900"/>
      <c r="V595" s="900"/>
      <c r="W595" s="900"/>
      <c r="X595" s="900"/>
      <c r="Y595" s="900"/>
      <c r="Z595" s="900"/>
      <c r="AA595" s="900"/>
      <c r="AB595" s="900"/>
    </row>
    <row r="596">
      <c r="A596" s="900"/>
      <c r="B596" s="900"/>
      <c r="C596" s="900"/>
      <c r="D596" s="900"/>
      <c r="E596" s="900"/>
      <c r="F596" s="900"/>
      <c r="G596" s="900"/>
      <c r="H596" s="900"/>
      <c r="I596" s="905"/>
      <c r="J596" s="905"/>
      <c r="K596" s="906"/>
      <c r="L596" s="900"/>
      <c r="M596" s="900"/>
      <c r="N596" s="900"/>
      <c r="O596" s="900"/>
      <c r="P596" s="900"/>
      <c r="Q596" s="900"/>
      <c r="R596" s="900"/>
      <c r="S596" s="900"/>
      <c r="T596" s="900"/>
      <c r="U596" s="900"/>
      <c r="V596" s="900"/>
      <c r="W596" s="900"/>
      <c r="X596" s="900"/>
      <c r="Y596" s="900"/>
      <c r="Z596" s="900"/>
      <c r="AA596" s="900"/>
      <c r="AB596" s="900"/>
    </row>
    <row r="597">
      <c r="A597" s="900"/>
      <c r="B597" s="900"/>
      <c r="C597" s="900"/>
      <c r="D597" s="900"/>
      <c r="E597" s="900"/>
      <c r="F597" s="900"/>
      <c r="G597" s="900"/>
      <c r="H597" s="900"/>
      <c r="I597" s="905"/>
      <c r="J597" s="905"/>
      <c r="K597" s="906"/>
      <c r="L597" s="900"/>
      <c r="M597" s="900"/>
      <c r="N597" s="900"/>
      <c r="O597" s="900"/>
      <c r="P597" s="900"/>
      <c r="Q597" s="900"/>
      <c r="R597" s="900"/>
      <c r="S597" s="900"/>
      <c r="T597" s="900"/>
      <c r="U597" s="900"/>
      <c r="V597" s="900"/>
      <c r="W597" s="900"/>
      <c r="X597" s="900"/>
      <c r="Y597" s="900"/>
      <c r="Z597" s="900"/>
      <c r="AA597" s="900"/>
      <c r="AB597" s="900"/>
    </row>
    <row r="598">
      <c r="A598" s="900"/>
      <c r="B598" s="900"/>
      <c r="C598" s="900"/>
      <c r="D598" s="900"/>
      <c r="E598" s="900"/>
      <c r="F598" s="900"/>
      <c r="G598" s="900"/>
      <c r="H598" s="900"/>
      <c r="I598" s="905"/>
      <c r="J598" s="905"/>
      <c r="K598" s="906"/>
      <c r="L598" s="900"/>
      <c r="M598" s="900"/>
      <c r="N598" s="900"/>
      <c r="O598" s="900"/>
      <c r="P598" s="900"/>
      <c r="Q598" s="900"/>
      <c r="R598" s="900"/>
      <c r="S598" s="900"/>
      <c r="T598" s="900"/>
      <c r="U598" s="900"/>
      <c r="V598" s="900"/>
      <c r="W598" s="900"/>
      <c r="X598" s="900"/>
      <c r="Y598" s="900"/>
      <c r="Z598" s="900"/>
      <c r="AA598" s="900"/>
      <c r="AB598" s="900"/>
    </row>
    <row r="599">
      <c r="A599" s="900"/>
      <c r="B599" s="900"/>
      <c r="C599" s="900"/>
      <c r="D599" s="900"/>
      <c r="E599" s="900"/>
      <c r="F599" s="900"/>
      <c r="G599" s="900"/>
      <c r="H599" s="900"/>
      <c r="I599" s="905"/>
      <c r="J599" s="905"/>
      <c r="K599" s="906"/>
      <c r="L599" s="900"/>
      <c r="M599" s="900"/>
      <c r="N599" s="900"/>
      <c r="O599" s="900"/>
      <c r="P599" s="900"/>
      <c r="Q599" s="900"/>
      <c r="R599" s="900"/>
      <c r="S599" s="900"/>
      <c r="T599" s="900"/>
      <c r="U599" s="900"/>
      <c r="V599" s="900"/>
      <c r="W599" s="900"/>
      <c r="X599" s="900"/>
      <c r="Y599" s="900"/>
      <c r="Z599" s="900"/>
      <c r="AA599" s="900"/>
      <c r="AB599" s="900"/>
    </row>
    <row r="600">
      <c r="A600" s="900"/>
      <c r="B600" s="900"/>
      <c r="C600" s="900"/>
      <c r="D600" s="900"/>
      <c r="E600" s="900"/>
      <c r="F600" s="900"/>
      <c r="G600" s="900"/>
      <c r="H600" s="900"/>
      <c r="I600" s="905"/>
      <c r="J600" s="905"/>
      <c r="K600" s="906"/>
      <c r="L600" s="900"/>
      <c r="M600" s="900"/>
      <c r="N600" s="900"/>
      <c r="O600" s="900"/>
      <c r="P600" s="900"/>
      <c r="Q600" s="900"/>
      <c r="R600" s="900"/>
      <c r="S600" s="900"/>
      <c r="T600" s="900"/>
      <c r="U600" s="900"/>
      <c r="V600" s="900"/>
      <c r="W600" s="900"/>
      <c r="X600" s="900"/>
      <c r="Y600" s="900"/>
      <c r="Z600" s="900"/>
      <c r="AA600" s="900"/>
      <c r="AB600" s="900"/>
    </row>
    <row r="601">
      <c r="A601" s="900"/>
      <c r="B601" s="900"/>
      <c r="C601" s="900"/>
      <c r="D601" s="900"/>
      <c r="E601" s="900"/>
      <c r="F601" s="900"/>
      <c r="G601" s="900"/>
      <c r="H601" s="900"/>
      <c r="I601" s="905"/>
      <c r="J601" s="905"/>
      <c r="K601" s="906"/>
      <c r="L601" s="900"/>
      <c r="M601" s="900"/>
      <c r="N601" s="900"/>
      <c r="O601" s="900"/>
      <c r="P601" s="900"/>
      <c r="Q601" s="900"/>
      <c r="R601" s="900"/>
      <c r="S601" s="900"/>
      <c r="T601" s="900"/>
      <c r="U601" s="900"/>
      <c r="V601" s="900"/>
      <c r="W601" s="900"/>
      <c r="X601" s="900"/>
      <c r="Y601" s="900"/>
      <c r="Z601" s="900"/>
      <c r="AA601" s="900"/>
      <c r="AB601" s="900"/>
    </row>
    <row r="602">
      <c r="A602" s="900"/>
      <c r="B602" s="900"/>
      <c r="C602" s="900"/>
      <c r="D602" s="900"/>
      <c r="E602" s="900"/>
      <c r="F602" s="900"/>
      <c r="G602" s="900"/>
      <c r="H602" s="900"/>
      <c r="I602" s="905"/>
      <c r="J602" s="905"/>
      <c r="K602" s="906"/>
      <c r="L602" s="900"/>
      <c r="M602" s="900"/>
      <c r="N602" s="900"/>
      <c r="O602" s="900"/>
      <c r="P602" s="900"/>
      <c r="Q602" s="900"/>
      <c r="R602" s="900"/>
      <c r="S602" s="900"/>
      <c r="T602" s="900"/>
      <c r="U602" s="900"/>
      <c r="V602" s="900"/>
      <c r="W602" s="900"/>
      <c r="X602" s="900"/>
      <c r="Y602" s="900"/>
      <c r="Z602" s="900"/>
      <c r="AA602" s="900"/>
      <c r="AB602" s="900"/>
    </row>
    <row r="603">
      <c r="A603" s="900"/>
      <c r="B603" s="900"/>
      <c r="C603" s="900"/>
      <c r="D603" s="900"/>
      <c r="E603" s="900"/>
      <c r="F603" s="900"/>
      <c r="G603" s="900"/>
      <c r="H603" s="900"/>
      <c r="I603" s="905"/>
      <c r="J603" s="905"/>
      <c r="K603" s="906"/>
      <c r="L603" s="900"/>
      <c r="M603" s="900"/>
      <c r="N603" s="900"/>
      <c r="O603" s="900"/>
      <c r="P603" s="900"/>
      <c r="Q603" s="900"/>
      <c r="R603" s="900"/>
      <c r="S603" s="900"/>
      <c r="T603" s="900"/>
      <c r="U603" s="900"/>
      <c r="V603" s="900"/>
      <c r="W603" s="900"/>
      <c r="X603" s="900"/>
      <c r="Y603" s="900"/>
      <c r="Z603" s="900"/>
      <c r="AA603" s="900"/>
      <c r="AB603" s="900"/>
    </row>
    <row r="604">
      <c r="A604" s="900"/>
      <c r="B604" s="900"/>
      <c r="C604" s="900"/>
      <c r="D604" s="900"/>
      <c r="E604" s="900"/>
      <c r="F604" s="900"/>
      <c r="G604" s="900"/>
      <c r="H604" s="900"/>
      <c r="I604" s="905"/>
      <c r="J604" s="905"/>
      <c r="K604" s="906"/>
      <c r="L604" s="900"/>
      <c r="M604" s="900"/>
      <c r="N604" s="900"/>
      <c r="O604" s="900"/>
      <c r="P604" s="900"/>
      <c r="Q604" s="900"/>
      <c r="R604" s="900"/>
      <c r="S604" s="900"/>
      <c r="T604" s="900"/>
      <c r="U604" s="900"/>
      <c r="V604" s="900"/>
      <c r="W604" s="900"/>
      <c r="X604" s="900"/>
      <c r="Y604" s="900"/>
      <c r="Z604" s="900"/>
      <c r="AA604" s="900"/>
      <c r="AB604" s="900"/>
    </row>
    <row r="605">
      <c r="A605" s="900"/>
      <c r="B605" s="900"/>
      <c r="C605" s="900"/>
      <c r="D605" s="900"/>
      <c r="E605" s="900"/>
      <c r="F605" s="900"/>
      <c r="G605" s="900"/>
      <c r="H605" s="900"/>
      <c r="I605" s="905"/>
      <c r="J605" s="905"/>
      <c r="K605" s="906"/>
      <c r="L605" s="900"/>
      <c r="M605" s="900"/>
      <c r="N605" s="900"/>
      <c r="O605" s="900"/>
      <c r="P605" s="900"/>
      <c r="Q605" s="900"/>
      <c r="R605" s="900"/>
      <c r="S605" s="900"/>
      <c r="T605" s="900"/>
      <c r="U605" s="900"/>
      <c r="V605" s="900"/>
      <c r="W605" s="900"/>
      <c r="X605" s="900"/>
      <c r="Y605" s="900"/>
      <c r="Z605" s="900"/>
      <c r="AA605" s="900"/>
      <c r="AB605" s="900"/>
    </row>
    <row r="606">
      <c r="A606" s="900"/>
      <c r="B606" s="900"/>
      <c r="C606" s="900"/>
      <c r="D606" s="900"/>
      <c r="E606" s="900"/>
      <c r="F606" s="900"/>
      <c r="G606" s="900"/>
      <c r="H606" s="900"/>
      <c r="I606" s="905"/>
      <c r="J606" s="905"/>
      <c r="K606" s="906"/>
      <c r="L606" s="900"/>
      <c r="M606" s="900"/>
      <c r="N606" s="900"/>
      <c r="O606" s="900"/>
      <c r="P606" s="900"/>
      <c r="Q606" s="900"/>
      <c r="R606" s="900"/>
      <c r="S606" s="900"/>
      <c r="T606" s="900"/>
      <c r="U606" s="900"/>
      <c r="V606" s="900"/>
      <c r="W606" s="900"/>
      <c r="X606" s="900"/>
      <c r="Y606" s="900"/>
      <c r="Z606" s="900"/>
      <c r="AA606" s="900"/>
      <c r="AB606" s="900"/>
    </row>
    <row r="607">
      <c r="A607" s="900"/>
      <c r="B607" s="900"/>
      <c r="C607" s="900"/>
      <c r="D607" s="900"/>
      <c r="E607" s="900"/>
      <c r="F607" s="900"/>
      <c r="G607" s="900"/>
      <c r="H607" s="900"/>
      <c r="I607" s="905"/>
      <c r="J607" s="905"/>
      <c r="K607" s="906"/>
      <c r="L607" s="900"/>
      <c r="M607" s="900"/>
      <c r="N607" s="900"/>
      <c r="O607" s="900"/>
      <c r="P607" s="900"/>
      <c r="Q607" s="900"/>
      <c r="R607" s="900"/>
      <c r="S607" s="900"/>
      <c r="T607" s="900"/>
      <c r="U607" s="900"/>
      <c r="V607" s="900"/>
      <c r="W607" s="900"/>
      <c r="X607" s="900"/>
      <c r="Y607" s="900"/>
      <c r="Z607" s="900"/>
      <c r="AA607" s="900"/>
      <c r="AB607" s="900"/>
    </row>
    <row r="608">
      <c r="A608" s="900"/>
      <c r="B608" s="900"/>
      <c r="C608" s="900"/>
      <c r="D608" s="900"/>
      <c r="E608" s="900"/>
      <c r="F608" s="900"/>
      <c r="G608" s="900"/>
      <c r="H608" s="900"/>
      <c r="I608" s="905"/>
      <c r="J608" s="905"/>
      <c r="K608" s="906"/>
      <c r="L608" s="900"/>
      <c r="M608" s="900"/>
      <c r="N608" s="900"/>
      <c r="O608" s="900"/>
      <c r="P608" s="900"/>
      <c r="Q608" s="900"/>
      <c r="R608" s="900"/>
      <c r="S608" s="900"/>
      <c r="T608" s="900"/>
      <c r="U608" s="900"/>
      <c r="V608" s="900"/>
      <c r="W608" s="900"/>
      <c r="X608" s="900"/>
      <c r="Y608" s="900"/>
      <c r="Z608" s="900"/>
      <c r="AA608" s="900"/>
      <c r="AB608" s="900"/>
    </row>
    <row r="609">
      <c r="A609" s="900"/>
      <c r="B609" s="900"/>
      <c r="C609" s="900"/>
      <c r="D609" s="900"/>
      <c r="E609" s="900"/>
      <c r="F609" s="900"/>
      <c r="G609" s="900"/>
      <c r="H609" s="900"/>
      <c r="I609" s="905"/>
      <c r="J609" s="905"/>
      <c r="K609" s="906"/>
      <c r="L609" s="900"/>
      <c r="M609" s="900"/>
      <c r="N609" s="900"/>
      <c r="O609" s="900"/>
      <c r="P609" s="900"/>
      <c r="Q609" s="900"/>
      <c r="R609" s="900"/>
      <c r="S609" s="900"/>
      <c r="T609" s="900"/>
      <c r="U609" s="900"/>
      <c r="V609" s="900"/>
      <c r="W609" s="900"/>
      <c r="X609" s="900"/>
      <c r="Y609" s="900"/>
      <c r="Z609" s="900"/>
      <c r="AA609" s="900"/>
      <c r="AB609" s="900"/>
    </row>
    <row r="610">
      <c r="A610" s="900"/>
      <c r="B610" s="900"/>
      <c r="C610" s="900"/>
      <c r="D610" s="900"/>
      <c r="E610" s="900"/>
      <c r="F610" s="900"/>
      <c r="G610" s="900"/>
      <c r="H610" s="900"/>
      <c r="I610" s="905"/>
      <c r="J610" s="905"/>
      <c r="K610" s="906"/>
      <c r="L610" s="900"/>
      <c r="M610" s="900"/>
      <c r="N610" s="900"/>
      <c r="O610" s="900"/>
      <c r="P610" s="900"/>
      <c r="Q610" s="900"/>
      <c r="R610" s="900"/>
      <c r="S610" s="900"/>
      <c r="T610" s="900"/>
      <c r="U610" s="900"/>
      <c r="V610" s="900"/>
      <c r="W610" s="900"/>
      <c r="X610" s="900"/>
      <c r="Y610" s="900"/>
      <c r="Z610" s="900"/>
      <c r="AA610" s="900"/>
      <c r="AB610" s="900"/>
    </row>
    <row r="611">
      <c r="A611" s="900"/>
      <c r="B611" s="900"/>
      <c r="C611" s="900"/>
      <c r="D611" s="900"/>
      <c r="E611" s="900"/>
      <c r="F611" s="900"/>
      <c r="G611" s="900"/>
      <c r="H611" s="900"/>
      <c r="I611" s="905"/>
      <c r="J611" s="905"/>
      <c r="K611" s="906"/>
      <c r="L611" s="900"/>
      <c r="M611" s="900"/>
      <c r="N611" s="900"/>
      <c r="O611" s="900"/>
      <c r="P611" s="900"/>
      <c r="Q611" s="900"/>
      <c r="R611" s="900"/>
      <c r="S611" s="900"/>
      <c r="T611" s="900"/>
      <c r="U611" s="900"/>
      <c r="V611" s="900"/>
      <c r="W611" s="900"/>
      <c r="X611" s="900"/>
      <c r="Y611" s="900"/>
      <c r="Z611" s="900"/>
      <c r="AA611" s="900"/>
      <c r="AB611" s="900"/>
    </row>
    <row r="612">
      <c r="A612" s="900"/>
      <c r="B612" s="900"/>
      <c r="C612" s="900"/>
      <c r="D612" s="900"/>
      <c r="E612" s="900"/>
      <c r="F612" s="900"/>
      <c r="G612" s="900"/>
      <c r="H612" s="900"/>
      <c r="I612" s="905"/>
      <c r="J612" s="905"/>
      <c r="K612" s="906"/>
      <c r="L612" s="900"/>
      <c r="M612" s="900"/>
      <c r="N612" s="900"/>
      <c r="O612" s="900"/>
      <c r="P612" s="900"/>
      <c r="Q612" s="900"/>
      <c r="R612" s="900"/>
      <c r="S612" s="900"/>
      <c r="T612" s="900"/>
      <c r="U612" s="900"/>
      <c r="V612" s="900"/>
      <c r="W612" s="900"/>
      <c r="X612" s="900"/>
      <c r="Y612" s="900"/>
      <c r="Z612" s="900"/>
      <c r="AA612" s="900"/>
      <c r="AB612" s="900"/>
    </row>
    <row r="613">
      <c r="A613" s="900"/>
      <c r="B613" s="900"/>
      <c r="C613" s="900"/>
      <c r="D613" s="900"/>
      <c r="E613" s="900"/>
      <c r="F613" s="900"/>
      <c r="G613" s="900"/>
      <c r="H613" s="900"/>
      <c r="I613" s="905"/>
      <c r="J613" s="905"/>
      <c r="K613" s="906"/>
      <c r="L613" s="900"/>
      <c r="M613" s="900"/>
      <c r="N613" s="900"/>
      <c r="O613" s="900"/>
      <c r="P613" s="900"/>
      <c r="Q613" s="900"/>
      <c r="R613" s="900"/>
      <c r="S613" s="900"/>
      <c r="T613" s="900"/>
      <c r="U613" s="900"/>
      <c r="V613" s="900"/>
      <c r="W613" s="900"/>
      <c r="X613" s="900"/>
      <c r="Y613" s="900"/>
      <c r="Z613" s="900"/>
      <c r="AA613" s="900"/>
      <c r="AB613" s="900"/>
    </row>
    <row r="614">
      <c r="A614" s="900"/>
      <c r="B614" s="900"/>
      <c r="C614" s="900"/>
      <c r="D614" s="900"/>
      <c r="E614" s="900"/>
      <c r="F614" s="900"/>
      <c r="G614" s="900"/>
      <c r="H614" s="900"/>
      <c r="I614" s="905"/>
      <c r="J614" s="905"/>
      <c r="K614" s="906"/>
      <c r="L614" s="900"/>
      <c r="M614" s="900"/>
      <c r="N614" s="900"/>
      <c r="O614" s="900"/>
      <c r="P614" s="900"/>
      <c r="Q614" s="900"/>
      <c r="R614" s="900"/>
      <c r="S614" s="900"/>
      <c r="T614" s="900"/>
      <c r="U614" s="900"/>
      <c r="V614" s="900"/>
      <c r="W614" s="900"/>
      <c r="X614" s="900"/>
      <c r="Y614" s="900"/>
      <c r="Z614" s="900"/>
      <c r="AA614" s="900"/>
      <c r="AB614" s="900"/>
    </row>
    <row r="615">
      <c r="A615" s="900"/>
      <c r="B615" s="900"/>
      <c r="C615" s="900"/>
      <c r="D615" s="900"/>
      <c r="E615" s="900"/>
      <c r="F615" s="900"/>
      <c r="G615" s="900"/>
      <c r="H615" s="900"/>
      <c r="I615" s="905"/>
      <c r="J615" s="905"/>
      <c r="K615" s="906"/>
      <c r="L615" s="900"/>
      <c r="M615" s="900"/>
      <c r="N615" s="900"/>
      <c r="O615" s="900"/>
      <c r="P615" s="900"/>
      <c r="Q615" s="900"/>
      <c r="R615" s="900"/>
      <c r="S615" s="900"/>
      <c r="T615" s="900"/>
      <c r="U615" s="900"/>
      <c r="V615" s="900"/>
      <c r="W615" s="900"/>
      <c r="X615" s="900"/>
      <c r="Y615" s="900"/>
      <c r="Z615" s="900"/>
      <c r="AA615" s="900"/>
      <c r="AB615" s="900"/>
    </row>
    <row r="616">
      <c r="A616" s="900"/>
      <c r="B616" s="900"/>
      <c r="C616" s="900"/>
      <c r="D616" s="900"/>
      <c r="E616" s="900"/>
      <c r="F616" s="900"/>
      <c r="G616" s="900"/>
      <c r="H616" s="900"/>
      <c r="I616" s="905"/>
      <c r="J616" s="905"/>
      <c r="K616" s="906"/>
      <c r="L616" s="900"/>
      <c r="M616" s="900"/>
      <c r="N616" s="900"/>
      <c r="O616" s="900"/>
      <c r="P616" s="900"/>
      <c r="Q616" s="900"/>
      <c r="R616" s="900"/>
      <c r="S616" s="900"/>
      <c r="T616" s="900"/>
      <c r="U616" s="900"/>
      <c r="V616" s="900"/>
      <c r="W616" s="900"/>
      <c r="X616" s="900"/>
      <c r="Y616" s="900"/>
      <c r="Z616" s="900"/>
      <c r="AA616" s="900"/>
      <c r="AB616" s="900"/>
    </row>
    <row r="617">
      <c r="A617" s="900"/>
      <c r="B617" s="900"/>
      <c r="C617" s="900"/>
      <c r="D617" s="900"/>
      <c r="E617" s="900"/>
      <c r="F617" s="900"/>
      <c r="G617" s="900"/>
      <c r="H617" s="900"/>
      <c r="I617" s="905"/>
      <c r="J617" s="905"/>
      <c r="K617" s="906"/>
      <c r="L617" s="900"/>
      <c r="M617" s="900"/>
      <c r="N617" s="900"/>
      <c r="O617" s="900"/>
      <c r="P617" s="900"/>
      <c r="Q617" s="900"/>
      <c r="R617" s="900"/>
      <c r="S617" s="900"/>
      <c r="T617" s="900"/>
      <c r="U617" s="900"/>
      <c r="V617" s="900"/>
      <c r="W617" s="900"/>
      <c r="X617" s="900"/>
      <c r="Y617" s="900"/>
      <c r="Z617" s="900"/>
      <c r="AA617" s="900"/>
      <c r="AB617" s="900"/>
    </row>
    <row r="618">
      <c r="A618" s="900"/>
      <c r="B618" s="900"/>
      <c r="C618" s="900"/>
      <c r="D618" s="900"/>
      <c r="E618" s="900"/>
      <c r="F618" s="900"/>
      <c r="G618" s="900"/>
      <c r="H618" s="900"/>
      <c r="I618" s="905"/>
      <c r="J618" s="905"/>
      <c r="K618" s="906"/>
      <c r="L618" s="900"/>
      <c r="M618" s="900"/>
      <c r="N618" s="900"/>
      <c r="O618" s="900"/>
      <c r="P618" s="900"/>
      <c r="Q618" s="900"/>
      <c r="R618" s="900"/>
      <c r="S618" s="900"/>
      <c r="T618" s="900"/>
      <c r="U618" s="900"/>
      <c r="V618" s="900"/>
      <c r="W618" s="900"/>
      <c r="X618" s="900"/>
      <c r="Y618" s="900"/>
      <c r="Z618" s="900"/>
      <c r="AA618" s="900"/>
      <c r="AB618" s="900"/>
    </row>
    <row r="619">
      <c r="A619" s="900"/>
      <c r="B619" s="900"/>
      <c r="C619" s="900"/>
      <c r="D619" s="900"/>
      <c r="E619" s="900"/>
      <c r="F619" s="900"/>
      <c r="G619" s="900"/>
      <c r="H619" s="900"/>
      <c r="I619" s="905"/>
      <c r="J619" s="905"/>
      <c r="K619" s="906"/>
      <c r="L619" s="900"/>
      <c r="M619" s="900"/>
      <c r="N619" s="900"/>
      <c r="O619" s="900"/>
      <c r="P619" s="900"/>
      <c r="Q619" s="900"/>
      <c r="R619" s="900"/>
      <c r="S619" s="900"/>
      <c r="T619" s="900"/>
      <c r="U619" s="900"/>
      <c r="V619" s="900"/>
      <c r="W619" s="900"/>
      <c r="X619" s="900"/>
      <c r="Y619" s="900"/>
      <c r="Z619" s="900"/>
      <c r="AA619" s="900"/>
      <c r="AB619" s="900"/>
    </row>
    <row r="620">
      <c r="A620" s="900"/>
      <c r="B620" s="900"/>
      <c r="C620" s="900"/>
      <c r="D620" s="900"/>
      <c r="E620" s="900"/>
      <c r="F620" s="900"/>
      <c r="G620" s="900"/>
      <c r="H620" s="900"/>
      <c r="I620" s="905"/>
      <c r="J620" s="905"/>
      <c r="K620" s="906"/>
      <c r="L620" s="900"/>
      <c r="M620" s="900"/>
      <c r="N620" s="900"/>
      <c r="O620" s="900"/>
      <c r="P620" s="900"/>
      <c r="Q620" s="900"/>
      <c r="R620" s="900"/>
      <c r="S620" s="900"/>
      <c r="T620" s="900"/>
      <c r="U620" s="900"/>
      <c r="V620" s="900"/>
      <c r="W620" s="900"/>
      <c r="X620" s="900"/>
      <c r="Y620" s="900"/>
      <c r="Z620" s="900"/>
      <c r="AA620" s="900"/>
      <c r="AB620" s="900"/>
    </row>
    <row r="621">
      <c r="A621" s="900"/>
      <c r="B621" s="900"/>
      <c r="C621" s="900"/>
      <c r="D621" s="900"/>
      <c r="E621" s="900"/>
      <c r="F621" s="900"/>
      <c r="G621" s="900"/>
      <c r="H621" s="900"/>
      <c r="I621" s="905"/>
      <c r="J621" s="905"/>
      <c r="K621" s="906"/>
      <c r="L621" s="900"/>
      <c r="M621" s="900"/>
      <c r="N621" s="900"/>
      <c r="O621" s="900"/>
      <c r="P621" s="900"/>
      <c r="Q621" s="900"/>
      <c r="R621" s="900"/>
      <c r="S621" s="900"/>
      <c r="T621" s="900"/>
      <c r="U621" s="900"/>
      <c r="V621" s="900"/>
      <c r="W621" s="900"/>
      <c r="X621" s="900"/>
      <c r="Y621" s="900"/>
      <c r="Z621" s="900"/>
      <c r="AA621" s="900"/>
      <c r="AB621" s="900"/>
    </row>
    <row r="622">
      <c r="A622" s="900"/>
      <c r="B622" s="900"/>
      <c r="C622" s="900"/>
      <c r="D622" s="900"/>
      <c r="E622" s="900"/>
      <c r="F622" s="900"/>
      <c r="G622" s="900"/>
      <c r="H622" s="900"/>
      <c r="I622" s="905"/>
      <c r="J622" s="905"/>
      <c r="K622" s="906"/>
      <c r="L622" s="900"/>
      <c r="M622" s="900"/>
      <c r="N622" s="900"/>
      <c r="O622" s="900"/>
      <c r="P622" s="900"/>
      <c r="Q622" s="900"/>
      <c r="R622" s="900"/>
      <c r="S622" s="900"/>
      <c r="T622" s="900"/>
      <c r="U622" s="900"/>
      <c r="V622" s="900"/>
      <c r="W622" s="900"/>
      <c r="X622" s="900"/>
      <c r="Y622" s="900"/>
      <c r="Z622" s="900"/>
      <c r="AA622" s="900"/>
      <c r="AB622" s="900"/>
    </row>
    <row r="623">
      <c r="A623" s="900"/>
      <c r="B623" s="900"/>
      <c r="C623" s="900"/>
      <c r="D623" s="900"/>
      <c r="E623" s="900"/>
      <c r="F623" s="900"/>
      <c r="G623" s="900"/>
      <c r="H623" s="900"/>
      <c r="I623" s="905"/>
      <c r="J623" s="905"/>
      <c r="K623" s="906"/>
      <c r="L623" s="900"/>
      <c r="M623" s="900"/>
      <c r="N623" s="900"/>
      <c r="O623" s="900"/>
      <c r="P623" s="900"/>
      <c r="Q623" s="900"/>
      <c r="R623" s="900"/>
      <c r="S623" s="900"/>
      <c r="T623" s="900"/>
      <c r="U623" s="900"/>
      <c r="V623" s="900"/>
      <c r="W623" s="900"/>
      <c r="X623" s="900"/>
      <c r="Y623" s="900"/>
      <c r="Z623" s="900"/>
      <c r="AA623" s="900"/>
      <c r="AB623" s="900"/>
    </row>
    <row r="624">
      <c r="A624" s="900"/>
      <c r="B624" s="900"/>
      <c r="C624" s="900"/>
      <c r="D624" s="900"/>
      <c r="E624" s="900"/>
      <c r="F624" s="900"/>
      <c r="G624" s="900"/>
      <c r="H624" s="900"/>
      <c r="I624" s="905"/>
      <c r="J624" s="905"/>
      <c r="K624" s="906"/>
      <c r="L624" s="900"/>
      <c r="M624" s="900"/>
      <c r="N624" s="900"/>
      <c r="O624" s="900"/>
      <c r="P624" s="900"/>
      <c r="Q624" s="900"/>
      <c r="R624" s="900"/>
      <c r="S624" s="900"/>
      <c r="T624" s="900"/>
      <c r="U624" s="900"/>
      <c r="V624" s="900"/>
      <c r="W624" s="900"/>
      <c r="X624" s="900"/>
      <c r="Y624" s="900"/>
      <c r="Z624" s="900"/>
      <c r="AA624" s="900"/>
      <c r="AB624" s="900"/>
    </row>
    <row r="625">
      <c r="A625" s="900"/>
      <c r="B625" s="900"/>
      <c r="C625" s="900"/>
      <c r="D625" s="900"/>
      <c r="E625" s="900"/>
      <c r="F625" s="900"/>
      <c r="G625" s="900"/>
      <c r="H625" s="900"/>
      <c r="I625" s="905"/>
      <c r="J625" s="905"/>
      <c r="K625" s="906"/>
      <c r="L625" s="900"/>
      <c r="M625" s="900"/>
      <c r="N625" s="900"/>
      <c r="O625" s="900"/>
      <c r="P625" s="900"/>
      <c r="Q625" s="900"/>
      <c r="R625" s="900"/>
      <c r="S625" s="900"/>
      <c r="T625" s="900"/>
      <c r="U625" s="900"/>
      <c r="V625" s="900"/>
      <c r="W625" s="900"/>
      <c r="X625" s="900"/>
      <c r="Y625" s="900"/>
      <c r="Z625" s="900"/>
      <c r="AA625" s="900"/>
      <c r="AB625" s="900"/>
    </row>
    <row r="626">
      <c r="A626" s="900"/>
      <c r="B626" s="900"/>
      <c r="C626" s="900"/>
      <c r="D626" s="900"/>
      <c r="E626" s="900"/>
      <c r="F626" s="900"/>
      <c r="G626" s="900"/>
      <c r="H626" s="900"/>
      <c r="I626" s="905"/>
      <c r="J626" s="905"/>
      <c r="K626" s="906"/>
      <c r="L626" s="900"/>
      <c r="M626" s="900"/>
      <c r="N626" s="900"/>
      <c r="O626" s="900"/>
      <c r="P626" s="900"/>
      <c r="Q626" s="900"/>
      <c r="R626" s="900"/>
      <c r="S626" s="900"/>
      <c r="T626" s="900"/>
      <c r="U626" s="900"/>
      <c r="V626" s="900"/>
      <c r="W626" s="900"/>
      <c r="X626" s="900"/>
      <c r="Y626" s="900"/>
      <c r="Z626" s="900"/>
      <c r="AA626" s="900"/>
      <c r="AB626" s="900"/>
    </row>
    <row r="627">
      <c r="A627" s="900"/>
      <c r="B627" s="900"/>
      <c r="C627" s="900"/>
      <c r="D627" s="900"/>
      <c r="E627" s="900"/>
      <c r="F627" s="900"/>
      <c r="G627" s="900"/>
      <c r="H627" s="900"/>
      <c r="I627" s="905"/>
      <c r="J627" s="905"/>
      <c r="K627" s="906"/>
      <c r="L627" s="900"/>
      <c r="M627" s="900"/>
      <c r="N627" s="900"/>
      <c r="O627" s="900"/>
      <c r="P627" s="900"/>
      <c r="Q627" s="900"/>
      <c r="R627" s="900"/>
      <c r="S627" s="900"/>
      <c r="T627" s="900"/>
      <c r="U627" s="900"/>
      <c r="V627" s="900"/>
      <c r="W627" s="900"/>
      <c r="X627" s="900"/>
      <c r="Y627" s="900"/>
      <c r="Z627" s="900"/>
      <c r="AA627" s="900"/>
      <c r="AB627" s="900"/>
    </row>
    <row r="628">
      <c r="A628" s="900"/>
      <c r="B628" s="900"/>
      <c r="C628" s="900"/>
      <c r="D628" s="900"/>
      <c r="E628" s="900"/>
      <c r="F628" s="900"/>
      <c r="G628" s="900"/>
      <c r="H628" s="900"/>
      <c r="I628" s="905"/>
      <c r="J628" s="905"/>
      <c r="K628" s="906"/>
      <c r="L628" s="900"/>
      <c r="M628" s="900"/>
      <c r="N628" s="900"/>
      <c r="O628" s="900"/>
      <c r="P628" s="900"/>
      <c r="Q628" s="900"/>
      <c r="R628" s="900"/>
      <c r="S628" s="900"/>
      <c r="T628" s="900"/>
      <c r="U628" s="900"/>
      <c r="V628" s="900"/>
      <c r="W628" s="900"/>
      <c r="X628" s="900"/>
      <c r="Y628" s="900"/>
      <c r="Z628" s="900"/>
      <c r="AA628" s="900"/>
      <c r="AB628" s="900"/>
    </row>
    <row r="629">
      <c r="A629" s="900"/>
      <c r="B629" s="900"/>
      <c r="C629" s="900"/>
      <c r="D629" s="900"/>
      <c r="E629" s="900"/>
      <c r="F629" s="900"/>
      <c r="G629" s="900"/>
      <c r="H629" s="900"/>
      <c r="I629" s="905"/>
      <c r="J629" s="905"/>
      <c r="K629" s="906"/>
      <c r="L629" s="900"/>
      <c r="M629" s="900"/>
      <c r="N629" s="900"/>
      <c r="O629" s="900"/>
      <c r="P629" s="900"/>
      <c r="Q629" s="900"/>
      <c r="R629" s="900"/>
      <c r="S629" s="900"/>
      <c r="T629" s="900"/>
      <c r="U629" s="900"/>
      <c r="V629" s="900"/>
      <c r="W629" s="900"/>
      <c r="X629" s="900"/>
      <c r="Y629" s="900"/>
      <c r="Z629" s="900"/>
      <c r="AA629" s="900"/>
      <c r="AB629" s="900"/>
    </row>
    <row r="630">
      <c r="A630" s="900"/>
      <c r="B630" s="900"/>
      <c r="C630" s="900"/>
      <c r="D630" s="900"/>
      <c r="E630" s="900"/>
      <c r="F630" s="900"/>
      <c r="G630" s="900"/>
      <c r="H630" s="900"/>
      <c r="I630" s="905"/>
      <c r="J630" s="905"/>
      <c r="K630" s="906"/>
      <c r="L630" s="900"/>
      <c r="M630" s="900"/>
      <c r="N630" s="900"/>
      <c r="O630" s="900"/>
      <c r="P630" s="900"/>
      <c r="Q630" s="900"/>
      <c r="R630" s="900"/>
      <c r="S630" s="900"/>
      <c r="T630" s="900"/>
      <c r="U630" s="900"/>
      <c r="V630" s="900"/>
      <c r="W630" s="900"/>
      <c r="X630" s="900"/>
      <c r="Y630" s="900"/>
      <c r="Z630" s="900"/>
      <c r="AA630" s="900"/>
      <c r="AB630" s="900"/>
    </row>
    <row r="631">
      <c r="A631" s="900"/>
      <c r="B631" s="900"/>
      <c r="C631" s="900"/>
      <c r="D631" s="900"/>
      <c r="E631" s="900"/>
      <c r="F631" s="900"/>
      <c r="G631" s="900"/>
      <c r="H631" s="900"/>
      <c r="I631" s="905"/>
      <c r="J631" s="905"/>
      <c r="K631" s="906"/>
      <c r="L631" s="900"/>
      <c r="M631" s="900"/>
      <c r="N631" s="900"/>
      <c r="O631" s="900"/>
      <c r="P631" s="900"/>
      <c r="Q631" s="900"/>
      <c r="R631" s="900"/>
      <c r="S631" s="900"/>
      <c r="T631" s="900"/>
      <c r="U631" s="900"/>
      <c r="V631" s="900"/>
      <c r="W631" s="900"/>
      <c r="X631" s="900"/>
      <c r="Y631" s="900"/>
      <c r="Z631" s="900"/>
      <c r="AA631" s="900"/>
      <c r="AB631" s="900"/>
    </row>
    <row r="632">
      <c r="A632" s="900"/>
      <c r="B632" s="900"/>
      <c r="C632" s="900"/>
      <c r="D632" s="900"/>
      <c r="E632" s="900"/>
      <c r="F632" s="900"/>
      <c r="G632" s="900"/>
      <c r="H632" s="900"/>
      <c r="I632" s="905"/>
      <c r="J632" s="905"/>
      <c r="K632" s="906"/>
      <c r="L632" s="900"/>
      <c r="M632" s="900"/>
      <c r="N632" s="900"/>
      <c r="O632" s="900"/>
      <c r="P632" s="900"/>
      <c r="Q632" s="900"/>
      <c r="R632" s="900"/>
      <c r="S632" s="900"/>
      <c r="T632" s="900"/>
      <c r="U632" s="900"/>
      <c r="V632" s="900"/>
      <c r="W632" s="900"/>
      <c r="X632" s="900"/>
      <c r="Y632" s="900"/>
      <c r="Z632" s="900"/>
      <c r="AA632" s="900"/>
      <c r="AB632" s="900"/>
    </row>
    <row r="633">
      <c r="A633" s="900"/>
      <c r="B633" s="900"/>
      <c r="C633" s="900"/>
      <c r="D633" s="900"/>
      <c r="E633" s="900"/>
      <c r="F633" s="900"/>
      <c r="G633" s="900"/>
      <c r="H633" s="900"/>
      <c r="I633" s="905"/>
      <c r="J633" s="905"/>
      <c r="K633" s="906"/>
      <c r="L633" s="900"/>
      <c r="M633" s="900"/>
      <c r="N633" s="900"/>
      <c r="O633" s="900"/>
      <c r="P633" s="900"/>
      <c r="Q633" s="900"/>
      <c r="R633" s="900"/>
      <c r="S633" s="900"/>
      <c r="T633" s="900"/>
      <c r="U633" s="900"/>
      <c r="V633" s="900"/>
      <c r="W633" s="900"/>
      <c r="X633" s="900"/>
      <c r="Y633" s="900"/>
      <c r="Z633" s="900"/>
      <c r="AA633" s="900"/>
      <c r="AB633" s="900"/>
    </row>
    <row r="634">
      <c r="A634" s="900"/>
      <c r="B634" s="900"/>
      <c r="C634" s="900"/>
      <c r="D634" s="900"/>
      <c r="E634" s="900"/>
      <c r="F634" s="900"/>
      <c r="G634" s="900"/>
      <c r="H634" s="900"/>
      <c r="I634" s="905"/>
      <c r="J634" s="905"/>
      <c r="K634" s="906"/>
      <c r="L634" s="900"/>
      <c r="M634" s="900"/>
      <c r="N634" s="900"/>
      <c r="O634" s="900"/>
      <c r="P634" s="900"/>
      <c r="Q634" s="900"/>
      <c r="R634" s="900"/>
      <c r="S634" s="900"/>
      <c r="T634" s="900"/>
      <c r="U634" s="900"/>
      <c r="V634" s="900"/>
      <c r="W634" s="900"/>
      <c r="X634" s="900"/>
      <c r="Y634" s="900"/>
      <c r="Z634" s="900"/>
      <c r="AA634" s="900"/>
      <c r="AB634" s="900"/>
    </row>
    <row r="635">
      <c r="A635" s="900"/>
      <c r="B635" s="900"/>
      <c r="C635" s="900"/>
      <c r="D635" s="900"/>
      <c r="E635" s="900"/>
      <c r="F635" s="900"/>
      <c r="G635" s="900"/>
      <c r="H635" s="900"/>
      <c r="I635" s="905"/>
      <c r="J635" s="905"/>
      <c r="K635" s="906"/>
      <c r="L635" s="900"/>
      <c r="M635" s="900"/>
      <c r="N635" s="900"/>
      <c r="O635" s="900"/>
      <c r="P635" s="900"/>
      <c r="Q635" s="900"/>
      <c r="R635" s="900"/>
      <c r="S635" s="900"/>
      <c r="T635" s="900"/>
      <c r="U635" s="900"/>
      <c r="V635" s="900"/>
      <c r="W635" s="900"/>
      <c r="X635" s="900"/>
      <c r="Y635" s="900"/>
      <c r="Z635" s="900"/>
      <c r="AA635" s="900"/>
      <c r="AB635" s="900"/>
    </row>
    <row r="636">
      <c r="A636" s="900"/>
      <c r="B636" s="900"/>
      <c r="C636" s="900"/>
      <c r="D636" s="900"/>
      <c r="E636" s="900"/>
      <c r="F636" s="900"/>
      <c r="G636" s="900"/>
      <c r="H636" s="900"/>
      <c r="I636" s="905"/>
      <c r="J636" s="905"/>
      <c r="K636" s="906"/>
      <c r="L636" s="900"/>
      <c r="M636" s="900"/>
      <c r="N636" s="900"/>
      <c r="O636" s="900"/>
      <c r="P636" s="900"/>
      <c r="Q636" s="900"/>
      <c r="R636" s="900"/>
      <c r="S636" s="900"/>
      <c r="T636" s="900"/>
      <c r="U636" s="900"/>
      <c r="V636" s="900"/>
      <c r="W636" s="900"/>
      <c r="X636" s="900"/>
      <c r="Y636" s="900"/>
      <c r="Z636" s="900"/>
      <c r="AA636" s="900"/>
      <c r="AB636" s="900"/>
    </row>
    <row r="637">
      <c r="A637" s="900"/>
      <c r="B637" s="900"/>
      <c r="C637" s="900"/>
      <c r="D637" s="900"/>
      <c r="E637" s="900"/>
      <c r="F637" s="900"/>
      <c r="G637" s="900"/>
      <c r="H637" s="900"/>
      <c r="I637" s="905"/>
      <c r="J637" s="905"/>
      <c r="K637" s="906"/>
      <c r="L637" s="900"/>
      <c r="M637" s="900"/>
      <c r="N637" s="900"/>
      <c r="O637" s="900"/>
      <c r="P637" s="900"/>
      <c r="Q637" s="900"/>
      <c r="R637" s="900"/>
      <c r="S637" s="900"/>
      <c r="T637" s="900"/>
      <c r="U637" s="900"/>
      <c r="V637" s="900"/>
      <c r="W637" s="900"/>
      <c r="X637" s="900"/>
      <c r="Y637" s="900"/>
      <c r="Z637" s="900"/>
      <c r="AA637" s="900"/>
      <c r="AB637" s="900"/>
    </row>
    <row r="638">
      <c r="A638" s="900"/>
      <c r="B638" s="900"/>
      <c r="C638" s="900"/>
      <c r="D638" s="900"/>
      <c r="E638" s="900"/>
      <c r="F638" s="900"/>
      <c r="G638" s="900"/>
      <c r="H638" s="900"/>
      <c r="I638" s="905"/>
      <c r="J638" s="905"/>
      <c r="K638" s="906"/>
      <c r="L638" s="900"/>
      <c r="M638" s="900"/>
      <c r="N638" s="900"/>
      <c r="O638" s="900"/>
      <c r="P638" s="900"/>
      <c r="Q638" s="900"/>
      <c r="R638" s="900"/>
      <c r="S638" s="900"/>
      <c r="T638" s="900"/>
      <c r="U638" s="900"/>
      <c r="V638" s="900"/>
      <c r="W638" s="900"/>
      <c r="X638" s="900"/>
      <c r="Y638" s="900"/>
      <c r="Z638" s="900"/>
      <c r="AA638" s="900"/>
      <c r="AB638" s="900"/>
    </row>
    <row r="639">
      <c r="A639" s="900"/>
      <c r="B639" s="900"/>
      <c r="C639" s="900"/>
      <c r="D639" s="900"/>
      <c r="E639" s="900"/>
      <c r="F639" s="900"/>
      <c r="G639" s="900"/>
      <c r="H639" s="900"/>
      <c r="I639" s="905"/>
      <c r="J639" s="905"/>
      <c r="K639" s="906"/>
      <c r="L639" s="900"/>
      <c r="M639" s="900"/>
      <c r="N639" s="900"/>
      <c r="O639" s="900"/>
      <c r="P639" s="900"/>
      <c r="Q639" s="900"/>
      <c r="R639" s="900"/>
      <c r="S639" s="900"/>
      <c r="T639" s="900"/>
      <c r="U639" s="900"/>
      <c r="V639" s="900"/>
      <c r="W639" s="900"/>
      <c r="X639" s="900"/>
      <c r="Y639" s="900"/>
      <c r="Z639" s="900"/>
      <c r="AA639" s="900"/>
      <c r="AB639" s="900"/>
    </row>
    <row r="640">
      <c r="A640" s="900"/>
      <c r="B640" s="900"/>
      <c r="C640" s="900"/>
      <c r="D640" s="900"/>
      <c r="E640" s="900"/>
      <c r="F640" s="900"/>
      <c r="G640" s="900"/>
      <c r="H640" s="900"/>
      <c r="I640" s="905"/>
      <c r="J640" s="905"/>
      <c r="K640" s="906"/>
      <c r="L640" s="900"/>
      <c r="M640" s="900"/>
      <c r="N640" s="900"/>
      <c r="O640" s="900"/>
      <c r="P640" s="900"/>
      <c r="Q640" s="900"/>
      <c r="R640" s="900"/>
      <c r="S640" s="900"/>
      <c r="T640" s="900"/>
      <c r="U640" s="900"/>
      <c r="V640" s="900"/>
      <c r="W640" s="900"/>
      <c r="X640" s="900"/>
      <c r="Y640" s="900"/>
      <c r="Z640" s="900"/>
      <c r="AA640" s="900"/>
      <c r="AB640" s="900"/>
    </row>
    <row r="641">
      <c r="A641" s="900"/>
      <c r="B641" s="900"/>
      <c r="C641" s="900"/>
      <c r="D641" s="900"/>
      <c r="E641" s="900"/>
      <c r="F641" s="900"/>
      <c r="G641" s="900"/>
      <c r="H641" s="900"/>
      <c r="I641" s="905"/>
      <c r="J641" s="905"/>
      <c r="K641" s="906"/>
      <c r="L641" s="900"/>
      <c r="M641" s="900"/>
      <c r="N641" s="900"/>
      <c r="O641" s="900"/>
      <c r="P641" s="900"/>
      <c r="Q641" s="900"/>
      <c r="R641" s="900"/>
      <c r="S641" s="900"/>
      <c r="T641" s="900"/>
      <c r="U641" s="900"/>
      <c r="V641" s="900"/>
      <c r="W641" s="900"/>
      <c r="X641" s="900"/>
      <c r="Y641" s="900"/>
      <c r="Z641" s="900"/>
      <c r="AA641" s="900"/>
      <c r="AB641" s="900"/>
    </row>
    <row r="642">
      <c r="A642" s="900"/>
      <c r="B642" s="900"/>
      <c r="C642" s="900"/>
      <c r="D642" s="900"/>
      <c r="E642" s="900"/>
      <c r="F642" s="900"/>
      <c r="G642" s="900"/>
      <c r="H642" s="900"/>
      <c r="I642" s="905"/>
      <c r="J642" s="905"/>
      <c r="K642" s="906"/>
      <c r="L642" s="900"/>
      <c r="M642" s="900"/>
      <c r="N642" s="900"/>
      <c r="O642" s="900"/>
      <c r="P642" s="900"/>
      <c r="Q642" s="900"/>
      <c r="R642" s="900"/>
      <c r="S642" s="900"/>
      <c r="T642" s="900"/>
      <c r="U642" s="900"/>
      <c r="V642" s="900"/>
      <c r="W642" s="900"/>
      <c r="X642" s="900"/>
      <c r="Y642" s="900"/>
      <c r="Z642" s="900"/>
      <c r="AA642" s="900"/>
      <c r="AB642" s="900"/>
    </row>
    <row r="643">
      <c r="A643" s="900"/>
      <c r="B643" s="900"/>
      <c r="C643" s="900"/>
      <c r="D643" s="900"/>
      <c r="E643" s="900"/>
      <c r="F643" s="900"/>
      <c r="G643" s="900"/>
      <c r="H643" s="900"/>
      <c r="I643" s="905"/>
      <c r="J643" s="905"/>
      <c r="K643" s="906"/>
      <c r="L643" s="900"/>
      <c r="M643" s="900"/>
      <c r="N643" s="900"/>
      <c r="O643" s="900"/>
      <c r="P643" s="900"/>
      <c r="Q643" s="900"/>
      <c r="R643" s="900"/>
      <c r="S643" s="900"/>
      <c r="T643" s="900"/>
      <c r="U643" s="900"/>
      <c r="V643" s="900"/>
      <c r="W643" s="900"/>
      <c r="X643" s="900"/>
      <c r="Y643" s="900"/>
      <c r="Z643" s="900"/>
      <c r="AA643" s="900"/>
      <c r="AB643" s="900"/>
    </row>
    <row r="644">
      <c r="A644" s="900"/>
      <c r="B644" s="900"/>
      <c r="C644" s="900"/>
      <c r="D644" s="900"/>
      <c r="E644" s="900"/>
      <c r="F644" s="900"/>
      <c r="G644" s="900"/>
      <c r="H644" s="900"/>
      <c r="I644" s="905"/>
      <c r="J644" s="905"/>
      <c r="K644" s="906"/>
      <c r="L644" s="900"/>
      <c r="M644" s="900"/>
      <c r="N644" s="900"/>
      <c r="O644" s="900"/>
      <c r="P644" s="900"/>
      <c r="Q644" s="900"/>
      <c r="R644" s="900"/>
      <c r="S644" s="900"/>
      <c r="T644" s="900"/>
      <c r="U644" s="900"/>
      <c r="V644" s="900"/>
      <c r="W644" s="900"/>
      <c r="X644" s="900"/>
      <c r="Y644" s="900"/>
      <c r="Z644" s="900"/>
      <c r="AA644" s="900"/>
      <c r="AB644" s="900"/>
    </row>
    <row r="645">
      <c r="A645" s="900"/>
      <c r="B645" s="900"/>
      <c r="C645" s="900"/>
      <c r="D645" s="900"/>
      <c r="E645" s="900"/>
      <c r="F645" s="900"/>
      <c r="G645" s="900"/>
      <c r="H645" s="900"/>
      <c r="I645" s="905"/>
      <c r="J645" s="905"/>
      <c r="K645" s="906"/>
      <c r="L645" s="900"/>
      <c r="M645" s="900"/>
      <c r="N645" s="900"/>
      <c r="O645" s="900"/>
      <c r="P645" s="900"/>
      <c r="Q645" s="900"/>
      <c r="R645" s="900"/>
      <c r="S645" s="900"/>
      <c r="T645" s="900"/>
      <c r="U645" s="900"/>
      <c r="V645" s="900"/>
      <c r="W645" s="900"/>
      <c r="X645" s="900"/>
      <c r="Y645" s="900"/>
      <c r="Z645" s="900"/>
      <c r="AA645" s="900"/>
      <c r="AB645" s="900"/>
    </row>
    <row r="646">
      <c r="A646" s="900"/>
      <c r="B646" s="900"/>
      <c r="C646" s="900"/>
      <c r="D646" s="900"/>
      <c r="E646" s="900"/>
      <c r="F646" s="900"/>
      <c r="G646" s="900"/>
      <c r="H646" s="900"/>
      <c r="I646" s="905"/>
      <c r="J646" s="905"/>
      <c r="K646" s="906"/>
      <c r="L646" s="900"/>
      <c r="M646" s="900"/>
      <c r="N646" s="900"/>
      <c r="O646" s="900"/>
      <c r="P646" s="900"/>
      <c r="Q646" s="900"/>
      <c r="R646" s="900"/>
      <c r="S646" s="900"/>
      <c r="T646" s="900"/>
      <c r="U646" s="900"/>
      <c r="V646" s="900"/>
      <c r="W646" s="900"/>
      <c r="X646" s="900"/>
      <c r="Y646" s="900"/>
      <c r="Z646" s="900"/>
      <c r="AA646" s="900"/>
      <c r="AB646" s="900"/>
    </row>
    <row r="647">
      <c r="A647" s="900"/>
      <c r="B647" s="900"/>
      <c r="C647" s="900"/>
      <c r="D647" s="900"/>
      <c r="E647" s="900"/>
      <c r="F647" s="900"/>
      <c r="G647" s="900"/>
      <c r="H647" s="900"/>
      <c r="I647" s="905"/>
      <c r="J647" s="905"/>
      <c r="K647" s="906"/>
      <c r="L647" s="900"/>
      <c r="M647" s="900"/>
      <c r="N647" s="900"/>
      <c r="O647" s="900"/>
      <c r="P647" s="900"/>
      <c r="Q647" s="900"/>
      <c r="R647" s="900"/>
      <c r="S647" s="900"/>
      <c r="T647" s="900"/>
      <c r="U647" s="900"/>
      <c r="V647" s="900"/>
      <c r="W647" s="900"/>
      <c r="X647" s="900"/>
      <c r="Y647" s="900"/>
      <c r="Z647" s="900"/>
      <c r="AA647" s="900"/>
      <c r="AB647" s="900"/>
    </row>
    <row r="648">
      <c r="A648" s="900"/>
      <c r="B648" s="900"/>
      <c r="C648" s="900"/>
      <c r="D648" s="900"/>
      <c r="E648" s="900"/>
      <c r="F648" s="900"/>
      <c r="G648" s="900"/>
      <c r="H648" s="900"/>
      <c r="I648" s="905"/>
      <c r="J648" s="905"/>
      <c r="K648" s="906"/>
      <c r="L648" s="900"/>
      <c r="M648" s="900"/>
      <c r="N648" s="900"/>
      <c r="O648" s="900"/>
      <c r="P648" s="900"/>
      <c r="Q648" s="900"/>
      <c r="R648" s="900"/>
      <c r="S648" s="900"/>
      <c r="T648" s="900"/>
      <c r="U648" s="900"/>
      <c r="V648" s="900"/>
      <c r="W648" s="900"/>
      <c r="X648" s="900"/>
      <c r="Y648" s="900"/>
      <c r="Z648" s="900"/>
      <c r="AA648" s="900"/>
      <c r="AB648" s="900"/>
    </row>
    <row r="649">
      <c r="A649" s="900"/>
      <c r="B649" s="900"/>
      <c r="C649" s="900"/>
      <c r="D649" s="900"/>
      <c r="E649" s="900"/>
      <c r="F649" s="900"/>
      <c r="G649" s="900"/>
      <c r="H649" s="900"/>
      <c r="I649" s="905"/>
      <c r="J649" s="905"/>
      <c r="K649" s="906"/>
      <c r="L649" s="900"/>
      <c r="M649" s="900"/>
      <c r="N649" s="900"/>
      <c r="O649" s="900"/>
      <c r="P649" s="900"/>
      <c r="Q649" s="900"/>
      <c r="R649" s="900"/>
      <c r="S649" s="900"/>
      <c r="T649" s="900"/>
      <c r="U649" s="900"/>
      <c r="V649" s="900"/>
      <c r="W649" s="900"/>
      <c r="X649" s="900"/>
      <c r="Y649" s="900"/>
      <c r="Z649" s="900"/>
      <c r="AA649" s="900"/>
      <c r="AB649" s="900"/>
    </row>
    <row r="650">
      <c r="A650" s="900"/>
      <c r="B650" s="900"/>
      <c r="C650" s="900"/>
      <c r="D650" s="900"/>
      <c r="E650" s="900"/>
      <c r="F650" s="900"/>
      <c r="G650" s="900"/>
      <c r="H650" s="900"/>
      <c r="I650" s="905"/>
      <c r="J650" s="905"/>
      <c r="K650" s="906"/>
      <c r="L650" s="900"/>
      <c r="M650" s="900"/>
      <c r="N650" s="900"/>
      <c r="O650" s="900"/>
      <c r="P650" s="900"/>
      <c r="Q650" s="900"/>
      <c r="R650" s="900"/>
      <c r="S650" s="900"/>
      <c r="T650" s="900"/>
      <c r="U650" s="900"/>
      <c r="V650" s="900"/>
      <c r="W650" s="900"/>
      <c r="X650" s="900"/>
      <c r="Y650" s="900"/>
      <c r="Z650" s="900"/>
      <c r="AA650" s="900"/>
      <c r="AB650" s="900"/>
    </row>
    <row r="651">
      <c r="A651" s="900"/>
      <c r="B651" s="900"/>
      <c r="C651" s="900"/>
      <c r="D651" s="900"/>
      <c r="E651" s="900"/>
      <c r="F651" s="900"/>
      <c r="G651" s="900"/>
      <c r="H651" s="900"/>
      <c r="I651" s="905"/>
      <c r="J651" s="905"/>
      <c r="K651" s="906"/>
      <c r="L651" s="900"/>
      <c r="M651" s="900"/>
      <c r="N651" s="900"/>
      <c r="O651" s="900"/>
      <c r="P651" s="900"/>
      <c r="Q651" s="900"/>
      <c r="R651" s="900"/>
      <c r="S651" s="900"/>
      <c r="T651" s="900"/>
      <c r="U651" s="900"/>
      <c r="V651" s="900"/>
      <c r="W651" s="900"/>
      <c r="X651" s="900"/>
      <c r="Y651" s="900"/>
      <c r="Z651" s="900"/>
      <c r="AA651" s="900"/>
      <c r="AB651" s="900"/>
    </row>
    <row r="652">
      <c r="A652" s="900"/>
      <c r="B652" s="900"/>
      <c r="C652" s="900"/>
      <c r="D652" s="900"/>
      <c r="E652" s="900"/>
      <c r="F652" s="900"/>
      <c r="G652" s="900"/>
      <c r="H652" s="900"/>
      <c r="I652" s="905"/>
      <c r="J652" s="905"/>
      <c r="K652" s="906"/>
      <c r="L652" s="900"/>
      <c r="M652" s="900"/>
      <c r="N652" s="900"/>
      <c r="O652" s="900"/>
      <c r="P652" s="900"/>
      <c r="Q652" s="900"/>
      <c r="R652" s="900"/>
      <c r="S652" s="900"/>
      <c r="T652" s="900"/>
      <c r="U652" s="900"/>
      <c r="V652" s="900"/>
      <c r="W652" s="900"/>
      <c r="X652" s="900"/>
      <c r="Y652" s="900"/>
      <c r="Z652" s="900"/>
      <c r="AA652" s="900"/>
      <c r="AB652" s="900"/>
    </row>
    <row r="653">
      <c r="A653" s="900"/>
      <c r="B653" s="900"/>
      <c r="C653" s="900"/>
      <c r="D653" s="900"/>
      <c r="E653" s="900"/>
      <c r="F653" s="900"/>
      <c r="G653" s="900"/>
      <c r="H653" s="900"/>
      <c r="I653" s="905"/>
      <c r="J653" s="905"/>
      <c r="K653" s="906"/>
      <c r="L653" s="900"/>
      <c r="M653" s="900"/>
      <c r="N653" s="900"/>
      <c r="O653" s="900"/>
      <c r="P653" s="900"/>
      <c r="Q653" s="900"/>
      <c r="R653" s="900"/>
      <c r="S653" s="900"/>
      <c r="T653" s="900"/>
      <c r="U653" s="900"/>
      <c r="V653" s="900"/>
      <c r="W653" s="900"/>
      <c r="X653" s="900"/>
      <c r="Y653" s="900"/>
      <c r="Z653" s="900"/>
      <c r="AA653" s="900"/>
      <c r="AB653" s="900"/>
    </row>
    <row r="654">
      <c r="A654" s="900"/>
      <c r="B654" s="900"/>
      <c r="C654" s="900"/>
      <c r="D654" s="900"/>
      <c r="E654" s="900"/>
      <c r="F654" s="900"/>
      <c r="G654" s="900"/>
      <c r="H654" s="900"/>
      <c r="I654" s="905"/>
      <c r="J654" s="905"/>
      <c r="K654" s="906"/>
      <c r="L654" s="900"/>
      <c r="M654" s="900"/>
      <c r="N654" s="900"/>
      <c r="O654" s="900"/>
      <c r="P654" s="900"/>
      <c r="Q654" s="900"/>
      <c r="R654" s="900"/>
      <c r="S654" s="900"/>
      <c r="T654" s="900"/>
      <c r="U654" s="900"/>
      <c r="V654" s="900"/>
      <c r="W654" s="900"/>
      <c r="X654" s="900"/>
      <c r="Y654" s="900"/>
      <c r="Z654" s="900"/>
      <c r="AA654" s="900"/>
      <c r="AB654" s="900"/>
    </row>
    <row r="655">
      <c r="A655" s="900"/>
      <c r="B655" s="900"/>
      <c r="C655" s="900"/>
      <c r="D655" s="900"/>
      <c r="E655" s="900"/>
      <c r="F655" s="900"/>
      <c r="G655" s="900"/>
      <c r="H655" s="900"/>
      <c r="I655" s="905"/>
      <c r="J655" s="905"/>
      <c r="K655" s="906"/>
      <c r="L655" s="900"/>
      <c r="M655" s="900"/>
      <c r="N655" s="900"/>
      <c r="O655" s="900"/>
      <c r="P655" s="900"/>
      <c r="Q655" s="900"/>
      <c r="R655" s="900"/>
      <c r="S655" s="900"/>
      <c r="T655" s="900"/>
      <c r="U655" s="900"/>
      <c r="V655" s="900"/>
      <c r="W655" s="900"/>
      <c r="X655" s="900"/>
      <c r="Y655" s="900"/>
      <c r="Z655" s="900"/>
      <c r="AA655" s="900"/>
      <c r="AB655" s="900"/>
    </row>
    <row r="656">
      <c r="A656" s="900"/>
      <c r="B656" s="900"/>
      <c r="C656" s="900"/>
      <c r="D656" s="900"/>
      <c r="E656" s="900"/>
      <c r="F656" s="900"/>
      <c r="G656" s="900"/>
      <c r="H656" s="900"/>
      <c r="I656" s="905"/>
      <c r="J656" s="905"/>
      <c r="K656" s="906"/>
      <c r="L656" s="900"/>
      <c r="M656" s="900"/>
      <c r="N656" s="900"/>
      <c r="O656" s="900"/>
      <c r="P656" s="900"/>
      <c r="Q656" s="900"/>
      <c r="R656" s="900"/>
      <c r="S656" s="900"/>
      <c r="T656" s="900"/>
      <c r="U656" s="900"/>
      <c r="V656" s="900"/>
      <c r="W656" s="900"/>
      <c r="X656" s="900"/>
      <c r="Y656" s="900"/>
      <c r="Z656" s="900"/>
      <c r="AA656" s="900"/>
      <c r="AB656" s="900"/>
    </row>
    <row r="657">
      <c r="A657" s="900"/>
      <c r="B657" s="900"/>
      <c r="C657" s="900"/>
      <c r="D657" s="900"/>
      <c r="E657" s="900"/>
      <c r="F657" s="900"/>
      <c r="G657" s="900"/>
      <c r="H657" s="900"/>
      <c r="I657" s="905"/>
      <c r="J657" s="905"/>
      <c r="K657" s="906"/>
      <c r="L657" s="900"/>
      <c r="M657" s="900"/>
      <c r="N657" s="900"/>
      <c r="O657" s="900"/>
      <c r="P657" s="900"/>
      <c r="Q657" s="900"/>
      <c r="R657" s="900"/>
      <c r="S657" s="900"/>
      <c r="T657" s="900"/>
      <c r="U657" s="900"/>
      <c r="V657" s="900"/>
      <c r="W657" s="900"/>
      <c r="X657" s="900"/>
      <c r="Y657" s="900"/>
      <c r="Z657" s="900"/>
      <c r="AA657" s="900"/>
      <c r="AB657" s="900"/>
    </row>
    <row r="658">
      <c r="A658" s="900"/>
      <c r="B658" s="900"/>
      <c r="C658" s="900"/>
      <c r="D658" s="900"/>
      <c r="E658" s="900"/>
      <c r="F658" s="900"/>
      <c r="G658" s="900"/>
      <c r="H658" s="900"/>
      <c r="I658" s="905"/>
      <c r="J658" s="905"/>
      <c r="K658" s="906"/>
      <c r="L658" s="900"/>
      <c r="M658" s="900"/>
      <c r="N658" s="900"/>
      <c r="O658" s="900"/>
      <c r="P658" s="900"/>
      <c r="Q658" s="900"/>
      <c r="R658" s="900"/>
      <c r="S658" s="900"/>
      <c r="T658" s="900"/>
      <c r="U658" s="900"/>
      <c r="V658" s="900"/>
      <c r="W658" s="900"/>
      <c r="X658" s="900"/>
      <c r="Y658" s="900"/>
      <c r="Z658" s="900"/>
      <c r="AA658" s="900"/>
      <c r="AB658" s="900"/>
    </row>
    <row r="659">
      <c r="A659" s="900"/>
      <c r="B659" s="900"/>
      <c r="C659" s="900"/>
      <c r="D659" s="900"/>
      <c r="E659" s="900"/>
      <c r="F659" s="900"/>
      <c r="G659" s="900"/>
      <c r="H659" s="900"/>
      <c r="I659" s="905"/>
      <c r="J659" s="905"/>
      <c r="K659" s="906"/>
      <c r="L659" s="900"/>
      <c r="M659" s="900"/>
      <c r="N659" s="900"/>
      <c r="O659" s="900"/>
      <c r="P659" s="900"/>
      <c r="Q659" s="900"/>
      <c r="R659" s="900"/>
      <c r="S659" s="900"/>
      <c r="T659" s="900"/>
      <c r="U659" s="900"/>
      <c r="V659" s="900"/>
      <c r="W659" s="900"/>
      <c r="X659" s="900"/>
      <c r="Y659" s="900"/>
      <c r="Z659" s="900"/>
      <c r="AA659" s="900"/>
      <c r="AB659" s="900"/>
    </row>
    <row r="660">
      <c r="A660" s="900"/>
      <c r="B660" s="900"/>
      <c r="C660" s="900"/>
      <c r="D660" s="900"/>
      <c r="E660" s="900"/>
      <c r="F660" s="900"/>
      <c r="G660" s="900"/>
      <c r="H660" s="900"/>
      <c r="I660" s="905"/>
      <c r="J660" s="905"/>
      <c r="K660" s="906"/>
      <c r="L660" s="900"/>
      <c r="M660" s="900"/>
      <c r="N660" s="900"/>
      <c r="O660" s="900"/>
      <c r="P660" s="900"/>
      <c r="Q660" s="900"/>
      <c r="R660" s="900"/>
      <c r="S660" s="900"/>
      <c r="T660" s="900"/>
      <c r="U660" s="900"/>
      <c r="V660" s="900"/>
      <c r="W660" s="900"/>
      <c r="X660" s="900"/>
      <c r="Y660" s="900"/>
      <c r="Z660" s="900"/>
      <c r="AA660" s="900"/>
      <c r="AB660" s="900"/>
    </row>
    <row r="661">
      <c r="A661" s="900"/>
      <c r="B661" s="900"/>
      <c r="C661" s="900"/>
      <c r="D661" s="900"/>
      <c r="E661" s="900"/>
      <c r="F661" s="900"/>
      <c r="G661" s="900"/>
      <c r="H661" s="900"/>
      <c r="I661" s="905"/>
      <c r="J661" s="905"/>
      <c r="K661" s="906"/>
      <c r="L661" s="900"/>
      <c r="M661" s="900"/>
      <c r="N661" s="900"/>
      <c r="O661" s="900"/>
      <c r="P661" s="900"/>
      <c r="Q661" s="900"/>
      <c r="R661" s="900"/>
      <c r="S661" s="900"/>
      <c r="T661" s="900"/>
      <c r="U661" s="900"/>
      <c r="V661" s="900"/>
      <c r="W661" s="900"/>
      <c r="X661" s="900"/>
      <c r="Y661" s="900"/>
      <c r="Z661" s="900"/>
      <c r="AA661" s="900"/>
      <c r="AB661" s="900"/>
    </row>
    <row r="662">
      <c r="A662" s="900"/>
      <c r="B662" s="900"/>
      <c r="C662" s="900"/>
      <c r="D662" s="900"/>
      <c r="E662" s="900"/>
      <c r="F662" s="900"/>
      <c r="G662" s="900"/>
      <c r="H662" s="900"/>
      <c r="I662" s="905"/>
      <c r="J662" s="905"/>
      <c r="K662" s="906"/>
      <c r="L662" s="900"/>
      <c r="M662" s="900"/>
      <c r="N662" s="900"/>
      <c r="O662" s="900"/>
      <c r="P662" s="900"/>
      <c r="Q662" s="900"/>
      <c r="R662" s="900"/>
      <c r="S662" s="900"/>
      <c r="T662" s="900"/>
      <c r="U662" s="900"/>
      <c r="V662" s="900"/>
      <c r="W662" s="900"/>
      <c r="X662" s="900"/>
      <c r="Y662" s="900"/>
      <c r="Z662" s="900"/>
      <c r="AA662" s="900"/>
      <c r="AB662" s="900"/>
    </row>
    <row r="663">
      <c r="A663" s="900"/>
      <c r="B663" s="900"/>
      <c r="C663" s="900"/>
      <c r="D663" s="900"/>
      <c r="E663" s="900"/>
      <c r="F663" s="900"/>
      <c r="G663" s="900"/>
      <c r="H663" s="900"/>
      <c r="I663" s="905"/>
      <c r="J663" s="905"/>
      <c r="K663" s="906"/>
      <c r="L663" s="900"/>
      <c r="M663" s="900"/>
      <c r="N663" s="900"/>
      <c r="O663" s="900"/>
      <c r="P663" s="900"/>
      <c r="Q663" s="900"/>
      <c r="R663" s="900"/>
      <c r="S663" s="900"/>
      <c r="T663" s="900"/>
      <c r="U663" s="900"/>
      <c r="V663" s="900"/>
      <c r="W663" s="900"/>
      <c r="X663" s="900"/>
      <c r="Y663" s="900"/>
      <c r="Z663" s="900"/>
      <c r="AA663" s="900"/>
      <c r="AB663" s="900"/>
    </row>
    <row r="664">
      <c r="A664" s="900"/>
      <c r="B664" s="900"/>
      <c r="C664" s="900"/>
      <c r="D664" s="900"/>
      <c r="E664" s="900"/>
      <c r="F664" s="900"/>
      <c r="G664" s="900"/>
      <c r="H664" s="900"/>
      <c r="I664" s="905"/>
      <c r="J664" s="905"/>
      <c r="K664" s="906"/>
      <c r="L664" s="900"/>
      <c r="M664" s="900"/>
      <c r="N664" s="900"/>
      <c r="O664" s="900"/>
      <c r="P664" s="900"/>
      <c r="Q664" s="900"/>
      <c r="R664" s="900"/>
      <c r="S664" s="900"/>
      <c r="T664" s="900"/>
      <c r="U664" s="900"/>
      <c r="V664" s="900"/>
      <c r="W664" s="900"/>
      <c r="X664" s="900"/>
      <c r="Y664" s="900"/>
      <c r="Z664" s="900"/>
      <c r="AA664" s="900"/>
      <c r="AB664" s="900"/>
    </row>
    <row r="665">
      <c r="A665" s="900"/>
      <c r="B665" s="900"/>
      <c r="C665" s="900"/>
      <c r="D665" s="900"/>
      <c r="E665" s="900"/>
      <c r="F665" s="900"/>
      <c r="G665" s="900"/>
      <c r="H665" s="900"/>
      <c r="I665" s="905"/>
      <c r="J665" s="905"/>
      <c r="K665" s="906"/>
      <c r="L665" s="900"/>
      <c r="M665" s="900"/>
      <c r="N665" s="900"/>
      <c r="O665" s="900"/>
      <c r="P665" s="900"/>
      <c r="Q665" s="900"/>
      <c r="R665" s="900"/>
      <c r="S665" s="900"/>
      <c r="T665" s="900"/>
      <c r="U665" s="900"/>
      <c r="V665" s="900"/>
      <c r="W665" s="900"/>
      <c r="X665" s="900"/>
      <c r="Y665" s="900"/>
      <c r="Z665" s="900"/>
      <c r="AA665" s="900"/>
      <c r="AB665" s="900"/>
    </row>
    <row r="666">
      <c r="A666" s="900"/>
      <c r="B666" s="900"/>
      <c r="C666" s="900"/>
      <c r="D666" s="900"/>
      <c r="E666" s="900"/>
      <c r="F666" s="900"/>
      <c r="G666" s="900"/>
      <c r="H666" s="900"/>
      <c r="I666" s="905"/>
      <c r="J666" s="905"/>
      <c r="K666" s="906"/>
      <c r="L666" s="900"/>
      <c r="M666" s="900"/>
      <c r="N666" s="900"/>
      <c r="O666" s="900"/>
      <c r="P666" s="900"/>
      <c r="Q666" s="900"/>
      <c r="R666" s="900"/>
      <c r="S666" s="900"/>
      <c r="T666" s="900"/>
      <c r="U666" s="900"/>
      <c r="V666" s="900"/>
      <c r="W666" s="900"/>
      <c r="X666" s="900"/>
      <c r="Y666" s="900"/>
      <c r="Z666" s="900"/>
      <c r="AA666" s="900"/>
      <c r="AB666" s="900"/>
    </row>
    <row r="667">
      <c r="A667" s="900"/>
      <c r="B667" s="900"/>
      <c r="C667" s="900"/>
      <c r="D667" s="900"/>
      <c r="E667" s="900"/>
      <c r="F667" s="900"/>
      <c r="G667" s="900"/>
      <c r="H667" s="900"/>
      <c r="I667" s="905"/>
      <c r="J667" s="905"/>
      <c r="K667" s="906"/>
      <c r="L667" s="900"/>
      <c r="M667" s="900"/>
      <c r="N667" s="900"/>
      <c r="O667" s="900"/>
      <c r="P667" s="900"/>
      <c r="Q667" s="900"/>
      <c r="R667" s="900"/>
      <c r="S667" s="900"/>
      <c r="T667" s="900"/>
      <c r="U667" s="900"/>
      <c r="V667" s="900"/>
      <c r="W667" s="900"/>
      <c r="X667" s="900"/>
      <c r="Y667" s="900"/>
      <c r="Z667" s="900"/>
      <c r="AA667" s="900"/>
      <c r="AB667" s="900"/>
    </row>
    <row r="668">
      <c r="A668" s="900"/>
      <c r="B668" s="900"/>
      <c r="C668" s="900"/>
      <c r="D668" s="900"/>
      <c r="E668" s="900"/>
      <c r="F668" s="900"/>
      <c r="G668" s="900"/>
      <c r="H668" s="900"/>
      <c r="I668" s="905"/>
      <c r="J668" s="905"/>
      <c r="K668" s="906"/>
      <c r="L668" s="900"/>
      <c r="M668" s="900"/>
      <c r="N668" s="900"/>
      <c r="O668" s="900"/>
      <c r="P668" s="900"/>
      <c r="Q668" s="900"/>
      <c r="R668" s="900"/>
      <c r="S668" s="900"/>
      <c r="T668" s="900"/>
      <c r="U668" s="900"/>
      <c r="V668" s="900"/>
      <c r="W668" s="900"/>
      <c r="X668" s="900"/>
      <c r="Y668" s="900"/>
      <c r="Z668" s="900"/>
      <c r="AA668" s="900"/>
      <c r="AB668" s="900"/>
    </row>
    <row r="669">
      <c r="A669" s="900"/>
      <c r="B669" s="900"/>
      <c r="C669" s="900"/>
      <c r="D669" s="900"/>
      <c r="E669" s="900"/>
      <c r="F669" s="900"/>
      <c r="G669" s="900"/>
      <c r="H669" s="900"/>
      <c r="I669" s="905"/>
      <c r="J669" s="905"/>
      <c r="K669" s="906"/>
      <c r="L669" s="900"/>
      <c r="M669" s="900"/>
      <c r="N669" s="900"/>
      <c r="O669" s="900"/>
      <c r="P669" s="900"/>
      <c r="Q669" s="900"/>
      <c r="R669" s="900"/>
      <c r="S669" s="900"/>
      <c r="T669" s="900"/>
      <c r="U669" s="900"/>
      <c r="V669" s="900"/>
      <c r="W669" s="900"/>
      <c r="X669" s="900"/>
      <c r="Y669" s="900"/>
      <c r="Z669" s="900"/>
      <c r="AA669" s="900"/>
      <c r="AB669" s="900"/>
    </row>
    <row r="670">
      <c r="A670" s="900"/>
      <c r="B670" s="900"/>
      <c r="C670" s="900"/>
      <c r="D670" s="900"/>
      <c r="E670" s="900"/>
      <c r="F670" s="900"/>
      <c r="G670" s="900"/>
      <c r="H670" s="900"/>
      <c r="I670" s="905"/>
      <c r="J670" s="905"/>
      <c r="K670" s="906"/>
      <c r="L670" s="900"/>
      <c r="M670" s="900"/>
      <c r="N670" s="900"/>
      <c r="O670" s="900"/>
      <c r="P670" s="900"/>
      <c r="Q670" s="900"/>
      <c r="R670" s="900"/>
      <c r="S670" s="900"/>
      <c r="T670" s="900"/>
      <c r="U670" s="900"/>
      <c r="V670" s="900"/>
      <c r="W670" s="900"/>
      <c r="X670" s="900"/>
      <c r="Y670" s="900"/>
      <c r="Z670" s="900"/>
      <c r="AA670" s="900"/>
      <c r="AB670" s="900"/>
    </row>
    <row r="671">
      <c r="A671" s="900"/>
      <c r="B671" s="900"/>
      <c r="C671" s="900"/>
      <c r="D671" s="900"/>
      <c r="E671" s="900"/>
      <c r="F671" s="900"/>
      <c r="G671" s="900"/>
      <c r="H671" s="900"/>
      <c r="I671" s="905"/>
      <c r="J671" s="905"/>
      <c r="K671" s="906"/>
      <c r="L671" s="900"/>
      <c r="M671" s="900"/>
      <c r="N671" s="900"/>
      <c r="O671" s="900"/>
      <c r="P671" s="900"/>
      <c r="Q671" s="900"/>
      <c r="R671" s="900"/>
      <c r="S671" s="900"/>
      <c r="T671" s="900"/>
      <c r="U671" s="900"/>
      <c r="V671" s="900"/>
      <c r="W671" s="900"/>
      <c r="X671" s="900"/>
      <c r="Y671" s="900"/>
      <c r="Z671" s="900"/>
      <c r="AA671" s="900"/>
      <c r="AB671" s="900"/>
    </row>
    <row r="672">
      <c r="A672" s="900"/>
      <c r="B672" s="900"/>
      <c r="C672" s="900"/>
      <c r="D672" s="900"/>
      <c r="E672" s="900"/>
      <c r="F672" s="900"/>
      <c r="G672" s="900"/>
      <c r="H672" s="900"/>
      <c r="I672" s="905"/>
      <c r="J672" s="905"/>
      <c r="K672" s="906"/>
      <c r="L672" s="900"/>
      <c r="M672" s="900"/>
      <c r="N672" s="900"/>
      <c r="O672" s="900"/>
      <c r="P672" s="900"/>
      <c r="Q672" s="900"/>
      <c r="R672" s="900"/>
      <c r="S672" s="900"/>
      <c r="T672" s="900"/>
      <c r="U672" s="900"/>
      <c r="V672" s="900"/>
      <c r="W672" s="900"/>
      <c r="X672" s="900"/>
      <c r="Y672" s="900"/>
      <c r="Z672" s="900"/>
      <c r="AA672" s="900"/>
      <c r="AB672" s="900"/>
    </row>
    <row r="673">
      <c r="A673" s="900"/>
      <c r="B673" s="900"/>
      <c r="C673" s="900"/>
      <c r="D673" s="900"/>
      <c r="E673" s="900"/>
      <c r="F673" s="900"/>
      <c r="G673" s="900"/>
      <c r="H673" s="900"/>
      <c r="I673" s="905"/>
      <c r="J673" s="905"/>
      <c r="K673" s="906"/>
      <c r="L673" s="900"/>
      <c r="M673" s="900"/>
      <c r="N673" s="900"/>
      <c r="O673" s="900"/>
      <c r="P673" s="900"/>
      <c r="Q673" s="900"/>
      <c r="R673" s="900"/>
      <c r="S673" s="900"/>
      <c r="T673" s="900"/>
      <c r="U673" s="900"/>
      <c r="V673" s="900"/>
      <c r="W673" s="900"/>
      <c r="X673" s="900"/>
      <c r="Y673" s="900"/>
      <c r="Z673" s="900"/>
      <c r="AA673" s="900"/>
      <c r="AB673" s="900"/>
    </row>
    <row r="674">
      <c r="A674" s="900"/>
      <c r="B674" s="900"/>
      <c r="C674" s="900"/>
      <c r="D674" s="900"/>
      <c r="E674" s="900"/>
      <c r="F674" s="900"/>
      <c r="G674" s="900"/>
      <c r="H674" s="900"/>
      <c r="I674" s="905"/>
      <c r="J674" s="905"/>
      <c r="K674" s="906"/>
      <c r="L674" s="900"/>
      <c r="M674" s="900"/>
      <c r="N674" s="900"/>
      <c r="O674" s="900"/>
      <c r="P674" s="900"/>
      <c r="Q674" s="900"/>
      <c r="R674" s="900"/>
      <c r="S674" s="900"/>
      <c r="T674" s="900"/>
      <c r="U674" s="900"/>
      <c r="V674" s="900"/>
      <c r="W674" s="900"/>
      <c r="X674" s="900"/>
      <c r="Y674" s="900"/>
      <c r="Z674" s="900"/>
      <c r="AA674" s="900"/>
      <c r="AB674" s="900"/>
    </row>
    <row r="675">
      <c r="A675" s="900"/>
      <c r="B675" s="900"/>
      <c r="C675" s="900"/>
      <c r="D675" s="900"/>
      <c r="E675" s="900"/>
      <c r="F675" s="900"/>
      <c r="G675" s="900"/>
      <c r="H675" s="900"/>
      <c r="I675" s="905"/>
      <c r="J675" s="905"/>
      <c r="K675" s="906"/>
      <c r="L675" s="900"/>
      <c r="M675" s="900"/>
      <c r="N675" s="900"/>
      <c r="O675" s="900"/>
      <c r="P675" s="900"/>
      <c r="Q675" s="900"/>
      <c r="R675" s="900"/>
      <c r="S675" s="900"/>
      <c r="T675" s="900"/>
      <c r="U675" s="900"/>
      <c r="V675" s="900"/>
      <c r="W675" s="900"/>
      <c r="X675" s="900"/>
      <c r="Y675" s="900"/>
      <c r="Z675" s="900"/>
      <c r="AA675" s="900"/>
      <c r="AB675" s="900"/>
    </row>
    <row r="676">
      <c r="A676" s="900"/>
      <c r="B676" s="900"/>
      <c r="C676" s="900"/>
      <c r="D676" s="900"/>
      <c r="E676" s="900"/>
      <c r="F676" s="900"/>
      <c r="G676" s="900"/>
      <c r="H676" s="900"/>
      <c r="I676" s="905"/>
      <c r="J676" s="905"/>
      <c r="K676" s="906"/>
      <c r="L676" s="900"/>
      <c r="M676" s="900"/>
      <c r="N676" s="900"/>
      <c r="O676" s="900"/>
      <c r="P676" s="900"/>
      <c r="Q676" s="900"/>
      <c r="R676" s="900"/>
      <c r="S676" s="900"/>
      <c r="T676" s="900"/>
      <c r="U676" s="900"/>
      <c r="V676" s="900"/>
      <c r="W676" s="900"/>
      <c r="X676" s="900"/>
      <c r="Y676" s="900"/>
      <c r="Z676" s="900"/>
      <c r="AA676" s="900"/>
      <c r="AB676" s="900"/>
    </row>
    <row r="677">
      <c r="A677" s="900"/>
      <c r="B677" s="900"/>
      <c r="C677" s="900"/>
      <c r="D677" s="900"/>
      <c r="E677" s="900"/>
      <c r="F677" s="900"/>
      <c r="G677" s="900"/>
      <c r="H677" s="900"/>
      <c r="I677" s="905"/>
      <c r="J677" s="905"/>
      <c r="K677" s="906"/>
      <c r="L677" s="900"/>
      <c r="M677" s="900"/>
      <c r="N677" s="900"/>
      <c r="O677" s="900"/>
      <c r="P677" s="900"/>
      <c r="Q677" s="900"/>
      <c r="R677" s="900"/>
      <c r="S677" s="900"/>
      <c r="T677" s="900"/>
      <c r="U677" s="900"/>
      <c r="V677" s="900"/>
      <c r="W677" s="900"/>
      <c r="X677" s="900"/>
      <c r="Y677" s="900"/>
      <c r="Z677" s="900"/>
      <c r="AA677" s="900"/>
      <c r="AB677" s="900"/>
    </row>
    <row r="678">
      <c r="A678" s="900"/>
      <c r="B678" s="900"/>
      <c r="C678" s="900"/>
      <c r="D678" s="900"/>
      <c r="E678" s="900"/>
      <c r="F678" s="900"/>
      <c r="G678" s="900"/>
      <c r="H678" s="900"/>
      <c r="I678" s="905"/>
      <c r="J678" s="905"/>
      <c r="K678" s="906"/>
      <c r="L678" s="900"/>
      <c r="M678" s="900"/>
      <c r="N678" s="900"/>
      <c r="O678" s="900"/>
      <c r="P678" s="900"/>
      <c r="Q678" s="900"/>
      <c r="R678" s="900"/>
      <c r="S678" s="900"/>
      <c r="T678" s="900"/>
      <c r="U678" s="900"/>
      <c r="V678" s="900"/>
      <c r="W678" s="900"/>
      <c r="X678" s="900"/>
      <c r="Y678" s="900"/>
      <c r="Z678" s="900"/>
      <c r="AA678" s="900"/>
      <c r="AB678" s="900"/>
    </row>
    <row r="679">
      <c r="A679" s="900"/>
      <c r="B679" s="900"/>
      <c r="C679" s="900"/>
      <c r="D679" s="900"/>
      <c r="E679" s="900"/>
      <c r="F679" s="900"/>
      <c r="G679" s="900"/>
      <c r="H679" s="900"/>
      <c r="I679" s="905"/>
      <c r="J679" s="905"/>
      <c r="K679" s="906"/>
      <c r="L679" s="900"/>
      <c r="M679" s="900"/>
      <c r="N679" s="900"/>
      <c r="O679" s="900"/>
      <c r="P679" s="900"/>
      <c r="Q679" s="900"/>
      <c r="R679" s="900"/>
      <c r="S679" s="900"/>
      <c r="T679" s="900"/>
      <c r="U679" s="900"/>
      <c r="V679" s="900"/>
      <c r="W679" s="900"/>
      <c r="X679" s="900"/>
      <c r="Y679" s="900"/>
      <c r="Z679" s="900"/>
      <c r="AA679" s="900"/>
      <c r="AB679" s="900"/>
    </row>
    <row r="680">
      <c r="A680" s="900"/>
      <c r="B680" s="900"/>
      <c r="C680" s="900"/>
      <c r="D680" s="900"/>
      <c r="E680" s="900"/>
      <c r="F680" s="900"/>
      <c r="G680" s="900"/>
      <c r="H680" s="900"/>
      <c r="I680" s="905"/>
      <c r="J680" s="905"/>
      <c r="K680" s="906"/>
      <c r="L680" s="900"/>
      <c r="M680" s="900"/>
      <c r="N680" s="900"/>
      <c r="O680" s="900"/>
      <c r="P680" s="900"/>
      <c r="Q680" s="900"/>
      <c r="R680" s="900"/>
      <c r="S680" s="900"/>
      <c r="T680" s="900"/>
      <c r="U680" s="900"/>
      <c r="V680" s="900"/>
      <c r="W680" s="900"/>
      <c r="X680" s="900"/>
      <c r="Y680" s="900"/>
      <c r="Z680" s="900"/>
      <c r="AA680" s="900"/>
      <c r="AB680" s="900"/>
    </row>
    <row r="681">
      <c r="A681" s="900"/>
      <c r="B681" s="900"/>
      <c r="C681" s="900"/>
      <c r="D681" s="900"/>
      <c r="E681" s="900"/>
      <c r="F681" s="900"/>
      <c r="G681" s="900"/>
      <c r="H681" s="900"/>
      <c r="I681" s="905"/>
      <c r="J681" s="905"/>
      <c r="K681" s="906"/>
      <c r="L681" s="900"/>
      <c r="M681" s="900"/>
      <c r="N681" s="900"/>
      <c r="O681" s="900"/>
      <c r="P681" s="900"/>
      <c r="Q681" s="900"/>
      <c r="R681" s="900"/>
      <c r="S681" s="900"/>
      <c r="T681" s="900"/>
      <c r="U681" s="900"/>
      <c r="V681" s="900"/>
      <c r="W681" s="900"/>
      <c r="X681" s="900"/>
      <c r="Y681" s="900"/>
      <c r="Z681" s="900"/>
      <c r="AA681" s="900"/>
      <c r="AB681" s="900"/>
    </row>
    <row r="682">
      <c r="A682" s="900"/>
      <c r="B682" s="900"/>
      <c r="C682" s="900"/>
      <c r="D682" s="900"/>
      <c r="E682" s="900"/>
      <c r="F682" s="900"/>
      <c r="G682" s="900"/>
      <c r="H682" s="900"/>
      <c r="I682" s="905"/>
      <c r="J682" s="905"/>
      <c r="K682" s="906"/>
      <c r="L682" s="900"/>
      <c r="M682" s="900"/>
      <c r="N682" s="900"/>
      <c r="O682" s="900"/>
      <c r="P682" s="900"/>
      <c r="Q682" s="900"/>
      <c r="R682" s="900"/>
      <c r="S682" s="900"/>
      <c r="T682" s="900"/>
      <c r="U682" s="900"/>
      <c r="V682" s="900"/>
      <c r="W682" s="900"/>
      <c r="X682" s="900"/>
      <c r="Y682" s="900"/>
      <c r="Z682" s="900"/>
      <c r="AA682" s="900"/>
      <c r="AB682" s="900"/>
    </row>
    <row r="683">
      <c r="A683" s="900"/>
      <c r="B683" s="900"/>
      <c r="C683" s="900"/>
      <c r="D683" s="900"/>
      <c r="E683" s="900"/>
      <c r="F683" s="900"/>
      <c r="G683" s="900"/>
      <c r="H683" s="900"/>
      <c r="I683" s="905"/>
      <c r="J683" s="905"/>
      <c r="K683" s="906"/>
      <c r="L683" s="900"/>
      <c r="M683" s="900"/>
      <c r="N683" s="900"/>
      <c r="O683" s="900"/>
      <c r="P683" s="900"/>
      <c r="Q683" s="900"/>
      <c r="R683" s="900"/>
      <c r="S683" s="900"/>
      <c r="T683" s="900"/>
      <c r="U683" s="900"/>
      <c r="V683" s="900"/>
      <c r="W683" s="900"/>
      <c r="X683" s="900"/>
      <c r="Y683" s="900"/>
      <c r="Z683" s="900"/>
      <c r="AA683" s="900"/>
      <c r="AB683" s="900"/>
    </row>
    <row r="684">
      <c r="A684" s="900"/>
      <c r="B684" s="900"/>
      <c r="C684" s="900"/>
      <c r="D684" s="900"/>
      <c r="E684" s="900"/>
      <c r="F684" s="900"/>
      <c r="G684" s="900"/>
      <c r="H684" s="900"/>
      <c r="I684" s="905"/>
      <c r="J684" s="905"/>
      <c r="K684" s="906"/>
      <c r="L684" s="900"/>
      <c r="M684" s="900"/>
      <c r="N684" s="900"/>
      <c r="O684" s="900"/>
      <c r="P684" s="900"/>
      <c r="Q684" s="900"/>
      <c r="R684" s="900"/>
      <c r="S684" s="900"/>
      <c r="T684" s="900"/>
      <c r="U684" s="900"/>
      <c r="V684" s="900"/>
      <c r="W684" s="900"/>
      <c r="X684" s="900"/>
      <c r="Y684" s="900"/>
      <c r="Z684" s="900"/>
      <c r="AA684" s="900"/>
      <c r="AB684" s="900"/>
    </row>
    <row r="685">
      <c r="A685" s="900"/>
      <c r="B685" s="900"/>
      <c r="C685" s="900"/>
      <c r="D685" s="900"/>
      <c r="E685" s="900"/>
      <c r="F685" s="900"/>
      <c r="G685" s="900"/>
      <c r="H685" s="900"/>
      <c r="I685" s="905"/>
      <c r="J685" s="905"/>
      <c r="K685" s="906"/>
      <c r="L685" s="900"/>
      <c r="M685" s="900"/>
      <c r="N685" s="900"/>
      <c r="O685" s="900"/>
      <c r="P685" s="900"/>
      <c r="Q685" s="900"/>
      <c r="R685" s="900"/>
      <c r="S685" s="900"/>
      <c r="T685" s="900"/>
      <c r="U685" s="900"/>
      <c r="V685" s="900"/>
      <c r="W685" s="900"/>
      <c r="X685" s="900"/>
      <c r="Y685" s="900"/>
      <c r="Z685" s="900"/>
      <c r="AA685" s="900"/>
      <c r="AB685" s="900"/>
    </row>
    <row r="686">
      <c r="A686" s="900"/>
      <c r="B686" s="900"/>
      <c r="C686" s="900"/>
      <c r="D686" s="900"/>
      <c r="E686" s="900"/>
      <c r="F686" s="900"/>
      <c r="G686" s="900"/>
      <c r="H686" s="900"/>
      <c r="I686" s="905"/>
      <c r="J686" s="905"/>
      <c r="K686" s="906"/>
      <c r="L686" s="900"/>
      <c r="M686" s="900"/>
      <c r="N686" s="900"/>
      <c r="O686" s="900"/>
      <c r="P686" s="900"/>
      <c r="Q686" s="900"/>
      <c r="R686" s="900"/>
      <c r="S686" s="900"/>
      <c r="T686" s="900"/>
      <c r="U686" s="900"/>
      <c r="V686" s="900"/>
      <c r="W686" s="900"/>
      <c r="X686" s="900"/>
      <c r="Y686" s="900"/>
      <c r="Z686" s="900"/>
      <c r="AA686" s="900"/>
      <c r="AB686" s="900"/>
    </row>
    <row r="687">
      <c r="A687" s="900"/>
      <c r="B687" s="900"/>
      <c r="C687" s="900"/>
      <c r="D687" s="900"/>
      <c r="E687" s="900"/>
      <c r="F687" s="900"/>
      <c r="G687" s="900"/>
      <c r="H687" s="900"/>
      <c r="I687" s="905"/>
      <c r="J687" s="905"/>
      <c r="K687" s="906"/>
      <c r="L687" s="900"/>
      <c r="M687" s="900"/>
      <c r="N687" s="900"/>
      <c r="O687" s="900"/>
      <c r="P687" s="900"/>
      <c r="Q687" s="900"/>
      <c r="R687" s="900"/>
      <c r="S687" s="900"/>
      <c r="T687" s="900"/>
      <c r="U687" s="900"/>
      <c r="V687" s="900"/>
      <c r="W687" s="900"/>
      <c r="X687" s="900"/>
      <c r="Y687" s="900"/>
      <c r="Z687" s="900"/>
      <c r="AA687" s="900"/>
      <c r="AB687" s="900"/>
    </row>
    <row r="688">
      <c r="A688" s="900"/>
      <c r="B688" s="900"/>
      <c r="C688" s="900"/>
      <c r="D688" s="900"/>
      <c r="E688" s="900"/>
      <c r="F688" s="900"/>
      <c r="G688" s="900"/>
      <c r="H688" s="900"/>
      <c r="I688" s="905"/>
      <c r="J688" s="905"/>
      <c r="K688" s="906"/>
      <c r="L688" s="900"/>
      <c r="M688" s="900"/>
      <c r="N688" s="900"/>
      <c r="O688" s="900"/>
      <c r="P688" s="900"/>
      <c r="Q688" s="900"/>
      <c r="R688" s="900"/>
      <c r="S688" s="900"/>
      <c r="T688" s="900"/>
      <c r="U688" s="900"/>
      <c r="V688" s="900"/>
      <c r="W688" s="900"/>
      <c r="X688" s="900"/>
      <c r="Y688" s="900"/>
      <c r="Z688" s="900"/>
      <c r="AA688" s="900"/>
      <c r="AB688" s="900"/>
    </row>
    <row r="689">
      <c r="A689" s="900"/>
      <c r="B689" s="900"/>
      <c r="C689" s="900"/>
      <c r="D689" s="900"/>
      <c r="E689" s="900"/>
      <c r="F689" s="900"/>
      <c r="G689" s="900"/>
      <c r="H689" s="900"/>
      <c r="I689" s="905"/>
      <c r="J689" s="905"/>
      <c r="K689" s="906"/>
      <c r="L689" s="900"/>
      <c r="M689" s="900"/>
      <c r="N689" s="900"/>
      <c r="O689" s="900"/>
      <c r="P689" s="900"/>
      <c r="Q689" s="900"/>
      <c r="R689" s="900"/>
      <c r="S689" s="900"/>
      <c r="T689" s="900"/>
      <c r="U689" s="900"/>
      <c r="V689" s="900"/>
      <c r="W689" s="900"/>
      <c r="X689" s="900"/>
      <c r="Y689" s="900"/>
      <c r="Z689" s="900"/>
      <c r="AA689" s="900"/>
      <c r="AB689" s="900"/>
    </row>
    <row r="690">
      <c r="A690" s="900"/>
      <c r="B690" s="900"/>
      <c r="C690" s="900"/>
      <c r="D690" s="900"/>
      <c r="E690" s="900"/>
      <c r="F690" s="900"/>
      <c r="G690" s="900"/>
      <c r="H690" s="900"/>
      <c r="I690" s="905"/>
      <c r="J690" s="905"/>
      <c r="K690" s="906"/>
      <c r="L690" s="900"/>
      <c r="M690" s="900"/>
      <c r="N690" s="900"/>
      <c r="O690" s="900"/>
      <c r="P690" s="900"/>
      <c r="Q690" s="900"/>
      <c r="R690" s="900"/>
      <c r="S690" s="900"/>
      <c r="T690" s="900"/>
      <c r="U690" s="900"/>
      <c r="V690" s="900"/>
      <c r="W690" s="900"/>
      <c r="X690" s="900"/>
      <c r="Y690" s="900"/>
      <c r="Z690" s="900"/>
      <c r="AA690" s="900"/>
      <c r="AB690" s="900"/>
    </row>
    <row r="691">
      <c r="A691" s="900"/>
      <c r="B691" s="900"/>
      <c r="C691" s="900"/>
      <c r="D691" s="900"/>
      <c r="E691" s="900"/>
      <c r="F691" s="900"/>
      <c r="G691" s="900"/>
      <c r="H691" s="900"/>
      <c r="I691" s="905"/>
      <c r="J691" s="905"/>
      <c r="K691" s="906"/>
      <c r="L691" s="900"/>
      <c r="M691" s="900"/>
      <c r="N691" s="900"/>
      <c r="O691" s="900"/>
      <c r="P691" s="900"/>
      <c r="Q691" s="900"/>
      <c r="R691" s="900"/>
      <c r="S691" s="900"/>
      <c r="T691" s="900"/>
      <c r="U691" s="900"/>
      <c r="V691" s="900"/>
      <c r="W691" s="900"/>
      <c r="X691" s="900"/>
      <c r="Y691" s="900"/>
      <c r="Z691" s="900"/>
      <c r="AA691" s="900"/>
      <c r="AB691" s="900"/>
    </row>
    <row r="692">
      <c r="A692" s="900"/>
      <c r="B692" s="900"/>
      <c r="C692" s="900"/>
      <c r="D692" s="900"/>
      <c r="E692" s="900"/>
      <c r="F692" s="900"/>
      <c r="G692" s="900"/>
      <c r="H692" s="900"/>
      <c r="I692" s="905"/>
      <c r="J692" s="905"/>
      <c r="K692" s="906"/>
      <c r="L692" s="900"/>
      <c r="M692" s="900"/>
      <c r="N692" s="900"/>
      <c r="O692" s="900"/>
      <c r="P692" s="900"/>
      <c r="Q692" s="900"/>
      <c r="R692" s="900"/>
      <c r="S692" s="900"/>
      <c r="T692" s="900"/>
      <c r="U692" s="900"/>
      <c r="V692" s="900"/>
      <c r="W692" s="900"/>
      <c r="X692" s="900"/>
      <c r="Y692" s="900"/>
      <c r="Z692" s="900"/>
      <c r="AA692" s="900"/>
      <c r="AB692" s="900"/>
    </row>
    <row r="693">
      <c r="A693" s="900"/>
      <c r="B693" s="900"/>
      <c r="C693" s="900"/>
      <c r="D693" s="900"/>
      <c r="E693" s="900"/>
      <c r="F693" s="900"/>
      <c r="G693" s="900"/>
      <c r="H693" s="900"/>
      <c r="I693" s="905"/>
      <c r="J693" s="905"/>
      <c r="K693" s="906"/>
      <c r="L693" s="900"/>
      <c r="M693" s="900"/>
      <c r="N693" s="900"/>
      <c r="O693" s="900"/>
      <c r="P693" s="900"/>
      <c r="Q693" s="900"/>
      <c r="R693" s="900"/>
      <c r="S693" s="900"/>
      <c r="T693" s="900"/>
      <c r="U693" s="900"/>
      <c r="V693" s="900"/>
      <c r="W693" s="900"/>
      <c r="X693" s="900"/>
      <c r="Y693" s="900"/>
      <c r="Z693" s="900"/>
      <c r="AA693" s="900"/>
      <c r="AB693" s="900"/>
    </row>
    <row r="694">
      <c r="A694" s="900"/>
      <c r="B694" s="900"/>
      <c r="C694" s="900"/>
      <c r="D694" s="900"/>
      <c r="E694" s="900"/>
      <c r="F694" s="900"/>
      <c r="G694" s="900"/>
      <c r="H694" s="900"/>
      <c r="I694" s="905"/>
      <c r="J694" s="905"/>
      <c r="K694" s="906"/>
      <c r="L694" s="900"/>
      <c r="M694" s="900"/>
      <c r="N694" s="900"/>
      <c r="O694" s="900"/>
      <c r="P694" s="900"/>
      <c r="Q694" s="900"/>
      <c r="R694" s="900"/>
      <c r="S694" s="900"/>
      <c r="T694" s="900"/>
      <c r="U694" s="900"/>
      <c r="V694" s="900"/>
      <c r="W694" s="900"/>
      <c r="X694" s="900"/>
      <c r="Y694" s="900"/>
      <c r="Z694" s="900"/>
      <c r="AA694" s="900"/>
      <c r="AB694" s="900"/>
    </row>
    <row r="695">
      <c r="A695" s="900"/>
      <c r="B695" s="900"/>
      <c r="C695" s="900"/>
      <c r="D695" s="900"/>
      <c r="E695" s="900"/>
      <c r="F695" s="900"/>
      <c r="G695" s="900"/>
      <c r="H695" s="900"/>
      <c r="I695" s="905"/>
      <c r="J695" s="905"/>
      <c r="K695" s="906"/>
      <c r="L695" s="900"/>
      <c r="M695" s="900"/>
      <c r="N695" s="900"/>
      <c r="O695" s="900"/>
      <c r="P695" s="900"/>
      <c r="Q695" s="900"/>
      <c r="R695" s="900"/>
      <c r="S695" s="900"/>
      <c r="T695" s="900"/>
      <c r="U695" s="900"/>
      <c r="V695" s="900"/>
      <c r="W695" s="900"/>
      <c r="X695" s="900"/>
      <c r="Y695" s="900"/>
      <c r="Z695" s="900"/>
      <c r="AA695" s="900"/>
      <c r="AB695" s="900"/>
    </row>
    <row r="696">
      <c r="A696" s="900"/>
      <c r="B696" s="900"/>
      <c r="C696" s="900"/>
      <c r="D696" s="900"/>
      <c r="E696" s="900"/>
      <c r="F696" s="900"/>
      <c r="G696" s="900"/>
      <c r="H696" s="900"/>
      <c r="I696" s="905"/>
      <c r="J696" s="905"/>
      <c r="K696" s="906"/>
      <c r="L696" s="900"/>
      <c r="M696" s="900"/>
      <c r="N696" s="900"/>
      <c r="O696" s="900"/>
      <c r="P696" s="900"/>
      <c r="Q696" s="900"/>
      <c r="R696" s="900"/>
      <c r="S696" s="900"/>
      <c r="T696" s="900"/>
      <c r="U696" s="900"/>
      <c r="V696" s="900"/>
      <c r="W696" s="900"/>
      <c r="X696" s="900"/>
      <c r="Y696" s="900"/>
      <c r="Z696" s="900"/>
      <c r="AA696" s="900"/>
      <c r="AB696" s="900"/>
    </row>
    <row r="697">
      <c r="A697" s="900"/>
      <c r="B697" s="900"/>
      <c r="C697" s="900"/>
      <c r="D697" s="900"/>
      <c r="E697" s="900"/>
      <c r="F697" s="900"/>
      <c r="G697" s="900"/>
      <c r="H697" s="900"/>
      <c r="I697" s="905"/>
      <c r="J697" s="905"/>
      <c r="K697" s="906"/>
      <c r="L697" s="900"/>
      <c r="M697" s="900"/>
      <c r="N697" s="900"/>
      <c r="O697" s="900"/>
      <c r="P697" s="900"/>
      <c r="Q697" s="900"/>
      <c r="R697" s="900"/>
      <c r="S697" s="900"/>
      <c r="T697" s="900"/>
      <c r="U697" s="900"/>
      <c r="V697" s="900"/>
      <c r="W697" s="900"/>
      <c r="X697" s="900"/>
      <c r="Y697" s="900"/>
      <c r="Z697" s="900"/>
      <c r="AA697" s="900"/>
      <c r="AB697" s="900"/>
    </row>
    <row r="698">
      <c r="A698" s="900"/>
      <c r="B698" s="900"/>
      <c r="C698" s="900"/>
      <c r="D698" s="900"/>
      <c r="E698" s="900"/>
      <c r="F698" s="900"/>
      <c r="G698" s="900"/>
      <c r="H698" s="900"/>
      <c r="I698" s="905"/>
      <c r="J698" s="905"/>
      <c r="K698" s="906"/>
      <c r="L698" s="900"/>
      <c r="M698" s="900"/>
      <c r="N698" s="900"/>
      <c r="O698" s="900"/>
      <c r="P698" s="900"/>
      <c r="Q698" s="900"/>
      <c r="R698" s="900"/>
      <c r="S698" s="900"/>
      <c r="T698" s="900"/>
      <c r="U698" s="900"/>
      <c r="V698" s="900"/>
      <c r="W698" s="900"/>
      <c r="X698" s="900"/>
      <c r="Y698" s="900"/>
      <c r="Z698" s="900"/>
      <c r="AA698" s="900"/>
      <c r="AB698" s="900"/>
    </row>
    <row r="699">
      <c r="A699" s="900"/>
      <c r="B699" s="900"/>
      <c r="C699" s="900"/>
      <c r="D699" s="900"/>
      <c r="E699" s="900"/>
      <c r="F699" s="900"/>
      <c r="G699" s="900"/>
      <c r="H699" s="900"/>
      <c r="I699" s="905"/>
      <c r="J699" s="905"/>
      <c r="K699" s="906"/>
      <c r="L699" s="900"/>
      <c r="M699" s="900"/>
      <c r="N699" s="900"/>
      <c r="O699" s="900"/>
      <c r="P699" s="900"/>
      <c r="Q699" s="900"/>
      <c r="R699" s="900"/>
      <c r="S699" s="900"/>
      <c r="T699" s="900"/>
      <c r="U699" s="900"/>
      <c r="V699" s="900"/>
      <c r="W699" s="900"/>
      <c r="X699" s="900"/>
      <c r="Y699" s="900"/>
      <c r="Z699" s="900"/>
      <c r="AA699" s="900"/>
      <c r="AB699" s="900"/>
    </row>
    <row r="700">
      <c r="A700" s="900"/>
      <c r="B700" s="900"/>
      <c r="C700" s="900"/>
      <c r="D700" s="900"/>
      <c r="E700" s="900"/>
      <c r="F700" s="900"/>
      <c r="G700" s="900"/>
      <c r="H700" s="900"/>
      <c r="I700" s="905"/>
      <c r="J700" s="905"/>
      <c r="K700" s="906"/>
      <c r="L700" s="900"/>
      <c r="M700" s="900"/>
      <c r="N700" s="900"/>
      <c r="O700" s="900"/>
      <c r="P700" s="900"/>
      <c r="Q700" s="900"/>
      <c r="R700" s="900"/>
      <c r="S700" s="900"/>
      <c r="T700" s="900"/>
      <c r="U700" s="900"/>
      <c r="V700" s="900"/>
      <c r="W700" s="900"/>
      <c r="X700" s="900"/>
      <c r="Y700" s="900"/>
      <c r="Z700" s="900"/>
      <c r="AA700" s="900"/>
      <c r="AB700" s="900"/>
    </row>
    <row r="701">
      <c r="A701" s="900"/>
      <c r="B701" s="900"/>
      <c r="C701" s="900"/>
      <c r="D701" s="900"/>
      <c r="E701" s="900"/>
      <c r="F701" s="900"/>
      <c r="G701" s="900"/>
      <c r="H701" s="900"/>
      <c r="I701" s="905"/>
      <c r="J701" s="905"/>
      <c r="K701" s="906"/>
      <c r="L701" s="900"/>
      <c r="M701" s="900"/>
      <c r="N701" s="900"/>
      <c r="O701" s="900"/>
      <c r="P701" s="900"/>
      <c r="Q701" s="900"/>
      <c r="R701" s="900"/>
      <c r="S701" s="900"/>
      <c r="T701" s="900"/>
      <c r="U701" s="900"/>
      <c r="V701" s="900"/>
      <c r="W701" s="900"/>
      <c r="X701" s="900"/>
      <c r="Y701" s="900"/>
      <c r="Z701" s="900"/>
      <c r="AA701" s="900"/>
      <c r="AB701" s="900"/>
    </row>
    <row r="702">
      <c r="A702" s="900"/>
      <c r="B702" s="900"/>
      <c r="C702" s="900"/>
      <c r="D702" s="900"/>
      <c r="E702" s="900"/>
      <c r="F702" s="900"/>
      <c r="G702" s="900"/>
      <c r="H702" s="900"/>
      <c r="I702" s="905"/>
      <c r="J702" s="905"/>
      <c r="K702" s="906"/>
      <c r="L702" s="900"/>
      <c r="M702" s="900"/>
      <c r="N702" s="900"/>
      <c r="O702" s="900"/>
      <c r="P702" s="900"/>
      <c r="Q702" s="900"/>
      <c r="R702" s="900"/>
      <c r="S702" s="900"/>
      <c r="T702" s="900"/>
      <c r="U702" s="900"/>
      <c r="V702" s="900"/>
      <c r="W702" s="900"/>
      <c r="X702" s="900"/>
      <c r="Y702" s="900"/>
      <c r="Z702" s="900"/>
      <c r="AA702" s="900"/>
      <c r="AB702" s="900"/>
    </row>
    <row r="703">
      <c r="A703" s="900"/>
      <c r="B703" s="900"/>
      <c r="C703" s="900"/>
      <c r="D703" s="900"/>
      <c r="E703" s="900"/>
      <c r="F703" s="900"/>
      <c r="G703" s="900"/>
      <c r="H703" s="900"/>
      <c r="I703" s="905"/>
      <c r="J703" s="905"/>
      <c r="K703" s="906"/>
      <c r="L703" s="900"/>
      <c r="M703" s="900"/>
      <c r="N703" s="900"/>
      <c r="O703" s="900"/>
      <c r="P703" s="900"/>
      <c r="Q703" s="900"/>
      <c r="R703" s="900"/>
      <c r="S703" s="900"/>
      <c r="T703" s="900"/>
      <c r="U703" s="900"/>
      <c r="V703" s="900"/>
      <c r="W703" s="900"/>
      <c r="X703" s="900"/>
      <c r="Y703" s="900"/>
      <c r="Z703" s="900"/>
      <c r="AA703" s="900"/>
      <c r="AB703" s="900"/>
    </row>
    <row r="704">
      <c r="A704" s="900"/>
      <c r="B704" s="900"/>
      <c r="C704" s="900"/>
      <c r="D704" s="900"/>
      <c r="E704" s="900"/>
      <c r="F704" s="900"/>
      <c r="G704" s="900"/>
      <c r="H704" s="900"/>
      <c r="I704" s="905"/>
      <c r="J704" s="905"/>
      <c r="K704" s="906"/>
      <c r="L704" s="900"/>
      <c r="M704" s="900"/>
      <c r="N704" s="900"/>
      <c r="O704" s="900"/>
      <c r="P704" s="900"/>
      <c r="Q704" s="900"/>
      <c r="R704" s="900"/>
      <c r="S704" s="900"/>
      <c r="T704" s="900"/>
      <c r="U704" s="900"/>
      <c r="V704" s="900"/>
      <c r="W704" s="900"/>
      <c r="X704" s="900"/>
      <c r="Y704" s="900"/>
      <c r="Z704" s="900"/>
      <c r="AA704" s="900"/>
      <c r="AB704" s="900"/>
    </row>
    <row r="705">
      <c r="A705" s="900"/>
      <c r="B705" s="900"/>
      <c r="C705" s="900"/>
      <c r="D705" s="900"/>
      <c r="E705" s="900"/>
      <c r="F705" s="900"/>
      <c r="G705" s="900"/>
      <c r="H705" s="900"/>
      <c r="I705" s="905"/>
      <c r="J705" s="905"/>
      <c r="K705" s="906"/>
      <c r="L705" s="900"/>
      <c r="M705" s="900"/>
      <c r="N705" s="900"/>
      <c r="O705" s="900"/>
      <c r="P705" s="900"/>
      <c r="Q705" s="900"/>
      <c r="R705" s="900"/>
      <c r="S705" s="900"/>
      <c r="T705" s="900"/>
      <c r="U705" s="900"/>
      <c r="V705" s="900"/>
      <c r="W705" s="900"/>
      <c r="X705" s="900"/>
      <c r="Y705" s="900"/>
      <c r="Z705" s="900"/>
      <c r="AA705" s="900"/>
      <c r="AB705" s="900"/>
    </row>
    <row r="706">
      <c r="A706" s="900"/>
      <c r="B706" s="900"/>
      <c r="C706" s="900"/>
      <c r="D706" s="900"/>
      <c r="E706" s="900"/>
      <c r="F706" s="900"/>
      <c r="G706" s="900"/>
      <c r="H706" s="900"/>
      <c r="I706" s="905"/>
      <c r="J706" s="905"/>
      <c r="K706" s="906"/>
      <c r="L706" s="900"/>
      <c r="M706" s="900"/>
      <c r="N706" s="900"/>
      <c r="O706" s="900"/>
      <c r="P706" s="900"/>
      <c r="Q706" s="900"/>
      <c r="R706" s="900"/>
      <c r="S706" s="900"/>
      <c r="T706" s="900"/>
      <c r="U706" s="900"/>
      <c r="V706" s="900"/>
      <c r="W706" s="900"/>
      <c r="X706" s="900"/>
      <c r="Y706" s="900"/>
      <c r="Z706" s="900"/>
      <c r="AA706" s="900"/>
      <c r="AB706" s="900"/>
    </row>
    <row r="707">
      <c r="A707" s="900"/>
      <c r="B707" s="900"/>
      <c r="C707" s="900"/>
      <c r="D707" s="900"/>
      <c r="E707" s="900"/>
      <c r="F707" s="900"/>
      <c r="G707" s="900"/>
      <c r="H707" s="900"/>
      <c r="I707" s="905"/>
      <c r="J707" s="905"/>
      <c r="K707" s="906"/>
      <c r="L707" s="900"/>
      <c r="M707" s="900"/>
      <c r="N707" s="900"/>
      <c r="O707" s="900"/>
      <c r="P707" s="900"/>
      <c r="Q707" s="900"/>
      <c r="R707" s="900"/>
      <c r="S707" s="900"/>
      <c r="T707" s="900"/>
      <c r="U707" s="900"/>
      <c r="V707" s="900"/>
      <c r="W707" s="900"/>
      <c r="X707" s="900"/>
      <c r="Y707" s="900"/>
      <c r="Z707" s="900"/>
      <c r="AA707" s="900"/>
      <c r="AB707" s="900"/>
    </row>
    <row r="708">
      <c r="A708" s="900"/>
      <c r="B708" s="900"/>
      <c r="C708" s="900"/>
      <c r="D708" s="900"/>
      <c r="E708" s="900"/>
      <c r="F708" s="900"/>
      <c r="G708" s="900"/>
      <c r="H708" s="900"/>
      <c r="I708" s="905"/>
      <c r="J708" s="905"/>
      <c r="K708" s="906"/>
      <c r="L708" s="900"/>
      <c r="M708" s="900"/>
      <c r="N708" s="900"/>
      <c r="O708" s="900"/>
      <c r="P708" s="900"/>
      <c r="Q708" s="900"/>
      <c r="R708" s="900"/>
      <c r="S708" s="900"/>
      <c r="T708" s="900"/>
      <c r="U708" s="900"/>
      <c r="V708" s="900"/>
      <c r="W708" s="900"/>
      <c r="X708" s="900"/>
      <c r="Y708" s="900"/>
      <c r="Z708" s="900"/>
      <c r="AA708" s="900"/>
      <c r="AB708" s="900"/>
    </row>
    <row r="709">
      <c r="A709" s="900"/>
      <c r="B709" s="900"/>
      <c r="C709" s="900"/>
      <c r="D709" s="900"/>
      <c r="E709" s="900"/>
      <c r="F709" s="900"/>
      <c r="G709" s="900"/>
      <c r="H709" s="900"/>
      <c r="I709" s="905"/>
      <c r="J709" s="905"/>
      <c r="K709" s="906"/>
      <c r="L709" s="900"/>
      <c r="M709" s="900"/>
      <c r="N709" s="900"/>
      <c r="O709" s="900"/>
      <c r="P709" s="900"/>
      <c r="Q709" s="900"/>
      <c r="R709" s="900"/>
      <c r="S709" s="900"/>
      <c r="T709" s="900"/>
      <c r="U709" s="900"/>
      <c r="V709" s="900"/>
      <c r="W709" s="900"/>
      <c r="X709" s="900"/>
      <c r="Y709" s="900"/>
      <c r="Z709" s="900"/>
      <c r="AA709" s="900"/>
      <c r="AB709" s="900"/>
    </row>
    <row r="710">
      <c r="A710" s="900"/>
      <c r="B710" s="900"/>
      <c r="C710" s="900"/>
      <c r="D710" s="900"/>
      <c r="E710" s="900"/>
      <c r="F710" s="900"/>
      <c r="G710" s="900"/>
      <c r="H710" s="900"/>
      <c r="I710" s="905"/>
      <c r="J710" s="905"/>
      <c r="K710" s="906"/>
      <c r="L710" s="900"/>
      <c r="M710" s="900"/>
      <c r="N710" s="900"/>
      <c r="O710" s="900"/>
      <c r="P710" s="900"/>
      <c r="Q710" s="900"/>
      <c r="R710" s="900"/>
      <c r="S710" s="900"/>
      <c r="T710" s="900"/>
      <c r="U710" s="900"/>
      <c r="V710" s="900"/>
      <c r="W710" s="900"/>
      <c r="X710" s="900"/>
      <c r="Y710" s="900"/>
      <c r="Z710" s="900"/>
      <c r="AA710" s="900"/>
      <c r="AB710" s="900"/>
    </row>
    <row r="711">
      <c r="A711" s="900"/>
      <c r="B711" s="900"/>
      <c r="C711" s="900"/>
      <c r="D711" s="900"/>
      <c r="E711" s="900"/>
      <c r="F711" s="900"/>
      <c r="G711" s="900"/>
      <c r="H711" s="900"/>
      <c r="I711" s="905"/>
      <c r="J711" s="905"/>
      <c r="K711" s="906"/>
      <c r="L711" s="900"/>
      <c r="M711" s="900"/>
      <c r="N711" s="900"/>
      <c r="O711" s="900"/>
      <c r="P711" s="900"/>
      <c r="Q711" s="900"/>
      <c r="R711" s="900"/>
      <c r="S711" s="900"/>
      <c r="T711" s="900"/>
      <c r="U711" s="900"/>
      <c r="V711" s="900"/>
      <c r="W711" s="900"/>
      <c r="X711" s="900"/>
      <c r="Y711" s="900"/>
      <c r="Z711" s="900"/>
      <c r="AA711" s="900"/>
      <c r="AB711" s="900"/>
    </row>
    <row r="712">
      <c r="A712" s="900"/>
      <c r="B712" s="900"/>
      <c r="C712" s="900"/>
      <c r="D712" s="900"/>
      <c r="E712" s="900"/>
      <c r="F712" s="900"/>
      <c r="G712" s="900"/>
      <c r="H712" s="900"/>
      <c r="I712" s="905"/>
      <c r="J712" s="905"/>
      <c r="K712" s="906"/>
      <c r="L712" s="900"/>
      <c r="M712" s="900"/>
      <c r="N712" s="900"/>
      <c r="O712" s="900"/>
      <c r="P712" s="900"/>
      <c r="Q712" s="900"/>
      <c r="R712" s="900"/>
      <c r="S712" s="900"/>
      <c r="T712" s="900"/>
      <c r="U712" s="900"/>
      <c r="V712" s="900"/>
      <c r="W712" s="900"/>
      <c r="X712" s="900"/>
      <c r="Y712" s="900"/>
      <c r="Z712" s="900"/>
      <c r="AA712" s="900"/>
      <c r="AB712" s="900"/>
    </row>
    <row r="713">
      <c r="A713" s="900"/>
      <c r="B713" s="900"/>
      <c r="C713" s="900"/>
      <c r="D713" s="900"/>
      <c r="E713" s="900"/>
      <c r="F713" s="900"/>
      <c r="G713" s="900"/>
      <c r="H713" s="900"/>
      <c r="I713" s="905"/>
      <c r="J713" s="905"/>
      <c r="K713" s="906"/>
      <c r="L713" s="900"/>
      <c r="M713" s="900"/>
      <c r="N713" s="900"/>
      <c r="O713" s="900"/>
      <c r="P713" s="900"/>
      <c r="Q713" s="900"/>
      <c r="R713" s="900"/>
      <c r="S713" s="900"/>
      <c r="T713" s="900"/>
      <c r="U713" s="900"/>
      <c r="V713" s="900"/>
      <c r="W713" s="900"/>
      <c r="X713" s="900"/>
      <c r="Y713" s="900"/>
      <c r="Z713" s="900"/>
      <c r="AA713" s="900"/>
      <c r="AB713" s="900"/>
    </row>
    <row r="714">
      <c r="A714" s="900"/>
      <c r="B714" s="900"/>
      <c r="C714" s="900"/>
      <c r="D714" s="900"/>
      <c r="E714" s="900"/>
      <c r="F714" s="900"/>
      <c r="G714" s="900"/>
      <c r="H714" s="900"/>
      <c r="I714" s="905"/>
      <c r="J714" s="905"/>
      <c r="K714" s="906"/>
      <c r="L714" s="900"/>
      <c r="M714" s="900"/>
      <c r="N714" s="900"/>
      <c r="O714" s="900"/>
      <c r="P714" s="900"/>
      <c r="Q714" s="900"/>
      <c r="R714" s="900"/>
      <c r="S714" s="900"/>
      <c r="T714" s="900"/>
      <c r="U714" s="900"/>
      <c r="V714" s="900"/>
      <c r="W714" s="900"/>
      <c r="X714" s="900"/>
      <c r="Y714" s="900"/>
      <c r="Z714" s="900"/>
      <c r="AA714" s="900"/>
      <c r="AB714" s="900"/>
    </row>
    <row r="715">
      <c r="A715" s="900"/>
      <c r="B715" s="900"/>
      <c r="C715" s="900"/>
      <c r="D715" s="900"/>
      <c r="E715" s="900"/>
      <c r="F715" s="900"/>
      <c r="G715" s="900"/>
      <c r="H715" s="900"/>
      <c r="I715" s="905"/>
      <c r="J715" s="905"/>
      <c r="K715" s="906"/>
      <c r="L715" s="900"/>
      <c r="M715" s="900"/>
      <c r="N715" s="900"/>
      <c r="O715" s="900"/>
      <c r="P715" s="900"/>
      <c r="Q715" s="900"/>
      <c r="R715" s="900"/>
      <c r="S715" s="900"/>
      <c r="T715" s="900"/>
      <c r="U715" s="900"/>
      <c r="V715" s="900"/>
      <c r="W715" s="900"/>
      <c r="X715" s="900"/>
      <c r="Y715" s="900"/>
      <c r="Z715" s="900"/>
      <c r="AA715" s="900"/>
      <c r="AB715" s="900"/>
    </row>
    <row r="716">
      <c r="A716" s="900"/>
      <c r="B716" s="900"/>
      <c r="C716" s="900"/>
      <c r="D716" s="900"/>
      <c r="E716" s="900"/>
      <c r="F716" s="900"/>
      <c r="G716" s="900"/>
      <c r="H716" s="900"/>
      <c r="I716" s="905"/>
      <c r="J716" s="905"/>
      <c r="K716" s="906"/>
      <c r="L716" s="900"/>
      <c r="M716" s="900"/>
      <c r="N716" s="900"/>
      <c r="O716" s="900"/>
      <c r="P716" s="900"/>
      <c r="Q716" s="900"/>
      <c r="R716" s="900"/>
      <c r="S716" s="900"/>
      <c r="T716" s="900"/>
      <c r="U716" s="900"/>
      <c r="V716" s="900"/>
      <c r="W716" s="900"/>
      <c r="X716" s="900"/>
      <c r="Y716" s="900"/>
      <c r="Z716" s="900"/>
      <c r="AA716" s="900"/>
      <c r="AB716" s="900"/>
    </row>
    <row r="717">
      <c r="A717" s="900"/>
      <c r="B717" s="900"/>
      <c r="C717" s="900"/>
      <c r="D717" s="900"/>
      <c r="E717" s="900"/>
      <c r="F717" s="900"/>
      <c r="G717" s="900"/>
      <c r="H717" s="900"/>
      <c r="I717" s="905"/>
      <c r="J717" s="905"/>
      <c r="K717" s="906"/>
      <c r="L717" s="900"/>
      <c r="M717" s="900"/>
      <c r="N717" s="900"/>
      <c r="O717" s="900"/>
      <c r="P717" s="900"/>
      <c r="Q717" s="900"/>
      <c r="R717" s="900"/>
      <c r="S717" s="900"/>
      <c r="T717" s="900"/>
      <c r="U717" s="900"/>
      <c r="V717" s="900"/>
      <c r="W717" s="900"/>
      <c r="X717" s="900"/>
      <c r="Y717" s="900"/>
      <c r="Z717" s="900"/>
      <c r="AA717" s="900"/>
      <c r="AB717" s="900"/>
    </row>
    <row r="718">
      <c r="A718" s="900"/>
      <c r="B718" s="900"/>
      <c r="C718" s="900"/>
      <c r="D718" s="900"/>
      <c r="E718" s="900"/>
      <c r="F718" s="900"/>
      <c r="G718" s="900"/>
      <c r="H718" s="900"/>
      <c r="I718" s="905"/>
      <c r="J718" s="905"/>
      <c r="K718" s="906"/>
      <c r="L718" s="900"/>
      <c r="M718" s="900"/>
      <c r="N718" s="900"/>
      <c r="O718" s="900"/>
      <c r="P718" s="900"/>
      <c r="Q718" s="900"/>
      <c r="R718" s="900"/>
      <c r="S718" s="900"/>
      <c r="T718" s="900"/>
      <c r="U718" s="900"/>
      <c r="V718" s="900"/>
      <c r="W718" s="900"/>
      <c r="X718" s="900"/>
      <c r="Y718" s="900"/>
      <c r="Z718" s="900"/>
      <c r="AA718" s="900"/>
      <c r="AB718" s="900"/>
    </row>
    <row r="719">
      <c r="A719" s="900"/>
      <c r="B719" s="900"/>
      <c r="C719" s="900"/>
      <c r="D719" s="900"/>
      <c r="E719" s="900"/>
      <c r="F719" s="900"/>
      <c r="G719" s="900"/>
      <c r="H719" s="900"/>
      <c r="I719" s="905"/>
      <c r="J719" s="905"/>
      <c r="K719" s="906"/>
      <c r="L719" s="900"/>
      <c r="M719" s="900"/>
      <c r="N719" s="900"/>
      <c r="O719" s="900"/>
      <c r="P719" s="900"/>
      <c r="Q719" s="900"/>
      <c r="R719" s="900"/>
      <c r="S719" s="900"/>
      <c r="T719" s="900"/>
      <c r="U719" s="900"/>
      <c r="V719" s="900"/>
      <c r="W719" s="900"/>
      <c r="X719" s="900"/>
      <c r="Y719" s="900"/>
      <c r="Z719" s="900"/>
      <c r="AA719" s="900"/>
      <c r="AB719" s="900"/>
    </row>
    <row r="720">
      <c r="A720" s="900"/>
      <c r="B720" s="900"/>
      <c r="C720" s="900"/>
      <c r="D720" s="900"/>
      <c r="E720" s="900"/>
      <c r="F720" s="900"/>
      <c r="G720" s="900"/>
      <c r="H720" s="900"/>
      <c r="I720" s="905"/>
      <c r="J720" s="905"/>
      <c r="K720" s="906"/>
      <c r="L720" s="900"/>
      <c r="M720" s="900"/>
      <c r="N720" s="900"/>
      <c r="O720" s="900"/>
      <c r="P720" s="900"/>
      <c r="Q720" s="900"/>
      <c r="R720" s="900"/>
      <c r="S720" s="900"/>
      <c r="T720" s="900"/>
      <c r="U720" s="900"/>
      <c r="V720" s="900"/>
      <c r="W720" s="900"/>
      <c r="X720" s="900"/>
      <c r="Y720" s="900"/>
      <c r="Z720" s="900"/>
      <c r="AA720" s="900"/>
      <c r="AB720" s="900"/>
    </row>
    <row r="721">
      <c r="A721" s="900"/>
      <c r="B721" s="900"/>
      <c r="C721" s="900"/>
      <c r="D721" s="900"/>
      <c r="E721" s="900"/>
      <c r="F721" s="900"/>
      <c r="G721" s="900"/>
      <c r="H721" s="900"/>
      <c r="I721" s="905"/>
      <c r="J721" s="905"/>
      <c r="K721" s="906"/>
      <c r="L721" s="900"/>
      <c r="M721" s="900"/>
      <c r="N721" s="900"/>
      <c r="O721" s="900"/>
      <c r="P721" s="900"/>
      <c r="Q721" s="900"/>
      <c r="R721" s="900"/>
      <c r="S721" s="900"/>
      <c r="T721" s="900"/>
      <c r="U721" s="900"/>
      <c r="V721" s="900"/>
      <c r="W721" s="900"/>
      <c r="X721" s="900"/>
      <c r="Y721" s="900"/>
      <c r="Z721" s="900"/>
      <c r="AA721" s="900"/>
      <c r="AB721" s="900"/>
    </row>
    <row r="722">
      <c r="A722" s="900"/>
      <c r="B722" s="900"/>
      <c r="C722" s="900"/>
      <c r="D722" s="900"/>
      <c r="E722" s="900"/>
      <c r="F722" s="900"/>
      <c r="G722" s="900"/>
      <c r="H722" s="900"/>
      <c r="I722" s="905"/>
      <c r="J722" s="905"/>
      <c r="K722" s="906"/>
      <c r="L722" s="900"/>
      <c r="M722" s="900"/>
      <c r="N722" s="900"/>
      <c r="O722" s="900"/>
      <c r="P722" s="900"/>
      <c r="Q722" s="900"/>
      <c r="R722" s="900"/>
      <c r="S722" s="900"/>
      <c r="T722" s="900"/>
      <c r="U722" s="900"/>
      <c r="V722" s="900"/>
      <c r="W722" s="900"/>
      <c r="X722" s="900"/>
      <c r="Y722" s="900"/>
      <c r="Z722" s="900"/>
      <c r="AA722" s="900"/>
      <c r="AB722" s="900"/>
    </row>
    <row r="723">
      <c r="A723" s="900"/>
      <c r="B723" s="900"/>
      <c r="C723" s="900"/>
      <c r="D723" s="900"/>
      <c r="E723" s="900"/>
      <c r="F723" s="900"/>
      <c r="G723" s="900"/>
      <c r="H723" s="900"/>
      <c r="I723" s="905"/>
      <c r="J723" s="905"/>
      <c r="K723" s="906"/>
      <c r="L723" s="900"/>
      <c r="M723" s="900"/>
      <c r="N723" s="900"/>
      <c r="O723" s="900"/>
      <c r="P723" s="900"/>
      <c r="Q723" s="900"/>
      <c r="R723" s="900"/>
      <c r="S723" s="900"/>
      <c r="T723" s="900"/>
      <c r="U723" s="900"/>
      <c r="V723" s="900"/>
      <c r="W723" s="900"/>
      <c r="X723" s="900"/>
      <c r="Y723" s="900"/>
      <c r="Z723" s="900"/>
      <c r="AA723" s="900"/>
      <c r="AB723" s="900"/>
    </row>
    <row r="724">
      <c r="A724" s="900"/>
      <c r="B724" s="900"/>
      <c r="C724" s="900"/>
      <c r="D724" s="900"/>
      <c r="E724" s="900"/>
      <c r="F724" s="900"/>
      <c r="G724" s="900"/>
      <c r="H724" s="900"/>
      <c r="I724" s="905"/>
      <c r="J724" s="905"/>
      <c r="K724" s="906"/>
      <c r="L724" s="900"/>
      <c r="M724" s="900"/>
      <c r="N724" s="900"/>
      <c r="O724" s="900"/>
      <c r="P724" s="900"/>
      <c r="Q724" s="900"/>
      <c r="R724" s="900"/>
      <c r="S724" s="900"/>
      <c r="T724" s="900"/>
      <c r="U724" s="900"/>
      <c r="V724" s="900"/>
      <c r="W724" s="900"/>
      <c r="X724" s="900"/>
      <c r="Y724" s="900"/>
      <c r="Z724" s="900"/>
      <c r="AA724" s="900"/>
      <c r="AB724" s="900"/>
    </row>
    <row r="725">
      <c r="A725" s="900"/>
      <c r="B725" s="900"/>
      <c r="C725" s="900"/>
      <c r="D725" s="900"/>
      <c r="E725" s="900"/>
      <c r="F725" s="900"/>
      <c r="G725" s="900"/>
      <c r="H725" s="900"/>
      <c r="I725" s="905"/>
      <c r="J725" s="905"/>
      <c r="K725" s="906"/>
      <c r="L725" s="900"/>
      <c r="M725" s="900"/>
      <c r="N725" s="900"/>
      <c r="O725" s="900"/>
      <c r="P725" s="900"/>
      <c r="Q725" s="900"/>
      <c r="R725" s="900"/>
      <c r="S725" s="900"/>
      <c r="T725" s="900"/>
      <c r="U725" s="900"/>
      <c r="V725" s="900"/>
      <c r="W725" s="900"/>
      <c r="X725" s="900"/>
      <c r="Y725" s="900"/>
      <c r="Z725" s="900"/>
      <c r="AA725" s="900"/>
      <c r="AB725" s="900"/>
    </row>
    <row r="726">
      <c r="A726" s="900"/>
      <c r="B726" s="900"/>
      <c r="C726" s="900"/>
      <c r="D726" s="900"/>
      <c r="E726" s="900"/>
      <c r="F726" s="900"/>
      <c r="G726" s="900"/>
      <c r="H726" s="900"/>
      <c r="I726" s="905"/>
      <c r="J726" s="905"/>
      <c r="K726" s="906"/>
      <c r="L726" s="900"/>
      <c r="M726" s="900"/>
      <c r="N726" s="900"/>
      <c r="O726" s="900"/>
      <c r="P726" s="900"/>
      <c r="Q726" s="900"/>
      <c r="R726" s="900"/>
      <c r="S726" s="900"/>
      <c r="T726" s="900"/>
      <c r="U726" s="900"/>
      <c r="V726" s="900"/>
      <c r="W726" s="900"/>
      <c r="X726" s="900"/>
      <c r="Y726" s="900"/>
      <c r="Z726" s="900"/>
      <c r="AA726" s="900"/>
      <c r="AB726" s="900"/>
    </row>
    <row r="727">
      <c r="A727" s="900"/>
      <c r="B727" s="900"/>
      <c r="C727" s="900"/>
      <c r="D727" s="900"/>
      <c r="E727" s="900"/>
      <c r="F727" s="900"/>
      <c r="G727" s="900"/>
      <c r="H727" s="900"/>
      <c r="I727" s="905"/>
      <c r="J727" s="905"/>
      <c r="K727" s="906"/>
      <c r="L727" s="900"/>
      <c r="M727" s="900"/>
      <c r="N727" s="900"/>
      <c r="O727" s="900"/>
      <c r="P727" s="900"/>
      <c r="Q727" s="900"/>
      <c r="R727" s="900"/>
      <c r="S727" s="900"/>
      <c r="T727" s="900"/>
      <c r="U727" s="900"/>
      <c r="V727" s="900"/>
      <c r="W727" s="900"/>
      <c r="X727" s="900"/>
      <c r="Y727" s="900"/>
      <c r="Z727" s="900"/>
      <c r="AA727" s="900"/>
      <c r="AB727" s="900"/>
    </row>
    <row r="728">
      <c r="A728" s="900"/>
      <c r="B728" s="900"/>
      <c r="C728" s="900"/>
      <c r="D728" s="900"/>
      <c r="E728" s="900"/>
      <c r="F728" s="900"/>
      <c r="G728" s="900"/>
      <c r="H728" s="900"/>
      <c r="I728" s="905"/>
      <c r="J728" s="905"/>
      <c r="K728" s="906"/>
      <c r="L728" s="900"/>
      <c r="M728" s="900"/>
      <c r="N728" s="900"/>
      <c r="O728" s="900"/>
      <c r="P728" s="900"/>
      <c r="Q728" s="900"/>
      <c r="R728" s="900"/>
      <c r="S728" s="900"/>
      <c r="T728" s="900"/>
      <c r="U728" s="900"/>
      <c r="V728" s="900"/>
      <c r="W728" s="900"/>
      <c r="X728" s="900"/>
      <c r="Y728" s="900"/>
      <c r="Z728" s="900"/>
      <c r="AA728" s="900"/>
      <c r="AB728" s="900"/>
    </row>
    <row r="729">
      <c r="A729" s="900"/>
      <c r="B729" s="900"/>
      <c r="C729" s="900"/>
      <c r="D729" s="900"/>
      <c r="E729" s="900"/>
      <c r="F729" s="900"/>
      <c r="G729" s="900"/>
      <c r="H729" s="900"/>
      <c r="I729" s="905"/>
      <c r="J729" s="905"/>
      <c r="K729" s="906"/>
      <c r="L729" s="900"/>
      <c r="M729" s="900"/>
      <c r="N729" s="900"/>
      <c r="O729" s="900"/>
      <c r="P729" s="900"/>
      <c r="Q729" s="900"/>
      <c r="R729" s="900"/>
      <c r="S729" s="900"/>
      <c r="T729" s="900"/>
      <c r="U729" s="900"/>
      <c r="V729" s="900"/>
      <c r="W729" s="900"/>
      <c r="X729" s="900"/>
      <c r="Y729" s="900"/>
      <c r="Z729" s="900"/>
      <c r="AA729" s="900"/>
      <c r="AB729" s="900"/>
    </row>
    <row r="730">
      <c r="A730" s="900"/>
      <c r="B730" s="900"/>
      <c r="C730" s="900"/>
      <c r="D730" s="900"/>
      <c r="E730" s="900"/>
      <c r="F730" s="900"/>
      <c r="G730" s="900"/>
      <c r="H730" s="900"/>
      <c r="I730" s="905"/>
      <c r="J730" s="905"/>
      <c r="K730" s="906"/>
      <c r="L730" s="900"/>
      <c r="M730" s="900"/>
      <c r="N730" s="900"/>
      <c r="O730" s="900"/>
      <c r="P730" s="900"/>
      <c r="Q730" s="900"/>
      <c r="R730" s="900"/>
      <c r="S730" s="900"/>
      <c r="T730" s="900"/>
      <c r="U730" s="900"/>
      <c r="V730" s="900"/>
      <c r="W730" s="900"/>
      <c r="X730" s="900"/>
      <c r="Y730" s="900"/>
      <c r="Z730" s="900"/>
      <c r="AA730" s="900"/>
      <c r="AB730" s="900"/>
    </row>
    <row r="731">
      <c r="A731" s="900"/>
      <c r="B731" s="900"/>
      <c r="C731" s="900"/>
      <c r="D731" s="900"/>
      <c r="E731" s="900"/>
      <c r="F731" s="900"/>
      <c r="G731" s="900"/>
      <c r="H731" s="900"/>
      <c r="I731" s="905"/>
      <c r="J731" s="905"/>
      <c r="K731" s="906"/>
      <c r="L731" s="900"/>
      <c r="M731" s="900"/>
      <c r="N731" s="900"/>
      <c r="O731" s="900"/>
      <c r="P731" s="900"/>
      <c r="Q731" s="900"/>
      <c r="R731" s="900"/>
      <c r="S731" s="900"/>
      <c r="T731" s="900"/>
      <c r="U731" s="900"/>
      <c r="V731" s="900"/>
      <c r="W731" s="900"/>
      <c r="X731" s="900"/>
      <c r="Y731" s="900"/>
      <c r="Z731" s="900"/>
      <c r="AA731" s="900"/>
      <c r="AB731" s="900"/>
    </row>
    <row r="732">
      <c r="A732" s="900"/>
      <c r="B732" s="900"/>
      <c r="C732" s="900"/>
      <c r="D732" s="900"/>
      <c r="E732" s="900"/>
      <c r="F732" s="900"/>
      <c r="G732" s="900"/>
      <c r="H732" s="900"/>
      <c r="I732" s="905"/>
      <c r="J732" s="905"/>
      <c r="K732" s="906"/>
      <c r="L732" s="900"/>
      <c r="M732" s="900"/>
      <c r="N732" s="900"/>
      <c r="O732" s="900"/>
      <c r="P732" s="900"/>
      <c r="Q732" s="900"/>
      <c r="R732" s="900"/>
      <c r="S732" s="900"/>
      <c r="T732" s="900"/>
      <c r="U732" s="900"/>
      <c r="V732" s="900"/>
      <c r="W732" s="900"/>
      <c r="X732" s="900"/>
      <c r="Y732" s="900"/>
      <c r="Z732" s="900"/>
      <c r="AA732" s="900"/>
      <c r="AB732" s="900"/>
    </row>
    <row r="733">
      <c r="A733" s="900"/>
      <c r="B733" s="900"/>
      <c r="C733" s="900"/>
      <c r="D733" s="900"/>
      <c r="E733" s="900"/>
      <c r="F733" s="900"/>
      <c r="G733" s="900"/>
      <c r="H733" s="900"/>
      <c r="I733" s="905"/>
      <c r="J733" s="905"/>
      <c r="K733" s="906"/>
      <c r="L733" s="900"/>
      <c r="M733" s="900"/>
      <c r="N733" s="900"/>
      <c r="O733" s="900"/>
      <c r="P733" s="900"/>
      <c r="Q733" s="900"/>
      <c r="R733" s="900"/>
      <c r="S733" s="900"/>
      <c r="T733" s="900"/>
      <c r="U733" s="900"/>
      <c r="V733" s="900"/>
      <c r="W733" s="900"/>
      <c r="X733" s="900"/>
      <c r="Y733" s="900"/>
      <c r="Z733" s="900"/>
      <c r="AA733" s="900"/>
      <c r="AB733" s="900"/>
    </row>
    <row r="734">
      <c r="A734" s="900"/>
      <c r="B734" s="900"/>
      <c r="C734" s="900"/>
      <c r="D734" s="900"/>
      <c r="E734" s="900"/>
      <c r="F734" s="900"/>
      <c r="G734" s="900"/>
      <c r="H734" s="900"/>
      <c r="I734" s="905"/>
      <c r="J734" s="905"/>
      <c r="K734" s="906"/>
      <c r="L734" s="900"/>
      <c r="M734" s="900"/>
      <c r="N734" s="900"/>
      <c r="O734" s="900"/>
      <c r="P734" s="900"/>
      <c r="Q734" s="900"/>
      <c r="R734" s="900"/>
      <c r="S734" s="900"/>
      <c r="T734" s="900"/>
      <c r="U734" s="900"/>
      <c r="V734" s="900"/>
      <c r="W734" s="900"/>
      <c r="X734" s="900"/>
      <c r="Y734" s="900"/>
      <c r="Z734" s="900"/>
      <c r="AA734" s="900"/>
      <c r="AB734" s="900"/>
    </row>
    <row r="735">
      <c r="A735" s="900"/>
      <c r="B735" s="900"/>
      <c r="C735" s="900"/>
      <c r="D735" s="900"/>
      <c r="E735" s="900"/>
      <c r="F735" s="900"/>
      <c r="G735" s="900"/>
      <c r="H735" s="900"/>
      <c r="I735" s="905"/>
      <c r="J735" s="905"/>
      <c r="K735" s="906"/>
      <c r="L735" s="900"/>
      <c r="M735" s="900"/>
      <c r="N735" s="900"/>
      <c r="O735" s="900"/>
      <c r="P735" s="900"/>
      <c r="Q735" s="900"/>
      <c r="R735" s="900"/>
      <c r="S735" s="900"/>
      <c r="T735" s="900"/>
      <c r="U735" s="900"/>
      <c r="V735" s="900"/>
      <c r="W735" s="900"/>
      <c r="X735" s="900"/>
      <c r="Y735" s="900"/>
      <c r="Z735" s="900"/>
      <c r="AA735" s="900"/>
      <c r="AB735" s="900"/>
    </row>
    <row r="736">
      <c r="A736" s="900"/>
      <c r="B736" s="900"/>
      <c r="C736" s="900"/>
      <c r="D736" s="900"/>
      <c r="E736" s="900"/>
      <c r="F736" s="900"/>
      <c r="G736" s="900"/>
      <c r="H736" s="900"/>
      <c r="I736" s="905"/>
      <c r="J736" s="905"/>
      <c r="K736" s="906"/>
      <c r="L736" s="900"/>
      <c r="M736" s="900"/>
      <c r="N736" s="900"/>
      <c r="O736" s="900"/>
      <c r="P736" s="900"/>
      <c r="Q736" s="900"/>
      <c r="R736" s="900"/>
      <c r="S736" s="900"/>
      <c r="T736" s="900"/>
      <c r="U736" s="900"/>
      <c r="V736" s="900"/>
      <c r="W736" s="900"/>
      <c r="X736" s="900"/>
      <c r="Y736" s="900"/>
      <c r="Z736" s="900"/>
      <c r="AA736" s="900"/>
      <c r="AB736" s="900"/>
    </row>
    <row r="737">
      <c r="A737" s="900"/>
      <c r="B737" s="900"/>
      <c r="C737" s="900"/>
      <c r="D737" s="900"/>
      <c r="E737" s="900"/>
      <c r="F737" s="900"/>
      <c r="G737" s="900"/>
      <c r="H737" s="900"/>
      <c r="I737" s="905"/>
      <c r="J737" s="905"/>
      <c r="K737" s="906"/>
      <c r="L737" s="900"/>
      <c r="M737" s="900"/>
      <c r="N737" s="900"/>
      <c r="O737" s="900"/>
      <c r="P737" s="900"/>
      <c r="Q737" s="900"/>
      <c r="R737" s="900"/>
      <c r="S737" s="900"/>
      <c r="T737" s="900"/>
      <c r="U737" s="900"/>
      <c r="V737" s="900"/>
      <c r="W737" s="900"/>
      <c r="X737" s="900"/>
      <c r="Y737" s="900"/>
      <c r="Z737" s="900"/>
      <c r="AA737" s="900"/>
      <c r="AB737" s="900"/>
    </row>
    <row r="738">
      <c r="A738" s="900"/>
      <c r="B738" s="900"/>
      <c r="C738" s="900"/>
      <c r="D738" s="900"/>
      <c r="E738" s="900"/>
      <c r="F738" s="900"/>
      <c r="G738" s="900"/>
      <c r="H738" s="900"/>
      <c r="I738" s="905"/>
      <c r="J738" s="905"/>
      <c r="K738" s="906"/>
      <c r="L738" s="900"/>
      <c r="M738" s="900"/>
      <c r="N738" s="900"/>
      <c r="O738" s="900"/>
      <c r="P738" s="900"/>
      <c r="Q738" s="900"/>
      <c r="R738" s="900"/>
      <c r="S738" s="900"/>
      <c r="T738" s="900"/>
      <c r="U738" s="900"/>
      <c r="V738" s="900"/>
      <c r="W738" s="900"/>
      <c r="X738" s="900"/>
      <c r="Y738" s="900"/>
      <c r="Z738" s="900"/>
      <c r="AA738" s="900"/>
      <c r="AB738" s="900"/>
    </row>
    <row r="739">
      <c r="A739" s="900"/>
      <c r="B739" s="900"/>
      <c r="C739" s="900"/>
      <c r="D739" s="900"/>
      <c r="E739" s="900"/>
      <c r="F739" s="900"/>
      <c r="G739" s="900"/>
      <c r="H739" s="900"/>
      <c r="I739" s="905"/>
      <c r="J739" s="905"/>
      <c r="K739" s="906"/>
      <c r="L739" s="900"/>
      <c r="M739" s="900"/>
      <c r="N739" s="900"/>
      <c r="O739" s="900"/>
      <c r="P739" s="900"/>
      <c r="Q739" s="900"/>
      <c r="R739" s="900"/>
      <c r="S739" s="900"/>
      <c r="T739" s="900"/>
      <c r="U739" s="900"/>
      <c r="V739" s="900"/>
      <c r="W739" s="900"/>
      <c r="X739" s="900"/>
      <c r="Y739" s="900"/>
      <c r="Z739" s="900"/>
      <c r="AA739" s="900"/>
      <c r="AB739" s="900"/>
    </row>
    <row r="740">
      <c r="A740" s="900"/>
      <c r="B740" s="900"/>
      <c r="C740" s="900"/>
      <c r="D740" s="900"/>
      <c r="E740" s="900"/>
      <c r="F740" s="900"/>
      <c r="G740" s="900"/>
      <c r="H740" s="900"/>
      <c r="I740" s="905"/>
      <c r="J740" s="905"/>
      <c r="K740" s="906"/>
      <c r="L740" s="900"/>
      <c r="M740" s="900"/>
      <c r="N740" s="900"/>
      <c r="O740" s="900"/>
      <c r="P740" s="900"/>
      <c r="Q740" s="900"/>
      <c r="R740" s="900"/>
      <c r="S740" s="900"/>
      <c r="T740" s="900"/>
      <c r="U740" s="900"/>
      <c r="V740" s="900"/>
      <c r="W740" s="900"/>
      <c r="X740" s="900"/>
      <c r="Y740" s="900"/>
      <c r="Z740" s="900"/>
      <c r="AA740" s="900"/>
      <c r="AB740" s="900"/>
    </row>
    <row r="741">
      <c r="A741" s="900"/>
      <c r="B741" s="900"/>
      <c r="C741" s="900"/>
      <c r="D741" s="900"/>
      <c r="E741" s="900"/>
      <c r="F741" s="900"/>
      <c r="G741" s="900"/>
      <c r="H741" s="900"/>
      <c r="I741" s="905"/>
      <c r="J741" s="905"/>
      <c r="K741" s="906"/>
      <c r="L741" s="900"/>
      <c r="M741" s="900"/>
      <c r="N741" s="900"/>
      <c r="O741" s="900"/>
      <c r="P741" s="900"/>
      <c r="Q741" s="900"/>
      <c r="R741" s="900"/>
      <c r="S741" s="900"/>
      <c r="T741" s="900"/>
      <c r="U741" s="900"/>
      <c r="V741" s="900"/>
      <c r="W741" s="900"/>
      <c r="X741" s="900"/>
      <c r="Y741" s="900"/>
      <c r="Z741" s="900"/>
      <c r="AA741" s="900"/>
      <c r="AB741" s="900"/>
    </row>
    <row r="742">
      <c r="A742" s="900"/>
      <c r="B742" s="900"/>
      <c r="C742" s="900"/>
      <c r="D742" s="900"/>
      <c r="E742" s="900"/>
      <c r="F742" s="900"/>
      <c r="G742" s="900"/>
      <c r="H742" s="900"/>
      <c r="I742" s="905"/>
      <c r="J742" s="905"/>
      <c r="K742" s="906"/>
      <c r="L742" s="900"/>
      <c r="M742" s="900"/>
      <c r="N742" s="900"/>
      <c r="O742" s="900"/>
      <c r="P742" s="900"/>
      <c r="Q742" s="900"/>
      <c r="R742" s="900"/>
      <c r="S742" s="900"/>
      <c r="T742" s="900"/>
      <c r="U742" s="900"/>
      <c r="V742" s="900"/>
      <c r="W742" s="900"/>
      <c r="X742" s="900"/>
      <c r="Y742" s="900"/>
      <c r="Z742" s="900"/>
      <c r="AA742" s="900"/>
      <c r="AB742" s="900"/>
    </row>
    <row r="743">
      <c r="A743" s="900"/>
      <c r="B743" s="900"/>
      <c r="C743" s="900"/>
      <c r="D743" s="900"/>
      <c r="E743" s="900"/>
      <c r="F743" s="900"/>
      <c r="G743" s="900"/>
      <c r="H743" s="900"/>
      <c r="I743" s="905"/>
      <c r="J743" s="905"/>
      <c r="K743" s="906"/>
      <c r="L743" s="900"/>
      <c r="M743" s="900"/>
      <c r="N743" s="900"/>
      <c r="O743" s="900"/>
      <c r="P743" s="900"/>
      <c r="Q743" s="900"/>
      <c r="R743" s="900"/>
      <c r="S743" s="900"/>
      <c r="T743" s="900"/>
      <c r="U743" s="900"/>
      <c r="V743" s="900"/>
      <c r="W743" s="900"/>
      <c r="X743" s="900"/>
      <c r="Y743" s="900"/>
      <c r="Z743" s="900"/>
      <c r="AA743" s="900"/>
      <c r="AB743" s="900"/>
    </row>
    <row r="744">
      <c r="A744" s="900"/>
      <c r="B744" s="900"/>
      <c r="C744" s="900"/>
      <c r="D744" s="900"/>
      <c r="E744" s="900"/>
      <c r="F744" s="900"/>
      <c r="G744" s="900"/>
      <c r="H744" s="900"/>
      <c r="I744" s="905"/>
      <c r="J744" s="905"/>
      <c r="K744" s="906"/>
      <c r="L744" s="900"/>
      <c r="M744" s="900"/>
      <c r="N744" s="900"/>
      <c r="O744" s="900"/>
      <c r="P744" s="900"/>
      <c r="Q744" s="900"/>
      <c r="R744" s="900"/>
      <c r="S744" s="900"/>
      <c r="T744" s="900"/>
      <c r="U744" s="900"/>
      <c r="V744" s="900"/>
      <c r="W744" s="900"/>
      <c r="X744" s="900"/>
      <c r="Y744" s="900"/>
      <c r="Z744" s="900"/>
      <c r="AA744" s="900"/>
      <c r="AB744" s="900"/>
    </row>
    <row r="745">
      <c r="A745" s="900"/>
      <c r="B745" s="900"/>
      <c r="C745" s="900"/>
      <c r="D745" s="900"/>
      <c r="E745" s="900"/>
      <c r="F745" s="900"/>
      <c r="G745" s="900"/>
      <c r="H745" s="900"/>
      <c r="I745" s="905"/>
      <c r="J745" s="905"/>
      <c r="K745" s="906"/>
      <c r="L745" s="900"/>
      <c r="M745" s="900"/>
      <c r="N745" s="900"/>
      <c r="O745" s="900"/>
      <c r="P745" s="900"/>
      <c r="Q745" s="900"/>
      <c r="R745" s="900"/>
      <c r="S745" s="900"/>
      <c r="T745" s="900"/>
      <c r="U745" s="900"/>
      <c r="V745" s="900"/>
      <c r="W745" s="900"/>
      <c r="X745" s="900"/>
      <c r="Y745" s="900"/>
      <c r="Z745" s="900"/>
      <c r="AA745" s="900"/>
      <c r="AB745" s="900"/>
    </row>
    <row r="746">
      <c r="A746" s="900"/>
      <c r="B746" s="900"/>
      <c r="C746" s="900"/>
      <c r="D746" s="900"/>
      <c r="E746" s="900"/>
      <c r="F746" s="900"/>
      <c r="G746" s="900"/>
      <c r="H746" s="900"/>
      <c r="I746" s="905"/>
      <c r="J746" s="905"/>
      <c r="K746" s="906"/>
      <c r="L746" s="900"/>
      <c r="M746" s="900"/>
      <c r="N746" s="900"/>
      <c r="O746" s="900"/>
      <c r="P746" s="900"/>
      <c r="Q746" s="900"/>
      <c r="R746" s="900"/>
      <c r="S746" s="900"/>
      <c r="T746" s="900"/>
      <c r="U746" s="900"/>
      <c r="V746" s="900"/>
      <c r="W746" s="900"/>
      <c r="X746" s="900"/>
      <c r="Y746" s="900"/>
      <c r="Z746" s="900"/>
      <c r="AA746" s="900"/>
      <c r="AB746" s="900"/>
    </row>
    <row r="747">
      <c r="A747" s="900"/>
      <c r="B747" s="900"/>
      <c r="C747" s="900"/>
      <c r="D747" s="900"/>
      <c r="E747" s="900"/>
      <c r="F747" s="900"/>
      <c r="G747" s="900"/>
      <c r="H747" s="900"/>
      <c r="I747" s="905"/>
      <c r="J747" s="905"/>
      <c r="K747" s="906"/>
      <c r="L747" s="900"/>
      <c r="M747" s="900"/>
      <c r="N747" s="900"/>
      <c r="O747" s="900"/>
      <c r="P747" s="900"/>
      <c r="Q747" s="900"/>
      <c r="R747" s="900"/>
      <c r="S747" s="900"/>
      <c r="T747" s="900"/>
      <c r="U747" s="900"/>
      <c r="V747" s="900"/>
      <c r="W747" s="900"/>
      <c r="X747" s="900"/>
      <c r="Y747" s="900"/>
      <c r="Z747" s="900"/>
      <c r="AA747" s="900"/>
      <c r="AB747" s="900"/>
    </row>
    <row r="748">
      <c r="A748" s="900"/>
      <c r="B748" s="900"/>
      <c r="C748" s="900"/>
      <c r="D748" s="900"/>
      <c r="E748" s="900"/>
      <c r="F748" s="900"/>
      <c r="G748" s="900"/>
      <c r="H748" s="900"/>
      <c r="I748" s="905"/>
      <c r="J748" s="905"/>
      <c r="K748" s="906"/>
      <c r="L748" s="900"/>
      <c r="M748" s="900"/>
      <c r="N748" s="900"/>
      <c r="O748" s="900"/>
      <c r="P748" s="900"/>
      <c r="Q748" s="900"/>
      <c r="R748" s="900"/>
      <c r="S748" s="900"/>
      <c r="T748" s="900"/>
      <c r="U748" s="900"/>
      <c r="V748" s="900"/>
      <c r="W748" s="900"/>
      <c r="X748" s="900"/>
      <c r="Y748" s="900"/>
      <c r="Z748" s="900"/>
      <c r="AA748" s="900"/>
      <c r="AB748" s="900"/>
    </row>
    <row r="749">
      <c r="A749" s="900"/>
      <c r="B749" s="900"/>
      <c r="C749" s="900"/>
      <c r="D749" s="900"/>
      <c r="E749" s="900"/>
      <c r="F749" s="900"/>
      <c r="G749" s="900"/>
      <c r="H749" s="900"/>
      <c r="I749" s="905"/>
      <c r="J749" s="905"/>
      <c r="K749" s="906"/>
      <c r="L749" s="900"/>
      <c r="M749" s="900"/>
      <c r="N749" s="900"/>
      <c r="O749" s="900"/>
      <c r="P749" s="900"/>
      <c r="Q749" s="900"/>
      <c r="R749" s="900"/>
      <c r="S749" s="900"/>
      <c r="T749" s="900"/>
      <c r="U749" s="900"/>
      <c r="V749" s="900"/>
      <c r="W749" s="900"/>
      <c r="X749" s="900"/>
      <c r="Y749" s="900"/>
      <c r="Z749" s="900"/>
      <c r="AA749" s="900"/>
      <c r="AB749" s="900"/>
    </row>
    <row r="750">
      <c r="A750" s="900"/>
      <c r="B750" s="900"/>
      <c r="C750" s="900"/>
      <c r="D750" s="900"/>
      <c r="E750" s="900"/>
      <c r="F750" s="900"/>
      <c r="G750" s="900"/>
      <c r="H750" s="900"/>
      <c r="I750" s="905"/>
      <c r="J750" s="905"/>
      <c r="K750" s="906"/>
      <c r="L750" s="900"/>
      <c r="M750" s="900"/>
      <c r="N750" s="900"/>
      <c r="O750" s="900"/>
      <c r="P750" s="900"/>
      <c r="Q750" s="900"/>
      <c r="R750" s="900"/>
      <c r="S750" s="900"/>
      <c r="T750" s="900"/>
      <c r="U750" s="900"/>
      <c r="V750" s="900"/>
      <c r="W750" s="900"/>
      <c r="X750" s="900"/>
      <c r="Y750" s="900"/>
      <c r="Z750" s="900"/>
      <c r="AA750" s="900"/>
      <c r="AB750" s="900"/>
    </row>
    <row r="751">
      <c r="A751" s="900"/>
      <c r="B751" s="900"/>
      <c r="C751" s="900"/>
      <c r="D751" s="900"/>
      <c r="E751" s="900"/>
      <c r="F751" s="900"/>
      <c r="G751" s="900"/>
      <c r="H751" s="900"/>
      <c r="I751" s="905"/>
      <c r="J751" s="905"/>
      <c r="K751" s="906"/>
      <c r="L751" s="900"/>
      <c r="M751" s="900"/>
      <c r="N751" s="900"/>
      <c r="O751" s="900"/>
      <c r="P751" s="900"/>
      <c r="Q751" s="900"/>
      <c r="R751" s="900"/>
      <c r="S751" s="900"/>
      <c r="T751" s="900"/>
      <c r="U751" s="900"/>
      <c r="V751" s="900"/>
      <c r="W751" s="900"/>
      <c r="X751" s="900"/>
      <c r="Y751" s="900"/>
      <c r="Z751" s="900"/>
      <c r="AA751" s="900"/>
      <c r="AB751" s="900"/>
    </row>
    <row r="752">
      <c r="A752" s="900"/>
      <c r="B752" s="900"/>
      <c r="C752" s="900"/>
      <c r="D752" s="900"/>
      <c r="E752" s="900"/>
      <c r="F752" s="900"/>
      <c r="G752" s="900"/>
      <c r="H752" s="900"/>
      <c r="I752" s="905"/>
      <c r="J752" s="905"/>
      <c r="K752" s="906"/>
      <c r="L752" s="900"/>
      <c r="M752" s="900"/>
      <c r="N752" s="900"/>
      <c r="O752" s="900"/>
      <c r="P752" s="900"/>
      <c r="Q752" s="900"/>
      <c r="R752" s="900"/>
      <c r="S752" s="900"/>
      <c r="T752" s="900"/>
      <c r="U752" s="900"/>
      <c r="V752" s="900"/>
      <c r="W752" s="900"/>
      <c r="X752" s="900"/>
      <c r="Y752" s="900"/>
      <c r="Z752" s="900"/>
      <c r="AA752" s="900"/>
      <c r="AB752" s="900"/>
    </row>
    <row r="753">
      <c r="A753" s="900"/>
      <c r="B753" s="900"/>
      <c r="C753" s="900"/>
      <c r="D753" s="900"/>
      <c r="E753" s="900"/>
      <c r="F753" s="900"/>
      <c r="G753" s="900"/>
      <c r="H753" s="900"/>
      <c r="I753" s="905"/>
      <c r="J753" s="905"/>
      <c r="K753" s="906"/>
      <c r="L753" s="900"/>
      <c r="M753" s="900"/>
      <c r="N753" s="900"/>
      <c r="O753" s="900"/>
      <c r="P753" s="900"/>
      <c r="Q753" s="900"/>
      <c r="R753" s="900"/>
      <c r="S753" s="900"/>
      <c r="T753" s="900"/>
      <c r="U753" s="900"/>
      <c r="V753" s="900"/>
      <c r="W753" s="900"/>
      <c r="X753" s="900"/>
      <c r="Y753" s="900"/>
      <c r="Z753" s="900"/>
      <c r="AA753" s="900"/>
      <c r="AB753" s="900"/>
    </row>
    <row r="754">
      <c r="A754" s="900"/>
      <c r="B754" s="900"/>
      <c r="C754" s="900"/>
      <c r="D754" s="900"/>
      <c r="E754" s="900"/>
      <c r="F754" s="900"/>
      <c r="G754" s="900"/>
      <c r="H754" s="900"/>
      <c r="I754" s="905"/>
      <c r="J754" s="905"/>
      <c r="K754" s="906"/>
      <c r="L754" s="900"/>
      <c r="M754" s="900"/>
      <c r="N754" s="900"/>
      <c r="O754" s="900"/>
      <c r="P754" s="900"/>
      <c r="Q754" s="900"/>
      <c r="R754" s="900"/>
      <c r="S754" s="900"/>
      <c r="T754" s="900"/>
      <c r="U754" s="900"/>
      <c r="V754" s="900"/>
      <c r="W754" s="900"/>
      <c r="X754" s="900"/>
      <c r="Y754" s="900"/>
      <c r="Z754" s="900"/>
      <c r="AA754" s="900"/>
      <c r="AB754" s="900"/>
    </row>
    <row r="755">
      <c r="A755" s="900"/>
      <c r="B755" s="900"/>
      <c r="C755" s="900"/>
      <c r="D755" s="900"/>
      <c r="E755" s="900"/>
      <c r="F755" s="900"/>
      <c r="G755" s="900"/>
      <c r="H755" s="900"/>
      <c r="I755" s="905"/>
      <c r="J755" s="905"/>
      <c r="K755" s="906"/>
      <c r="L755" s="900"/>
      <c r="M755" s="900"/>
      <c r="N755" s="900"/>
      <c r="O755" s="900"/>
      <c r="P755" s="900"/>
      <c r="Q755" s="900"/>
      <c r="R755" s="900"/>
      <c r="S755" s="900"/>
      <c r="T755" s="900"/>
      <c r="U755" s="900"/>
      <c r="V755" s="900"/>
      <c r="W755" s="900"/>
      <c r="X755" s="900"/>
      <c r="Y755" s="900"/>
      <c r="Z755" s="900"/>
      <c r="AA755" s="900"/>
      <c r="AB755" s="900"/>
    </row>
    <row r="756">
      <c r="A756" s="900"/>
      <c r="B756" s="900"/>
      <c r="C756" s="900"/>
      <c r="D756" s="900"/>
      <c r="E756" s="900"/>
      <c r="F756" s="900"/>
      <c r="G756" s="900"/>
      <c r="H756" s="900"/>
      <c r="I756" s="905"/>
      <c r="J756" s="905"/>
      <c r="K756" s="906"/>
      <c r="L756" s="900"/>
      <c r="M756" s="900"/>
      <c r="N756" s="900"/>
      <c r="O756" s="900"/>
      <c r="P756" s="900"/>
      <c r="Q756" s="900"/>
      <c r="R756" s="900"/>
      <c r="S756" s="900"/>
      <c r="T756" s="900"/>
      <c r="U756" s="900"/>
      <c r="V756" s="900"/>
      <c r="W756" s="900"/>
      <c r="X756" s="900"/>
      <c r="Y756" s="900"/>
      <c r="Z756" s="900"/>
      <c r="AA756" s="900"/>
      <c r="AB756" s="900"/>
    </row>
    <row r="757">
      <c r="A757" s="900"/>
      <c r="B757" s="900"/>
      <c r="C757" s="900"/>
      <c r="D757" s="900"/>
      <c r="E757" s="900"/>
      <c r="F757" s="900"/>
      <c r="G757" s="900"/>
      <c r="H757" s="900"/>
      <c r="I757" s="905"/>
      <c r="J757" s="905"/>
      <c r="K757" s="906"/>
      <c r="L757" s="900"/>
      <c r="M757" s="900"/>
      <c r="N757" s="900"/>
      <c r="O757" s="900"/>
      <c r="P757" s="900"/>
      <c r="Q757" s="900"/>
      <c r="R757" s="900"/>
      <c r="S757" s="900"/>
      <c r="T757" s="900"/>
      <c r="U757" s="900"/>
      <c r="V757" s="900"/>
      <c r="W757" s="900"/>
      <c r="X757" s="900"/>
      <c r="Y757" s="900"/>
      <c r="Z757" s="900"/>
      <c r="AA757" s="900"/>
      <c r="AB757" s="900"/>
    </row>
    <row r="758">
      <c r="A758" s="900"/>
      <c r="B758" s="900"/>
      <c r="C758" s="900"/>
      <c r="D758" s="900"/>
      <c r="E758" s="900"/>
      <c r="F758" s="900"/>
      <c r="G758" s="900"/>
      <c r="H758" s="900"/>
      <c r="I758" s="905"/>
      <c r="J758" s="905"/>
      <c r="K758" s="906"/>
      <c r="L758" s="900"/>
      <c r="M758" s="900"/>
      <c r="N758" s="900"/>
      <c r="O758" s="900"/>
      <c r="P758" s="900"/>
      <c r="Q758" s="900"/>
      <c r="R758" s="900"/>
      <c r="S758" s="900"/>
      <c r="T758" s="900"/>
      <c r="U758" s="900"/>
      <c r="V758" s="900"/>
      <c r="W758" s="900"/>
      <c r="X758" s="900"/>
      <c r="Y758" s="900"/>
      <c r="Z758" s="900"/>
      <c r="AA758" s="900"/>
      <c r="AB758" s="900"/>
    </row>
    <row r="759">
      <c r="A759" s="900"/>
      <c r="B759" s="900"/>
      <c r="C759" s="900"/>
      <c r="D759" s="900"/>
      <c r="E759" s="900"/>
      <c r="F759" s="900"/>
      <c r="G759" s="900"/>
      <c r="H759" s="900"/>
      <c r="I759" s="905"/>
      <c r="J759" s="905"/>
      <c r="K759" s="906"/>
      <c r="L759" s="900"/>
      <c r="M759" s="900"/>
      <c r="N759" s="900"/>
      <c r="O759" s="900"/>
      <c r="P759" s="900"/>
      <c r="Q759" s="900"/>
      <c r="R759" s="900"/>
      <c r="S759" s="900"/>
      <c r="T759" s="900"/>
      <c r="U759" s="900"/>
      <c r="V759" s="900"/>
      <c r="W759" s="900"/>
      <c r="X759" s="900"/>
      <c r="Y759" s="900"/>
      <c r="Z759" s="900"/>
      <c r="AA759" s="900"/>
      <c r="AB759" s="900"/>
    </row>
    <row r="760">
      <c r="A760" s="900"/>
      <c r="B760" s="900"/>
      <c r="C760" s="900"/>
      <c r="D760" s="900"/>
      <c r="E760" s="900"/>
      <c r="F760" s="900"/>
      <c r="G760" s="900"/>
      <c r="H760" s="900"/>
      <c r="I760" s="905"/>
      <c r="J760" s="905"/>
      <c r="K760" s="906"/>
      <c r="L760" s="900"/>
      <c r="M760" s="900"/>
      <c r="N760" s="900"/>
      <c r="O760" s="900"/>
      <c r="P760" s="900"/>
      <c r="Q760" s="900"/>
      <c r="R760" s="900"/>
      <c r="S760" s="900"/>
      <c r="T760" s="900"/>
      <c r="U760" s="900"/>
      <c r="V760" s="900"/>
      <c r="W760" s="900"/>
      <c r="X760" s="900"/>
      <c r="Y760" s="900"/>
      <c r="Z760" s="900"/>
      <c r="AA760" s="900"/>
      <c r="AB760" s="900"/>
    </row>
    <row r="761">
      <c r="A761" s="900"/>
      <c r="B761" s="900"/>
      <c r="C761" s="900"/>
      <c r="D761" s="900"/>
      <c r="E761" s="900"/>
      <c r="F761" s="900"/>
      <c r="G761" s="900"/>
      <c r="H761" s="900"/>
      <c r="I761" s="905"/>
      <c r="J761" s="905"/>
      <c r="K761" s="906"/>
      <c r="L761" s="900"/>
      <c r="M761" s="900"/>
      <c r="N761" s="900"/>
      <c r="O761" s="900"/>
      <c r="P761" s="900"/>
      <c r="Q761" s="900"/>
      <c r="R761" s="900"/>
      <c r="S761" s="900"/>
      <c r="T761" s="900"/>
      <c r="U761" s="900"/>
      <c r="V761" s="900"/>
      <c r="W761" s="900"/>
      <c r="X761" s="900"/>
      <c r="Y761" s="900"/>
      <c r="Z761" s="900"/>
      <c r="AA761" s="900"/>
      <c r="AB761" s="900"/>
    </row>
    <row r="762">
      <c r="A762" s="900"/>
      <c r="B762" s="900"/>
      <c r="C762" s="900"/>
      <c r="D762" s="900"/>
      <c r="E762" s="900"/>
      <c r="F762" s="900"/>
      <c r="G762" s="900"/>
      <c r="H762" s="900"/>
      <c r="I762" s="905"/>
      <c r="J762" s="905"/>
      <c r="K762" s="906"/>
      <c r="L762" s="900"/>
      <c r="M762" s="900"/>
      <c r="N762" s="900"/>
      <c r="O762" s="900"/>
      <c r="P762" s="900"/>
      <c r="Q762" s="900"/>
      <c r="R762" s="900"/>
      <c r="S762" s="900"/>
      <c r="T762" s="900"/>
      <c r="U762" s="900"/>
      <c r="V762" s="900"/>
      <c r="W762" s="900"/>
      <c r="X762" s="900"/>
      <c r="Y762" s="900"/>
      <c r="Z762" s="900"/>
      <c r="AA762" s="900"/>
      <c r="AB762" s="900"/>
    </row>
    <row r="763">
      <c r="A763" s="900"/>
      <c r="B763" s="900"/>
      <c r="C763" s="900"/>
      <c r="D763" s="900"/>
      <c r="E763" s="900"/>
      <c r="F763" s="900"/>
      <c r="G763" s="900"/>
      <c r="H763" s="900"/>
      <c r="I763" s="905"/>
      <c r="J763" s="905"/>
      <c r="K763" s="906"/>
      <c r="L763" s="900"/>
      <c r="M763" s="900"/>
      <c r="N763" s="900"/>
      <c r="O763" s="900"/>
      <c r="P763" s="900"/>
      <c r="Q763" s="900"/>
      <c r="R763" s="900"/>
      <c r="S763" s="900"/>
      <c r="T763" s="900"/>
      <c r="U763" s="900"/>
      <c r="V763" s="900"/>
      <c r="W763" s="900"/>
      <c r="X763" s="900"/>
      <c r="Y763" s="900"/>
      <c r="Z763" s="900"/>
      <c r="AA763" s="900"/>
      <c r="AB763" s="900"/>
    </row>
    <row r="764">
      <c r="A764" s="900"/>
      <c r="B764" s="900"/>
      <c r="C764" s="900"/>
      <c r="D764" s="900"/>
      <c r="E764" s="900"/>
      <c r="F764" s="900"/>
      <c r="G764" s="900"/>
      <c r="H764" s="900"/>
      <c r="I764" s="905"/>
      <c r="J764" s="905"/>
      <c r="K764" s="906"/>
      <c r="L764" s="900"/>
      <c r="M764" s="900"/>
      <c r="N764" s="900"/>
      <c r="O764" s="900"/>
      <c r="P764" s="900"/>
      <c r="Q764" s="900"/>
      <c r="R764" s="900"/>
      <c r="S764" s="900"/>
      <c r="T764" s="900"/>
      <c r="U764" s="900"/>
      <c r="V764" s="900"/>
      <c r="W764" s="900"/>
      <c r="X764" s="900"/>
      <c r="Y764" s="900"/>
      <c r="Z764" s="900"/>
      <c r="AA764" s="900"/>
      <c r="AB764" s="900"/>
    </row>
    <row r="765">
      <c r="A765" s="900"/>
      <c r="B765" s="900"/>
      <c r="C765" s="900"/>
      <c r="D765" s="900"/>
      <c r="E765" s="900"/>
      <c r="F765" s="900"/>
      <c r="G765" s="900"/>
      <c r="H765" s="900"/>
      <c r="I765" s="905"/>
      <c r="J765" s="905"/>
      <c r="K765" s="906"/>
      <c r="L765" s="900"/>
      <c r="M765" s="900"/>
      <c r="N765" s="900"/>
      <c r="O765" s="900"/>
      <c r="P765" s="900"/>
      <c r="Q765" s="900"/>
      <c r="R765" s="900"/>
      <c r="S765" s="900"/>
      <c r="T765" s="900"/>
      <c r="U765" s="900"/>
      <c r="V765" s="900"/>
      <c r="W765" s="900"/>
      <c r="X765" s="900"/>
      <c r="Y765" s="900"/>
      <c r="Z765" s="900"/>
      <c r="AA765" s="900"/>
      <c r="AB765" s="900"/>
    </row>
    <row r="766">
      <c r="A766" s="900"/>
      <c r="B766" s="900"/>
      <c r="C766" s="900"/>
      <c r="D766" s="900"/>
      <c r="E766" s="900"/>
      <c r="F766" s="900"/>
      <c r="G766" s="900"/>
      <c r="H766" s="900"/>
      <c r="I766" s="905"/>
      <c r="J766" s="905"/>
      <c r="K766" s="906"/>
      <c r="L766" s="900"/>
      <c r="M766" s="900"/>
      <c r="N766" s="900"/>
      <c r="O766" s="900"/>
      <c r="P766" s="900"/>
      <c r="Q766" s="900"/>
      <c r="R766" s="900"/>
      <c r="S766" s="900"/>
      <c r="T766" s="900"/>
      <c r="U766" s="900"/>
      <c r="V766" s="900"/>
      <c r="W766" s="900"/>
      <c r="X766" s="900"/>
      <c r="Y766" s="900"/>
      <c r="Z766" s="900"/>
      <c r="AA766" s="900"/>
      <c r="AB766" s="900"/>
    </row>
    <row r="767">
      <c r="A767" s="900"/>
      <c r="B767" s="900"/>
      <c r="C767" s="900"/>
      <c r="D767" s="900"/>
      <c r="E767" s="900"/>
      <c r="F767" s="900"/>
      <c r="G767" s="900"/>
      <c r="H767" s="900"/>
      <c r="I767" s="905"/>
      <c r="J767" s="905"/>
      <c r="K767" s="906"/>
      <c r="L767" s="900"/>
      <c r="M767" s="900"/>
      <c r="N767" s="900"/>
      <c r="O767" s="900"/>
      <c r="P767" s="900"/>
      <c r="Q767" s="900"/>
      <c r="R767" s="900"/>
      <c r="S767" s="900"/>
      <c r="T767" s="900"/>
      <c r="U767" s="900"/>
      <c r="V767" s="900"/>
      <c r="W767" s="900"/>
      <c r="X767" s="900"/>
      <c r="Y767" s="900"/>
      <c r="Z767" s="900"/>
      <c r="AA767" s="900"/>
      <c r="AB767" s="900"/>
    </row>
    <row r="768">
      <c r="A768" s="900"/>
      <c r="B768" s="900"/>
      <c r="C768" s="900"/>
      <c r="D768" s="900"/>
      <c r="E768" s="900"/>
      <c r="F768" s="900"/>
      <c r="G768" s="900"/>
      <c r="H768" s="900"/>
      <c r="I768" s="905"/>
      <c r="J768" s="905"/>
      <c r="K768" s="906"/>
      <c r="L768" s="900"/>
      <c r="M768" s="900"/>
      <c r="N768" s="900"/>
      <c r="O768" s="900"/>
      <c r="P768" s="900"/>
      <c r="Q768" s="900"/>
      <c r="R768" s="900"/>
      <c r="S768" s="900"/>
      <c r="T768" s="900"/>
      <c r="U768" s="900"/>
      <c r="V768" s="900"/>
      <c r="W768" s="900"/>
      <c r="X768" s="900"/>
      <c r="Y768" s="900"/>
      <c r="Z768" s="900"/>
      <c r="AA768" s="900"/>
      <c r="AB768" s="900"/>
    </row>
    <row r="769">
      <c r="A769" s="900"/>
      <c r="B769" s="900"/>
      <c r="C769" s="900"/>
      <c r="D769" s="900"/>
      <c r="E769" s="900"/>
      <c r="F769" s="900"/>
      <c r="G769" s="900"/>
      <c r="H769" s="900"/>
      <c r="I769" s="905"/>
      <c r="J769" s="905"/>
      <c r="K769" s="906"/>
      <c r="L769" s="900"/>
      <c r="M769" s="900"/>
      <c r="N769" s="900"/>
      <c r="O769" s="900"/>
      <c r="P769" s="900"/>
      <c r="Q769" s="900"/>
      <c r="R769" s="900"/>
      <c r="S769" s="900"/>
      <c r="T769" s="900"/>
      <c r="U769" s="900"/>
      <c r="V769" s="900"/>
      <c r="W769" s="900"/>
      <c r="X769" s="900"/>
      <c r="Y769" s="900"/>
      <c r="Z769" s="900"/>
      <c r="AA769" s="900"/>
      <c r="AB769" s="900"/>
    </row>
    <row r="770">
      <c r="A770" s="900"/>
      <c r="B770" s="900"/>
      <c r="C770" s="900"/>
      <c r="D770" s="900"/>
      <c r="E770" s="900"/>
      <c r="F770" s="900"/>
      <c r="G770" s="900"/>
      <c r="H770" s="900"/>
      <c r="I770" s="905"/>
      <c r="J770" s="905"/>
      <c r="K770" s="906"/>
      <c r="L770" s="900"/>
      <c r="M770" s="900"/>
      <c r="N770" s="900"/>
      <c r="O770" s="900"/>
      <c r="P770" s="900"/>
      <c r="Q770" s="900"/>
      <c r="R770" s="900"/>
      <c r="S770" s="900"/>
      <c r="T770" s="900"/>
      <c r="U770" s="900"/>
      <c r="V770" s="900"/>
      <c r="W770" s="900"/>
      <c r="X770" s="900"/>
      <c r="Y770" s="900"/>
      <c r="Z770" s="900"/>
      <c r="AA770" s="900"/>
      <c r="AB770" s="900"/>
    </row>
    <row r="771">
      <c r="A771" s="900"/>
      <c r="B771" s="900"/>
      <c r="C771" s="900"/>
      <c r="D771" s="900"/>
      <c r="E771" s="900"/>
      <c r="F771" s="900"/>
      <c r="G771" s="900"/>
      <c r="H771" s="900"/>
      <c r="I771" s="905"/>
      <c r="J771" s="905"/>
      <c r="K771" s="906"/>
      <c r="L771" s="900"/>
      <c r="M771" s="900"/>
      <c r="N771" s="900"/>
      <c r="O771" s="900"/>
      <c r="P771" s="900"/>
      <c r="Q771" s="900"/>
      <c r="R771" s="900"/>
      <c r="S771" s="900"/>
      <c r="T771" s="900"/>
      <c r="U771" s="900"/>
      <c r="V771" s="900"/>
      <c r="W771" s="900"/>
      <c r="X771" s="900"/>
      <c r="Y771" s="900"/>
      <c r="Z771" s="900"/>
      <c r="AA771" s="900"/>
      <c r="AB771" s="900"/>
    </row>
    <row r="772">
      <c r="A772" s="900"/>
      <c r="B772" s="900"/>
      <c r="C772" s="900"/>
      <c r="D772" s="900"/>
      <c r="E772" s="900"/>
      <c r="F772" s="900"/>
      <c r="G772" s="900"/>
      <c r="H772" s="900"/>
      <c r="I772" s="905"/>
      <c r="J772" s="905"/>
      <c r="K772" s="906"/>
      <c r="L772" s="900"/>
      <c r="M772" s="900"/>
      <c r="N772" s="900"/>
      <c r="O772" s="900"/>
      <c r="P772" s="900"/>
      <c r="Q772" s="900"/>
      <c r="R772" s="900"/>
      <c r="S772" s="900"/>
      <c r="T772" s="900"/>
      <c r="U772" s="900"/>
      <c r="V772" s="900"/>
      <c r="W772" s="900"/>
      <c r="X772" s="900"/>
      <c r="Y772" s="900"/>
      <c r="Z772" s="900"/>
      <c r="AA772" s="900"/>
      <c r="AB772" s="900"/>
    </row>
    <row r="773">
      <c r="A773" s="900"/>
      <c r="B773" s="900"/>
      <c r="C773" s="900"/>
      <c r="D773" s="900"/>
      <c r="E773" s="900"/>
      <c r="F773" s="900"/>
      <c r="G773" s="900"/>
      <c r="H773" s="900"/>
      <c r="I773" s="905"/>
      <c r="J773" s="905"/>
      <c r="K773" s="906"/>
      <c r="L773" s="900"/>
      <c r="M773" s="900"/>
      <c r="N773" s="900"/>
      <c r="O773" s="900"/>
      <c r="P773" s="900"/>
      <c r="Q773" s="900"/>
      <c r="R773" s="900"/>
      <c r="S773" s="900"/>
      <c r="T773" s="900"/>
      <c r="U773" s="900"/>
      <c r="V773" s="900"/>
      <c r="W773" s="900"/>
      <c r="X773" s="900"/>
      <c r="Y773" s="900"/>
      <c r="Z773" s="900"/>
      <c r="AA773" s="900"/>
      <c r="AB773" s="900"/>
    </row>
    <row r="774">
      <c r="A774" s="900"/>
      <c r="B774" s="900"/>
      <c r="C774" s="900"/>
      <c r="D774" s="900"/>
      <c r="E774" s="900"/>
      <c r="F774" s="900"/>
      <c r="G774" s="900"/>
      <c r="H774" s="900"/>
      <c r="I774" s="905"/>
      <c r="J774" s="905"/>
      <c r="K774" s="906"/>
      <c r="L774" s="900"/>
      <c r="M774" s="900"/>
      <c r="N774" s="900"/>
      <c r="O774" s="900"/>
      <c r="P774" s="900"/>
      <c r="Q774" s="900"/>
      <c r="R774" s="900"/>
      <c r="S774" s="900"/>
      <c r="T774" s="900"/>
      <c r="U774" s="900"/>
      <c r="V774" s="900"/>
      <c r="W774" s="900"/>
      <c r="X774" s="900"/>
      <c r="Y774" s="900"/>
      <c r="Z774" s="900"/>
      <c r="AA774" s="900"/>
      <c r="AB774" s="900"/>
    </row>
    <row r="775">
      <c r="A775" s="900"/>
      <c r="B775" s="900"/>
      <c r="C775" s="900"/>
      <c r="D775" s="900"/>
      <c r="E775" s="900"/>
      <c r="F775" s="900"/>
      <c r="G775" s="900"/>
      <c r="H775" s="900"/>
      <c r="I775" s="905"/>
      <c r="J775" s="905"/>
      <c r="K775" s="906"/>
      <c r="L775" s="900"/>
      <c r="M775" s="900"/>
      <c r="N775" s="900"/>
      <c r="O775" s="900"/>
      <c r="P775" s="900"/>
      <c r="Q775" s="900"/>
      <c r="R775" s="900"/>
      <c r="S775" s="900"/>
      <c r="T775" s="900"/>
      <c r="U775" s="900"/>
      <c r="V775" s="900"/>
      <c r="W775" s="900"/>
      <c r="X775" s="900"/>
      <c r="Y775" s="900"/>
      <c r="Z775" s="900"/>
      <c r="AA775" s="900"/>
      <c r="AB775" s="900"/>
    </row>
    <row r="776">
      <c r="A776" s="900"/>
      <c r="B776" s="900"/>
      <c r="C776" s="900"/>
      <c r="D776" s="900"/>
      <c r="E776" s="900"/>
      <c r="F776" s="900"/>
      <c r="G776" s="900"/>
      <c r="H776" s="900"/>
      <c r="I776" s="905"/>
      <c r="J776" s="905"/>
      <c r="K776" s="906"/>
      <c r="L776" s="900"/>
      <c r="M776" s="900"/>
      <c r="N776" s="900"/>
      <c r="O776" s="900"/>
      <c r="P776" s="900"/>
      <c r="Q776" s="900"/>
      <c r="R776" s="900"/>
      <c r="S776" s="900"/>
      <c r="T776" s="900"/>
      <c r="U776" s="900"/>
      <c r="V776" s="900"/>
      <c r="W776" s="900"/>
      <c r="X776" s="900"/>
      <c r="Y776" s="900"/>
      <c r="Z776" s="900"/>
      <c r="AA776" s="900"/>
      <c r="AB776" s="900"/>
    </row>
    <row r="777">
      <c r="A777" s="900"/>
      <c r="B777" s="900"/>
      <c r="C777" s="900"/>
      <c r="D777" s="900"/>
      <c r="E777" s="900"/>
      <c r="F777" s="900"/>
      <c r="G777" s="900"/>
      <c r="H777" s="900"/>
      <c r="I777" s="905"/>
      <c r="J777" s="905"/>
      <c r="K777" s="906"/>
      <c r="L777" s="900"/>
      <c r="M777" s="900"/>
      <c r="N777" s="900"/>
      <c r="O777" s="900"/>
      <c r="P777" s="900"/>
      <c r="Q777" s="900"/>
      <c r="R777" s="900"/>
      <c r="S777" s="900"/>
      <c r="T777" s="900"/>
      <c r="U777" s="900"/>
      <c r="V777" s="900"/>
      <c r="W777" s="900"/>
      <c r="X777" s="900"/>
      <c r="Y777" s="900"/>
      <c r="Z777" s="900"/>
      <c r="AA777" s="900"/>
      <c r="AB777" s="900"/>
    </row>
    <row r="778">
      <c r="A778" s="900"/>
      <c r="B778" s="900"/>
      <c r="C778" s="900"/>
      <c r="D778" s="900"/>
      <c r="E778" s="900"/>
      <c r="F778" s="900"/>
      <c r="G778" s="900"/>
      <c r="H778" s="900"/>
      <c r="I778" s="905"/>
      <c r="J778" s="905"/>
      <c r="K778" s="906"/>
      <c r="L778" s="900"/>
      <c r="M778" s="900"/>
      <c r="N778" s="900"/>
      <c r="O778" s="900"/>
      <c r="P778" s="900"/>
      <c r="Q778" s="900"/>
      <c r="R778" s="900"/>
      <c r="S778" s="900"/>
      <c r="T778" s="900"/>
      <c r="U778" s="900"/>
      <c r="V778" s="900"/>
      <c r="W778" s="900"/>
      <c r="X778" s="900"/>
      <c r="Y778" s="900"/>
      <c r="Z778" s="900"/>
      <c r="AA778" s="900"/>
      <c r="AB778" s="900"/>
    </row>
    <row r="779">
      <c r="A779" s="900"/>
      <c r="B779" s="900"/>
      <c r="C779" s="900"/>
      <c r="D779" s="900"/>
      <c r="E779" s="900"/>
      <c r="F779" s="900"/>
      <c r="G779" s="900"/>
      <c r="H779" s="900"/>
      <c r="I779" s="905"/>
      <c r="J779" s="905"/>
      <c r="K779" s="906"/>
      <c r="L779" s="900"/>
      <c r="M779" s="900"/>
      <c r="N779" s="900"/>
      <c r="O779" s="900"/>
      <c r="P779" s="900"/>
      <c r="Q779" s="900"/>
      <c r="R779" s="900"/>
      <c r="S779" s="900"/>
      <c r="T779" s="900"/>
      <c r="U779" s="900"/>
      <c r="V779" s="900"/>
      <c r="W779" s="900"/>
      <c r="X779" s="900"/>
      <c r="Y779" s="900"/>
      <c r="Z779" s="900"/>
      <c r="AA779" s="900"/>
      <c r="AB779" s="900"/>
    </row>
    <row r="780">
      <c r="A780" s="900"/>
      <c r="B780" s="900"/>
      <c r="C780" s="900"/>
      <c r="D780" s="900"/>
      <c r="E780" s="900"/>
      <c r="F780" s="900"/>
      <c r="G780" s="900"/>
      <c r="H780" s="900"/>
      <c r="I780" s="905"/>
      <c r="J780" s="905"/>
      <c r="K780" s="906"/>
      <c r="L780" s="900"/>
      <c r="M780" s="900"/>
      <c r="N780" s="900"/>
      <c r="O780" s="900"/>
      <c r="P780" s="900"/>
      <c r="Q780" s="900"/>
      <c r="R780" s="900"/>
      <c r="S780" s="900"/>
      <c r="T780" s="900"/>
      <c r="U780" s="900"/>
      <c r="V780" s="900"/>
      <c r="W780" s="900"/>
      <c r="X780" s="900"/>
      <c r="Y780" s="900"/>
      <c r="Z780" s="900"/>
      <c r="AA780" s="900"/>
      <c r="AB780" s="900"/>
    </row>
    <row r="781">
      <c r="A781" s="900"/>
      <c r="B781" s="900"/>
      <c r="C781" s="900"/>
      <c r="D781" s="900"/>
      <c r="E781" s="900"/>
      <c r="F781" s="900"/>
      <c r="G781" s="900"/>
      <c r="H781" s="900"/>
      <c r="I781" s="905"/>
      <c r="J781" s="905"/>
      <c r="K781" s="906"/>
      <c r="L781" s="900"/>
      <c r="M781" s="900"/>
      <c r="N781" s="900"/>
      <c r="O781" s="900"/>
      <c r="P781" s="900"/>
      <c r="Q781" s="900"/>
      <c r="R781" s="900"/>
      <c r="S781" s="900"/>
      <c r="T781" s="900"/>
      <c r="U781" s="900"/>
      <c r="V781" s="900"/>
      <c r="W781" s="900"/>
      <c r="X781" s="900"/>
      <c r="Y781" s="900"/>
      <c r="Z781" s="900"/>
      <c r="AA781" s="900"/>
      <c r="AB781" s="900"/>
    </row>
    <row r="782">
      <c r="A782" s="900"/>
      <c r="B782" s="900"/>
      <c r="C782" s="900"/>
      <c r="D782" s="900"/>
      <c r="E782" s="900"/>
      <c r="F782" s="900"/>
      <c r="G782" s="900"/>
      <c r="H782" s="900"/>
      <c r="I782" s="905"/>
      <c r="J782" s="905"/>
      <c r="K782" s="906"/>
      <c r="L782" s="900"/>
      <c r="M782" s="900"/>
      <c r="N782" s="900"/>
      <c r="O782" s="900"/>
      <c r="P782" s="900"/>
      <c r="Q782" s="900"/>
      <c r="R782" s="900"/>
      <c r="S782" s="900"/>
      <c r="T782" s="900"/>
      <c r="U782" s="900"/>
      <c r="V782" s="900"/>
      <c r="W782" s="900"/>
      <c r="X782" s="900"/>
      <c r="Y782" s="900"/>
      <c r="Z782" s="900"/>
      <c r="AA782" s="900"/>
      <c r="AB782" s="900"/>
    </row>
    <row r="783">
      <c r="A783" s="900"/>
      <c r="B783" s="900"/>
      <c r="C783" s="900"/>
      <c r="D783" s="900"/>
      <c r="E783" s="900"/>
      <c r="F783" s="900"/>
      <c r="G783" s="900"/>
      <c r="H783" s="900"/>
      <c r="I783" s="905"/>
      <c r="J783" s="905"/>
      <c r="K783" s="906"/>
      <c r="L783" s="900"/>
      <c r="M783" s="900"/>
      <c r="N783" s="900"/>
      <c r="O783" s="900"/>
      <c r="P783" s="900"/>
      <c r="Q783" s="900"/>
      <c r="R783" s="900"/>
      <c r="S783" s="900"/>
      <c r="T783" s="900"/>
      <c r="U783" s="900"/>
      <c r="V783" s="900"/>
      <c r="W783" s="900"/>
      <c r="X783" s="900"/>
      <c r="Y783" s="900"/>
      <c r="Z783" s="900"/>
      <c r="AA783" s="900"/>
      <c r="AB783" s="900"/>
    </row>
    <row r="784">
      <c r="A784" s="900"/>
      <c r="B784" s="900"/>
      <c r="C784" s="900"/>
      <c r="D784" s="900"/>
      <c r="E784" s="900"/>
      <c r="F784" s="900"/>
      <c r="G784" s="900"/>
      <c r="H784" s="900"/>
      <c r="I784" s="905"/>
      <c r="J784" s="905"/>
      <c r="K784" s="906"/>
      <c r="L784" s="900"/>
      <c r="M784" s="900"/>
      <c r="N784" s="900"/>
      <c r="O784" s="900"/>
      <c r="P784" s="900"/>
      <c r="Q784" s="900"/>
      <c r="R784" s="900"/>
      <c r="S784" s="900"/>
      <c r="T784" s="900"/>
      <c r="U784" s="900"/>
      <c r="V784" s="900"/>
      <c r="W784" s="900"/>
      <c r="X784" s="900"/>
      <c r="Y784" s="900"/>
      <c r="Z784" s="900"/>
      <c r="AA784" s="900"/>
      <c r="AB784" s="900"/>
    </row>
    <row r="785">
      <c r="A785" s="900"/>
      <c r="B785" s="900"/>
      <c r="C785" s="900"/>
      <c r="D785" s="900"/>
      <c r="E785" s="900"/>
      <c r="F785" s="900"/>
      <c r="G785" s="900"/>
      <c r="H785" s="900"/>
      <c r="I785" s="905"/>
      <c r="J785" s="905"/>
      <c r="K785" s="906"/>
      <c r="L785" s="900"/>
      <c r="M785" s="900"/>
      <c r="N785" s="900"/>
      <c r="O785" s="900"/>
      <c r="P785" s="900"/>
      <c r="Q785" s="900"/>
      <c r="R785" s="900"/>
      <c r="S785" s="900"/>
      <c r="T785" s="900"/>
      <c r="U785" s="900"/>
      <c r="V785" s="900"/>
      <c r="W785" s="900"/>
      <c r="X785" s="900"/>
      <c r="Y785" s="900"/>
      <c r="Z785" s="900"/>
      <c r="AA785" s="900"/>
      <c r="AB785" s="900"/>
    </row>
    <row r="786">
      <c r="A786" s="900"/>
      <c r="B786" s="900"/>
      <c r="C786" s="900"/>
      <c r="D786" s="900"/>
      <c r="E786" s="900"/>
      <c r="F786" s="900"/>
      <c r="G786" s="900"/>
      <c r="H786" s="900"/>
      <c r="I786" s="905"/>
      <c r="J786" s="905"/>
      <c r="K786" s="906"/>
      <c r="L786" s="900"/>
      <c r="M786" s="900"/>
      <c r="N786" s="900"/>
      <c r="O786" s="900"/>
      <c r="P786" s="900"/>
      <c r="Q786" s="900"/>
      <c r="R786" s="900"/>
      <c r="S786" s="900"/>
      <c r="T786" s="900"/>
      <c r="U786" s="900"/>
      <c r="V786" s="900"/>
      <c r="W786" s="900"/>
      <c r="X786" s="900"/>
      <c r="Y786" s="900"/>
      <c r="Z786" s="900"/>
      <c r="AA786" s="900"/>
      <c r="AB786" s="900"/>
    </row>
    <row r="787">
      <c r="A787" s="900"/>
      <c r="B787" s="900"/>
      <c r="C787" s="900"/>
      <c r="D787" s="900"/>
      <c r="E787" s="900"/>
      <c r="F787" s="900"/>
      <c r="G787" s="900"/>
      <c r="H787" s="900"/>
      <c r="I787" s="905"/>
      <c r="J787" s="905"/>
      <c r="K787" s="906"/>
      <c r="L787" s="900"/>
      <c r="M787" s="900"/>
      <c r="N787" s="900"/>
      <c r="O787" s="900"/>
      <c r="P787" s="900"/>
      <c r="Q787" s="900"/>
      <c r="R787" s="900"/>
      <c r="S787" s="900"/>
      <c r="T787" s="900"/>
      <c r="U787" s="900"/>
      <c r="V787" s="900"/>
      <c r="W787" s="900"/>
      <c r="X787" s="900"/>
      <c r="Y787" s="900"/>
      <c r="Z787" s="900"/>
      <c r="AA787" s="900"/>
      <c r="AB787" s="900"/>
    </row>
    <row r="788">
      <c r="A788" s="900"/>
      <c r="B788" s="900"/>
      <c r="C788" s="900"/>
      <c r="D788" s="900"/>
      <c r="E788" s="900"/>
      <c r="F788" s="900"/>
      <c r="G788" s="900"/>
      <c r="H788" s="900"/>
      <c r="I788" s="905"/>
      <c r="J788" s="905"/>
      <c r="K788" s="906"/>
      <c r="L788" s="900"/>
      <c r="M788" s="900"/>
      <c r="N788" s="900"/>
      <c r="O788" s="900"/>
      <c r="P788" s="900"/>
      <c r="Q788" s="900"/>
      <c r="R788" s="900"/>
      <c r="S788" s="900"/>
      <c r="T788" s="900"/>
      <c r="U788" s="900"/>
      <c r="V788" s="900"/>
      <c r="W788" s="900"/>
      <c r="X788" s="900"/>
      <c r="Y788" s="900"/>
      <c r="Z788" s="900"/>
      <c r="AA788" s="900"/>
      <c r="AB788" s="900"/>
    </row>
    <row r="789">
      <c r="A789" s="900"/>
      <c r="B789" s="900"/>
      <c r="C789" s="900"/>
      <c r="D789" s="900"/>
      <c r="E789" s="900"/>
      <c r="F789" s="900"/>
      <c r="G789" s="900"/>
      <c r="H789" s="900"/>
      <c r="I789" s="905"/>
      <c r="J789" s="905"/>
      <c r="K789" s="906"/>
      <c r="L789" s="900"/>
      <c r="M789" s="900"/>
      <c r="N789" s="900"/>
      <c r="O789" s="900"/>
      <c r="P789" s="900"/>
      <c r="Q789" s="900"/>
      <c r="R789" s="900"/>
      <c r="S789" s="900"/>
      <c r="T789" s="900"/>
      <c r="U789" s="900"/>
      <c r="V789" s="900"/>
      <c r="W789" s="900"/>
      <c r="X789" s="900"/>
      <c r="Y789" s="900"/>
      <c r="Z789" s="900"/>
      <c r="AA789" s="900"/>
      <c r="AB789" s="900"/>
    </row>
    <row r="790">
      <c r="A790" s="900"/>
      <c r="B790" s="900"/>
      <c r="C790" s="900"/>
      <c r="D790" s="900"/>
      <c r="E790" s="900"/>
      <c r="F790" s="900"/>
      <c r="G790" s="900"/>
      <c r="H790" s="900"/>
      <c r="I790" s="905"/>
      <c r="J790" s="905"/>
      <c r="K790" s="906"/>
      <c r="L790" s="900"/>
      <c r="M790" s="900"/>
      <c r="N790" s="900"/>
      <c r="O790" s="900"/>
      <c r="P790" s="900"/>
      <c r="Q790" s="900"/>
      <c r="R790" s="900"/>
      <c r="S790" s="900"/>
      <c r="T790" s="900"/>
      <c r="U790" s="900"/>
      <c r="V790" s="900"/>
      <c r="W790" s="900"/>
      <c r="X790" s="900"/>
      <c r="Y790" s="900"/>
      <c r="Z790" s="900"/>
      <c r="AA790" s="900"/>
      <c r="AB790" s="900"/>
    </row>
    <row r="791">
      <c r="A791" s="900"/>
      <c r="B791" s="900"/>
      <c r="C791" s="900"/>
      <c r="D791" s="900"/>
      <c r="E791" s="900"/>
      <c r="F791" s="900"/>
      <c r="G791" s="900"/>
      <c r="H791" s="900"/>
      <c r="I791" s="905"/>
      <c r="J791" s="905"/>
      <c r="K791" s="906"/>
      <c r="L791" s="900"/>
      <c r="M791" s="900"/>
      <c r="N791" s="900"/>
      <c r="O791" s="900"/>
      <c r="P791" s="900"/>
      <c r="Q791" s="900"/>
      <c r="R791" s="900"/>
      <c r="S791" s="900"/>
      <c r="T791" s="900"/>
      <c r="U791" s="900"/>
      <c r="V791" s="900"/>
      <c r="W791" s="900"/>
      <c r="X791" s="900"/>
      <c r="Y791" s="900"/>
      <c r="Z791" s="900"/>
      <c r="AA791" s="900"/>
      <c r="AB791" s="900"/>
    </row>
    <row r="792">
      <c r="A792" s="900"/>
      <c r="B792" s="900"/>
      <c r="C792" s="900"/>
      <c r="D792" s="900"/>
      <c r="E792" s="900"/>
      <c r="F792" s="900"/>
      <c r="G792" s="900"/>
      <c r="H792" s="900"/>
      <c r="I792" s="905"/>
      <c r="J792" s="905"/>
      <c r="K792" s="906"/>
      <c r="L792" s="900"/>
      <c r="M792" s="900"/>
      <c r="N792" s="900"/>
      <c r="O792" s="900"/>
      <c r="P792" s="900"/>
      <c r="Q792" s="900"/>
      <c r="R792" s="900"/>
      <c r="S792" s="900"/>
      <c r="T792" s="900"/>
      <c r="U792" s="900"/>
      <c r="V792" s="900"/>
      <c r="W792" s="900"/>
      <c r="X792" s="900"/>
      <c r="Y792" s="900"/>
      <c r="Z792" s="900"/>
      <c r="AA792" s="900"/>
      <c r="AB792" s="900"/>
    </row>
    <row r="793">
      <c r="A793" s="900"/>
      <c r="B793" s="900"/>
      <c r="C793" s="900"/>
      <c r="D793" s="900"/>
      <c r="E793" s="900"/>
      <c r="F793" s="900"/>
      <c r="G793" s="900"/>
      <c r="H793" s="900"/>
      <c r="I793" s="905"/>
      <c r="J793" s="905"/>
      <c r="K793" s="906"/>
      <c r="L793" s="900"/>
      <c r="M793" s="900"/>
      <c r="N793" s="900"/>
      <c r="O793" s="900"/>
      <c r="P793" s="900"/>
      <c r="Q793" s="900"/>
      <c r="R793" s="900"/>
      <c r="S793" s="900"/>
      <c r="T793" s="900"/>
      <c r="U793" s="900"/>
      <c r="V793" s="900"/>
      <c r="W793" s="900"/>
      <c r="X793" s="900"/>
      <c r="Y793" s="900"/>
      <c r="Z793" s="900"/>
      <c r="AA793" s="900"/>
      <c r="AB793" s="900"/>
    </row>
    <row r="794">
      <c r="A794" s="900"/>
      <c r="B794" s="900"/>
      <c r="C794" s="900"/>
      <c r="D794" s="900"/>
      <c r="E794" s="900"/>
      <c r="F794" s="900"/>
      <c r="G794" s="900"/>
      <c r="H794" s="900"/>
      <c r="I794" s="905"/>
      <c r="J794" s="905"/>
      <c r="K794" s="906"/>
      <c r="L794" s="900"/>
      <c r="M794" s="900"/>
      <c r="N794" s="900"/>
      <c r="O794" s="900"/>
      <c r="P794" s="900"/>
      <c r="Q794" s="900"/>
      <c r="R794" s="900"/>
      <c r="S794" s="900"/>
      <c r="T794" s="900"/>
      <c r="U794" s="900"/>
      <c r="V794" s="900"/>
      <c r="W794" s="900"/>
      <c r="X794" s="900"/>
      <c r="Y794" s="900"/>
      <c r="Z794" s="900"/>
      <c r="AA794" s="900"/>
      <c r="AB794" s="900"/>
    </row>
    <row r="795">
      <c r="A795" s="900"/>
      <c r="B795" s="900"/>
      <c r="C795" s="900"/>
      <c r="D795" s="900"/>
      <c r="E795" s="900"/>
      <c r="F795" s="900"/>
      <c r="G795" s="900"/>
      <c r="H795" s="900"/>
      <c r="I795" s="905"/>
      <c r="J795" s="905"/>
      <c r="K795" s="906"/>
      <c r="L795" s="900"/>
      <c r="M795" s="900"/>
      <c r="N795" s="900"/>
      <c r="O795" s="900"/>
      <c r="P795" s="900"/>
      <c r="Q795" s="900"/>
      <c r="R795" s="900"/>
      <c r="S795" s="900"/>
      <c r="T795" s="900"/>
      <c r="U795" s="900"/>
      <c r="V795" s="900"/>
      <c r="W795" s="900"/>
      <c r="X795" s="900"/>
      <c r="Y795" s="900"/>
      <c r="Z795" s="900"/>
      <c r="AA795" s="900"/>
      <c r="AB795" s="900"/>
    </row>
    <row r="796">
      <c r="A796" s="900"/>
      <c r="B796" s="900"/>
      <c r="C796" s="900"/>
      <c r="D796" s="900"/>
      <c r="E796" s="900"/>
      <c r="F796" s="900"/>
      <c r="G796" s="900"/>
      <c r="H796" s="900"/>
      <c r="I796" s="905"/>
      <c r="J796" s="905"/>
      <c r="K796" s="906"/>
      <c r="L796" s="900"/>
      <c r="M796" s="900"/>
      <c r="N796" s="900"/>
      <c r="O796" s="900"/>
      <c r="P796" s="900"/>
      <c r="Q796" s="900"/>
      <c r="R796" s="900"/>
      <c r="S796" s="900"/>
      <c r="T796" s="900"/>
      <c r="U796" s="900"/>
      <c r="V796" s="900"/>
      <c r="W796" s="900"/>
      <c r="X796" s="900"/>
      <c r="Y796" s="900"/>
      <c r="Z796" s="900"/>
      <c r="AA796" s="900"/>
      <c r="AB796" s="900"/>
    </row>
    <row r="797">
      <c r="A797" s="900"/>
      <c r="B797" s="900"/>
      <c r="C797" s="900"/>
      <c r="D797" s="900"/>
      <c r="E797" s="900"/>
      <c r="F797" s="900"/>
      <c r="G797" s="900"/>
      <c r="H797" s="900"/>
      <c r="I797" s="905"/>
      <c r="J797" s="905"/>
      <c r="K797" s="906"/>
      <c r="L797" s="900"/>
      <c r="M797" s="900"/>
      <c r="N797" s="900"/>
      <c r="O797" s="900"/>
      <c r="P797" s="900"/>
      <c r="Q797" s="900"/>
      <c r="R797" s="900"/>
      <c r="S797" s="900"/>
      <c r="T797" s="900"/>
      <c r="U797" s="900"/>
      <c r="V797" s="900"/>
      <c r="W797" s="900"/>
      <c r="X797" s="900"/>
      <c r="Y797" s="900"/>
      <c r="Z797" s="900"/>
      <c r="AA797" s="900"/>
      <c r="AB797" s="900"/>
    </row>
    <row r="798">
      <c r="A798" s="900"/>
      <c r="B798" s="900"/>
      <c r="C798" s="900"/>
      <c r="D798" s="900"/>
      <c r="E798" s="900"/>
      <c r="F798" s="900"/>
      <c r="G798" s="900"/>
      <c r="H798" s="900"/>
      <c r="I798" s="905"/>
      <c r="J798" s="905"/>
      <c r="K798" s="906"/>
      <c r="L798" s="900"/>
      <c r="M798" s="900"/>
      <c r="N798" s="900"/>
      <c r="O798" s="900"/>
      <c r="P798" s="900"/>
      <c r="Q798" s="900"/>
      <c r="R798" s="900"/>
      <c r="S798" s="900"/>
      <c r="T798" s="900"/>
      <c r="U798" s="900"/>
      <c r="V798" s="900"/>
      <c r="W798" s="900"/>
      <c r="X798" s="900"/>
      <c r="Y798" s="900"/>
      <c r="Z798" s="900"/>
      <c r="AA798" s="900"/>
      <c r="AB798" s="900"/>
    </row>
    <row r="799">
      <c r="A799" s="900"/>
      <c r="B799" s="900"/>
      <c r="C799" s="900"/>
      <c r="D799" s="900"/>
      <c r="E799" s="900"/>
      <c r="F799" s="900"/>
      <c r="G799" s="900"/>
      <c r="H799" s="900"/>
      <c r="I799" s="905"/>
      <c r="J799" s="905"/>
      <c r="K799" s="906"/>
      <c r="L799" s="900"/>
      <c r="M799" s="900"/>
      <c r="N799" s="900"/>
      <c r="O799" s="900"/>
      <c r="P799" s="900"/>
      <c r="Q799" s="900"/>
      <c r="R799" s="900"/>
      <c r="S799" s="900"/>
      <c r="T799" s="900"/>
      <c r="U799" s="900"/>
      <c r="V799" s="900"/>
      <c r="W799" s="900"/>
      <c r="X799" s="900"/>
      <c r="Y799" s="900"/>
      <c r="Z799" s="900"/>
      <c r="AA799" s="900"/>
      <c r="AB799" s="900"/>
    </row>
    <row r="800">
      <c r="A800" s="900"/>
      <c r="B800" s="900"/>
      <c r="C800" s="900"/>
      <c r="D800" s="900"/>
      <c r="E800" s="900"/>
      <c r="F800" s="900"/>
      <c r="G800" s="900"/>
      <c r="H800" s="900"/>
      <c r="I800" s="905"/>
      <c r="J800" s="905"/>
      <c r="K800" s="906"/>
      <c r="L800" s="900"/>
      <c r="M800" s="900"/>
      <c r="N800" s="900"/>
      <c r="O800" s="900"/>
      <c r="P800" s="900"/>
      <c r="Q800" s="900"/>
      <c r="R800" s="900"/>
      <c r="S800" s="900"/>
      <c r="T800" s="900"/>
      <c r="U800" s="900"/>
      <c r="V800" s="900"/>
      <c r="W800" s="900"/>
      <c r="X800" s="900"/>
      <c r="Y800" s="900"/>
      <c r="Z800" s="900"/>
      <c r="AA800" s="900"/>
      <c r="AB800" s="900"/>
    </row>
    <row r="801">
      <c r="A801" s="900"/>
      <c r="B801" s="900"/>
      <c r="C801" s="900"/>
      <c r="D801" s="900"/>
      <c r="E801" s="900"/>
      <c r="F801" s="900"/>
      <c r="G801" s="900"/>
      <c r="H801" s="900"/>
      <c r="I801" s="905"/>
      <c r="J801" s="905"/>
      <c r="K801" s="906"/>
      <c r="L801" s="900"/>
      <c r="M801" s="900"/>
      <c r="N801" s="900"/>
      <c r="O801" s="900"/>
      <c r="P801" s="900"/>
      <c r="Q801" s="900"/>
      <c r="R801" s="900"/>
      <c r="S801" s="900"/>
      <c r="T801" s="900"/>
      <c r="U801" s="900"/>
      <c r="V801" s="900"/>
      <c r="W801" s="900"/>
      <c r="X801" s="900"/>
      <c r="Y801" s="900"/>
      <c r="Z801" s="900"/>
      <c r="AA801" s="900"/>
      <c r="AB801" s="900"/>
    </row>
    <row r="802">
      <c r="A802" s="900"/>
      <c r="B802" s="900"/>
      <c r="C802" s="900"/>
      <c r="D802" s="900"/>
      <c r="E802" s="900"/>
      <c r="F802" s="900"/>
      <c r="G802" s="900"/>
      <c r="H802" s="900"/>
      <c r="I802" s="905"/>
      <c r="J802" s="905"/>
      <c r="K802" s="906"/>
      <c r="L802" s="900"/>
      <c r="M802" s="900"/>
      <c r="N802" s="900"/>
      <c r="O802" s="900"/>
      <c r="P802" s="900"/>
      <c r="Q802" s="900"/>
      <c r="R802" s="900"/>
      <c r="S802" s="900"/>
      <c r="T802" s="900"/>
      <c r="U802" s="900"/>
      <c r="V802" s="900"/>
      <c r="W802" s="900"/>
      <c r="X802" s="900"/>
      <c r="Y802" s="900"/>
      <c r="Z802" s="900"/>
      <c r="AA802" s="900"/>
      <c r="AB802" s="900"/>
    </row>
    <row r="803">
      <c r="A803" s="900"/>
      <c r="B803" s="900"/>
      <c r="C803" s="900"/>
      <c r="D803" s="900"/>
      <c r="E803" s="900"/>
      <c r="F803" s="900"/>
      <c r="G803" s="900"/>
      <c r="H803" s="900"/>
      <c r="I803" s="905"/>
      <c r="J803" s="905"/>
      <c r="K803" s="906"/>
      <c r="L803" s="900"/>
      <c r="M803" s="900"/>
      <c r="N803" s="900"/>
      <c r="O803" s="900"/>
      <c r="P803" s="900"/>
      <c r="Q803" s="900"/>
      <c r="R803" s="900"/>
      <c r="S803" s="900"/>
      <c r="T803" s="900"/>
      <c r="U803" s="900"/>
      <c r="V803" s="900"/>
      <c r="W803" s="900"/>
      <c r="X803" s="900"/>
      <c r="Y803" s="900"/>
      <c r="Z803" s="900"/>
      <c r="AA803" s="900"/>
      <c r="AB803" s="900"/>
    </row>
    <row r="804">
      <c r="A804" s="900"/>
      <c r="B804" s="900"/>
      <c r="C804" s="900"/>
      <c r="D804" s="900"/>
      <c r="E804" s="900"/>
      <c r="F804" s="900"/>
      <c r="G804" s="900"/>
      <c r="H804" s="900"/>
      <c r="I804" s="905"/>
      <c r="J804" s="905"/>
      <c r="K804" s="906"/>
      <c r="L804" s="900"/>
      <c r="M804" s="900"/>
      <c r="N804" s="900"/>
      <c r="O804" s="900"/>
      <c r="P804" s="900"/>
      <c r="Q804" s="900"/>
      <c r="R804" s="900"/>
      <c r="S804" s="900"/>
      <c r="T804" s="900"/>
      <c r="U804" s="900"/>
      <c r="V804" s="900"/>
      <c r="W804" s="900"/>
      <c r="X804" s="900"/>
      <c r="Y804" s="900"/>
      <c r="Z804" s="900"/>
      <c r="AA804" s="900"/>
      <c r="AB804" s="900"/>
    </row>
    <row r="805">
      <c r="A805" s="900"/>
      <c r="B805" s="900"/>
      <c r="C805" s="900"/>
      <c r="D805" s="900"/>
      <c r="E805" s="900"/>
      <c r="F805" s="900"/>
      <c r="G805" s="900"/>
      <c r="H805" s="900"/>
      <c r="I805" s="905"/>
      <c r="J805" s="905"/>
      <c r="K805" s="906"/>
      <c r="L805" s="900"/>
      <c r="M805" s="900"/>
      <c r="N805" s="900"/>
      <c r="O805" s="900"/>
      <c r="P805" s="900"/>
      <c r="Q805" s="900"/>
      <c r="R805" s="900"/>
      <c r="S805" s="900"/>
      <c r="T805" s="900"/>
      <c r="U805" s="900"/>
      <c r="V805" s="900"/>
      <c r="W805" s="900"/>
      <c r="X805" s="900"/>
      <c r="Y805" s="900"/>
      <c r="Z805" s="900"/>
      <c r="AA805" s="900"/>
      <c r="AB805" s="900"/>
    </row>
    <row r="806">
      <c r="A806" s="900"/>
      <c r="B806" s="900"/>
      <c r="C806" s="900"/>
      <c r="D806" s="900"/>
      <c r="E806" s="900"/>
      <c r="F806" s="900"/>
      <c r="G806" s="900"/>
      <c r="H806" s="900"/>
      <c r="I806" s="905"/>
      <c r="J806" s="905"/>
      <c r="K806" s="906"/>
      <c r="L806" s="900"/>
      <c r="M806" s="900"/>
      <c r="N806" s="900"/>
      <c r="O806" s="900"/>
      <c r="P806" s="900"/>
      <c r="Q806" s="900"/>
      <c r="R806" s="900"/>
      <c r="S806" s="900"/>
      <c r="T806" s="900"/>
      <c r="U806" s="900"/>
      <c r="V806" s="900"/>
      <c r="W806" s="900"/>
      <c r="X806" s="900"/>
      <c r="Y806" s="900"/>
      <c r="Z806" s="900"/>
      <c r="AA806" s="900"/>
      <c r="AB806" s="900"/>
    </row>
    <row r="807">
      <c r="A807" s="900"/>
      <c r="B807" s="900"/>
      <c r="C807" s="900"/>
      <c r="D807" s="900"/>
      <c r="E807" s="900"/>
      <c r="F807" s="900"/>
      <c r="G807" s="900"/>
      <c r="H807" s="900"/>
      <c r="I807" s="905"/>
      <c r="J807" s="905"/>
      <c r="K807" s="906"/>
      <c r="L807" s="900"/>
      <c r="M807" s="900"/>
      <c r="N807" s="900"/>
      <c r="O807" s="900"/>
      <c r="P807" s="900"/>
      <c r="Q807" s="900"/>
      <c r="R807" s="900"/>
      <c r="S807" s="900"/>
      <c r="T807" s="900"/>
      <c r="U807" s="900"/>
      <c r="V807" s="900"/>
      <c r="W807" s="900"/>
      <c r="X807" s="900"/>
      <c r="Y807" s="900"/>
      <c r="Z807" s="900"/>
      <c r="AA807" s="900"/>
      <c r="AB807" s="900"/>
    </row>
    <row r="808">
      <c r="A808" s="900"/>
      <c r="B808" s="900"/>
      <c r="C808" s="900"/>
      <c r="D808" s="900"/>
      <c r="E808" s="900"/>
      <c r="F808" s="900"/>
      <c r="G808" s="900"/>
      <c r="H808" s="900"/>
      <c r="I808" s="905"/>
      <c r="J808" s="905"/>
      <c r="K808" s="906"/>
      <c r="L808" s="900"/>
      <c r="M808" s="900"/>
      <c r="N808" s="900"/>
      <c r="O808" s="900"/>
      <c r="P808" s="900"/>
      <c r="Q808" s="900"/>
      <c r="R808" s="900"/>
      <c r="S808" s="900"/>
      <c r="T808" s="900"/>
      <c r="U808" s="900"/>
      <c r="V808" s="900"/>
      <c r="W808" s="900"/>
      <c r="X808" s="900"/>
      <c r="Y808" s="900"/>
      <c r="Z808" s="900"/>
      <c r="AA808" s="900"/>
      <c r="AB808" s="900"/>
    </row>
    <row r="809">
      <c r="A809" s="900"/>
      <c r="B809" s="900"/>
      <c r="C809" s="900"/>
      <c r="D809" s="900"/>
      <c r="E809" s="900"/>
      <c r="F809" s="900"/>
      <c r="G809" s="900"/>
      <c r="H809" s="900"/>
      <c r="I809" s="905"/>
      <c r="J809" s="905"/>
      <c r="K809" s="906"/>
      <c r="L809" s="900"/>
      <c r="M809" s="900"/>
      <c r="N809" s="900"/>
      <c r="O809" s="900"/>
      <c r="P809" s="900"/>
      <c r="Q809" s="900"/>
      <c r="R809" s="900"/>
      <c r="S809" s="900"/>
      <c r="T809" s="900"/>
      <c r="U809" s="900"/>
      <c r="V809" s="900"/>
      <c r="W809" s="900"/>
      <c r="X809" s="900"/>
      <c r="Y809" s="900"/>
      <c r="Z809" s="900"/>
      <c r="AA809" s="900"/>
      <c r="AB809" s="900"/>
    </row>
    <row r="810">
      <c r="A810" s="900"/>
      <c r="B810" s="900"/>
      <c r="C810" s="900"/>
      <c r="D810" s="900"/>
      <c r="E810" s="900"/>
      <c r="F810" s="900"/>
      <c r="G810" s="900"/>
      <c r="H810" s="900"/>
      <c r="I810" s="905"/>
      <c r="J810" s="905"/>
      <c r="K810" s="906"/>
      <c r="L810" s="900"/>
      <c r="M810" s="900"/>
      <c r="N810" s="900"/>
      <c r="O810" s="900"/>
      <c r="P810" s="900"/>
      <c r="Q810" s="900"/>
      <c r="R810" s="900"/>
      <c r="S810" s="900"/>
      <c r="T810" s="900"/>
      <c r="U810" s="900"/>
      <c r="V810" s="900"/>
      <c r="W810" s="900"/>
      <c r="X810" s="900"/>
      <c r="Y810" s="900"/>
      <c r="Z810" s="900"/>
      <c r="AA810" s="900"/>
      <c r="AB810" s="900"/>
    </row>
    <row r="811">
      <c r="A811" s="900"/>
      <c r="B811" s="900"/>
      <c r="C811" s="900"/>
      <c r="D811" s="900"/>
      <c r="E811" s="900"/>
      <c r="F811" s="900"/>
      <c r="G811" s="900"/>
      <c r="H811" s="900"/>
      <c r="I811" s="905"/>
      <c r="J811" s="905"/>
      <c r="K811" s="906"/>
      <c r="L811" s="900"/>
      <c r="M811" s="900"/>
      <c r="N811" s="900"/>
      <c r="O811" s="900"/>
      <c r="P811" s="900"/>
      <c r="Q811" s="900"/>
      <c r="R811" s="900"/>
      <c r="S811" s="900"/>
      <c r="T811" s="900"/>
      <c r="U811" s="900"/>
      <c r="V811" s="900"/>
      <c r="W811" s="900"/>
      <c r="X811" s="900"/>
      <c r="Y811" s="900"/>
      <c r="Z811" s="900"/>
      <c r="AA811" s="900"/>
      <c r="AB811" s="900"/>
    </row>
    <row r="812">
      <c r="A812" s="900"/>
      <c r="B812" s="900"/>
      <c r="C812" s="900"/>
      <c r="D812" s="900"/>
      <c r="E812" s="900"/>
      <c r="F812" s="900"/>
      <c r="G812" s="900"/>
      <c r="H812" s="900"/>
      <c r="I812" s="905"/>
      <c r="J812" s="905"/>
      <c r="K812" s="906"/>
      <c r="L812" s="900"/>
      <c r="M812" s="900"/>
      <c r="N812" s="900"/>
      <c r="O812" s="900"/>
      <c r="P812" s="900"/>
      <c r="Q812" s="900"/>
      <c r="R812" s="900"/>
      <c r="S812" s="900"/>
      <c r="T812" s="900"/>
      <c r="U812" s="900"/>
      <c r="V812" s="900"/>
      <c r="W812" s="900"/>
      <c r="X812" s="900"/>
      <c r="Y812" s="900"/>
      <c r="Z812" s="900"/>
      <c r="AA812" s="900"/>
      <c r="AB812" s="900"/>
    </row>
    <row r="813">
      <c r="A813" s="900"/>
      <c r="B813" s="900"/>
      <c r="C813" s="900"/>
      <c r="D813" s="900"/>
      <c r="E813" s="900"/>
      <c r="F813" s="900"/>
      <c r="G813" s="900"/>
      <c r="H813" s="900"/>
      <c r="I813" s="905"/>
      <c r="J813" s="905"/>
      <c r="K813" s="906"/>
      <c r="L813" s="900"/>
      <c r="M813" s="900"/>
      <c r="N813" s="900"/>
      <c r="O813" s="900"/>
      <c r="P813" s="900"/>
      <c r="Q813" s="900"/>
      <c r="R813" s="900"/>
      <c r="S813" s="900"/>
      <c r="T813" s="900"/>
      <c r="U813" s="900"/>
      <c r="V813" s="900"/>
      <c r="W813" s="900"/>
      <c r="X813" s="900"/>
      <c r="Y813" s="900"/>
      <c r="Z813" s="900"/>
      <c r="AA813" s="900"/>
      <c r="AB813" s="900"/>
    </row>
    <row r="814">
      <c r="A814" s="900"/>
      <c r="B814" s="900"/>
      <c r="C814" s="900"/>
      <c r="D814" s="900"/>
      <c r="E814" s="900"/>
      <c r="F814" s="900"/>
      <c r="G814" s="900"/>
      <c r="H814" s="900"/>
      <c r="I814" s="905"/>
      <c r="J814" s="905"/>
      <c r="K814" s="906"/>
      <c r="L814" s="900"/>
      <c r="M814" s="900"/>
      <c r="N814" s="900"/>
      <c r="O814" s="900"/>
      <c r="P814" s="900"/>
      <c r="Q814" s="900"/>
      <c r="R814" s="900"/>
      <c r="S814" s="900"/>
      <c r="T814" s="900"/>
      <c r="U814" s="900"/>
      <c r="V814" s="900"/>
      <c r="W814" s="900"/>
      <c r="X814" s="900"/>
      <c r="Y814" s="900"/>
      <c r="Z814" s="900"/>
      <c r="AA814" s="900"/>
      <c r="AB814" s="900"/>
    </row>
    <row r="815">
      <c r="A815" s="900"/>
      <c r="B815" s="900"/>
      <c r="C815" s="900"/>
      <c r="D815" s="900"/>
      <c r="E815" s="900"/>
      <c r="F815" s="900"/>
      <c r="G815" s="900"/>
      <c r="H815" s="900"/>
      <c r="I815" s="905"/>
      <c r="J815" s="905"/>
      <c r="K815" s="906"/>
      <c r="L815" s="900"/>
      <c r="M815" s="900"/>
      <c r="N815" s="900"/>
      <c r="O815" s="900"/>
      <c r="P815" s="900"/>
      <c r="Q815" s="900"/>
      <c r="R815" s="900"/>
      <c r="S815" s="900"/>
      <c r="T815" s="900"/>
      <c r="U815" s="900"/>
      <c r="V815" s="900"/>
      <c r="W815" s="900"/>
      <c r="X815" s="900"/>
      <c r="Y815" s="900"/>
      <c r="Z815" s="900"/>
      <c r="AA815" s="900"/>
      <c r="AB815" s="900"/>
    </row>
    <row r="816">
      <c r="A816" s="900"/>
      <c r="B816" s="900"/>
      <c r="C816" s="900"/>
      <c r="D816" s="900"/>
      <c r="E816" s="900"/>
      <c r="F816" s="900"/>
      <c r="G816" s="900"/>
      <c r="H816" s="900"/>
      <c r="I816" s="905"/>
      <c r="J816" s="905"/>
      <c r="K816" s="906"/>
      <c r="L816" s="900"/>
      <c r="M816" s="900"/>
      <c r="N816" s="900"/>
      <c r="O816" s="900"/>
      <c r="P816" s="900"/>
      <c r="Q816" s="900"/>
      <c r="R816" s="900"/>
      <c r="S816" s="900"/>
      <c r="T816" s="900"/>
      <c r="U816" s="900"/>
      <c r="V816" s="900"/>
      <c r="W816" s="900"/>
      <c r="X816" s="900"/>
      <c r="Y816" s="900"/>
      <c r="Z816" s="900"/>
      <c r="AA816" s="900"/>
      <c r="AB816" s="900"/>
    </row>
    <row r="817">
      <c r="A817" s="900"/>
      <c r="B817" s="900"/>
      <c r="C817" s="900"/>
      <c r="D817" s="900"/>
      <c r="E817" s="900"/>
      <c r="F817" s="900"/>
      <c r="G817" s="900"/>
      <c r="H817" s="900"/>
      <c r="I817" s="905"/>
      <c r="J817" s="905"/>
      <c r="K817" s="906"/>
      <c r="L817" s="900"/>
      <c r="M817" s="900"/>
      <c r="N817" s="900"/>
      <c r="O817" s="900"/>
      <c r="P817" s="900"/>
      <c r="Q817" s="900"/>
      <c r="R817" s="900"/>
      <c r="S817" s="900"/>
      <c r="T817" s="900"/>
      <c r="U817" s="900"/>
      <c r="V817" s="900"/>
      <c r="W817" s="900"/>
      <c r="X817" s="900"/>
      <c r="Y817" s="900"/>
      <c r="Z817" s="900"/>
      <c r="AA817" s="900"/>
      <c r="AB817" s="900"/>
    </row>
    <row r="818">
      <c r="A818" s="900"/>
      <c r="B818" s="900"/>
      <c r="C818" s="900"/>
      <c r="D818" s="900"/>
      <c r="E818" s="900"/>
      <c r="F818" s="900"/>
      <c r="G818" s="900"/>
      <c r="H818" s="900"/>
      <c r="I818" s="905"/>
      <c r="J818" s="905"/>
      <c r="K818" s="906"/>
      <c r="L818" s="900"/>
      <c r="M818" s="900"/>
      <c r="N818" s="900"/>
      <c r="O818" s="900"/>
      <c r="P818" s="900"/>
      <c r="Q818" s="900"/>
      <c r="R818" s="900"/>
      <c r="S818" s="900"/>
      <c r="T818" s="900"/>
      <c r="U818" s="900"/>
      <c r="V818" s="900"/>
      <c r="W818" s="900"/>
      <c r="X818" s="900"/>
      <c r="Y818" s="900"/>
      <c r="Z818" s="900"/>
      <c r="AA818" s="900"/>
      <c r="AB818" s="900"/>
    </row>
    <row r="819">
      <c r="A819" s="900"/>
      <c r="B819" s="900"/>
      <c r="C819" s="900"/>
      <c r="D819" s="900"/>
      <c r="E819" s="900"/>
      <c r="F819" s="900"/>
      <c r="G819" s="900"/>
      <c r="H819" s="900"/>
      <c r="I819" s="905"/>
      <c r="J819" s="905"/>
      <c r="K819" s="906"/>
      <c r="L819" s="900"/>
      <c r="M819" s="900"/>
      <c r="N819" s="900"/>
      <c r="O819" s="900"/>
      <c r="P819" s="900"/>
      <c r="Q819" s="900"/>
      <c r="R819" s="900"/>
      <c r="S819" s="900"/>
      <c r="T819" s="900"/>
      <c r="U819" s="900"/>
      <c r="V819" s="900"/>
      <c r="W819" s="900"/>
      <c r="X819" s="900"/>
      <c r="Y819" s="900"/>
      <c r="Z819" s="900"/>
      <c r="AA819" s="900"/>
      <c r="AB819" s="900"/>
    </row>
    <row r="820">
      <c r="A820" s="900"/>
      <c r="B820" s="900"/>
      <c r="C820" s="900"/>
      <c r="D820" s="900"/>
      <c r="E820" s="900"/>
      <c r="F820" s="900"/>
      <c r="G820" s="900"/>
      <c r="H820" s="900"/>
      <c r="I820" s="905"/>
      <c r="J820" s="905"/>
      <c r="K820" s="906"/>
      <c r="L820" s="900"/>
      <c r="M820" s="900"/>
      <c r="N820" s="900"/>
      <c r="O820" s="900"/>
      <c r="P820" s="900"/>
      <c r="Q820" s="900"/>
      <c r="R820" s="900"/>
      <c r="S820" s="900"/>
      <c r="T820" s="900"/>
      <c r="U820" s="900"/>
      <c r="V820" s="900"/>
      <c r="W820" s="900"/>
      <c r="X820" s="900"/>
      <c r="Y820" s="900"/>
      <c r="Z820" s="900"/>
      <c r="AA820" s="900"/>
      <c r="AB820" s="900"/>
    </row>
    <row r="821">
      <c r="A821" s="900"/>
      <c r="B821" s="900"/>
      <c r="C821" s="900"/>
      <c r="D821" s="900"/>
      <c r="E821" s="900"/>
      <c r="F821" s="900"/>
      <c r="G821" s="900"/>
      <c r="H821" s="900"/>
      <c r="I821" s="905"/>
      <c r="J821" s="905"/>
      <c r="K821" s="906"/>
      <c r="L821" s="900"/>
      <c r="M821" s="900"/>
      <c r="N821" s="900"/>
      <c r="O821" s="900"/>
      <c r="P821" s="900"/>
      <c r="Q821" s="900"/>
      <c r="R821" s="900"/>
      <c r="S821" s="900"/>
      <c r="T821" s="900"/>
      <c r="U821" s="900"/>
      <c r="V821" s="900"/>
      <c r="W821" s="900"/>
      <c r="X821" s="900"/>
      <c r="Y821" s="900"/>
      <c r="Z821" s="900"/>
      <c r="AA821" s="900"/>
      <c r="AB821" s="900"/>
    </row>
    <row r="822">
      <c r="A822" s="900"/>
      <c r="B822" s="900"/>
      <c r="C822" s="900"/>
      <c r="D822" s="900"/>
      <c r="E822" s="900"/>
      <c r="F822" s="900"/>
      <c r="G822" s="900"/>
      <c r="H822" s="900"/>
      <c r="I822" s="905"/>
      <c r="J822" s="905"/>
      <c r="K822" s="906"/>
      <c r="L822" s="900"/>
      <c r="M822" s="900"/>
      <c r="N822" s="900"/>
      <c r="O822" s="900"/>
      <c r="P822" s="900"/>
      <c r="Q822" s="900"/>
      <c r="R822" s="900"/>
      <c r="S822" s="900"/>
      <c r="T822" s="900"/>
      <c r="U822" s="900"/>
      <c r="V822" s="900"/>
      <c r="W822" s="900"/>
      <c r="X822" s="900"/>
      <c r="Y822" s="900"/>
      <c r="Z822" s="900"/>
      <c r="AA822" s="900"/>
      <c r="AB822" s="900"/>
    </row>
    <row r="823">
      <c r="A823" s="900"/>
      <c r="B823" s="900"/>
      <c r="C823" s="900"/>
      <c r="D823" s="900"/>
      <c r="E823" s="900"/>
      <c r="F823" s="900"/>
      <c r="G823" s="900"/>
      <c r="H823" s="900"/>
      <c r="I823" s="905"/>
      <c r="J823" s="905"/>
      <c r="K823" s="906"/>
      <c r="L823" s="900"/>
      <c r="M823" s="900"/>
      <c r="N823" s="900"/>
      <c r="O823" s="900"/>
      <c r="P823" s="900"/>
      <c r="Q823" s="900"/>
      <c r="R823" s="900"/>
      <c r="S823" s="900"/>
      <c r="T823" s="900"/>
      <c r="U823" s="900"/>
      <c r="V823" s="900"/>
      <c r="W823" s="900"/>
      <c r="X823" s="900"/>
      <c r="Y823" s="900"/>
      <c r="Z823" s="900"/>
      <c r="AA823" s="900"/>
      <c r="AB823" s="900"/>
    </row>
    <row r="824">
      <c r="A824" s="900"/>
      <c r="B824" s="900"/>
      <c r="C824" s="900"/>
      <c r="D824" s="900"/>
      <c r="E824" s="900"/>
      <c r="F824" s="900"/>
      <c r="G824" s="900"/>
      <c r="H824" s="900"/>
      <c r="I824" s="905"/>
      <c r="J824" s="905"/>
      <c r="K824" s="906"/>
      <c r="L824" s="900"/>
      <c r="M824" s="900"/>
      <c r="N824" s="900"/>
      <c r="O824" s="900"/>
      <c r="P824" s="900"/>
      <c r="Q824" s="900"/>
      <c r="R824" s="900"/>
      <c r="S824" s="900"/>
      <c r="T824" s="900"/>
      <c r="U824" s="900"/>
      <c r="V824" s="900"/>
      <c r="W824" s="900"/>
      <c r="X824" s="900"/>
      <c r="Y824" s="900"/>
      <c r="Z824" s="900"/>
      <c r="AA824" s="900"/>
      <c r="AB824" s="900"/>
    </row>
    <row r="825">
      <c r="A825" s="900"/>
      <c r="B825" s="900"/>
      <c r="C825" s="900"/>
      <c r="D825" s="900"/>
      <c r="E825" s="900"/>
      <c r="F825" s="900"/>
      <c r="G825" s="900"/>
      <c r="H825" s="900"/>
      <c r="I825" s="905"/>
      <c r="J825" s="905"/>
      <c r="K825" s="906"/>
      <c r="L825" s="900"/>
      <c r="M825" s="900"/>
      <c r="N825" s="900"/>
      <c r="O825" s="900"/>
      <c r="P825" s="900"/>
      <c r="Q825" s="900"/>
      <c r="R825" s="900"/>
      <c r="S825" s="900"/>
      <c r="T825" s="900"/>
      <c r="U825" s="900"/>
      <c r="V825" s="900"/>
      <c r="W825" s="900"/>
      <c r="X825" s="900"/>
      <c r="Y825" s="900"/>
      <c r="Z825" s="900"/>
      <c r="AA825" s="900"/>
      <c r="AB825" s="900"/>
    </row>
    <row r="826">
      <c r="A826" s="900"/>
      <c r="B826" s="900"/>
      <c r="C826" s="900"/>
      <c r="D826" s="900"/>
      <c r="E826" s="900"/>
      <c r="F826" s="900"/>
      <c r="G826" s="900"/>
      <c r="H826" s="900"/>
      <c r="I826" s="905"/>
      <c r="J826" s="905"/>
      <c r="K826" s="906"/>
      <c r="L826" s="900"/>
      <c r="M826" s="900"/>
      <c r="N826" s="900"/>
      <c r="O826" s="900"/>
      <c r="P826" s="900"/>
      <c r="Q826" s="900"/>
      <c r="R826" s="900"/>
      <c r="S826" s="900"/>
      <c r="T826" s="900"/>
      <c r="U826" s="900"/>
      <c r="V826" s="900"/>
      <c r="W826" s="900"/>
      <c r="X826" s="900"/>
      <c r="Y826" s="900"/>
      <c r="Z826" s="900"/>
      <c r="AA826" s="900"/>
      <c r="AB826" s="900"/>
    </row>
    <row r="827">
      <c r="A827" s="900"/>
      <c r="B827" s="900"/>
      <c r="C827" s="900"/>
      <c r="D827" s="900"/>
      <c r="E827" s="900"/>
      <c r="F827" s="900"/>
      <c r="G827" s="900"/>
      <c r="H827" s="900"/>
      <c r="I827" s="905"/>
      <c r="J827" s="905"/>
      <c r="K827" s="906"/>
      <c r="L827" s="900"/>
      <c r="M827" s="900"/>
      <c r="N827" s="900"/>
      <c r="O827" s="900"/>
      <c r="P827" s="900"/>
      <c r="Q827" s="900"/>
      <c r="R827" s="900"/>
      <c r="S827" s="900"/>
      <c r="T827" s="900"/>
      <c r="U827" s="900"/>
      <c r="V827" s="900"/>
      <c r="W827" s="900"/>
      <c r="X827" s="900"/>
      <c r="Y827" s="900"/>
      <c r="Z827" s="900"/>
      <c r="AA827" s="900"/>
      <c r="AB827" s="900"/>
    </row>
    <row r="828">
      <c r="A828" s="900"/>
      <c r="B828" s="900"/>
      <c r="C828" s="900"/>
      <c r="D828" s="900"/>
      <c r="E828" s="900"/>
      <c r="F828" s="900"/>
      <c r="G828" s="900"/>
      <c r="H828" s="900"/>
      <c r="I828" s="905"/>
      <c r="J828" s="905"/>
      <c r="K828" s="906"/>
      <c r="L828" s="900"/>
      <c r="M828" s="900"/>
      <c r="N828" s="900"/>
      <c r="O828" s="900"/>
      <c r="P828" s="900"/>
      <c r="Q828" s="900"/>
      <c r="R828" s="900"/>
      <c r="S828" s="900"/>
      <c r="T828" s="900"/>
      <c r="U828" s="900"/>
      <c r="V828" s="900"/>
      <c r="W828" s="900"/>
      <c r="X828" s="900"/>
      <c r="Y828" s="900"/>
      <c r="Z828" s="900"/>
      <c r="AA828" s="900"/>
      <c r="AB828" s="900"/>
    </row>
    <row r="829">
      <c r="A829" s="900"/>
      <c r="B829" s="900"/>
      <c r="C829" s="900"/>
      <c r="D829" s="900"/>
      <c r="E829" s="900"/>
      <c r="F829" s="900"/>
      <c r="G829" s="900"/>
      <c r="H829" s="900"/>
      <c r="I829" s="905"/>
      <c r="J829" s="905"/>
      <c r="K829" s="906"/>
      <c r="L829" s="900"/>
      <c r="M829" s="900"/>
      <c r="N829" s="900"/>
      <c r="O829" s="900"/>
      <c r="P829" s="900"/>
      <c r="Q829" s="900"/>
      <c r="R829" s="900"/>
      <c r="S829" s="900"/>
      <c r="T829" s="900"/>
      <c r="U829" s="900"/>
      <c r="V829" s="900"/>
      <c r="W829" s="900"/>
      <c r="X829" s="900"/>
      <c r="Y829" s="900"/>
      <c r="Z829" s="900"/>
      <c r="AA829" s="900"/>
      <c r="AB829" s="900"/>
    </row>
    <row r="830">
      <c r="A830" s="900"/>
      <c r="B830" s="900"/>
      <c r="C830" s="900"/>
      <c r="D830" s="900"/>
      <c r="E830" s="900"/>
      <c r="F830" s="900"/>
      <c r="G830" s="900"/>
      <c r="H830" s="900"/>
      <c r="I830" s="905"/>
      <c r="J830" s="905"/>
      <c r="K830" s="906"/>
      <c r="L830" s="900"/>
      <c r="M830" s="900"/>
      <c r="N830" s="900"/>
      <c r="O830" s="900"/>
      <c r="P830" s="900"/>
      <c r="Q830" s="900"/>
      <c r="R830" s="900"/>
      <c r="S830" s="900"/>
      <c r="T830" s="900"/>
      <c r="U830" s="900"/>
      <c r="V830" s="900"/>
      <c r="W830" s="900"/>
      <c r="X830" s="900"/>
      <c r="Y830" s="900"/>
      <c r="Z830" s="900"/>
      <c r="AA830" s="900"/>
      <c r="AB830" s="900"/>
    </row>
    <row r="831">
      <c r="A831" s="900"/>
      <c r="B831" s="900"/>
      <c r="C831" s="900"/>
      <c r="D831" s="900"/>
      <c r="E831" s="900"/>
      <c r="F831" s="900"/>
      <c r="G831" s="900"/>
      <c r="H831" s="900"/>
      <c r="I831" s="905"/>
      <c r="J831" s="905"/>
      <c r="K831" s="906"/>
      <c r="L831" s="900"/>
      <c r="M831" s="900"/>
      <c r="N831" s="900"/>
      <c r="O831" s="900"/>
      <c r="P831" s="900"/>
      <c r="Q831" s="900"/>
      <c r="R831" s="900"/>
      <c r="S831" s="900"/>
      <c r="T831" s="900"/>
      <c r="U831" s="900"/>
      <c r="V831" s="900"/>
      <c r="W831" s="900"/>
      <c r="X831" s="900"/>
      <c r="Y831" s="900"/>
      <c r="Z831" s="900"/>
      <c r="AA831" s="900"/>
      <c r="AB831" s="900"/>
    </row>
    <row r="832">
      <c r="A832" s="900"/>
      <c r="B832" s="900"/>
      <c r="C832" s="900"/>
      <c r="D832" s="900"/>
      <c r="E832" s="900"/>
      <c r="F832" s="900"/>
      <c r="G832" s="900"/>
      <c r="H832" s="900"/>
      <c r="I832" s="905"/>
      <c r="J832" s="905"/>
      <c r="K832" s="906"/>
      <c r="L832" s="900"/>
      <c r="M832" s="900"/>
      <c r="N832" s="900"/>
      <c r="O832" s="900"/>
      <c r="P832" s="900"/>
      <c r="Q832" s="900"/>
      <c r="R832" s="900"/>
      <c r="S832" s="900"/>
      <c r="T832" s="900"/>
      <c r="U832" s="900"/>
      <c r="V832" s="900"/>
      <c r="W832" s="900"/>
      <c r="X832" s="900"/>
      <c r="Y832" s="900"/>
      <c r="Z832" s="900"/>
      <c r="AA832" s="900"/>
      <c r="AB832" s="900"/>
    </row>
    <row r="833">
      <c r="A833" s="900"/>
      <c r="B833" s="900"/>
      <c r="C833" s="900"/>
      <c r="D833" s="900"/>
      <c r="E833" s="900"/>
      <c r="F833" s="900"/>
      <c r="G833" s="900"/>
      <c r="H833" s="900"/>
      <c r="I833" s="905"/>
      <c r="J833" s="905"/>
      <c r="K833" s="906"/>
      <c r="L833" s="900"/>
      <c r="M833" s="900"/>
      <c r="N833" s="900"/>
      <c r="O833" s="900"/>
      <c r="P833" s="900"/>
      <c r="Q833" s="900"/>
      <c r="R833" s="900"/>
      <c r="S833" s="900"/>
      <c r="T833" s="900"/>
      <c r="U833" s="900"/>
      <c r="V833" s="900"/>
      <c r="W833" s="900"/>
      <c r="X833" s="900"/>
      <c r="Y833" s="900"/>
      <c r="Z833" s="900"/>
      <c r="AA833" s="900"/>
      <c r="AB833" s="900"/>
    </row>
    <row r="834">
      <c r="A834" s="900"/>
      <c r="B834" s="900"/>
      <c r="C834" s="900"/>
      <c r="D834" s="900"/>
      <c r="E834" s="900"/>
      <c r="F834" s="900"/>
      <c r="G834" s="900"/>
      <c r="H834" s="900"/>
      <c r="I834" s="905"/>
      <c r="J834" s="905"/>
      <c r="K834" s="906"/>
      <c r="L834" s="900"/>
      <c r="M834" s="900"/>
      <c r="N834" s="900"/>
      <c r="O834" s="900"/>
      <c r="P834" s="900"/>
      <c r="Q834" s="900"/>
      <c r="R834" s="900"/>
      <c r="S834" s="900"/>
      <c r="T834" s="900"/>
      <c r="U834" s="900"/>
      <c r="V834" s="900"/>
      <c r="W834" s="900"/>
      <c r="X834" s="900"/>
      <c r="Y834" s="900"/>
      <c r="Z834" s="900"/>
      <c r="AA834" s="900"/>
      <c r="AB834" s="900"/>
    </row>
    <row r="835">
      <c r="A835" s="900"/>
      <c r="B835" s="900"/>
      <c r="C835" s="900"/>
      <c r="D835" s="900"/>
      <c r="E835" s="900"/>
      <c r="F835" s="900"/>
      <c r="G835" s="900"/>
      <c r="H835" s="900"/>
      <c r="I835" s="905"/>
      <c r="J835" s="905"/>
      <c r="K835" s="906"/>
      <c r="L835" s="900"/>
      <c r="M835" s="900"/>
      <c r="N835" s="900"/>
      <c r="O835" s="900"/>
      <c r="P835" s="900"/>
      <c r="Q835" s="900"/>
      <c r="R835" s="900"/>
      <c r="S835" s="900"/>
      <c r="T835" s="900"/>
      <c r="U835" s="900"/>
      <c r="V835" s="900"/>
      <c r="W835" s="900"/>
      <c r="X835" s="900"/>
      <c r="Y835" s="900"/>
      <c r="Z835" s="900"/>
      <c r="AA835" s="900"/>
      <c r="AB835" s="900"/>
    </row>
    <row r="836">
      <c r="A836" s="900"/>
      <c r="B836" s="900"/>
      <c r="C836" s="900"/>
      <c r="D836" s="900"/>
      <c r="E836" s="900"/>
      <c r="F836" s="900"/>
      <c r="G836" s="900"/>
      <c r="H836" s="900"/>
      <c r="I836" s="905"/>
      <c r="J836" s="905"/>
      <c r="K836" s="906"/>
      <c r="L836" s="900"/>
      <c r="M836" s="900"/>
      <c r="N836" s="900"/>
      <c r="O836" s="900"/>
      <c r="P836" s="900"/>
      <c r="Q836" s="900"/>
      <c r="R836" s="900"/>
      <c r="S836" s="900"/>
      <c r="T836" s="900"/>
      <c r="U836" s="900"/>
      <c r="V836" s="900"/>
      <c r="W836" s="900"/>
      <c r="X836" s="900"/>
      <c r="Y836" s="900"/>
      <c r="Z836" s="900"/>
      <c r="AA836" s="900"/>
      <c r="AB836" s="900"/>
    </row>
    <row r="837">
      <c r="A837" s="900"/>
      <c r="B837" s="900"/>
      <c r="C837" s="900"/>
      <c r="D837" s="900"/>
      <c r="E837" s="900"/>
      <c r="F837" s="900"/>
      <c r="G837" s="900"/>
      <c r="H837" s="900"/>
      <c r="I837" s="905"/>
      <c r="J837" s="905"/>
      <c r="K837" s="906"/>
      <c r="L837" s="900"/>
      <c r="M837" s="900"/>
      <c r="N837" s="900"/>
      <c r="O837" s="900"/>
      <c r="P837" s="900"/>
      <c r="Q837" s="900"/>
      <c r="R837" s="900"/>
      <c r="S837" s="900"/>
      <c r="T837" s="900"/>
      <c r="U837" s="900"/>
      <c r="V837" s="900"/>
      <c r="W837" s="900"/>
      <c r="X837" s="900"/>
      <c r="Y837" s="900"/>
      <c r="Z837" s="900"/>
      <c r="AA837" s="900"/>
      <c r="AB837" s="900"/>
    </row>
    <row r="838">
      <c r="A838" s="900"/>
      <c r="B838" s="900"/>
      <c r="C838" s="900"/>
      <c r="D838" s="900"/>
      <c r="E838" s="900"/>
      <c r="F838" s="900"/>
      <c r="G838" s="900"/>
      <c r="H838" s="900"/>
      <c r="I838" s="905"/>
      <c r="J838" s="905"/>
      <c r="K838" s="906"/>
      <c r="L838" s="900"/>
      <c r="M838" s="900"/>
      <c r="N838" s="900"/>
      <c r="O838" s="900"/>
      <c r="P838" s="900"/>
      <c r="Q838" s="900"/>
      <c r="R838" s="900"/>
      <c r="S838" s="900"/>
      <c r="T838" s="900"/>
      <c r="U838" s="900"/>
      <c r="V838" s="900"/>
      <c r="W838" s="900"/>
      <c r="X838" s="900"/>
      <c r="Y838" s="900"/>
      <c r="Z838" s="900"/>
      <c r="AA838" s="900"/>
      <c r="AB838" s="900"/>
    </row>
    <row r="839">
      <c r="A839" s="900"/>
      <c r="B839" s="900"/>
      <c r="C839" s="900"/>
      <c r="D839" s="900"/>
      <c r="E839" s="900"/>
      <c r="F839" s="900"/>
      <c r="G839" s="900"/>
      <c r="H839" s="900"/>
      <c r="I839" s="905"/>
      <c r="J839" s="905"/>
      <c r="K839" s="906"/>
      <c r="L839" s="900"/>
      <c r="M839" s="900"/>
      <c r="N839" s="900"/>
      <c r="O839" s="900"/>
      <c r="P839" s="900"/>
      <c r="Q839" s="900"/>
      <c r="R839" s="900"/>
      <c r="S839" s="900"/>
      <c r="T839" s="900"/>
      <c r="U839" s="900"/>
      <c r="V839" s="900"/>
      <c r="W839" s="900"/>
      <c r="X839" s="900"/>
      <c r="Y839" s="900"/>
      <c r="Z839" s="900"/>
      <c r="AA839" s="900"/>
      <c r="AB839" s="900"/>
    </row>
    <row r="840">
      <c r="A840" s="900"/>
      <c r="B840" s="900"/>
      <c r="C840" s="900"/>
      <c r="D840" s="900"/>
      <c r="E840" s="900"/>
      <c r="F840" s="900"/>
      <c r="G840" s="900"/>
      <c r="H840" s="900"/>
      <c r="I840" s="905"/>
      <c r="J840" s="905"/>
      <c r="K840" s="906"/>
      <c r="L840" s="900"/>
      <c r="M840" s="900"/>
      <c r="N840" s="900"/>
      <c r="O840" s="900"/>
      <c r="P840" s="900"/>
      <c r="Q840" s="900"/>
      <c r="R840" s="900"/>
      <c r="S840" s="900"/>
      <c r="T840" s="900"/>
      <c r="U840" s="900"/>
      <c r="V840" s="900"/>
      <c r="W840" s="900"/>
      <c r="X840" s="900"/>
      <c r="Y840" s="900"/>
      <c r="Z840" s="900"/>
      <c r="AA840" s="900"/>
      <c r="AB840" s="900"/>
    </row>
    <row r="841">
      <c r="A841" s="900"/>
      <c r="B841" s="900"/>
      <c r="C841" s="900"/>
      <c r="D841" s="900"/>
      <c r="E841" s="900"/>
      <c r="F841" s="900"/>
      <c r="G841" s="900"/>
      <c r="H841" s="900"/>
      <c r="I841" s="905"/>
      <c r="J841" s="905"/>
      <c r="K841" s="906"/>
      <c r="L841" s="900"/>
      <c r="M841" s="900"/>
      <c r="N841" s="900"/>
      <c r="O841" s="900"/>
      <c r="P841" s="900"/>
      <c r="Q841" s="900"/>
      <c r="R841" s="900"/>
      <c r="S841" s="900"/>
      <c r="T841" s="900"/>
      <c r="U841" s="900"/>
      <c r="V841" s="900"/>
      <c r="W841" s="900"/>
      <c r="X841" s="900"/>
      <c r="Y841" s="900"/>
      <c r="Z841" s="900"/>
      <c r="AA841" s="900"/>
      <c r="AB841" s="900"/>
    </row>
    <row r="842">
      <c r="A842" s="900"/>
      <c r="B842" s="900"/>
      <c r="C842" s="900"/>
      <c r="D842" s="900"/>
      <c r="E842" s="900"/>
      <c r="F842" s="900"/>
      <c r="G842" s="900"/>
      <c r="H842" s="900"/>
      <c r="I842" s="905"/>
      <c r="J842" s="905"/>
      <c r="K842" s="906"/>
      <c r="L842" s="900"/>
      <c r="M842" s="900"/>
      <c r="N842" s="900"/>
      <c r="O842" s="900"/>
      <c r="P842" s="900"/>
      <c r="Q842" s="900"/>
      <c r="R842" s="900"/>
      <c r="S842" s="900"/>
      <c r="T842" s="900"/>
      <c r="U842" s="900"/>
      <c r="V842" s="900"/>
      <c r="W842" s="900"/>
      <c r="X842" s="900"/>
      <c r="Y842" s="900"/>
      <c r="Z842" s="900"/>
      <c r="AA842" s="900"/>
      <c r="AB842" s="900"/>
    </row>
    <row r="843">
      <c r="A843" s="900"/>
      <c r="B843" s="900"/>
      <c r="C843" s="900"/>
      <c r="D843" s="900"/>
      <c r="E843" s="900"/>
      <c r="F843" s="900"/>
      <c r="G843" s="900"/>
      <c r="H843" s="900"/>
      <c r="I843" s="905"/>
      <c r="J843" s="905"/>
      <c r="K843" s="906"/>
      <c r="L843" s="900"/>
      <c r="M843" s="900"/>
      <c r="N843" s="900"/>
      <c r="O843" s="900"/>
      <c r="P843" s="900"/>
      <c r="Q843" s="900"/>
      <c r="R843" s="900"/>
      <c r="S843" s="900"/>
      <c r="T843" s="900"/>
      <c r="U843" s="900"/>
      <c r="V843" s="900"/>
      <c r="W843" s="900"/>
      <c r="X843" s="900"/>
      <c r="Y843" s="900"/>
      <c r="Z843" s="900"/>
      <c r="AA843" s="900"/>
      <c r="AB843" s="900"/>
    </row>
    <row r="844">
      <c r="A844" s="900"/>
      <c r="B844" s="900"/>
      <c r="C844" s="900"/>
      <c r="D844" s="900"/>
      <c r="E844" s="900"/>
      <c r="F844" s="900"/>
      <c r="G844" s="900"/>
      <c r="H844" s="900"/>
      <c r="I844" s="905"/>
      <c r="J844" s="905"/>
      <c r="K844" s="906"/>
      <c r="L844" s="900"/>
      <c r="M844" s="900"/>
      <c r="N844" s="900"/>
      <c r="O844" s="900"/>
      <c r="P844" s="900"/>
      <c r="Q844" s="900"/>
      <c r="R844" s="900"/>
      <c r="S844" s="900"/>
      <c r="T844" s="900"/>
      <c r="U844" s="900"/>
      <c r="V844" s="900"/>
      <c r="W844" s="900"/>
      <c r="X844" s="900"/>
      <c r="Y844" s="900"/>
      <c r="Z844" s="900"/>
      <c r="AA844" s="900"/>
      <c r="AB844" s="900"/>
    </row>
    <row r="845">
      <c r="A845" s="900"/>
      <c r="B845" s="900"/>
      <c r="C845" s="900"/>
      <c r="D845" s="900"/>
      <c r="E845" s="900"/>
      <c r="F845" s="900"/>
      <c r="G845" s="900"/>
      <c r="H845" s="900"/>
      <c r="I845" s="905"/>
      <c r="J845" s="905"/>
      <c r="K845" s="906"/>
      <c r="L845" s="900"/>
      <c r="M845" s="900"/>
      <c r="N845" s="900"/>
      <c r="O845" s="900"/>
      <c r="P845" s="900"/>
      <c r="Q845" s="900"/>
      <c r="R845" s="900"/>
      <c r="S845" s="900"/>
      <c r="T845" s="900"/>
      <c r="U845" s="900"/>
      <c r="V845" s="900"/>
      <c r="W845" s="900"/>
      <c r="X845" s="900"/>
      <c r="Y845" s="900"/>
      <c r="Z845" s="900"/>
      <c r="AA845" s="900"/>
      <c r="AB845" s="900"/>
    </row>
    <row r="846">
      <c r="A846" s="900"/>
      <c r="B846" s="900"/>
      <c r="C846" s="900"/>
      <c r="D846" s="900"/>
      <c r="E846" s="900"/>
      <c r="F846" s="900"/>
      <c r="G846" s="900"/>
      <c r="H846" s="900"/>
      <c r="I846" s="905"/>
      <c r="J846" s="905"/>
      <c r="K846" s="906"/>
      <c r="L846" s="900"/>
      <c r="M846" s="900"/>
      <c r="N846" s="900"/>
      <c r="O846" s="900"/>
      <c r="P846" s="900"/>
      <c r="Q846" s="900"/>
      <c r="R846" s="900"/>
      <c r="S846" s="900"/>
      <c r="T846" s="900"/>
      <c r="U846" s="900"/>
      <c r="V846" s="900"/>
      <c r="W846" s="900"/>
      <c r="X846" s="900"/>
      <c r="Y846" s="900"/>
      <c r="Z846" s="900"/>
      <c r="AA846" s="900"/>
      <c r="AB846" s="900"/>
    </row>
    <row r="847">
      <c r="A847" s="900"/>
      <c r="B847" s="900"/>
      <c r="C847" s="900"/>
      <c r="D847" s="900"/>
      <c r="E847" s="900"/>
      <c r="F847" s="900"/>
      <c r="G847" s="900"/>
      <c r="H847" s="900"/>
      <c r="I847" s="905"/>
      <c r="J847" s="905"/>
      <c r="K847" s="906"/>
      <c r="L847" s="900"/>
      <c r="M847" s="900"/>
      <c r="N847" s="900"/>
      <c r="O847" s="900"/>
      <c r="P847" s="900"/>
      <c r="Q847" s="900"/>
      <c r="R847" s="900"/>
      <c r="S847" s="900"/>
      <c r="T847" s="900"/>
      <c r="U847" s="900"/>
      <c r="V847" s="900"/>
      <c r="W847" s="900"/>
      <c r="X847" s="900"/>
      <c r="Y847" s="900"/>
      <c r="Z847" s="900"/>
      <c r="AA847" s="900"/>
      <c r="AB847" s="900"/>
    </row>
    <row r="848">
      <c r="A848" s="900"/>
      <c r="B848" s="900"/>
      <c r="C848" s="900"/>
      <c r="D848" s="900"/>
      <c r="E848" s="900"/>
      <c r="F848" s="900"/>
      <c r="G848" s="900"/>
      <c r="H848" s="900"/>
      <c r="I848" s="905"/>
      <c r="J848" s="905"/>
      <c r="K848" s="906"/>
      <c r="L848" s="900"/>
      <c r="M848" s="900"/>
      <c r="N848" s="900"/>
      <c r="O848" s="900"/>
      <c r="P848" s="900"/>
      <c r="Q848" s="900"/>
      <c r="R848" s="900"/>
      <c r="S848" s="900"/>
      <c r="T848" s="900"/>
      <c r="U848" s="900"/>
      <c r="V848" s="900"/>
      <c r="W848" s="900"/>
      <c r="X848" s="900"/>
      <c r="Y848" s="900"/>
      <c r="Z848" s="900"/>
      <c r="AA848" s="900"/>
      <c r="AB848" s="900"/>
    </row>
    <row r="849">
      <c r="A849" s="900"/>
      <c r="B849" s="900"/>
      <c r="C849" s="900"/>
      <c r="D849" s="900"/>
      <c r="E849" s="900"/>
      <c r="F849" s="900"/>
      <c r="G849" s="900"/>
      <c r="H849" s="900"/>
      <c r="I849" s="905"/>
      <c r="J849" s="905"/>
      <c r="K849" s="906"/>
      <c r="L849" s="900"/>
      <c r="M849" s="900"/>
      <c r="N849" s="900"/>
      <c r="O849" s="900"/>
      <c r="P849" s="900"/>
      <c r="Q849" s="900"/>
      <c r="R849" s="900"/>
      <c r="S849" s="900"/>
      <c r="T849" s="900"/>
      <c r="U849" s="900"/>
      <c r="V849" s="900"/>
      <c r="W849" s="900"/>
      <c r="X849" s="900"/>
      <c r="Y849" s="900"/>
      <c r="Z849" s="900"/>
      <c r="AA849" s="900"/>
      <c r="AB849" s="900"/>
    </row>
    <row r="850">
      <c r="A850" s="900"/>
      <c r="B850" s="900"/>
      <c r="C850" s="900"/>
      <c r="D850" s="900"/>
      <c r="E850" s="900"/>
      <c r="F850" s="900"/>
      <c r="G850" s="900"/>
      <c r="H850" s="900"/>
      <c r="I850" s="905"/>
      <c r="J850" s="905"/>
      <c r="K850" s="906"/>
      <c r="L850" s="900"/>
      <c r="M850" s="900"/>
      <c r="N850" s="900"/>
      <c r="O850" s="900"/>
      <c r="P850" s="900"/>
      <c r="Q850" s="900"/>
      <c r="R850" s="900"/>
      <c r="S850" s="900"/>
      <c r="T850" s="900"/>
      <c r="U850" s="900"/>
      <c r="V850" s="900"/>
      <c r="W850" s="900"/>
      <c r="X850" s="900"/>
      <c r="Y850" s="900"/>
      <c r="Z850" s="900"/>
      <c r="AA850" s="900"/>
      <c r="AB850" s="900"/>
    </row>
    <row r="851">
      <c r="A851" s="900"/>
      <c r="B851" s="900"/>
      <c r="C851" s="900"/>
      <c r="D851" s="900"/>
      <c r="E851" s="900"/>
      <c r="F851" s="900"/>
      <c r="G851" s="900"/>
      <c r="H851" s="900"/>
      <c r="I851" s="905"/>
      <c r="J851" s="905"/>
      <c r="K851" s="906"/>
      <c r="L851" s="900"/>
      <c r="M851" s="900"/>
      <c r="N851" s="900"/>
      <c r="O851" s="900"/>
      <c r="P851" s="900"/>
      <c r="Q851" s="900"/>
      <c r="R851" s="900"/>
      <c r="S851" s="900"/>
      <c r="T851" s="900"/>
      <c r="U851" s="900"/>
      <c r="V851" s="900"/>
      <c r="W851" s="900"/>
      <c r="X851" s="900"/>
      <c r="Y851" s="900"/>
      <c r="Z851" s="900"/>
      <c r="AA851" s="900"/>
      <c r="AB851" s="900"/>
    </row>
    <row r="852">
      <c r="A852" s="900"/>
      <c r="B852" s="900"/>
      <c r="C852" s="900"/>
      <c r="D852" s="900"/>
      <c r="E852" s="900"/>
      <c r="F852" s="900"/>
      <c r="G852" s="900"/>
      <c r="H852" s="900"/>
      <c r="I852" s="905"/>
      <c r="J852" s="905"/>
      <c r="K852" s="906"/>
      <c r="L852" s="900"/>
      <c r="M852" s="900"/>
      <c r="N852" s="900"/>
      <c r="O852" s="900"/>
      <c r="P852" s="900"/>
      <c r="Q852" s="900"/>
      <c r="R852" s="900"/>
      <c r="S852" s="900"/>
      <c r="T852" s="900"/>
      <c r="U852" s="900"/>
      <c r="V852" s="900"/>
      <c r="W852" s="900"/>
      <c r="X852" s="900"/>
      <c r="Y852" s="900"/>
      <c r="Z852" s="900"/>
      <c r="AA852" s="900"/>
      <c r="AB852" s="900"/>
    </row>
    <row r="853">
      <c r="A853" s="900"/>
      <c r="B853" s="900"/>
      <c r="C853" s="900"/>
      <c r="D853" s="900"/>
      <c r="E853" s="900"/>
      <c r="F853" s="900"/>
      <c r="G853" s="900"/>
      <c r="H853" s="900"/>
      <c r="I853" s="905"/>
      <c r="J853" s="905"/>
      <c r="K853" s="906"/>
      <c r="L853" s="900"/>
      <c r="M853" s="900"/>
      <c r="N853" s="900"/>
      <c r="O853" s="900"/>
      <c r="P853" s="900"/>
      <c r="Q853" s="900"/>
      <c r="R853" s="900"/>
      <c r="S853" s="900"/>
      <c r="T853" s="900"/>
      <c r="U853" s="900"/>
      <c r="V853" s="900"/>
      <c r="W853" s="900"/>
      <c r="X853" s="900"/>
      <c r="Y853" s="900"/>
      <c r="Z853" s="900"/>
      <c r="AA853" s="900"/>
      <c r="AB853" s="900"/>
    </row>
    <row r="854">
      <c r="A854" s="900"/>
      <c r="B854" s="900"/>
      <c r="C854" s="900"/>
      <c r="D854" s="900"/>
      <c r="E854" s="900"/>
      <c r="F854" s="900"/>
      <c r="G854" s="900"/>
      <c r="H854" s="900"/>
      <c r="I854" s="905"/>
      <c r="J854" s="905"/>
      <c r="K854" s="906"/>
      <c r="L854" s="900"/>
      <c r="M854" s="900"/>
      <c r="N854" s="900"/>
      <c r="O854" s="900"/>
      <c r="P854" s="900"/>
      <c r="Q854" s="900"/>
      <c r="R854" s="900"/>
      <c r="S854" s="900"/>
      <c r="T854" s="900"/>
      <c r="U854" s="900"/>
      <c r="V854" s="900"/>
      <c r="W854" s="900"/>
      <c r="X854" s="900"/>
      <c r="Y854" s="900"/>
      <c r="Z854" s="900"/>
      <c r="AA854" s="900"/>
      <c r="AB854" s="900"/>
    </row>
    <row r="855">
      <c r="A855" s="900"/>
      <c r="B855" s="900"/>
      <c r="C855" s="900"/>
      <c r="D855" s="900"/>
      <c r="E855" s="900"/>
      <c r="F855" s="900"/>
      <c r="G855" s="900"/>
      <c r="H855" s="900"/>
      <c r="I855" s="905"/>
      <c r="J855" s="905"/>
      <c r="K855" s="906"/>
      <c r="L855" s="900"/>
      <c r="M855" s="900"/>
      <c r="N855" s="900"/>
      <c r="O855" s="900"/>
      <c r="P855" s="900"/>
      <c r="Q855" s="900"/>
      <c r="R855" s="900"/>
      <c r="S855" s="900"/>
      <c r="T855" s="900"/>
      <c r="U855" s="900"/>
      <c r="V855" s="900"/>
      <c r="W855" s="900"/>
      <c r="X855" s="900"/>
      <c r="Y855" s="900"/>
      <c r="Z855" s="900"/>
      <c r="AA855" s="900"/>
      <c r="AB855" s="900"/>
    </row>
    <row r="856">
      <c r="A856" s="900"/>
      <c r="B856" s="900"/>
      <c r="C856" s="900"/>
      <c r="D856" s="900"/>
      <c r="E856" s="900"/>
      <c r="F856" s="900"/>
      <c r="G856" s="900"/>
      <c r="H856" s="900"/>
      <c r="I856" s="905"/>
      <c r="J856" s="905"/>
      <c r="K856" s="906"/>
      <c r="L856" s="900"/>
      <c r="M856" s="900"/>
      <c r="N856" s="900"/>
      <c r="O856" s="900"/>
      <c r="P856" s="900"/>
      <c r="Q856" s="900"/>
      <c r="R856" s="900"/>
      <c r="S856" s="900"/>
      <c r="T856" s="900"/>
      <c r="U856" s="900"/>
      <c r="V856" s="900"/>
      <c r="W856" s="900"/>
      <c r="X856" s="900"/>
      <c r="Y856" s="900"/>
      <c r="Z856" s="900"/>
      <c r="AA856" s="900"/>
      <c r="AB856" s="900"/>
    </row>
    <row r="857">
      <c r="A857" s="900"/>
      <c r="B857" s="900"/>
      <c r="C857" s="900"/>
      <c r="D857" s="900"/>
      <c r="E857" s="900"/>
      <c r="F857" s="900"/>
      <c r="G857" s="900"/>
      <c r="H857" s="900"/>
      <c r="I857" s="905"/>
      <c r="J857" s="905"/>
      <c r="K857" s="906"/>
      <c r="L857" s="900"/>
      <c r="M857" s="900"/>
      <c r="N857" s="900"/>
      <c r="O857" s="900"/>
      <c r="P857" s="900"/>
      <c r="Q857" s="900"/>
      <c r="R857" s="900"/>
      <c r="S857" s="900"/>
      <c r="T857" s="900"/>
      <c r="U857" s="900"/>
      <c r="V857" s="900"/>
      <c r="W857" s="900"/>
      <c r="X857" s="900"/>
      <c r="Y857" s="900"/>
      <c r="Z857" s="900"/>
      <c r="AA857" s="900"/>
      <c r="AB857" s="900"/>
    </row>
    <row r="858">
      <c r="A858" s="900"/>
      <c r="B858" s="900"/>
      <c r="C858" s="900"/>
      <c r="D858" s="900"/>
      <c r="E858" s="900"/>
      <c r="F858" s="900"/>
      <c r="G858" s="900"/>
      <c r="H858" s="900"/>
      <c r="I858" s="905"/>
      <c r="J858" s="905"/>
      <c r="K858" s="906"/>
      <c r="L858" s="900"/>
      <c r="M858" s="900"/>
      <c r="N858" s="900"/>
      <c r="O858" s="900"/>
      <c r="P858" s="900"/>
      <c r="Q858" s="900"/>
      <c r="R858" s="900"/>
      <c r="S858" s="900"/>
      <c r="T858" s="900"/>
      <c r="U858" s="900"/>
      <c r="V858" s="900"/>
      <c r="W858" s="900"/>
      <c r="X858" s="900"/>
      <c r="Y858" s="900"/>
      <c r="Z858" s="900"/>
      <c r="AA858" s="900"/>
      <c r="AB858" s="900"/>
    </row>
    <row r="859">
      <c r="A859" s="900"/>
      <c r="B859" s="900"/>
      <c r="C859" s="900"/>
      <c r="D859" s="900"/>
      <c r="E859" s="900"/>
      <c r="F859" s="900"/>
      <c r="G859" s="900"/>
      <c r="H859" s="900"/>
      <c r="I859" s="905"/>
      <c r="J859" s="905"/>
      <c r="K859" s="906"/>
      <c r="L859" s="900"/>
      <c r="M859" s="900"/>
      <c r="N859" s="900"/>
      <c r="O859" s="900"/>
      <c r="P859" s="900"/>
      <c r="Q859" s="900"/>
      <c r="R859" s="900"/>
      <c r="S859" s="900"/>
      <c r="T859" s="900"/>
      <c r="U859" s="900"/>
      <c r="V859" s="900"/>
      <c r="W859" s="900"/>
      <c r="X859" s="900"/>
      <c r="Y859" s="900"/>
      <c r="Z859" s="900"/>
      <c r="AA859" s="900"/>
      <c r="AB859" s="900"/>
    </row>
    <row r="860">
      <c r="A860" s="900"/>
      <c r="B860" s="900"/>
      <c r="C860" s="900"/>
      <c r="D860" s="900"/>
      <c r="E860" s="900"/>
      <c r="F860" s="900"/>
      <c r="G860" s="900"/>
      <c r="H860" s="900"/>
      <c r="I860" s="905"/>
      <c r="J860" s="905"/>
      <c r="K860" s="906"/>
      <c r="L860" s="900"/>
      <c r="M860" s="900"/>
      <c r="N860" s="900"/>
      <c r="O860" s="900"/>
      <c r="P860" s="900"/>
      <c r="Q860" s="900"/>
      <c r="R860" s="900"/>
      <c r="S860" s="900"/>
      <c r="T860" s="900"/>
      <c r="U860" s="900"/>
      <c r="V860" s="900"/>
      <c r="W860" s="900"/>
      <c r="X860" s="900"/>
      <c r="Y860" s="900"/>
      <c r="Z860" s="900"/>
      <c r="AA860" s="900"/>
      <c r="AB860" s="900"/>
    </row>
    <row r="861">
      <c r="A861" s="900"/>
      <c r="B861" s="900"/>
      <c r="C861" s="900"/>
      <c r="D861" s="900"/>
      <c r="E861" s="900"/>
      <c r="F861" s="900"/>
      <c r="G861" s="900"/>
      <c r="H861" s="900"/>
      <c r="I861" s="905"/>
      <c r="J861" s="905"/>
      <c r="K861" s="906"/>
      <c r="L861" s="900"/>
      <c r="M861" s="900"/>
      <c r="N861" s="900"/>
      <c r="O861" s="900"/>
      <c r="P861" s="900"/>
      <c r="Q861" s="900"/>
      <c r="R861" s="900"/>
      <c r="S861" s="900"/>
      <c r="T861" s="900"/>
      <c r="U861" s="900"/>
      <c r="V861" s="900"/>
      <c r="W861" s="900"/>
      <c r="X861" s="900"/>
      <c r="Y861" s="900"/>
      <c r="Z861" s="900"/>
      <c r="AA861" s="900"/>
      <c r="AB861" s="900"/>
    </row>
    <row r="862">
      <c r="A862" s="900"/>
      <c r="B862" s="900"/>
      <c r="C862" s="900"/>
      <c r="D862" s="900"/>
      <c r="E862" s="900"/>
      <c r="F862" s="900"/>
      <c r="G862" s="900"/>
      <c r="H862" s="900"/>
      <c r="I862" s="905"/>
      <c r="J862" s="905"/>
      <c r="K862" s="906"/>
      <c r="L862" s="900"/>
      <c r="M862" s="900"/>
      <c r="N862" s="900"/>
      <c r="O862" s="900"/>
      <c r="P862" s="900"/>
      <c r="Q862" s="900"/>
      <c r="R862" s="900"/>
      <c r="S862" s="900"/>
      <c r="T862" s="900"/>
      <c r="U862" s="900"/>
      <c r="V862" s="900"/>
      <c r="W862" s="900"/>
      <c r="X862" s="900"/>
      <c r="Y862" s="900"/>
      <c r="Z862" s="900"/>
      <c r="AA862" s="900"/>
      <c r="AB862" s="900"/>
    </row>
    <row r="863">
      <c r="A863" s="900"/>
      <c r="B863" s="900"/>
      <c r="C863" s="900"/>
      <c r="D863" s="900"/>
      <c r="E863" s="900"/>
      <c r="F863" s="900"/>
      <c r="G863" s="900"/>
      <c r="H863" s="900"/>
      <c r="I863" s="905"/>
      <c r="J863" s="905"/>
      <c r="K863" s="906"/>
      <c r="L863" s="900"/>
      <c r="M863" s="900"/>
      <c r="N863" s="900"/>
      <c r="O863" s="900"/>
      <c r="P863" s="900"/>
      <c r="Q863" s="900"/>
      <c r="R863" s="900"/>
      <c r="S863" s="900"/>
      <c r="T863" s="900"/>
      <c r="U863" s="900"/>
      <c r="V863" s="900"/>
      <c r="W863" s="900"/>
      <c r="X863" s="900"/>
      <c r="Y863" s="900"/>
      <c r="Z863" s="900"/>
      <c r="AA863" s="900"/>
      <c r="AB863" s="900"/>
    </row>
    <row r="864">
      <c r="A864" s="900"/>
      <c r="B864" s="900"/>
      <c r="C864" s="900"/>
      <c r="D864" s="900"/>
      <c r="E864" s="900"/>
      <c r="F864" s="900"/>
      <c r="G864" s="900"/>
      <c r="H864" s="900"/>
      <c r="I864" s="905"/>
      <c r="J864" s="905"/>
      <c r="K864" s="906"/>
      <c r="L864" s="900"/>
      <c r="M864" s="900"/>
      <c r="N864" s="900"/>
      <c r="O864" s="900"/>
      <c r="P864" s="900"/>
      <c r="Q864" s="900"/>
      <c r="R864" s="900"/>
      <c r="S864" s="900"/>
      <c r="T864" s="900"/>
      <c r="U864" s="900"/>
      <c r="V864" s="900"/>
      <c r="W864" s="900"/>
      <c r="X864" s="900"/>
      <c r="Y864" s="900"/>
      <c r="Z864" s="900"/>
      <c r="AA864" s="900"/>
      <c r="AB864" s="900"/>
    </row>
    <row r="865">
      <c r="A865" s="900"/>
      <c r="B865" s="900"/>
      <c r="C865" s="900"/>
      <c r="D865" s="900"/>
      <c r="E865" s="900"/>
      <c r="F865" s="900"/>
      <c r="G865" s="900"/>
      <c r="H865" s="900"/>
      <c r="I865" s="905"/>
      <c r="J865" s="905"/>
      <c r="K865" s="906"/>
      <c r="L865" s="900"/>
      <c r="M865" s="900"/>
      <c r="N865" s="900"/>
      <c r="O865" s="900"/>
      <c r="P865" s="900"/>
      <c r="Q865" s="900"/>
      <c r="R865" s="900"/>
      <c r="S865" s="900"/>
      <c r="T865" s="900"/>
      <c r="U865" s="900"/>
      <c r="V865" s="900"/>
      <c r="W865" s="900"/>
      <c r="X865" s="900"/>
      <c r="Y865" s="900"/>
      <c r="Z865" s="900"/>
      <c r="AA865" s="900"/>
      <c r="AB865" s="900"/>
    </row>
    <row r="866">
      <c r="A866" s="900"/>
      <c r="B866" s="900"/>
      <c r="C866" s="900"/>
      <c r="D866" s="900"/>
      <c r="E866" s="900"/>
      <c r="F866" s="900"/>
      <c r="G866" s="900"/>
      <c r="H866" s="900"/>
      <c r="I866" s="905"/>
      <c r="J866" s="905"/>
      <c r="K866" s="906"/>
      <c r="L866" s="900"/>
      <c r="M866" s="900"/>
      <c r="N866" s="900"/>
      <c r="O866" s="900"/>
      <c r="P866" s="900"/>
      <c r="Q866" s="900"/>
      <c r="R866" s="900"/>
      <c r="S866" s="900"/>
      <c r="T866" s="900"/>
      <c r="U866" s="900"/>
      <c r="V866" s="900"/>
      <c r="W866" s="900"/>
      <c r="X866" s="900"/>
      <c r="Y866" s="900"/>
      <c r="Z866" s="900"/>
      <c r="AA866" s="900"/>
      <c r="AB866" s="900"/>
    </row>
    <row r="867">
      <c r="A867" s="900"/>
      <c r="B867" s="900"/>
      <c r="C867" s="900"/>
      <c r="D867" s="900"/>
      <c r="E867" s="900"/>
      <c r="F867" s="900"/>
      <c r="G867" s="900"/>
      <c r="H867" s="900"/>
      <c r="I867" s="905"/>
      <c r="J867" s="905"/>
      <c r="K867" s="906"/>
      <c r="L867" s="900"/>
      <c r="M867" s="900"/>
      <c r="N867" s="900"/>
      <c r="O867" s="900"/>
      <c r="P867" s="900"/>
      <c r="Q867" s="900"/>
      <c r="R867" s="900"/>
      <c r="S867" s="900"/>
      <c r="T867" s="900"/>
      <c r="U867" s="900"/>
      <c r="V867" s="900"/>
      <c r="W867" s="900"/>
      <c r="X867" s="900"/>
      <c r="Y867" s="900"/>
      <c r="Z867" s="900"/>
      <c r="AA867" s="900"/>
      <c r="AB867" s="900"/>
    </row>
    <row r="868">
      <c r="A868" s="900"/>
      <c r="B868" s="900"/>
      <c r="C868" s="900"/>
      <c r="D868" s="900"/>
      <c r="E868" s="900"/>
      <c r="F868" s="900"/>
      <c r="G868" s="900"/>
      <c r="H868" s="900"/>
      <c r="I868" s="905"/>
      <c r="J868" s="905"/>
      <c r="K868" s="906"/>
      <c r="L868" s="900"/>
      <c r="M868" s="900"/>
      <c r="N868" s="900"/>
      <c r="O868" s="900"/>
      <c r="P868" s="900"/>
      <c r="Q868" s="900"/>
      <c r="R868" s="900"/>
      <c r="S868" s="900"/>
      <c r="T868" s="900"/>
      <c r="U868" s="900"/>
      <c r="V868" s="900"/>
      <c r="W868" s="900"/>
      <c r="X868" s="900"/>
      <c r="Y868" s="900"/>
      <c r="Z868" s="900"/>
      <c r="AA868" s="900"/>
      <c r="AB868" s="900"/>
    </row>
    <row r="869">
      <c r="A869" s="900"/>
      <c r="B869" s="900"/>
      <c r="C869" s="900"/>
      <c r="D869" s="900"/>
      <c r="E869" s="900"/>
      <c r="F869" s="900"/>
      <c r="G869" s="900"/>
      <c r="H869" s="900"/>
      <c r="I869" s="905"/>
      <c r="J869" s="905"/>
      <c r="K869" s="906"/>
      <c r="L869" s="900"/>
      <c r="M869" s="900"/>
      <c r="N869" s="900"/>
      <c r="O869" s="900"/>
      <c r="P869" s="900"/>
      <c r="Q869" s="900"/>
      <c r="R869" s="900"/>
      <c r="S869" s="900"/>
      <c r="T869" s="900"/>
      <c r="U869" s="900"/>
      <c r="V869" s="900"/>
      <c r="W869" s="900"/>
      <c r="X869" s="900"/>
      <c r="Y869" s="900"/>
      <c r="Z869" s="900"/>
      <c r="AA869" s="900"/>
      <c r="AB869" s="900"/>
    </row>
    <row r="870">
      <c r="A870" s="900"/>
      <c r="B870" s="900"/>
      <c r="C870" s="900"/>
      <c r="D870" s="900"/>
      <c r="E870" s="900"/>
      <c r="F870" s="900"/>
      <c r="G870" s="900"/>
      <c r="H870" s="900"/>
      <c r="I870" s="905"/>
      <c r="J870" s="905"/>
      <c r="K870" s="906"/>
      <c r="L870" s="900"/>
      <c r="M870" s="900"/>
      <c r="N870" s="900"/>
      <c r="O870" s="900"/>
      <c r="P870" s="900"/>
      <c r="Q870" s="900"/>
      <c r="R870" s="900"/>
      <c r="S870" s="900"/>
      <c r="T870" s="900"/>
      <c r="U870" s="900"/>
      <c r="V870" s="900"/>
      <c r="W870" s="900"/>
      <c r="X870" s="900"/>
      <c r="Y870" s="900"/>
      <c r="Z870" s="900"/>
      <c r="AA870" s="900"/>
      <c r="AB870" s="900"/>
    </row>
    <row r="871">
      <c r="A871" s="900"/>
      <c r="B871" s="900"/>
      <c r="C871" s="900"/>
      <c r="D871" s="900"/>
      <c r="E871" s="900"/>
      <c r="F871" s="900"/>
      <c r="G871" s="900"/>
      <c r="H871" s="900"/>
      <c r="I871" s="905"/>
      <c r="J871" s="905"/>
      <c r="K871" s="906"/>
      <c r="L871" s="900"/>
      <c r="M871" s="900"/>
      <c r="N871" s="900"/>
      <c r="O871" s="900"/>
      <c r="P871" s="900"/>
      <c r="Q871" s="900"/>
      <c r="R871" s="900"/>
      <c r="S871" s="900"/>
      <c r="T871" s="900"/>
      <c r="U871" s="900"/>
      <c r="V871" s="900"/>
      <c r="W871" s="900"/>
      <c r="X871" s="900"/>
      <c r="Y871" s="900"/>
      <c r="Z871" s="900"/>
      <c r="AA871" s="900"/>
      <c r="AB871" s="900"/>
    </row>
    <row r="872">
      <c r="A872" s="900"/>
      <c r="B872" s="900"/>
      <c r="C872" s="900"/>
      <c r="D872" s="900"/>
      <c r="E872" s="900"/>
      <c r="F872" s="900"/>
      <c r="G872" s="900"/>
      <c r="H872" s="900"/>
      <c r="I872" s="905"/>
      <c r="J872" s="905"/>
      <c r="K872" s="906"/>
      <c r="L872" s="900"/>
      <c r="M872" s="900"/>
      <c r="N872" s="900"/>
      <c r="O872" s="900"/>
      <c r="P872" s="900"/>
      <c r="Q872" s="900"/>
      <c r="R872" s="900"/>
      <c r="S872" s="900"/>
      <c r="T872" s="900"/>
      <c r="U872" s="900"/>
      <c r="V872" s="900"/>
      <c r="W872" s="900"/>
      <c r="X872" s="900"/>
      <c r="Y872" s="900"/>
      <c r="Z872" s="900"/>
      <c r="AA872" s="900"/>
      <c r="AB872" s="900"/>
    </row>
    <row r="873">
      <c r="A873" s="900"/>
      <c r="B873" s="900"/>
      <c r="C873" s="900"/>
      <c r="D873" s="900"/>
      <c r="E873" s="900"/>
      <c r="F873" s="900"/>
      <c r="G873" s="900"/>
      <c r="H873" s="900"/>
      <c r="I873" s="905"/>
      <c r="J873" s="905"/>
      <c r="K873" s="906"/>
      <c r="L873" s="900"/>
      <c r="M873" s="900"/>
      <c r="N873" s="900"/>
      <c r="O873" s="900"/>
      <c r="P873" s="900"/>
      <c r="Q873" s="900"/>
      <c r="R873" s="900"/>
      <c r="S873" s="900"/>
      <c r="T873" s="900"/>
      <c r="U873" s="900"/>
      <c r="V873" s="900"/>
      <c r="W873" s="900"/>
      <c r="X873" s="900"/>
      <c r="Y873" s="900"/>
      <c r="Z873" s="900"/>
      <c r="AA873" s="900"/>
      <c r="AB873" s="900"/>
    </row>
    <row r="874">
      <c r="A874" s="900"/>
      <c r="B874" s="900"/>
      <c r="C874" s="900"/>
      <c r="D874" s="900"/>
      <c r="E874" s="900"/>
      <c r="F874" s="900"/>
      <c r="G874" s="900"/>
      <c r="H874" s="900"/>
      <c r="I874" s="905"/>
      <c r="J874" s="905"/>
      <c r="K874" s="906"/>
      <c r="L874" s="900"/>
      <c r="M874" s="900"/>
      <c r="N874" s="900"/>
      <c r="O874" s="900"/>
      <c r="P874" s="900"/>
      <c r="Q874" s="900"/>
      <c r="R874" s="900"/>
      <c r="S874" s="900"/>
      <c r="T874" s="900"/>
      <c r="U874" s="900"/>
      <c r="V874" s="900"/>
      <c r="W874" s="900"/>
      <c r="X874" s="900"/>
      <c r="Y874" s="900"/>
      <c r="Z874" s="900"/>
      <c r="AA874" s="900"/>
      <c r="AB874" s="900"/>
    </row>
    <row r="875">
      <c r="A875" s="900"/>
      <c r="B875" s="900"/>
      <c r="C875" s="900"/>
      <c r="D875" s="900"/>
      <c r="E875" s="900"/>
      <c r="F875" s="900"/>
      <c r="G875" s="900"/>
      <c r="H875" s="900"/>
      <c r="I875" s="905"/>
      <c r="J875" s="905"/>
      <c r="K875" s="906"/>
      <c r="L875" s="900"/>
      <c r="M875" s="900"/>
      <c r="N875" s="900"/>
      <c r="O875" s="900"/>
      <c r="P875" s="900"/>
      <c r="Q875" s="900"/>
      <c r="R875" s="900"/>
      <c r="S875" s="900"/>
      <c r="T875" s="900"/>
      <c r="U875" s="900"/>
      <c r="V875" s="900"/>
      <c r="W875" s="900"/>
      <c r="X875" s="900"/>
      <c r="Y875" s="900"/>
      <c r="Z875" s="900"/>
      <c r="AA875" s="900"/>
      <c r="AB875" s="900"/>
    </row>
    <row r="876">
      <c r="A876" s="900"/>
      <c r="B876" s="900"/>
      <c r="C876" s="900"/>
      <c r="D876" s="900"/>
      <c r="E876" s="900"/>
      <c r="F876" s="900"/>
      <c r="G876" s="900"/>
      <c r="H876" s="900"/>
      <c r="I876" s="905"/>
      <c r="J876" s="905"/>
      <c r="K876" s="906"/>
      <c r="L876" s="900"/>
      <c r="M876" s="900"/>
      <c r="N876" s="900"/>
      <c r="O876" s="900"/>
      <c r="P876" s="900"/>
      <c r="Q876" s="900"/>
      <c r="R876" s="900"/>
      <c r="S876" s="900"/>
      <c r="T876" s="900"/>
      <c r="U876" s="900"/>
      <c r="V876" s="900"/>
      <c r="W876" s="900"/>
      <c r="X876" s="900"/>
      <c r="Y876" s="900"/>
      <c r="Z876" s="900"/>
      <c r="AA876" s="900"/>
      <c r="AB876" s="900"/>
    </row>
    <row r="877">
      <c r="A877" s="900"/>
      <c r="B877" s="900"/>
      <c r="C877" s="900"/>
      <c r="D877" s="900"/>
      <c r="E877" s="900"/>
      <c r="F877" s="900"/>
      <c r="G877" s="900"/>
      <c r="H877" s="900"/>
      <c r="I877" s="905"/>
      <c r="J877" s="905"/>
      <c r="K877" s="906"/>
      <c r="L877" s="900"/>
      <c r="M877" s="900"/>
      <c r="N877" s="900"/>
      <c r="O877" s="900"/>
      <c r="P877" s="900"/>
      <c r="Q877" s="900"/>
      <c r="R877" s="900"/>
      <c r="S877" s="900"/>
      <c r="T877" s="900"/>
      <c r="U877" s="900"/>
      <c r="V877" s="900"/>
      <c r="W877" s="900"/>
      <c r="X877" s="900"/>
      <c r="Y877" s="900"/>
      <c r="Z877" s="900"/>
      <c r="AA877" s="900"/>
      <c r="AB877" s="900"/>
    </row>
    <row r="878">
      <c r="A878" s="900"/>
      <c r="B878" s="900"/>
      <c r="C878" s="900"/>
      <c r="D878" s="900"/>
      <c r="E878" s="900"/>
      <c r="F878" s="900"/>
      <c r="G878" s="900"/>
      <c r="H878" s="900"/>
      <c r="I878" s="905"/>
      <c r="J878" s="905"/>
      <c r="K878" s="906"/>
      <c r="L878" s="900"/>
      <c r="M878" s="900"/>
      <c r="N878" s="900"/>
      <c r="O878" s="900"/>
      <c r="P878" s="900"/>
      <c r="Q878" s="900"/>
      <c r="R878" s="900"/>
      <c r="S878" s="900"/>
      <c r="T878" s="900"/>
      <c r="U878" s="900"/>
      <c r="V878" s="900"/>
      <c r="W878" s="900"/>
      <c r="X878" s="900"/>
      <c r="Y878" s="900"/>
      <c r="Z878" s="900"/>
      <c r="AA878" s="900"/>
      <c r="AB878" s="900"/>
    </row>
    <row r="879">
      <c r="A879" s="900"/>
      <c r="B879" s="900"/>
      <c r="C879" s="900"/>
      <c r="D879" s="900"/>
      <c r="E879" s="900"/>
      <c r="F879" s="900"/>
      <c r="G879" s="900"/>
      <c r="H879" s="900"/>
      <c r="I879" s="905"/>
      <c r="J879" s="905"/>
      <c r="K879" s="906"/>
      <c r="L879" s="900"/>
      <c r="M879" s="900"/>
      <c r="N879" s="900"/>
      <c r="O879" s="900"/>
      <c r="P879" s="900"/>
      <c r="Q879" s="900"/>
      <c r="R879" s="900"/>
      <c r="S879" s="900"/>
      <c r="T879" s="900"/>
      <c r="U879" s="900"/>
      <c r="V879" s="900"/>
      <c r="W879" s="900"/>
      <c r="X879" s="900"/>
      <c r="Y879" s="900"/>
      <c r="Z879" s="900"/>
      <c r="AA879" s="900"/>
      <c r="AB879" s="900"/>
    </row>
    <row r="880">
      <c r="A880" s="900"/>
      <c r="B880" s="900"/>
      <c r="C880" s="900"/>
      <c r="D880" s="900"/>
      <c r="E880" s="900"/>
      <c r="F880" s="900"/>
      <c r="G880" s="900"/>
      <c r="H880" s="900"/>
      <c r="I880" s="905"/>
      <c r="J880" s="905"/>
      <c r="K880" s="906"/>
      <c r="L880" s="900"/>
      <c r="M880" s="900"/>
      <c r="N880" s="900"/>
      <c r="O880" s="900"/>
      <c r="P880" s="900"/>
      <c r="Q880" s="900"/>
      <c r="R880" s="900"/>
      <c r="S880" s="900"/>
      <c r="T880" s="900"/>
      <c r="U880" s="900"/>
      <c r="V880" s="900"/>
      <c r="W880" s="900"/>
      <c r="X880" s="900"/>
      <c r="Y880" s="900"/>
      <c r="Z880" s="900"/>
      <c r="AA880" s="900"/>
      <c r="AB880" s="900"/>
    </row>
    <row r="881">
      <c r="A881" s="900"/>
      <c r="B881" s="900"/>
      <c r="C881" s="900"/>
      <c r="D881" s="900"/>
      <c r="E881" s="900"/>
      <c r="F881" s="900"/>
      <c r="G881" s="900"/>
      <c r="H881" s="900"/>
      <c r="I881" s="905"/>
      <c r="J881" s="905"/>
      <c r="K881" s="906"/>
      <c r="L881" s="900"/>
      <c r="M881" s="900"/>
      <c r="N881" s="900"/>
      <c r="O881" s="900"/>
      <c r="P881" s="900"/>
      <c r="Q881" s="900"/>
      <c r="R881" s="900"/>
      <c r="S881" s="900"/>
      <c r="T881" s="900"/>
      <c r="U881" s="900"/>
      <c r="V881" s="900"/>
      <c r="W881" s="900"/>
      <c r="X881" s="900"/>
      <c r="Y881" s="900"/>
      <c r="Z881" s="900"/>
      <c r="AA881" s="900"/>
      <c r="AB881" s="900"/>
    </row>
    <row r="882">
      <c r="A882" s="900"/>
      <c r="B882" s="900"/>
      <c r="C882" s="900"/>
      <c r="D882" s="900"/>
      <c r="E882" s="900"/>
      <c r="F882" s="900"/>
      <c r="G882" s="900"/>
      <c r="H882" s="900"/>
      <c r="I882" s="905"/>
      <c r="J882" s="905"/>
      <c r="K882" s="906"/>
      <c r="L882" s="900"/>
      <c r="M882" s="900"/>
      <c r="N882" s="900"/>
      <c r="O882" s="900"/>
      <c r="P882" s="900"/>
      <c r="Q882" s="900"/>
      <c r="R882" s="900"/>
      <c r="S882" s="900"/>
      <c r="T882" s="900"/>
      <c r="U882" s="900"/>
      <c r="V882" s="900"/>
      <c r="W882" s="900"/>
      <c r="X882" s="900"/>
      <c r="Y882" s="900"/>
      <c r="Z882" s="900"/>
      <c r="AA882" s="900"/>
      <c r="AB882" s="900"/>
    </row>
    <row r="883">
      <c r="A883" s="900"/>
      <c r="B883" s="900"/>
      <c r="C883" s="900"/>
      <c r="D883" s="900"/>
      <c r="E883" s="900"/>
      <c r="F883" s="900"/>
      <c r="G883" s="900"/>
      <c r="H883" s="900"/>
      <c r="I883" s="905"/>
      <c r="J883" s="905"/>
      <c r="K883" s="906"/>
      <c r="L883" s="900"/>
      <c r="M883" s="900"/>
      <c r="N883" s="900"/>
      <c r="O883" s="900"/>
      <c r="P883" s="900"/>
      <c r="Q883" s="900"/>
      <c r="R883" s="900"/>
      <c r="S883" s="900"/>
      <c r="T883" s="900"/>
      <c r="U883" s="900"/>
      <c r="V883" s="900"/>
      <c r="W883" s="900"/>
      <c r="X883" s="900"/>
      <c r="Y883" s="900"/>
      <c r="Z883" s="900"/>
      <c r="AA883" s="900"/>
      <c r="AB883" s="900"/>
    </row>
    <row r="884">
      <c r="A884" s="900"/>
      <c r="B884" s="900"/>
      <c r="C884" s="900"/>
      <c r="D884" s="900"/>
      <c r="E884" s="900"/>
      <c r="F884" s="900"/>
      <c r="G884" s="900"/>
      <c r="H884" s="900"/>
      <c r="I884" s="905"/>
      <c r="J884" s="905"/>
      <c r="K884" s="906"/>
      <c r="L884" s="900"/>
      <c r="M884" s="900"/>
      <c r="N884" s="900"/>
      <c r="O884" s="900"/>
      <c r="P884" s="900"/>
      <c r="Q884" s="900"/>
      <c r="R884" s="900"/>
      <c r="S884" s="900"/>
      <c r="T884" s="900"/>
      <c r="U884" s="900"/>
      <c r="V884" s="900"/>
      <c r="W884" s="900"/>
      <c r="X884" s="900"/>
      <c r="Y884" s="900"/>
      <c r="Z884" s="900"/>
      <c r="AA884" s="900"/>
      <c r="AB884" s="900"/>
    </row>
    <row r="885">
      <c r="A885" s="900"/>
      <c r="B885" s="900"/>
      <c r="C885" s="900"/>
      <c r="D885" s="900"/>
      <c r="E885" s="900"/>
      <c r="F885" s="900"/>
      <c r="G885" s="900"/>
      <c r="H885" s="900"/>
      <c r="I885" s="905"/>
      <c r="J885" s="905"/>
      <c r="K885" s="906"/>
      <c r="L885" s="900"/>
      <c r="M885" s="900"/>
      <c r="N885" s="900"/>
      <c r="O885" s="900"/>
      <c r="P885" s="900"/>
      <c r="Q885" s="900"/>
      <c r="R885" s="900"/>
      <c r="S885" s="900"/>
      <c r="T885" s="900"/>
      <c r="U885" s="900"/>
      <c r="V885" s="900"/>
      <c r="W885" s="900"/>
      <c r="X885" s="900"/>
      <c r="Y885" s="900"/>
      <c r="Z885" s="900"/>
      <c r="AA885" s="900"/>
      <c r="AB885" s="900"/>
    </row>
    <row r="886">
      <c r="A886" s="900"/>
      <c r="B886" s="900"/>
      <c r="C886" s="900"/>
      <c r="D886" s="900"/>
      <c r="E886" s="900"/>
      <c r="F886" s="900"/>
      <c r="G886" s="900"/>
      <c r="H886" s="900"/>
      <c r="I886" s="905"/>
      <c r="J886" s="905"/>
      <c r="K886" s="906"/>
      <c r="L886" s="900"/>
      <c r="M886" s="900"/>
      <c r="N886" s="900"/>
      <c r="O886" s="900"/>
      <c r="P886" s="900"/>
      <c r="Q886" s="900"/>
      <c r="R886" s="900"/>
      <c r="S886" s="900"/>
      <c r="T886" s="900"/>
      <c r="U886" s="900"/>
      <c r="V886" s="900"/>
      <c r="W886" s="900"/>
      <c r="X886" s="900"/>
      <c r="Y886" s="900"/>
      <c r="Z886" s="900"/>
      <c r="AA886" s="900"/>
      <c r="AB886" s="900"/>
    </row>
    <row r="887">
      <c r="A887" s="900"/>
      <c r="B887" s="900"/>
      <c r="C887" s="900"/>
      <c r="D887" s="900"/>
      <c r="E887" s="900"/>
      <c r="F887" s="900"/>
      <c r="G887" s="900"/>
      <c r="H887" s="900"/>
      <c r="I887" s="905"/>
      <c r="J887" s="905"/>
      <c r="K887" s="906"/>
      <c r="L887" s="900"/>
      <c r="M887" s="900"/>
      <c r="N887" s="900"/>
      <c r="O887" s="900"/>
      <c r="P887" s="900"/>
      <c r="Q887" s="900"/>
      <c r="R887" s="900"/>
      <c r="S887" s="900"/>
      <c r="T887" s="900"/>
      <c r="U887" s="900"/>
      <c r="V887" s="900"/>
      <c r="W887" s="900"/>
      <c r="X887" s="900"/>
      <c r="Y887" s="900"/>
      <c r="Z887" s="900"/>
      <c r="AA887" s="900"/>
      <c r="AB887" s="900"/>
    </row>
    <row r="888">
      <c r="A888" s="900"/>
      <c r="B888" s="900"/>
      <c r="C888" s="900"/>
      <c r="D888" s="900"/>
      <c r="E888" s="900"/>
      <c r="F888" s="900"/>
      <c r="G888" s="900"/>
      <c r="H888" s="900"/>
      <c r="I888" s="905"/>
      <c r="J888" s="905"/>
      <c r="K888" s="906"/>
      <c r="L888" s="900"/>
      <c r="M888" s="900"/>
      <c r="N888" s="900"/>
      <c r="O888" s="900"/>
      <c r="P888" s="900"/>
      <c r="Q888" s="900"/>
      <c r="R888" s="900"/>
      <c r="S888" s="900"/>
      <c r="T888" s="900"/>
      <c r="U888" s="900"/>
      <c r="V888" s="900"/>
      <c r="W888" s="900"/>
      <c r="X888" s="900"/>
      <c r="Y888" s="900"/>
      <c r="Z888" s="900"/>
      <c r="AA888" s="900"/>
      <c r="AB888" s="900"/>
    </row>
    <row r="889">
      <c r="A889" s="900"/>
      <c r="B889" s="900"/>
      <c r="C889" s="900"/>
      <c r="D889" s="900"/>
      <c r="E889" s="900"/>
      <c r="F889" s="900"/>
      <c r="G889" s="900"/>
      <c r="H889" s="900"/>
      <c r="I889" s="905"/>
      <c r="J889" s="905"/>
      <c r="K889" s="906"/>
      <c r="L889" s="900"/>
      <c r="M889" s="900"/>
      <c r="N889" s="900"/>
      <c r="O889" s="900"/>
      <c r="P889" s="900"/>
      <c r="Q889" s="900"/>
      <c r="R889" s="900"/>
      <c r="S889" s="900"/>
      <c r="T889" s="900"/>
      <c r="U889" s="900"/>
      <c r="V889" s="900"/>
      <c r="W889" s="900"/>
      <c r="X889" s="900"/>
      <c r="Y889" s="900"/>
      <c r="Z889" s="900"/>
      <c r="AA889" s="900"/>
      <c r="AB889" s="900"/>
    </row>
    <row r="890">
      <c r="A890" s="900"/>
      <c r="B890" s="900"/>
      <c r="C890" s="900"/>
      <c r="D890" s="900"/>
      <c r="E890" s="900"/>
      <c r="F890" s="900"/>
      <c r="G890" s="900"/>
      <c r="H890" s="900"/>
      <c r="I890" s="905"/>
      <c r="J890" s="905"/>
      <c r="K890" s="906"/>
      <c r="L890" s="900"/>
      <c r="M890" s="900"/>
      <c r="N890" s="900"/>
      <c r="O890" s="900"/>
      <c r="P890" s="900"/>
      <c r="Q890" s="900"/>
      <c r="R890" s="900"/>
      <c r="S890" s="900"/>
      <c r="T890" s="900"/>
      <c r="U890" s="900"/>
      <c r="V890" s="900"/>
      <c r="W890" s="900"/>
      <c r="X890" s="900"/>
      <c r="Y890" s="900"/>
      <c r="Z890" s="900"/>
      <c r="AA890" s="900"/>
      <c r="AB890" s="900"/>
    </row>
    <row r="891">
      <c r="A891" s="900"/>
      <c r="B891" s="900"/>
      <c r="C891" s="900"/>
      <c r="D891" s="900"/>
      <c r="E891" s="900"/>
      <c r="F891" s="900"/>
      <c r="G891" s="900"/>
      <c r="H891" s="900"/>
      <c r="I891" s="905"/>
      <c r="J891" s="905"/>
      <c r="K891" s="906"/>
      <c r="L891" s="900"/>
      <c r="M891" s="900"/>
      <c r="N891" s="900"/>
      <c r="O891" s="900"/>
      <c r="P891" s="900"/>
      <c r="Q891" s="900"/>
      <c r="R891" s="900"/>
      <c r="S891" s="900"/>
      <c r="T891" s="900"/>
      <c r="U891" s="900"/>
      <c r="V891" s="900"/>
      <c r="W891" s="900"/>
      <c r="X891" s="900"/>
      <c r="Y891" s="900"/>
      <c r="Z891" s="900"/>
      <c r="AA891" s="900"/>
      <c r="AB891" s="900"/>
    </row>
    <row r="892">
      <c r="A892" s="900"/>
      <c r="B892" s="900"/>
      <c r="C892" s="900"/>
      <c r="D892" s="900"/>
      <c r="E892" s="900"/>
      <c r="F892" s="900"/>
      <c r="G892" s="900"/>
      <c r="H892" s="900"/>
      <c r="I892" s="905"/>
      <c r="J892" s="905"/>
      <c r="K892" s="906"/>
      <c r="L892" s="900"/>
      <c r="M892" s="900"/>
      <c r="N892" s="900"/>
      <c r="O892" s="900"/>
      <c r="P892" s="900"/>
      <c r="Q892" s="900"/>
      <c r="R892" s="900"/>
      <c r="S892" s="900"/>
      <c r="T892" s="900"/>
      <c r="U892" s="900"/>
      <c r="V892" s="900"/>
      <c r="W892" s="900"/>
      <c r="X892" s="900"/>
      <c r="Y892" s="900"/>
      <c r="Z892" s="900"/>
      <c r="AA892" s="900"/>
      <c r="AB892" s="900"/>
    </row>
    <row r="893">
      <c r="A893" s="900"/>
      <c r="B893" s="900"/>
      <c r="C893" s="900"/>
      <c r="D893" s="900"/>
      <c r="E893" s="900"/>
      <c r="F893" s="900"/>
      <c r="G893" s="900"/>
      <c r="H893" s="900"/>
      <c r="I893" s="905"/>
      <c r="J893" s="905"/>
      <c r="K893" s="906"/>
      <c r="L893" s="900"/>
      <c r="M893" s="900"/>
      <c r="N893" s="900"/>
      <c r="O893" s="900"/>
      <c r="P893" s="900"/>
      <c r="Q893" s="900"/>
      <c r="R893" s="900"/>
      <c r="S893" s="900"/>
      <c r="T893" s="900"/>
      <c r="U893" s="900"/>
      <c r="V893" s="900"/>
      <c r="W893" s="900"/>
      <c r="X893" s="900"/>
      <c r="Y893" s="900"/>
      <c r="Z893" s="900"/>
      <c r="AA893" s="900"/>
      <c r="AB893" s="900"/>
    </row>
    <row r="894">
      <c r="A894" s="900"/>
      <c r="B894" s="900"/>
      <c r="C894" s="900"/>
      <c r="D894" s="900"/>
      <c r="E894" s="900"/>
      <c r="F894" s="900"/>
      <c r="G894" s="900"/>
      <c r="H894" s="900"/>
      <c r="I894" s="905"/>
      <c r="J894" s="905"/>
      <c r="K894" s="906"/>
      <c r="L894" s="900"/>
      <c r="M894" s="900"/>
      <c r="N894" s="900"/>
      <c r="O894" s="900"/>
      <c r="P894" s="900"/>
      <c r="Q894" s="900"/>
      <c r="R894" s="900"/>
      <c r="S894" s="900"/>
      <c r="T894" s="900"/>
      <c r="U894" s="900"/>
      <c r="V894" s="900"/>
      <c r="W894" s="900"/>
      <c r="X894" s="900"/>
      <c r="Y894" s="900"/>
      <c r="Z894" s="900"/>
      <c r="AA894" s="900"/>
      <c r="AB894" s="900"/>
    </row>
    <row r="895">
      <c r="A895" s="900"/>
      <c r="B895" s="900"/>
      <c r="C895" s="900"/>
      <c r="D895" s="900"/>
      <c r="E895" s="900"/>
      <c r="F895" s="900"/>
      <c r="G895" s="900"/>
      <c r="H895" s="900"/>
      <c r="I895" s="905"/>
      <c r="J895" s="905"/>
      <c r="K895" s="906"/>
      <c r="L895" s="900"/>
      <c r="M895" s="900"/>
      <c r="N895" s="900"/>
      <c r="O895" s="900"/>
      <c r="P895" s="900"/>
      <c r="Q895" s="900"/>
      <c r="R895" s="900"/>
      <c r="S895" s="900"/>
      <c r="T895" s="900"/>
      <c r="U895" s="900"/>
      <c r="V895" s="900"/>
      <c r="W895" s="900"/>
      <c r="X895" s="900"/>
      <c r="Y895" s="900"/>
      <c r="Z895" s="900"/>
      <c r="AA895" s="900"/>
      <c r="AB895" s="900"/>
    </row>
    <row r="896">
      <c r="A896" s="900"/>
      <c r="B896" s="900"/>
      <c r="C896" s="900"/>
      <c r="D896" s="900"/>
      <c r="E896" s="900"/>
      <c r="F896" s="900"/>
      <c r="G896" s="900"/>
      <c r="H896" s="900"/>
      <c r="I896" s="905"/>
      <c r="J896" s="905"/>
      <c r="K896" s="906"/>
      <c r="L896" s="900"/>
      <c r="M896" s="900"/>
      <c r="N896" s="900"/>
      <c r="O896" s="900"/>
      <c r="P896" s="900"/>
      <c r="Q896" s="900"/>
      <c r="R896" s="900"/>
      <c r="S896" s="900"/>
      <c r="T896" s="900"/>
      <c r="U896" s="900"/>
      <c r="V896" s="900"/>
      <c r="W896" s="900"/>
      <c r="X896" s="900"/>
      <c r="Y896" s="900"/>
      <c r="Z896" s="900"/>
      <c r="AA896" s="900"/>
      <c r="AB896" s="900"/>
    </row>
    <row r="897">
      <c r="A897" s="900"/>
      <c r="B897" s="900"/>
      <c r="C897" s="900"/>
      <c r="D897" s="900"/>
      <c r="E897" s="900"/>
      <c r="F897" s="900"/>
      <c r="G897" s="900"/>
      <c r="H897" s="900"/>
      <c r="I897" s="905"/>
      <c r="J897" s="905"/>
      <c r="K897" s="906"/>
      <c r="L897" s="900"/>
      <c r="M897" s="900"/>
      <c r="N897" s="900"/>
      <c r="O897" s="900"/>
      <c r="P897" s="900"/>
      <c r="Q897" s="900"/>
      <c r="R897" s="900"/>
      <c r="S897" s="900"/>
      <c r="T897" s="900"/>
      <c r="U897" s="900"/>
      <c r="V897" s="900"/>
      <c r="W897" s="900"/>
      <c r="X897" s="900"/>
      <c r="Y897" s="900"/>
      <c r="Z897" s="900"/>
      <c r="AA897" s="900"/>
      <c r="AB897" s="900"/>
    </row>
    <row r="898">
      <c r="A898" s="900"/>
      <c r="B898" s="900"/>
      <c r="C898" s="900"/>
      <c r="D898" s="900"/>
      <c r="E898" s="900"/>
      <c r="F898" s="900"/>
      <c r="G898" s="900"/>
      <c r="H898" s="900"/>
      <c r="I898" s="905"/>
      <c r="J898" s="905"/>
      <c r="K898" s="906"/>
      <c r="L898" s="900"/>
      <c r="M898" s="900"/>
      <c r="N898" s="900"/>
      <c r="O898" s="900"/>
      <c r="P898" s="900"/>
      <c r="Q898" s="900"/>
      <c r="R898" s="900"/>
      <c r="S898" s="900"/>
      <c r="T898" s="900"/>
      <c r="U898" s="900"/>
      <c r="V898" s="900"/>
      <c r="W898" s="900"/>
      <c r="X898" s="900"/>
      <c r="Y898" s="900"/>
      <c r="Z898" s="900"/>
      <c r="AA898" s="900"/>
      <c r="AB898" s="900"/>
    </row>
    <row r="899">
      <c r="A899" s="900"/>
      <c r="B899" s="900"/>
      <c r="C899" s="900"/>
      <c r="D899" s="900"/>
      <c r="E899" s="900"/>
      <c r="F899" s="900"/>
      <c r="G899" s="900"/>
      <c r="H899" s="900"/>
      <c r="I899" s="905"/>
      <c r="J899" s="905"/>
      <c r="K899" s="906"/>
      <c r="L899" s="900"/>
      <c r="M899" s="900"/>
      <c r="N899" s="900"/>
      <c r="O899" s="900"/>
      <c r="P899" s="900"/>
      <c r="Q899" s="900"/>
      <c r="R899" s="900"/>
      <c r="S899" s="900"/>
      <c r="T899" s="900"/>
      <c r="U899" s="900"/>
      <c r="V899" s="900"/>
      <c r="W899" s="900"/>
      <c r="X899" s="900"/>
      <c r="Y899" s="900"/>
      <c r="Z899" s="900"/>
      <c r="AA899" s="900"/>
      <c r="AB899" s="900"/>
    </row>
    <row r="900">
      <c r="A900" s="900"/>
      <c r="B900" s="900"/>
      <c r="C900" s="900"/>
      <c r="D900" s="900"/>
      <c r="E900" s="900"/>
      <c r="F900" s="900"/>
      <c r="G900" s="900"/>
      <c r="H900" s="900"/>
      <c r="I900" s="905"/>
      <c r="J900" s="905"/>
      <c r="K900" s="906"/>
      <c r="L900" s="900"/>
      <c r="M900" s="900"/>
      <c r="N900" s="900"/>
      <c r="O900" s="900"/>
      <c r="P900" s="900"/>
      <c r="Q900" s="900"/>
      <c r="R900" s="900"/>
      <c r="S900" s="900"/>
      <c r="T900" s="900"/>
      <c r="U900" s="900"/>
      <c r="V900" s="900"/>
      <c r="W900" s="900"/>
      <c r="X900" s="900"/>
      <c r="Y900" s="900"/>
      <c r="Z900" s="900"/>
      <c r="AA900" s="900"/>
      <c r="AB900" s="900"/>
    </row>
    <row r="901">
      <c r="A901" s="900"/>
      <c r="B901" s="900"/>
      <c r="C901" s="900"/>
      <c r="D901" s="900"/>
      <c r="E901" s="900"/>
      <c r="F901" s="900"/>
      <c r="G901" s="900"/>
      <c r="H901" s="900"/>
      <c r="I901" s="905"/>
      <c r="J901" s="905"/>
      <c r="K901" s="906"/>
      <c r="L901" s="900"/>
      <c r="M901" s="900"/>
      <c r="N901" s="900"/>
      <c r="O901" s="900"/>
      <c r="P901" s="900"/>
      <c r="Q901" s="900"/>
      <c r="R901" s="900"/>
      <c r="S901" s="900"/>
      <c r="T901" s="900"/>
      <c r="U901" s="900"/>
      <c r="V901" s="900"/>
      <c r="W901" s="900"/>
      <c r="X901" s="900"/>
      <c r="Y901" s="900"/>
      <c r="Z901" s="900"/>
      <c r="AA901" s="900"/>
      <c r="AB901" s="900"/>
    </row>
    <row r="902">
      <c r="A902" s="900"/>
      <c r="B902" s="900"/>
      <c r="C902" s="900"/>
      <c r="D902" s="900"/>
      <c r="E902" s="900"/>
      <c r="F902" s="900"/>
      <c r="G902" s="900"/>
      <c r="H902" s="900"/>
      <c r="I902" s="905"/>
      <c r="J902" s="905"/>
      <c r="K902" s="906"/>
      <c r="L902" s="900"/>
      <c r="M902" s="900"/>
      <c r="N902" s="900"/>
      <c r="O902" s="900"/>
      <c r="P902" s="900"/>
      <c r="Q902" s="900"/>
      <c r="R902" s="900"/>
      <c r="S902" s="900"/>
      <c r="T902" s="900"/>
      <c r="U902" s="900"/>
      <c r="V902" s="900"/>
      <c r="W902" s="900"/>
      <c r="X902" s="900"/>
      <c r="Y902" s="900"/>
      <c r="Z902" s="900"/>
      <c r="AA902" s="900"/>
      <c r="AB902" s="900"/>
    </row>
    <row r="903">
      <c r="A903" s="900"/>
      <c r="B903" s="900"/>
      <c r="C903" s="900"/>
      <c r="D903" s="900"/>
      <c r="E903" s="900"/>
      <c r="F903" s="900"/>
      <c r="G903" s="900"/>
      <c r="H903" s="900"/>
      <c r="I903" s="905"/>
      <c r="J903" s="905"/>
      <c r="K903" s="906"/>
      <c r="L903" s="900"/>
      <c r="M903" s="900"/>
      <c r="N903" s="900"/>
      <c r="O903" s="900"/>
      <c r="P903" s="900"/>
      <c r="Q903" s="900"/>
      <c r="R903" s="900"/>
      <c r="S903" s="900"/>
      <c r="T903" s="900"/>
      <c r="U903" s="900"/>
      <c r="V903" s="900"/>
      <c r="W903" s="900"/>
      <c r="X903" s="900"/>
      <c r="Y903" s="900"/>
      <c r="Z903" s="900"/>
      <c r="AA903" s="900"/>
      <c r="AB903" s="900"/>
    </row>
    <row r="904">
      <c r="A904" s="900"/>
      <c r="B904" s="900"/>
      <c r="C904" s="900"/>
      <c r="D904" s="900"/>
      <c r="E904" s="900"/>
      <c r="F904" s="900"/>
      <c r="G904" s="900"/>
      <c r="H904" s="900"/>
      <c r="I904" s="905"/>
      <c r="J904" s="905"/>
      <c r="K904" s="906"/>
      <c r="L904" s="900"/>
      <c r="M904" s="900"/>
      <c r="N904" s="900"/>
      <c r="O904" s="900"/>
      <c r="P904" s="900"/>
      <c r="Q904" s="900"/>
      <c r="R904" s="900"/>
      <c r="S904" s="900"/>
      <c r="T904" s="900"/>
      <c r="U904" s="900"/>
      <c r="V904" s="900"/>
      <c r="W904" s="900"/>
      <c r="X904" s="900"/>
      <c r="Y904" s="900"/>
      <c r="Z904" s="900"/>
      <c r="AA904" s="900"/>
      <c r="AB904" s="900"/>
    </row>
    <row r="905">
      <c r="A905" s="900"/>
      <c r="B905" s="900"/>
      <c r="C905" s="900"/>
      <c r="D905" s="900"/>
      <c r="E905" s="900"/>
      <c r="F905" s="900"/>
      <c r="G905" s="900"/>
      <c r="H905" s="900"/>
      <c r="I905" s="905"/>
      <c r="J905" s="905"/>
      <c r="K905" s="906"/>
      <c r="L905" s="900"/>
      <c r="M905" s="900"/>
      <c r="N905" s="900"/>
      <c r="O905" s="900"/>
      <c r="P905" s="900"/>
      <c r="Q905" s="900"/>
      <c r="R905" s="900"/>
      <c r="S905" s="900"/>
      <c r="T905" s="900"/>
      <c r="U905" s="900"/>
      <c r="V905" s="900"/>
      <c r="W905" s="900"/>
      <c r="X905" s="900"/>
      <c r="Y905" s="900"/>
      <c r="Z905" s="900"/>
      <c r="AA905" s="900"/>
      <c r="AB905" s="900"/>
    </row>
    <row r="906">
      <c r="A906" s="900"/>
      <c r="B906" s="900"/>
      <c r="C906" s="900"/>
      <c r="D906" s="900"/>
      <c r="E906" s="900"/>
      <c r="F906" s="900"/>
      <c r="G906" s="900"/>
      <c r="H906" s="900"/>
      <c r="I906" s="905"/>
      <c r="J906" s="905"/>
      <c r="K906" s="906"/>
      <c r="L906" s="900"/>
      <c r="M906" s="900"/>
      <c r="N906" s="900"/>
      <c r="O906" s="900"/>
      <c r="P906" s="900"/>
      <c r="Q906" s="900"/>
      <c r="R906" s="900"/>
      <c r="S906" s="900"/>
      <c r="T906" s="900"/>
      <c r="U906" s="900"/>
      <c r="V906" s="900"/>
      <c r="W906" s="900"/>
      <c r="X906" s="900"/>
      <c r="Y906" s="900"/>
      <c r="Z906" s="900"/>
      <c r="AA906" s="900"/>
      <c r="AB906" s="900"/>
    </row>
    <row r="907">
      <c r="A907" s="900"/>
      <c r="B907" s="900"/>
      <c r="C907" s="900"/>
      <c r="D907" s="900"/>
      <c r="E907" s="900"/>
      <c r="F907" s="900"/>
      <c r="G907" s="900"/>
      <c r="H907" s="900"/>
      <c r="I907" s="905"/>
      <c r="J907" s="905"/>
      <c r="K907" s="906"/>
      <c r="L907" s="900"/>
      <c r="M907" s="900"/>
      <c r="N907" s="900"/>
      <c r="O907" s="900"/>
      <c r="P907" s="900"/>
      <c r="Q907" s="900"/>
      <c r="R907" s="900"/>
      <c r="S907" s="900"/>
      <c r="T907" s="900"/>
      <c r="U907" s="900"/>
      <c r="V907" s="900"/>
      <c r="W907" s="900"/>
      <c r="X907" s="900"/>
      <c r="Y907" s="900"/>
      <c r="Z907" s="900"/>
      <c r="AA907" s="900"/>
      <c r="AB907" s="900"/>
    </row>
    <row r="908">
      <c r="A908" s="900"/>
      <c r="B908" s="900"/>
      <c r="C908" s="900"/>
      <c r="D908" s="900"/>
      <c r="E908" s="900"/>
      <c r="F908" s="900"/>
      <c r="G908" s="900"/>
      <c r="H908" s="900"/>
      <c r="I908" s="905"/>
      <c r="J908" s="905"/>
      <c r="K908" s="906"/>
      <c r="L908" s="900"/>
      <c r="M908" s="900"/>
      <c r="N908" s="900"/>
      <c r="O908" s="900"/>
      <c r="P908" s="900"/>
      <c r="Q908" s="900"/>
      <c r="R908" s="900"/>
      <c r="S908" s="900"/>
      <c r="T908" s="900"/>
      <c r="U908" s="900"/>
      <c r="V908" s="900"/>
      <c r="W908" s="900"/>
      <c r="X908" s="900"/>
      <c r="Y908" s="900"/>
      <c r="Z908" s="900"/>
      <c r="AA908" s="900"/>
      <c r="AB908" s="900"/>
    </row>
    <row r="909">
      <c r="A909" s="900"/>
      <c r="B909" s="900"/>
      <c r="C909" s="900"/>
      <c r="D909" s="900"/>
      <c r="E909" s="900"/>
      <c r="F909" s="900"/>
      <c r="G909" s="900"/>
      <c r="H909" s="900"/>
      <c r="I909" s="905"/>
      <c r="J909" s="905"/>
      <c r="K909" s="906"/>
      <c r="L909" s="900"/>
      <c r="M909" s="900"/>
      <c r="N909" s="900"/>
      <c r="O909" s="900"/>
      <c r="P909" s="900"/>
      <c r="Q909" s="900"/>
      <c r="R909" s="900"/>
      <c r="S909" s="900"/>
      <c r="T909" s="900"/>
      <c r="U909" s="900"/>
      <c r="V909" s="900"/>
      <c r="W909" s="900"/>
      <c r="X909" s="900"/>
      <c r="Y909" s="900"/>
      <c r="Z909" s="900"/>
      <c r="AA909" s="900"/>
      <c r="AB909" s="900"/>
    </row>
    <row r="910">
      <c r="A910" s="900"/>
      <c r="B910" s="900"/>
      <c r="C910" s="900"/>
      <c r="D910" s="900"/>
      <c r="E910" s="900"/>
      <c r="F910" s="900"/>
      <c r="G910" s="900"/>
      <c r="H910" s="900"/>
      <c r="I910" s="905"/>
      <c r="J910" s="905"/>
      <c r="K910" s="906"/>
      <c r="L910" s="900"/>
      <c r="M910" s="900"/>
      <c r="N910" s="900"/>
      <c r="O910" s="900"/>
      <c r="P910" s="900"/>
      <c r="Q910" s="900"/>
      <c r="R910" s="900"/>
      <c r="S910" s="900"/>
      <c r="T910" s="900"/>
      <c r="U910" s="900"/>
      <c r="V910" s="900"/>
      <c r="W910" s="900"/>
      <c r="X910" s="900"/>
      <c r="Y910" s="900"/>
      <c r="Z910" s="900"/>
      <c r="AA910" s="900"/>
      <c r="AB910" s="900"/>
    </row>
    <row r="911">
      <c r="A911" s="900"/>
      <c r="B911" s="900"/>
      <c r="C911" s="900"/>
      <c r="D911" s="900"/>
      <c r="E911" s="900"/>
      <c r="F911" s="900"/>
      <c r="G911" s="900"/>
      <c r="H911" s="900"/>
      <c r="I911" s="905"/>
      <c r="J911" s="905"/>
      <c r="K911" s="906"/>
      <c r="L911" s="900"/>
      <c r="M911" s="900"/>
      <c r="N911" s="900"/>
      <c r="O911" s="900"/>
      <c r="P911" s="900"/>
      <c r="Q911" s="900"/>
      <c r="R911" s="900"/>
      <c r="S911" s="900"/>
      <c r="T911" s="900"/>
      <c r="U911" s="900"/>
      <c r="V911" s="900"/>
      <c r="W911" s="900"/>
      <c r="X911" s="900"/>
      <c r="Y911" s="900"/>
      <c r="Z911" s="900"/>
      <c r="AA911" s="900"/>
      <c r="AB911" s="900"/>
    </row>
    <row r="912">
      <c r="A912" s="900"/>
      <c r="B912" s="900"/>
      <c r="C912" s="900"/>
      <c r="D912" s="900"/>
      <c r="E912" s="900"/>
      <c r="F912" s="900"/>
      <c r="G912" s="900"/>
      <c r="H912" s="900"/>
      <c r="I912" s="905"/>
      <c r="J912" s="905"/>
      <c r="K912" s="906"/>
      <c r="L912" s="900"/>
      <c r="M912" s="900"/>
      <c r="N912" s="900"/>
      <c r="O912" s="900"/>
      <c r="P912" s="900"/>
      <c r="Q912" s="900"/>
      <c r="R912" s="900"/>
      <c r="S912" s="900"/>
      <c r="T912" s="900"/>
      <c r="U912" s="900"/>
      <c r="V912" s="900"/>
      <c r="W912" s="900"/>
      <c r="X912" s="900"/>
      <c r="Y912" s="900"/>
      <c r="Z912" s="900"/>
      <c r="AA912" s="900"/>
      <c r="AB912" s="900"/>
    </row>
    <row r="913">
      <c r="A913" s="900"/>
      <c r="B913" s="900"/>
      <c r="C913" s="900"/>
      <c r="D913" s="900"/>
      <c r="E913" s="900"/>
      <c r="F913" s="900"/>
      <c r="G913" s="900"/>
      <c r="H913" s="900"/>
      <c r="I913" s="905"/>
      <c r="J913" s="905"/>
      <c r="K913" s="906"/>
      <c r="L913" s="900"/>
      <c r="M913" s="900"/>
      <c r="N913" s="900"/>
      <c r="O913" s="900"/>
      <c r="P913" s="900"/>
      <c r="Q913" s="900"/>
      <c r="R913" s="900"/>
      <c r="S913" s="900"/>
      <c r="T913" s="900"/>
      <c r="U913" s="900"/>
      <c r="V913" s="900"/>
      <c r="W913" s="900"/>
      <c r="X913" s="900"/>
      <c r="Y913" s="900"/>
      <c r="Z913" s="900"/>
      <c r="AA913" s="900"/>
      <c r="AB913" s="900"/>
    </row>
    <row r="914">
      <c r="A914" s="900"/>
      <c r="B914" s="900"/>
      <c r="C914" s="900"/>
      <c r="D914" s="900"/>
      <c r="E914" s="900"/>
      <c r="F914" s="900"/>
      <c r="G914" s="900"/>
      <c r="H914" s="900"/>
      <c r="I914" s="905"/>
      <c r="J914" s="905"/>
      <c r="K914" s="906"/>
      <c r="L914" s="900"/>
      <c r="M914" s="900"/>
      <c r="N914" s="900"/>
      <c r="O914" s="900"/>
      <c r="P914" s="900"/>
      <c r="Q914" s="900"/>
      <c r="R914" s="900"/>
      <c r="S914" s="900"/>
      <c r="T914" s="900"/>
      <c r="U914" s="900"/>
      <c r="V914" s="900"/>
      <c r="W914" s="900"/>
      <c r="X914" s="900"/>
      <c r="Y914" s="900"/>
      <c r="Z914" s="900"/>
      <c r="AA914" s="900"/>
      <c r="AB914" s="900"/>
    </row>
    <row r="915">
      <c r="A915" s="900"/>
      <c r="B915" s="900"/>
      <c r="C915" s="900"/>
      <c r="D915" s="900"/>
      <c r="E915" s="900"/>
      <c r="F915" s="900"/>
      <c r="G915" s="900"/>
      <c r="H915" s="900"/>
      <c r="I915" s="905"/>
      <c r="J915" s="905"/>
      <c r="K915" s="906"/>
      <c r="L915" s="900"/>
      <c r="M915" s="900"/>
      <c r="N915" s="900"/>
      <c r="O915" s="900"/>
      <c r="P915" s="900"/>
      <c r="Q915" s="900"/>
      <c r="R915" s="900"/>
      <c r="S915" s="900"/>
      <c r="T915" s="900"/>
      <c r="U915" s="900"/>
      <c r="V915" s="900"/>
      <c r="W915" s="900"/>
      <c r="X915" s="900"/>
      <c r="Y915" s="900"/>
      <c r="Z915" s="900"/>
      <c r="AA915" s="900"/>
      <c r="AB915" s="900"/>
    </row>
    <row r="916">
      <c r="A916" s="900"/>
      <c r="B916" s="900"/>
      <c r="C916" s="900"/>
      <c r="D916" s="900"/>
      <c r="E916" s="900"/>
      <c r="F916" s="900"/>
      <c r="G916" s="900"/>
      <c r="H916" s="900"/>
      <c r="I916" s="905"/>
      <c r="J916" s="905"/>
      <c r="K916" s="906"/>
      <c r="L916" s="900"/>
      <c r="M916" s="900"/>
      <c r="N916" s="900"/>
      <c r="O916" s="900"/>
      <c r="P916" s="900"/>
      <c r="Q916" s="900"/>
      <c r="R916" s="900"/>
      <c r="S916" s="900"/>
      <c r="T916" s="900"/>
      <c r="U916" s="900"/>
      <c r="V916" s="900"/>
      <c r="W916" s="900"/>
      <c r="X916" s="900"/>
      <c r="Y916" s="900"/>
      <c r="Z916" s="900"/>
      <c r="AA916" s="900"/>
      <c r="AB916" s="900"/>
    </row>
    <row r="917">
      <c r="A917" s="900"/>
      <c r="B917" s="900"/>
      <c r="C917" s="900"/>
      <c r="D917" s="900"/>
      <c r="E917" s="900"/>
      <c r="F917" s="900"/>
      <c r="G917" s="900"/>
      <c r="H917" s="900"/>
      <c r="I917" s="905"/>
      <c r="J917" s="905"/>
      <c r="K917" s="906"/>
      <c r="L917" s="900"/>
      <c r="M917" s="900"/>
      <c r="N917" s="900"/>
      <c r="O917" s="900"/>
      <c r="P917" s="900"/>
      <c r="Q917" s="900"/>
      <c r="R917" s="900"/>
      <c r="S917" s="900"/>
      <c r="T917" s="900"/>
      <c r="U917" s="900"/>
      <c r="V917" s="900"/>
      <c r="W917" s="900"/>
      <c r="X917" s="900"/>
      <c r="Y917" s="900"/>
      <c r="Z917" s="900"/>
      <c r="AA917" s="900"/>
      <c r="AB917" s="900"/>
    </row>
    <row r="918">
      <c r="A918" s="900"/>
      <c r="B918" s="900"/>
      <c r="C918" s="900"/>
      <c r="D918" s="900"/>
      <c r="E918" s="900"/>
      <c r="F918" s="900"/>
      <c r="G918" s="900"/>
      <c r="H918" s="900"/>
      <c r="I918" s="905"/>
      <c r="J918" s="905"/>
      <c r="K918" s="906"/>
      <c r="L918" s="900"/>
      <c r="M918" s="900"/>
      <c r="N918" s="900"/>
      <c r="O918" s="900"/>
      <c r="P918" s="900"/>
      <c r="Q918" s="900"/>
      <c r="R918" s="900"/>
      <c r="S918" s="900"/>
      <c r="T918" s="900"/>
      <c r="U918" s="900"/>
      <c r="V918" s="900"/>
      <c r="W918" s="900"/>
      <c r="X918" s="900"/>
      <c r="Y918" s="900"/>
      <c r="Z918" s="900"/>
      <c r="AA918" s="900"/>
      <c r="AB918" s="900"/>
    </row>
    <row r="919">
      <c r="A919" s="900"/>
      <c r="B919" s="900"/>
      <c r="C919" s="900"/>
      <c r="D919" s="900"/>
      <c r="E919" s="900"/>
      <c r="F919" s="900"/>
      <c r="G919" s="900"/>
      <c r="H919" s="900"/>
      <c r="I919" s="905"/>
      <c r="J919" s="905"/>
      <c r="K919" s="906"/>
      <c r="L919" s="900"/>
      <c r="M919" s="900"/>
      <c r="N919" s="900"/>
      <c r="O919" s="900"/>
      <c r="P919" s="900"/>
      <c r="Q919" s="900"/>
      <c r="R919" s="900"/>
      <c r="S919" s="900"/>
      <c r="T919" s="900"/>
      <c r="U919" s="900"/>
      <c r="V919" s="900"/>
      <c r="W919" s="900"/>
      <c r="X919" s="900"/>
      <c r="Y919" s="900"/>
      <c r="Z919" s="900"/>
      <c r="AA919" s="900"/>
      <c r="AB919" s="900"/>
    </row>
    <row r="920">
      <c r="A920" s="900"/>
      <c r="B920" s="900"/>
      <c r="C920" s="900"/>
      <c r="D920" s="900"/>
      <c r="E920" s="900"/>
      <c r="F920" s="900"/>
      <c r="G920" s="900"/>
      <c r="H920" s="900"/>
      <c r="I920" s="905"/>
      <c r="J920" s="905"/>
      <c r="K920" s="906"/>
      <c r="L920" s="900"/>
      <c r="M920" s="900"/>
      <c r="N920" s="900"/>
      <c r="O920" s="900"/>
      <c r="P920" s="900"/>
      <c r="Q920" s="900"/>
      <c r="R920" s="900"/>
      <c r="S920" s="900"/>
      <c r="T920" s="900"/>
      <c r="U920" s="900"/>
      <c r="V920" s="900"/>
      <c r="W920" s="900"/>
      <c r="X920" s="900"/>
      <c r="Y920" s="900"/>
      <c r="Z920" s="900"/>
      <c r="AA920" s="900"/>
      <c r="AB920" s="900"/>
    </row>
    <row r="921">
      <c r="A921" s="900"/>
      <c r="B921" s="900"/>
      <c r="C921" s="900"/>
      <c r="D921" s="900"/>
      <c r="E921" s="900"/>
      <c r="F921" s="900"/>
      <c r="G921" s="900"/>
      <c r="H921" s="900"/>
      <c r="I921" s="905"/>
      <c r="J921" s="905"/>
      <c r="K921" s="906"/>
      <c r="L921" s="900"/>
      <c r="M921" s="900"/>
      <c r="N921" s="900"/>
      <c r="O921" s="900"/>
      <c r="P921" s="900"/>
      <c r="Q921" s="900"/>
      <c r="R921" s="900"/>
      <c r="S921" s="900"/>
      <c r="T921" s="900"/>
      <c r="U921" s="900"/>
      <c r="V921" s="900"/>
      <c r="W921" s="900"/>
      <c r="X921" s="900"/>
      <c r="Y921" s="900"/>
      <c r="Z921" s="900"/>
      <c r="AA921" s="900"/>
      <c r="AB921" s="900"/>
    </row>
    <row r="922">
      <c r="A922" s="900"/>
      <c r="B922" s="900"/>
      <c r="C922" s="900"/>
      <c r="D922" s="900"/>
      <c r="E922" s="900"/>
      <c r="F922" s="900"/>
      <c r="G922" s="900"/>
      <c r="H922" s="900"/>
      <c r="I922" s="905"/>
      <c r="J922" s="905"/>
      <c r="K922" s="906"/>
      <c r="L922" s="900"/>
      <c r="M922" s="900"/>
      <c r="N922" s="900"/>
      <c r="O922" s="900"/>
      <c r="P922" s="900"/>
      <c r="Q922" s="900"/>
      <c r="R922" s="900"/>
      <c r="S922" s="900"/>
      <c r="T922" s="900"/>
      <c r="U922" s="900"/>
      <c r="V922" s="900"/>
      <c r="W922" s="900"/>
      <c r="X922" s="900"/>
      <c r="Y922" s="900"/>
      <c r="Z922" s="900"/>
      <c r="AA922" s="900"/>
      <c r="AB922" s="900"/>
    </row>
    <row r="923">
      <c r="A923" s="900"/>
      <c r="B923" s="900"/>
      <c r="C923" s="900"/>
      <c r="D923" s="900"/>
      <c r="E923" s="900"/>
      <c r="F923" s="900"/>
      <c r="G923" s="900"/>
      <c r="H923" s="900"/>
      <c r="I923" s="905"/>
      <c r="J923" s="905"/>
      <c r="K923" s="906"/>
      <c r="L923" s="900"/>
      <c r="M923" s="900"/>
      <c r="N923" s="900"/>
      <c r="O923" s="900"/>
      <c r="P923" s="900"/>
      <c r="Q923" s="900"/>
      <c r="R923" s="900"/>
      <c r="S923" s="900"/>
      <c r="T923" s="900"/>
      <c r="U923" s="900"/>
      <c r="V923" s="900"/>
      <c r="W923" s="900"/>
      <c r="X923" s="900"/>
      <c r="Y923" s="900"/>
      <c r="Z923" s="900"/>
      <c r="AA923" s="900"/>
      <c r="AB923" s="900"/>
    </row>
    <row r="924">
      <c r="A924" s="900"/>
      <c r="B924" s="900"/>
      <c r="C924" s="900"/>
      <c r="D924" s="900"/>
      <c r="E924" s="900"/>
      <c r="F924" s="900"/>
      <c r="G924" s="900"/>
      <c r="H924" s="900"/>
      <c r="I924" s="905"/>
      <c r="J924" s="905"/>
      <c r="K924" s="906"/>
      <c r="L924" s="900"/>
      <c r="M924" s="900"/>
      <c r="N924" s="900"/>
      <c r="O924" s="900"/>
      <c r="P924" s="900"/>
      <c r="Q924" s="900"/>
      <c r="R924" s="900"/>
      <c r="S924" s="900"/>
      <c r="T924" s="900"/>
      <c r="U924" s="900"/>
      <c r="V924" s="900"/>
      <c r="W924" s="900"/>
      <c r="X924" s="900"/>
      <c r="Y924" s="900"/>
      <c r="Z924" s="900"/>
      <c r="AA924" s="900"/>
      <c r="AB924" s="900"/>
    </row>
    <row r="925">
      <c r="A925" s="900"/>
      <c r="B925" s="900"/>
      <c r="C925" s="900"/>
      <c r="D925" s="900"/>
      <c r="E925" s="900"/>
      <c r="F925" s="900"/>
      <c r="G925" s="900"/>
      <c r="H925" s="900"/>
      <c r="I925" s="905"/>
      <c r="J925" s="905"/>
      <c r="K925" s="906"/>
      <c r="L925" s="900"/>
      <c r="M925" s="900"/>
      <c r="N925" s="900"/>
      <c r="O925" s="900"/>
      <c r="P925" s="900"/>
      <c r="Q925" s="900"/>
      <c r="R925" s="900"/>
      <c r="S925" s="900"/>
      <c r="T925" s="900"/>
      <c r="U925" s="900"/>
      <c r="V925" s="900"/>
      <c r="W925" s="900"/>
      <c r="X925" s="900"/>
      <c r="Y925" s="900"/>
      <c r="Z925" s="900"/>
      <c r="AA925" s="900"/>
      <c r="AB925" s="900"/>
    </row>
    <row r="926">
      <c r="A926" s="900"/>
      <c r="B926" s="900"/>
      <c r="C926" s="900"/>
      <c r="D926" s="900"/>
      <c r="E926" s="900"/>
      <c r="F926" s="900"/>
      <c r="G926" s="900"/>
      <c r="H926" s="900"/>
      <c r="I926" s="905"/>
      <c r="J926" s="905"/>
      <c r="K926" s="906"/>
      <c r="L926" s="900"/>
      <c r="M926" s="900"/>
      <c r="N926" s="900"/>
      <c r="O926" s="900"/>
      <c r="P926" s="900"/>
      <c r="Q926" s="900"/>
      <c r="R926" s="900"/>
      <c r="S926" s="900"/>
      <c r="T926" s="900"/>
      <c r="U926" s="900"/>
      <c r="V926" s="900"/>
      <c r="W926" s="900"/>
      <c r="X926" s="900"/>
      <c r="Y926" s="900"/>
      <c r="Z926" s="900"/>
      <c r="AA926" s="900"/>
      <c r="AB926" s="900"/>
    </row>
    <row r="927">
      <c r="A927" s="900"/>
      <c r="B927" s="900"/>
      <c r="C927" s="900"/>
      <c r="D927" s="900"/>
      <c r="E927" s="900"/>
      <c r="F927" s="900"/>
      <c r="G927" s="900"/>
      <c r="H927" s="900"/>
      <c r="I927" s="905"/>
      <c r="J927" s="905"/>
      <c r="K927" s="906"/>
      <c r="L927" s="900"/>
      <c r="M927" s="900"/>
      <c r="N927" s="900"/>
      <c r="O927" s="900"/>
      <c r="P927" s="900"/>
      <c r="Q927" s="900"/>
      <c r="R927" s="900"/>
      <c r="S927" s="900"/>
      <c r="T927" s="900"/>
      <c r="U927" s="900"/>
      <c r="V927" s="900"/>
      <c r="W927" s="900"/>
      <c r="X927" s="900"/>
      <c r="Y927" s="900"/>
      <c r="Z927" s="900"/>
      <c r="AA927" s="900"/>
      <c r="AB927" s="900"/>
    </row>
    <row r="928">
      <c r="A928" s="900"/>
      <c r="B928" s="900"/>
      <c r="C928" s="900"/>
      <c r="D928" s="900"/>
      <c r="E928" s="900"/>
      <c r="F928" s="900"/>
      <c r="G928" s="900"/>
      <c r="H928" s="900"/>
      <c r="I928" s="905"/>
      <c r="J928" s="905"/>
      <c r="K928" s="906"/>
      <c r="L928" s="900"/>
      <c r="M928" s="900"/>
      <c r="N928" s="900"/>
      <c r="O928" s="900"/>
      <c r="P928" s="900"/>
      <c r="Q928" s="900"/>
      <c r="R928" s="900"/>
      <c r="S928" s="900"/>
      <c r="T928" s="900"/>
      <c r="U928" s="900"/>
      <c r="V928" s="900"/>
      <c r="W928" s="900"/>
      <c r="X928" s="900"/>
      <c r="Y928" s="900"/>
      <c r="Z928" s="900"/>
      <c r="AA928" s="900"/>
      <c r="AB928" s="900"/>
    </row>
    <row r="929">
      <c r="A929" s="900"/>
      <c r="B929" s="900"/>
      <c r="C929" s="900"/>
      <c r="D929" s="900"/>
      <c r="E929" s="900"/>
      <c r="F929" s="900"/>
      <c r="G929" s="900"/>
      <c r="H929" s="900"/>
      <c r="I929" s="905"/>
      <c r="J929" s="905"/>
      <c r="K929" s="906"/>
      <c r="L929" s="900"/>
      <c r="M929" s="900"/>
      <c r="N929" s="900"/>
      <c r="O929" s="900"/>
      <c r="P929" s="900"/>
      <c r="Q929" s="900"/>
      <c r="R929" s="900"/>
      <c r="S929" s="900"/>
      <c r="T929" s="900"/>
      <c r="U929" s="900"/>
      <c r="V929" s="900"/>
      <c r="W929" s="900"/>
      <c r="X929" s="900"/>
      <c r="Y929" s="900"/>
      <c r="Z929" s="900"/>
      <c r="AA929" s="900"/>
      <c r="AB929" s="900"/>
    </row>
    <row r="930">
      <c r="A930" s="900"/>
      <c r="B930" s="900"/>
      <c r="C930" s="900"/>
      <c r="D930" s="900"/>
      <c r="E930" s="900"/>
      <c r="F930" s="900"/>
      <c r="G930" s="900"/>
      <c r="H930" s="900"/>
      <c r="I930" s="905"/>
      <c r="J930" s="905"/>
      <c r="K930" s="906"/>
      <c r="L930" s="900"/>
      <c r="M930" s="900"/>
      <c r="N930" s="900"/>
      <c r="O930" s="900"/>
      <c r="P930" s="900"/>
      <c r="Q930" s="900"/>
      <c r="R930" s="900"/>
      <c r="S930" s="900"/>
      <c r="T930" s="900"/>
      <c r="U930" s="900"/>
      <c r="V930" s="900"/>
      <c r="W930" s="900"/>
      <c r="X930" s="900"/>
      <c r="Y930" s="900"/>
      <c r="Z930" s="900"/>
      <c r="AA930" s="900"/>
      <c r="AB930" s="900"/>
    </row>
    <row r="931">
      <c r="A931" s="900"/>
      <c r="B931" s="900"/>
      <c r="C931" s="900"/>
      <c r="D931" s="900"/>
      <c r="E931" s="900"/>
      <c r="F931" s="900"/>
      <c r="G931" s="900"/>
      <c r="H931" s="900"/>
      <c r="I931" s="905"/>
      <c r="J931" s="905"/>
      <c r="K931" s="906"/>
      <c r="L931" s="900"/>
      <c r="M931" s="900"/>
      <c r="N931" s="900"/>
      <c r="O931" s="900"/>
      <c r="P931" s="900"/>
      <c r="Q931" s="900"/>
      <c r="R931" s="900"/>
      <c r="S931" s="900"/>
      <c r="T931" s="900"/>
      <c r="U931" s="900"/>
      <c r="V931" s="900"/>
      <c r="W931" s="900"/>
      <c r="X931" s="900"/>
      <c r="Y931" s="900"/>
      <c r="Z931" s="900"/>
      <c r="AA931" s="900"/>
      <c r="AB931" s="900"/>
    </row>
    <row r="932">
      <c r="A932" s="900"/>
      <c r="B932" s="900"/>
      <c r="C932" s="900"/>
      <c r="D932" s="900"/>
      <c r="E932" s="900"/>
      <c r="F932" s="900"/>
      <c r="G932" s="900"/>
      <c r="H932" s="900"/>
      <c r="I932" s="905"/>
      <c r="J932" s="905"/>
      <c r="K932" s="906"/>
      <c r="L932" s="900"/>
      <c r="M932" s="900"/>
      <c r="N932" s="900"/>
      <c r="O932" s="900"/>
      <c r="P932" s="900"/>
      <c r="Q932" s="900"/>
      <c r="R932" s="900"/>
      <c r="S932" s="900"/>
      <c r="T932" s="900"/>
      <c r="U932" s="900"/>
      <c r="V932" s="900"/>
      <c r="W932" s="900"/>
      <c r="X932" s="900"/>
      <c r="Y932" s="900"/>
      <c r="Z932" s="900"/>
      <c r="AA932" s="900"/>
      <c r="AB932" s="900"/>
    </row>
    <row r="933">
      <c r="A933" s="900"/>
      <c r="B933" s="900"/>
      <c r="C933" s="900"/>
      <c r="D933" s="900"/>
      <c r="E933" s="900"/>
      <c r="F933" s="900"/>
      <c r="G933" s="900"/>
      <c r="H933" s="900"/>
      <c r="I933" s="905"/>
      <c r="J933" s="905"/>
      <c r="K933" s="906"/>
      <c r="L933" s="900"/>
      <c r="M933" s="900"/>
      <c r="N933" s="900"/>
      <c r="O933" s="900"/>
      <c r="P933" s="900"/>
      <c r="Q933" s="900"/>
      <c r="R933" s="900"/>
      <c r="S933" s="900"/>
      <c r="T933" s="900"/>
      <c r="U933" s="900"/>
      <c r="V933" s="900"/>
      <c r="W933" s="900"/>
      <c r="X933" s="900"/>
      <c r="Y933" s="900"/>
      <c r="Z933" s="900"/>
      <c r="AA933" s="900"/>
      <c r="AB933" s="900"/>
    </row>
    <row r="934">
      <c r="A934" s="900"/>
      <c r="B934" s="900"/>
      <c r="C934" s="900"/>
      <c r="D934" s="900"/>
      <c r="E934" s="900"/>
      <c r="F934" s="900"/>
      <c r="G934" s="900"/>
      <c r="H934" s="900"/>
      <c r="I934" s="905"/>
      <c r="J934" s="905"/>
      <c r="K934" s="906"/>
      <c r="L934" s="900"/>
      <c r="M934" s="900"/>
      <c r="N934" s="900"/>
      <c r="O934" s="900"/>
      <c r="P934" s="900"/>
      <c r="Q934" s="900"/>
      <c r="R934" s="900"/>
      <c r="S934" s="900"/>
      <c r="T934" s="900"/>
      <c r="U934" s="900"/>
      <c r="V934" s="900"/>
      <c r="W934" s="900"/>
      <c r="X934" s="900"/>
      <c r="Y934" s="900"/>
      <c r="Z934" s="900"/>
      <c r="AA934" s="900"/>
      <c r="AB934" s="900"/>
    </row>
    <row r="935">
      <c r="A935" s="900"/>
      <c r="B935" s="900"/>
      <c r="C935" s="900"/>
      <c r="D935" s="900"/>
      <c r="E935" s="900"/>
      <c r="F935" s="900"/>
      <c r="G935" s="900"/>
      <c r="H935" s="900"/>
      <c r="I935" s="905"/>
      <c r="J935" s="905"/>
      <c r="K935" s="906"/>
      <c r="L935" s="900"/>
      <c r="M935" s="900"/>
      <c r="N935" s="900"/>
      <c r="O935" s="900"/>
      <c r="P935" s="900"/>
      <c r="Q935" s="900"/>
      <c r="R935" s="900"/>
      <c r="S935" s="900"/>
      <c r="T935" s="900"/>
      <c r="U935" s="900"/>
      <c r="V935" s="900"/>
      <c r="W935" s="900"/>
      <c r="X935" s="900"/>
      <c r="Y935" s="900"/>
      <c r="Z935" s="900"/>
      <c r="AA935" s="900"/>
      <c r="AB935" s="900"/>
    </row>
    <row r="936">
      <c r="A936" s="900"/>
      <c r="B936" s="900"/>
      <c r="C936" s="900"/>
      <c r="D936" s="900"/>
      <c r="E936" s="900"/>
      <c r="F936" s="900"/>
      <c r="G936" s="900"/>
      <c r="H936" s="900"/>
      <c r="I936" s="905"/>
      <c r="J936" s="905"/>
      <c r="K936" s="906"/>
      <c r="L936" s="900"/>
      <c r="M936" s="900"/>
      <c r="N936" s="900"/>
      <c r="O936" s="900"/>
      <c r="P936" s="900"/>
      <c r="Q936" s="900"/>
      <c r="R936" s="900"/>
      <c r="S936" s="900"/>
      <c r="T936" s="900"/>
      <c r="U936" s="900"/>
      <c r="V936" s="900"/>
      <c r="W936" s="900"/>
      <c r="X936" s="900"/>
      <c r="Y936" s="900"/>
      <c r="Z936" s="900"/>
      <c r="AA936" s="900"/>
      <c r="AB936" s="900"/>
    </row>
    <row r="937">
      <c r="A937" s="900"/>
      <c r="B937" s="900"/>
      <c r="C937" s="900"/>
      <c r="D937" s="900"/>
      <c r="E937" s="900"/>
      <c r="F937" s="900"/>
      <c r="G937" s="900"/>
      <c r="H937" s="900"/>
      <c r="I937" s="905"/>
      <c r="J937" s="905"/>
      <c r="K937" s="906"/>
      <c r="L937" s="900"/>
      <c r="M937" s="900"/>
      <c r="N937" s="900"/>
      <c r="O937" s="900"/>
      <c r="P937" s="900"/>
      <c r="Q937" s="900"/>
      <c r="R937" s="900"/>
      <c r="S937" s="900"/>
      <c r="T937" s="900"/>
      <c r="U937" s="900"/>
      <c r="V937" s="900"/>
      <c r="W937" s="900"/>
      <c r="X937" s="900"/>
      <c r="Y937" s="900"/>
      <c r="Z937" s="900"/>
      <c r="AA937" s="900"/>
      <c r="AB937" s="900"/>
    </row>
    <row r="938">
      <c r="A938" s="900"/>
      <c r="B938" s="900"/>
      <c r="C938" s="900"/>
      <c r="D938" s="900"/>
      <c r="E938" s="900"/>
      <c r="F938" s="900"/>
      <c r="G938" s="900"/>
      <c r="H938" s="900"/>
      <c r="I938" s="905"/>
      <c r="J938" s="905"/>
      <c r="K938" s="906"/>
      <c r="L938" s="900"/>
      <c r="M938" s="900"/>
      <c r="N938" s="900"/>
      <c r="O938" s="900"/>
      <c r="P938" s="900"/>
      <c r="Q938" s="900"/>
      <c r="R938" s="900"/>
      <c r="S938" s="900"/>
      <c r="T938" s="900"/>
      <c r="U938" s="900"/>
      <c r="V938" s="900"/>
      <c r="W938" s="900"/>
      <c r="X938" s="900"/>
      <c r="Y938" s="900"/>
      <c r="Z938" s="900"/>
      <c r="AA938" s="900"/>
      <c r="AB938" s="900"/>
    </row>
    <row r="939">
      <c r="A939" s="900"/>
      <c r="B939" s="900"/>
      <c r="C939" s="900"/>
      <c r="D939" s="900"/>
      <c r="E939" s="900"/>
      <c r="F939" s="900"/>
      <c r="G939" s="900"/>
      <c r="H939" s="900"/>
      <c r="I939" s="905"/>
      <c r="J939" s="905"/>
      <c r="K939" s="906"/>
      <c r="L939" s="900"/>
      <c r="M939" s="900"/>
      <c r="N939" s="900"/>
      <c r="O939" s="900"/>
      <c r="P939" s="900"/>
      <c r="Q939" s="900"/>
      <c r="R939" s="900"/>
      <c r="S939" s="900"/>
      <c r="T939" s="900"/>
      <c r="U939" s="900"/>
      <c r="V939" s="900"/>
      <c r="W939" s="900"/>
      <c r="X939" s="900"/>
      <c r="Y939" s="900"/>
      <c r="Z939" s="900"/>
      <c r="AA939" s="900"/>
      <c r="AB939" s="900"/>
    </row>
    <row r="940">
      <c r="A940" s="900"/>
      <c r="B940" s="900"/>
      <c r="C940" s="900"/>
      <c r="D940" s="900"/>
      <c r="E940" s="900"/>
      <c r="F940" s="900"/>
      <c r="G940" s="900"/>
      <c r="H940" s="900"/>
      <c r="I940" s="905"/>
      <c r="J940" s="905"/>
      <c r="K940" s="906"/>
      <c r="L940" s="900"/>
      <c r="M940" s="900"/>
      <c r="N940" s="900"/>
      <c r="O940" s="900"/>
      <c r="P940" s="900"/>
      <c r="Q940" s="900"/>
      <c r="R940" s="900"/>
      <c r="S940" s="900"/>
      <c r="T940" s="900"/>
      <c r="U940" s="900"/>
      <c r="V940" s="900"/>
      <c r="W940" s="900"/>
      <c r="X940" s="900"/>
      <c r="Y940" s="900"/>
      <c r="Z940" s="900"/>
      <c r="AA940" s="900"/>
      <c r="AB940" s="900"/>
    </row>
    <row r="941">
      <c r="A941" s="900"/>
      <c r="B941" s="900"/>
      <c r="C941" s="900"/>
      <c r="D941" s="900"/>
      <c r="E941" s="900"/>
      <c r="F941" s="900"/>
      <c r="G941" s="900"/>
      <c r="H941" s="900"/>
      <c r="I941" s="905"/>
      <c r="J941" s="905"/>
      <c r="K941" s="906"/>
      <c r="L941" s="900"/>
      <c r="M941" s="900"/>
      <c r="N941" s="900"/>
      <c r="O941" s="900"/>
      <c r="P941" s="900"/>
      <c r="Q941" s="900"/>
      <c r="R941" s="900"/>
      <c r="S941" s="900"/>
      <c r="T941" s="900"/>
      <c r="U941" s="900"/>
      <c r="V941" s="900"/>
      <c r="W941" s="900"/>
      <c r="X941" s="900"/>
      <c r="Y941" s="900"/>
      <c r="Z941" s="900"/>
      <c r="AA941" s="900"/>
      <c r="AB941" s="900"/>
    </row>
    <row r="942">
      <c r="A942" s="900"/>
      <c r="B942" s="900"/>
      <c r="C942" s="900"/>
      <c r="D942" s="900"/>
      <c r="E942" s="900"/>
      <c r="F942" s="900"/>
      <c r="G942" s="900"/>
      <c r="H942" s="900"/>
      <c r="I942" s="905"/>
      <c r="J942" s="905"/>
      <c r="K942" s="906"/>
      <c r="L942" s="900"/>
      <c r="M942" s="900"/>
      <c r="N942" s="900"/>
      <c r="O942" s="900"/>
      <c r="P942" s="900"/>
      <c r="Q942" s="900"/>
      <c r="R942" s="900"/>
      <c r="S942" s="900"/>
      <c r="T942" s="900"/>
      <c r="U942" s="900"/>
      <c r="V942" s="900"/>
      <c r="W942" s="900"/>
      <c r="X942" s="900"/>
      <c r="Y942" s="900"/>
      <c r="Z942" s="900"/>
      <c r="AA942" s="900"/>
      <c r="AB942" s="900"/>
    </row>
    <row r="943">
      <c r="A943" s="900"/>
      <c r="B943" s="900"/>
      <c r="C943" s="900"/>
      <c r="D943" s="900"/>
      <c r="E943" s="900"/>
      <c r="F943" s="900"/>
      <c r="G943" s="900"/>
      <c r="H943" s="900"/>
      <c r="I943" s="905"/>
      <c r="J943" s="905"/>
      <c r="K943" s="906"/>
      <c r="L943" s="900"/>
      <c r="M943" s="900"/>
      <c r="N943" s="900"/>
      <c r="O943" s="900"/>
      <c r="P943" s="900"/>
      <c r="Q943" s="900"/>
      <c r="R943" s="900"/>
      <c r="S943" s="900"/>
      <c r="T943" s="900"/>
      <c r="U943" s="900"/>
      <c r="V943" s="900"/>
      <c r="W943" s="900"/>
      <c r="X943" s="900"/>
      <c r="Y943" s="900"/>
      <c r="Z943" s="900"/>
      <c r="AA943" s="900"/>
      <c r="AB943" s="900"/>
    </row>
    <row r="944">
      <c r="A944" s="900"/>
      <c r="B944" s="900"/>
      <c r="C944" s="900"/>
      <c r="D944" s="900"/>
      <c r="E944" s="900"/>
      <c r="F944" s="900"/>
      <c r="G944" s="900"/>
      <c r="H944" s="900"/>
      <c r="I944" s="905"/>
      <c r="J944" s="905"/>
      <c r="K944" s="906"/>
      <c r="L944" s="900"/>
      <c r="M944" s="900"/>
      <c r="N944" s="900"/>
      <c r="O944" s="900"/>
      <c r="P944" s="900"/>
      <c r="Q944" s="900"/>
      <c r="R944" s="900"/>
      <c r="S944" s="900"/>
      <c r="T944" s="900"/>
      <c r="U944" s="900"/>
      <c r="V944" s="900"/>
      <c r="W944" s="900"/>
      <c r="X944" s="900"/>
      <c r="Y944" s="900"/>
      <c r="Z944" s="900"/>
      <c r="AA944" s="900"/>
      <c r="AB944" s="900"/>
    </row>
    <row r="945">
      <c r="A945" s="900"/>
      <c r="B945" s="900"/>
      <c r="C945" s="900"/>
      <c r="D945" s="900"/>
      <c r="E945" s="900"/>
      <c r="F945" s="900"/>
      <c r="G945" s="900"/>
      <c r="H945" s="900"/>
      <c r="I945" s="905"/>
      <c r="J945" s="905"/>
      <c r="K945" s="906"/>
      <c r="L945" s="900"/>
      <c r="M945" s="900"/>
      <c r="N945" s="900"/>
      <c r="O945" s="900"/>
      <c r="P945" s="900"/>
      <c r="Q945" s="900"/>
      <c r="R945" s="900"/>
      <c r="S945" s="900"/>
      <c r="T945" s="900"/>
      <c r="U945" s="900"/>
      <c r="V945" s="900"/>
      <c r="W945" s="900"/>
      <c r="X945" s="900"/>
      <c r="Y945" s="900"/>
      <c r="Z945" s="900"/>
      <c r="AA945" s="900"/>
      <c r="AB945" s="900"/>
    </row>
    <row r="946">
      <c r="A946" s="900"/>
      <c r="B946" s="900"/>
      <c r="C946" s="900"/>
      <c r="D946" s="900"/>
      <c r="E946" s="900"/>
      <c r="F946" s="900"/>
      <c r="G946" s="900"/>
      <c r="H946" s="900"/>
      <c r="I946" s="905"/>
      <c r="J946" s="905"/>
      <c r="K946" s="906"/>
      <c r="L946" s="900"/>
      <c r="M946" s="900"/>
      <c r="N946" s="900"/>
      <c r="O946" s="900"/>
      <c r="P946" s="900"/>
      <c r="Q946" s="900"/>
      <c r="R946" s="900"/>
      <c r="S946" s="900"/>
      <c r="T946" s="900"/>
      <c r="U946" s="900"/>
      <c r="V946" s="900"/>
      <c r="W946" s="900"/>
      <c r="X946" s="900"/>
      <c r="Y946" s="900"/>
      <c r="Z946" s="900"/>
      <c r="AA946" s="900"/>
      <c r="AB946" s="900"/>
    </row>
    <row r="947">
      <c r="A947" s="900"/>
      <c r="B947" s="900"/>
      <c r="C947" s="900"/>
      <c r="D947" s="900"/>
      <c r="E947" s="900"/>
      <c r="F947" s="900"/>
      <c r="G947" s="900"/>
      <c r="H947" s="900"/>
      <c r="I947" s="905"/>
      <c r="J947" s="905"/>
      <c r="K947" s="906"/>
      <c r="L947" s="900"/>
      <c r="M947" s="900"/>
      <c r="N947" s="900"/>
      <c r="O947" s="900"/>
      <c r="P947" s="900"/>
      <c r="Q947" s="900"/>
      <c r="R947" s="900"/>
      <c r="S947" s="900"/>
      <c r="T947" s="900"/>
      <c r="U947" s="900"/>
      <c r="V947" s="900"/>
      <c r="W947" s="900"/>
      <c r="X947" s="900"/>
      <c r="Y947" s="900"/>
      <c r="Z947" s="900"/>
      <c r="AA947" s="900"/>
      <c r="AB947" s="900"/>
    </row>
    <row r="948">
      <c r="A948" s="900"/>
      <c r="B948" s="900"/>
      <c r="C948" s="900"/>
      <c r="D948" s="900"/>
      <c r="E948" s="900"/>
      <c r="F948" s="900"/>
      <c r="G948" s="900"/>
      <c r="H948" s="900"/>
      <c r="I948" s="905"/>
      <c r="J948" s="905"/>
      <c r="K948" s="906"/>
      <c r="L948" s="900"/>
      <c r="M948" s="900"/>
      <c r="N948" s="900"/>
      <c r="O948" s="900"/>
      <c r="P948" s="900"/>
      <c r="Q948" s="900"/>
      <c r="R948" s="900"/>
      <c r="S948" s="900"/>
      <c r="T948" s="900"/>
      <c r="U948" s="900"/>
      <c r="V948" s="900"/>
      <c r="W948" s="900"/>
      <c r="X948" s="900"/>
      <c r="Y948" s="900"/>
      <c r="Z948" s="900"/>
      <c r="AA948" s="900"/>
      <c r="AB948" s="900"/>
    </row>
    <row r="949">
      <c r="A949" s="900"/>
      <c r="B949" s="900"/>
      <c r="C949" s="900"/>
      <c r="D949" s="900"/>
      <c r="E949" s="900"/>
      <c r="F949" s="900"/>
      <c r="G949" s="900"/>
      <c r="H949" s="900"/>
      <c r="I949" s="905"/>
      <c r="J949" s="905"/>
      <c r="K949" s="906"/>
      <c r="L949" s="900"/>
      <c r="M949" s="900"/>
      <c r="N949" s="900"/>
      <c r="O949" s="900"/>
      <c r="P949" s="900"/>
      <c r="Q949" s="900"/>
      <c r="R949" s="900"/>
      <c r="S949" s="900"/>
      <c r="T949" s="900"/>
      <c r="U949" s="900"/>
      <c r="V949" s="900"/>
      <c r="W949" s="900"/>
      <c r="X949" s="900"/>
      <c r="Y949" s="900"/>
      <c r="Z949" s="900"/>
      <c r="AA949" s="900"/>
      <c r="AB949" s="900"/>
    </row>
    <row r="950">
      <c r="A950" s="900"/>
      <c r="B950" s="900"/>
      <c r="C950" s="900"/>
      <c r="D950" s="900"/>
      <c r="E950" s="900"/>
      <c r="F950" s="900"/>
      <c r="G950" s="900"/>
      <c r="H950" s="900"/>
      <c r="I950" s="905"/>
      <c r="J950" s="905"/>
      <c r="K950" s="906"/>
      <c r="L950" s="900"/>
      <c r="M950" s="900"/>
      <c r="N950" s="900"/>
      <c r="O950" s="900"/>
      <c r="P950" s="900"/>
      <c r="Q950" s="900"/>
      <c r="R950" s="900"/>
      <c r="S950" s="900"/>
      <c r="T950" s="900"/>
      <c r="U950" s="900"/>
      <c r="V950" s="900"/>
      <c r="W950" s="900"/>
      <c r="X950" s="900"/>
      <c r="Y950" s="900"/>
      <c r="Z950" s="900"/>
      <c r="AA950" s="900"/>
      <c r="AB950" s="900"/>
    </row>
    <row r="951">
      <c r="A951" s="900"/>
      <c r="B951" s="900"/>
      <c r="C951" s="900"/>
      <c r="D951" s="900"/>
      <c r="E951" s="900"/>
      <c r="F951" s="900"/>
      <c r="G951" s="900"/>
      <c r="H951" s="900"/>
      <c r="I951" s="905"/>
      <c r="J951" s="905"/>
      <c r="K951" s="906"/>
      <c r="L951" s="900"/>
      <c r="M951" s="900"/>
      <c r="N951" s="900"/>
      <c r="O951" s="900"/>
      <c r="P951" s="900"/>
      <c r="Q951" s="900"/>
      <c r="R951" s="900"/>
      <c r="S951" s="900"/>
      <c r="T951" s="900"/>
      <c r="U951" s="900"/>
      <c r="V951" s="900"/>
      <c r="W951" s="900"/>
      <c r="X951" s="900"/>
      <c r="Y951" s="900"/>
      <c r="Z951" s="900"/>
      <c r="AA951" s="900"/>
      <c r="AB951" s="900"/>
    </row>
    <row r="952">
      <c r="A952" s="900"/>
      <c r="B952" s="900"/>
      <c r="C952" s="900"/>
      <c r="D952" s="900"/>
      <c r="E952" s="900"/>
      <c r="F952" s="900"/>
      <c r="G952" s="900"/>
      <c r="H952" s="900"/>
      <c r="I952" s="905"/>
      <c r="J952" s="905"/>
      <c r="K952" s="906"/>
      <c r="L952" s="900"/>
      <c r="M952" s="900"/>
      <c r="N952" s="900"/>
      <c r="O952" s="900"/>
      <c r="P952" s="900"/>
      <c r="Q952" s="900"/>
      <c r="R952" s="900"/>
      <c r="S952" s="900"/>
      <c r="T952" s="900"/>
      <c r="U952" s="900"/>
      <c r="V952" s="900"/>
      <c r="W952" s="900"/>
      <c r="X952" s="900"/>
      <c r="Y952" s="900"/>
      <c r="Z952" s="900"/>
      <c r="AA952" s="900"/>
      <c r="AB952" s="900"/>
    </row>
    <row r="953">
      <c r="A953" s="900"/>
      <c r="B953" s="900"/>
      <c r="C953" s="900"/>
      <c r="D953" s="900"/>
      <c r="E953" s="900"/>
      <c r="F953" s="900"/>
      <c r="G953" s="900"/>
      <c r="H953" s="900"/>
      <c r="I953" s="905"/>
      <c r="J953" s="905"/>
      <c r="K953" s="906"/>
      <c r="L953" s="900"/>
      <c r="M953" s="900"/>
      <c r="N953" s="900"/>
      <c r="O953" s="900"/>
      <c r="P953" s="900"/>
      <c r="Q953" s="900"/>
      <c r="R953" s="900"/>
      <c r="S953" s="900"/>
      <c r="T953" s="900"/>
      <c r="U953" s="900"/>
      <c r="V953" s="900"/>
      <c r="W953" s="900"/>
      <c r="X953" s="900"/>
      <c r="Y953" s="900"/>
      <c r="Z953" s="900"/>
      <c r="AA953" s="900"/>
      <c r="AB953" s="900"/>
    </row>
    <row r="954">
      <c r="A954" s="900"/>
      <c r="B954" s="900"/>
      <c r="C954" s="900"/>
      <c r="D954" s="900"/>
      <c r="E954" s="900"/>
      <c r="F954" s="900"/>
      <c r="G954" s="900"/>
      <c r="H954" s="900"/>
      <c r="I954" s="905"/>
      <c r="J954" s="905"/>
      <c r="K954" s="906"/>
      <c r="L954" s="900"/>
      <c r="M954" s="900"/>
      <c r="N954" s="900"/>
      <c r="O954" s="900"/>
      <c r="P954" s="900"/>
      <c r="Q954" s="900"/>
      <c r="R954" s="900"/>
      <c r="S954" s="900"/>
      <c r="T954" s="900"/>
      <c r="U954" s="900"/>
      <c r="V954" s="900"/>
      <c r="W954" s="900"/>
      <c r="X954" s="900"/>
      <c r="Y954" s="900"/>
      <c r="Z954" s="900"/>
      <c r="AA954" s="900"/>
      <c r="AB954" s="900"/>
    </row>
    <row r="955">
      <c r="A955" s="900"/>
      <c r="B955" s="900"/>
      <c r="C955" s="900"/>
      <c r="D955" s="900"/>
      <c r="E955" s="900"/>
      <c r="F955" s="900"/>
      <c r="G955" s="900"/>
      <c r="H955" s="900"/>
      <c r="I955" s="905"/>
      <c r="J955" s="905"/>
      <c r="K955" s="906"/>
      <c r="L955" s="900"/>
      <c r="M955" s="900"/>
      <c r="N955" s="900"/>
      <c r="O955" s="900"/>
      <c r="P955" s="900"/>
      <c r="Q955" s="900"/>
      <c r="R955" s="900"/>
      <c r="S955" s="900"/>
      <c r="T955" s="900"/>
      <c r="U955" s="900"/>
      <c r="V955" s="900"/>
      <c r="W955" s="900"/>
      <c r="X955" s="900"/>
      <c r="Y955" s="900"/>
      <c r="Z955" s="900"/>
      <c r="AA955" s="900"/>
      <c r="AB955" s="900"/>
    </row>
    <row r="956">
      <c r="A956" s="900"/>
      <c r="B956" s="900"/>
      <c r="C956" s="900"/>
      <c r="D956" s="900"/>
      <c r="E956" s="900"/>
      <c r="F956" s="900"/>
      <c r="G956" s="900"/>
      <c r="H956" s="900"/>
      <c r="I956" s="905"/>
      <c r="J956" s="905"/>
      <c r="K956" s="906"/>
      <c r="L956" s="900"/>
      <c r="M956" s="900"/>
      <c r="N956" s="900"/>
      <c r="O956" s="900"/>
      <c r="P956" s="900"/>
      <c r="Q956" s="900"/>
      <c r="R956" s="900"/>
      <c r="S956" s="900"/>
      <c r="T956" s="900"/>
      <c r="U956" s="900"/>
      <c r="V956" s="900"/>
      <c r="W956" s="900"/>
      <c r="X956" s="900"/>
      <c r="Y956" s="900"/>
      <c r="Z956" s="900"/>
      <c r="AA956" s="900"/>
      <c r="AB956" s="900"/>
    </row>
    <row r="957">
      <c r="A957" s="900"/>
      <c r="B957" s="900"/>
      <c r="C957" s="900"/>
      <c r="D957" s="900"/>
      <c r="E957" s="900"/>
      <c r="F957" s="900"/>
      <c r="G957" s="900"/>
      <c r="H957" s="900"/>
      <c r="I957" s="905"/>
      <c r="J957" s="905"/>
      <c r="K957" s="906"/>
      <c r="L957" s="900"/>
      <c r="M957" s="900"/>
      <c r="N957" s="900"/>
      <c r="O957" s="900"/>
      <c r="P957" s="900"/>
      <c r="Q957" s="900"/>
      <c r="R957" s="900"/>
      <c r="S957" s="900"/>
      <c r="T957" s="900"/>
      <c r="U957" s="900"/>
      <c r="V957" s="900"/>
      <c r="W957" s="900"/>
      <c r="X957" s="900"/>
      <c r="Y957" s="900"/>
      <c r="Z957" s="900"/>
      <c r="AA957" s="900"/>
      <c r="AB957" s="900"/>
    </row>
    <row r="958">
      <c r="A958" s="900"/>
      <c r="B958" s="900"/>
      <c r="C958" s="900"/>
      <c r="D958" s="900"/>
      <c r="E958" s="900"/>
      <c r="F958" s="900"/>
      <c r="G958" s="900"/>
      <c r="H958" s="900"/>
      <c r="I958" s="905"/>
      <c r="J958" s="905"/>
      <c r="K958" s="906"/>
      <c r="L958" s="900"/>
      <c r="M958" s="900"/>
      <c r="N958" s="900"/>
      <c r="O958" s="900"/>
      <c r="P958" s="900"/>
      <c r="Q958" s="900"/>
      <c r="R958" s="900"/>
      <c r="S958" s="900"/>
      <c r="T958" s="900"/>
      <c r="U958" s="900"/>
      <c r="V958" s="900"/>
      <c r="W958" s="900"/>
      <c r="X958" s="900"/>
      <c r="Y958" s="900"/>
      <c r="Z958" s="900"/>
      <c r="AA958" s="900"/>
      <c r="AB958" s="900"/>
    </row>
    <row r="959">
      <c r="A959" s="900"/>
      <c r="B959" s="900"/>
      <c r="C959" s="900"/>
      <c r="D959" s="900"/>
      <c r="E959" s="900"/>
      <c r="F959" s="900"/>
      <c r="G959" s="900"/>
      <c r="H959" s="900"/>
      <c r="I959" s="905"/>
      <c r="J959" s="905"/>
      <c r="K959" s="906"/>
      <c r="L959" s="900"/>
      <c r="M959" s="900"/>
      <c r="N959" s="900"/>
      <c r="O959" s="900"/>
      <c r="P959" s="900"/>
      <c r="Q959" s="900"/>
      <c r="R959" s="900"/>
      <c r="S959" s="900"/>
      <c r="T959" s="900"/>
      <c r="U959" s="900"/>
      <c r="V959" s="900"/>
      <c r="W959" s="900"/>
      <c r="X959" s="900"/>
      <c r="Y959" s="900"/>
      <c r="Z959" s="900"/>
      <c r="AA959" s="900"/>
      <c r="AB959" s="900"/>
    </row>
    <row r="960">
      <c r="A960" s="900"/>
      <c r="B960" s="900"/>
      <c r="C960" s="900"/>
      <c r="D960" s="900"/>
      <c r="E960" s="900"/>
      <c r="F960" s="900"/>
      <c r="G960" s="900"/>
      <c r="H960" s="900"/>
      <c r="I960" s="905"/>
      <c r="J960" s="905"/>
      <c r="K960" s="906"/>
      <c r="L960" s="900"/>
      <c r="M960" s="900"/>
      <c r="N960" s="900"/>
      <c r="O960" s="900"/>
      <c r="P960" s="900"/>
      <c r="Q960" s="900"/>
      <c r="R960" s="900"/>
      <c r="S960" s="900"/>
      <c r="T960" s="900"/>
      <c r="U960" s="900"/>
      <c r="V960" s="900"/>
      <c r="W960" s="900"/>
      <c r="X960" s="900"/>
      <c r="Y960" s="900"/>
      <c r="Z960" s="900"/>
      <c r="AA960" s="900"/>
      <c r="AB960" s="900"/>
    </row>
    <row r="961">
      <c r="A961" s="900"/>
      <c r="B961" s="900"/>
      <c r="C961" s="900"/>
      <c r="D961" s="900"/>
      <c r="E961" s="900"/>
      <c r="F961" s="900"/>
      <c r="G961" s="900"/>
      <c r="H961" s="900"/>
      <c r="I961" s="905"/>
      <c r="J961" s="905"/>
      <c r="K961" s="906"/>
      <c r="L961" s="900"/>
      <c r="M961" s="900"/>
      <c r="N961" s="900"/>
      <c r="O961" s="900"/>
      <c r="P961" s="900"/>
      <c r="Q961" s="900"/>
      <c r="R961" s="900"/>
      <c r="S961" s="900"/>
      <c r="T961" s="900"/>
      <c r="U961" s="900"/>
      <c r="V961" s="900"/>
      <c r="W961" s="900"/>
      <c r="X961" s="900"/>
      <c r="Y961" s="900"/>
      <c r="Z961" s="900"/>
      <c r="AA961" s="900"/>
      <c r="AB961" s="900"/>
    </row>
    <row r="962">
      <c r="A962" s="900"/>
      <c r="B962" s="900"/>
      <c r="C962" s="900"/>
      <c r="D962" s="900"/>
      <c r="E962" s="900"/>
      <c r="F962" s="900"/>
      <c r="G962" s="900"/>
      <c r="H962" s="900"/>
      <c r="I962" s="905"/>
      <c r="J962" s="905"/>
      <c r="K962" s="906"/>
      <c r="L962" s="900"/>
      <c r="M962" s="900"/>
      <c r="N962" s="900"/>
      <c r="O962" s="900"/>
      <c r="P962" s="900"/>
      <c r="Q962" s="900"/>
      <c r="R962" s="900"/>
      <c r="S962" s="900"/>
      <c r="T962" s="900"/>
      <c r="U962" s="900"/>
      <c r="V962" s="900"/>
      <c r="W962" s="900"/>
      <c r="X962" s="900"/>
      <c r="Y962" s="900"/>
      <c r="Z962" s="900"/>
      <c r="AA962" s="900"/>
      <c r="AB962" s="900"/>
    </row>
    <row r="963">
      <c r="A963" s="900"/>
      <c r="B963" s="900"/>
      <c r="C963" s="900"/>
      <c r="D963" s="900"/>
      <c r="E963" s="900"/>
      <c r="F963" s="900"/>
      <c r="G963" s="900"/>
      <c r="H963" s="900"/>
      <c r="I963" s="905"/>
      <c r="J963" s="905"/>
      <c r="K963" s="906"/>
      <c r="L963" s="900"/>
      <c r="M963" s="900"/>
      <c r="N963" s="900"/>
      <c r="O963" s="900"/>
      <c r="P963" s="900"/>
      <c r="Q963" s="900"/>
      <c r="R963" s="900"/>
      <c r="S963" s="900"/>
      <c r="T963" s="900"/>
      <c r="U963" s="900"/>
      <c r="V963" s="900"/>
      <c r="W963" s="900"/>
      <c r="X963" s="900"/>
      <c r="Y963" s="900"/>
      <c r="Z963" s="900"/>
      <c r="AA963" s="900"/>
      <c r="AB963" s="900"/>
    </row>
    <row r="964">
      <c r="A964" s="900"/>
      <c r="B964" s="900"/>
      <c r="C964" s="900"/>
      <c r="D964" s="900"/>
      <c r="E964" s="900"/>
      <c r="F964" s="900"/>
      <c r="G964" s="900"/>
      <c r="H964" s="900"/>
      <c r="I964" s="905"/>
      <c r="J964" s="905"/>
      <c r="K964" s="906"/>
      <c r="L964" s="900"/>
      <c r="M964" s="900"/>
      <c r="N964" s="900"/>
      <c r="O964" s="900"/>
      <c r="P964" s="900"/>
      <c r="Q964" s="900"/>
      <c r="R964" s="900"/>
      <c r="S964" s="900"/>
      <c r="T964" s="900"/>
      <c r="U964" s="900"/>
      <c r="V964" s="900"/>
      <c r="W964" s="900"/>
      <c r="X964" s="900"/>
      <c r="Y964" s="900"/>
      <c r="Z964" s="900"/>
      <c r="AA964" s="900"/>
      <c r="AB964" s="900"/>
    </row>
    <row r="965">
      <c r="A965" s="900"/>
      <c r="B965" s="900"/>
      <c r="C965" s="900"/>
      <c r="D965" s="900"/>
      <c r="E965" s="900"/>
      <c r="F965" s="900"/>
      <c r="G965" s="900"/>
      <c r="H965" s="900"/>
      <c r="I965" s="905"/>
      <c r="J965" s="905"/>
      <c r="K965" s="906"/>
      <c r="L965" s="900"/>
      <c r="M965" s="900"/>
      <c r="N965" s="900"/>
      <c r="O965" s="900"/>
      <c r="P965" s="900"/>
      <c r="Q965" s="900"/>
      <c r="R965" s="900"/>
      <c r="S965" s="900"/>
      <c r="T965" s="900"/>
      <c r="U965" s="900"/>
      <c r="V965" s="900"/>
      <c r="W965" s="900"/>
      <c r="X965" s="900"/>
      <c r="Y965" s="900"/>
      <c r="Z965" s="900"/>
      <c r="AA965" s="900"/>
      <c r="AB965" s="900"/>
    </row>
    <row r="966">
      <c r="A966" s="900"/>
      <c r="B966" s="900"/>
      <c r="C966" s="900"/>
      <c r="D966" s="900"/>
      <c r="E966" s="900"/>
      <c r="F966" s="900"/>
      <c r="G966" s="900"/>
      <c r="H966" s="900"/>
      <c r="I966" s="905"/>
      <c r="J966" s="905"/>
      <c r="K966" s="906"/>
      <c r="L966" s="900"/>
      <c r="M966" s="900"/>
      <c r="N966" s="900"/>
      <c r="O966" s="900"/>
      <c r="P966" s="900"/>
      <c r="Q966" s="900"/>
      <c r="R966" s="900"/>
      <c r="S966" s="900"/>
      <c r="T966" s="900"/>
      <c r="U966" s="900"/>
      <c r="V966" s="900"/>
      <c r="W966" s="900"/>
      <c r="X966" s="900"/>
      <c r="Y966" s="900"/>
      <c r="Z966" s="900"/>
      <c r="AA966" s="900"/>
      <c r="AB966" s="900"/>
    </row>
    <row r="967">
      <c r="A967" s="900"/>
      <c r="B967" s="900"/>
      <c r="C967" s="900"/>
      <c r="D967" s="900"/>
      <c r="E967" s="900"/>
      <c r="F967" s="900"/>
      <c r="G967" s="900"/>
      <c r="H967" s="900"/>
      <c r="I967" s="905"/>
      <c r="J967" s="905"/>
      <c r="K967" s="906"/>
      <c r="L967" s="900"/>
      <c r="M967" s="900"/>
      <c r="N967" s="900"/>
      <c r="O967" s="900"/>
      <c r="P967" s="900"/>
      <c r="Q967" s="900"/>
      <c r="R967" s="900"/>
      <c r="S967" s="900"/>
      <c r="T967" s="900"/>
      <c r="U967" s="900"/>
      <c r="V967" s="900"/>
      <c r="W967" s="900"/>
      <c r="X967" s="900"/>
      <c r="Y967" s="900"/>
      <c r="Z967" s="900"/>
      <c r="AA967" s="900"/>
      <c r="AB967" s="900"/>
    </row>
    <row r="968">
      <c r="A968" s="900"/>
      <c r="B968" s="900"/>
      <c r="C968" s="900"/>
      <c r="D968" s="900"/>
      <c r="E968" s="900"/>
      <c r="F968" s="900"/>
      <c r="G968" s="900"/>
      <c r="H968" s="900"/>
      <c r="I968" s="905"/>
      <c r="J968" s="905"/>
      <c r="K968" s="906"/>
      <c r="L968" s="900"/>
      <c r="M968" s="900"/>
      <c r="N968" s="900"/>
      <c r="O968" s="900"/>
      <c r="P968" s="900"/>
      <c r="Q968" s="900"/>
      <c r="R968" s="900"/>
      <c r="S968" s="900"/>
      <c r="T968" s="900"/>
      <c r="U968" s="900"/>
      <c r="V968" s="900"/>
      <c r="W968" s="900"/>
      <c r="X968" s="900"/>
      <c r="Y968" s="900"/>
      <c r="Z968" s="900"/>
      <c r="AA968" s="900"/>
      <c r="AB968" s="900"/>
    </row>
    <row r="969">
      <c r="A969" s="900"/>
      <c r="B969" s="900"/>
      <c r="C969" s="900"/>
      <c r="D969" s="900"/>
      <c r="E969" s="900"/>
      <c r="F969" s="900"/>
      <c r="G969" s="900"/>
      <c r="H969" s="900"/>
      <c r="I969" s="905"/>
      <c r="J969" s="905"/>
      <c r="K969" s="906"/>
      <c r="L969" s="900"/>
      <c r="M969" s="900"/>
      <c r="N969" s="900"/>
      <c r="O969" s="900"/>
      <c r="P969" s="900"/>
      <c r="Q969" s="900"/>
      <c r="R969" s="900"/>
      <c r="S969" s="900"/>
      <c r="T969" s="900"/>
      <c r="U969" s="900"/>
      <c r="V969" s="900"/>
      <c r="W969" s="900"/>
      <c r="X969" s="900"/>
      <c r="Y969" s="900"/>
      <c r="Z969" s="900"/>
      <c r="AA969" s="900"/>
      <c r="AB969" s="900"/>
    </row>
    <row r="970">
      <c r="A970" s="900"/>
      <c r="B970" s="900"/>
      <c r="C970" s="900"/>
      <c r="D970" s="900"/>
      <c r="E970" s="900"/>
      <c r="F970" s="900"/>
      <c r="G970" s="900"/>
      <c r="H970" s="900"/>
      <c r="I970" s="905"/>
      <c r="J970" s="905"/>
      <c r="K970" s="906"/>
      <c r="L970" s="900"/>
      <c r="M970" s="900"/>
      <c r="N970" s="900"/>
      <c r="O970" s="900"/>
      <c r="P970" s="900"/>
      <c r="Q970" s="900"/>
      <c r="R970" s="900"/>
      <c r="S970" s="900"/>
      <c r="T970" s="900"/>
      <c r="U970" s="900"/>
      <c r="V970" s="900"/>
      <c r="W970" s="900"/>
      <c r="X970" s="900"/>
      <c r="Y970" s="900"/>
      <c r="Z970" s="900"/>
      <c r="AA970" s="900"/>
      <c r="AB970" s="900"/>
    </row>
    <row r="971">
      <c r="A971" s="900"/>
      <c r="B971" s="900"/>
      <c r="C971" s="900"/>
      <c r="D971" s="900"/>
      <c r="E971" s="900"/>
      <c r="F971" s="900"/>
      <c r="G971" s="900"/>
      <c r="H971" s="900"/>
      <c r="I971" s="905"/>
      <c r="J971" s="905"/>
      <c r="K971" s="906"/>
      <c r="L971" s="900"/>
      <c r="M971" s="900"/>
      <c r="N971" s="900"/>
      <c r="O971" s="900"/>
      <c r="P971" s="900"/>
      <c r="Q971" s="900"/>
      <c r="R971" s="900"/>
      <c r="S971" s="900"/>
      <c r="T971" s="900"/>
      <c r="U971" s="900"/>
      <c r="V971" s="900"/>
      <c r="W971" s="900"/>
      <c r="X971" s="900"/>
      <c r="Y971" s="900"/>
      <c r="Z971" s="900"/>
      <c r="AA971" s="900"/>
      <c r="AB971" s="900"/>
    </row>
    <row r="972">
      <c r="A972" s="900"/>
      <c r="B972" s="900"/>
      <c r="C972" s="900"/>
      <c r="D972" s="900"/>
      <c r="E972" s="900"/>
      <c r="F972" s="900"/>
      <c r="G972" s="900"/>
      <c r="H972" s="900"/>
      <c r="I972" s="905"/>
      <c r="J972" s="905"/>
      <c r="K972" s="906"/>
      <c r="L972" s="900"/>
      <c r="M972" s="900"/>
      <c r="N972" s="900"/>
      <c r="O972" s="900"/>
      <c r="P972" s="900"/>
      <c r="Q972" s="900"/>
      <c r="R972" s="900"/>
      <c r="S972" s="900"/>
      <c r="T972" s="900"/>
      <c r="U972" s="900"/>
      <c r="V972" s="900"/>
      <c r="W972" s="900"/>
      <c r="X972" s="900"/>
      <c r="Y972" s="900"/>
      <c r="Z972" s="900"/>
      <c r="AA972" s="900"/>
      <c r="AB972" s="900"/>
    </row>
    <row r="973">
      <c r="A973" s="900"/>
      <c r="B973" s="900"/>
      <c r="C973" s="900"/>
      <c r="D973" s="900"/>
      <c r="E973" s="900"/>
      <c r="F973" s="900"/>
      <c r="G973" s="900"/>
      <c r="H973" s="900"/>
      <c r="I973" s="905"/>
      <c r="J973" s="905"/>
      <c r="K973" s="906"/>
      <c r="L973" s="900"/>
      <c r="M973" s="900"/>
      <c r="N973" s="900"/>
      <c r="O973" s="900"/>
      <c r="P973" s="900"/>
      <c r="Q973" s="900"/>
      <c r="R973" s="900"/>
      <c r="S973" s="900"/>
      <c r="T973" s="900"/>
      <c r="U973" s="900"/>
      <c r="V973" s="900"/>
      <c r="W973" s="900"/>
      <c r="X973" s="900"/>
      <c r="Y973" s="900"/>
      <c r="Z973" s="900"/>
      <c r="AA973" s="900"/>
      <c r="AB973" s="900"/>
    </row>
    <row r="974">
      <c r="A974" s="900"/>
      <c r="B974" s="900"/>
      <c r="C974" s="900"/>
      <c r="D974" s="900"/>
      <c r="E974" s="900"/>
      <c r="F974" s="900"/>
      <c r="G974" s="900"/>
      <c r="H974" s="900"/>
      <c r="I974" s="905"/>
      <c r="J974" s="905"/>
      <c r="K974" s="906"/>
      <c r="L974" s="900"/>
      <c r="M974" s="900"/>
      <c r="N974" s="900"/>
      <c r="O974" s="900"/>
      <c r="P974" s="900"/>
      <c r="Q974" s="900"/>
      <c r="R974" s="900"/>
      <c r="S974" s="900"/>
      <c r="T974" s="900"/>
      <c r="U974" s="900"/>
      <c r="V974" s="900"/>
      <c r="W974" s="900"/>
      <c r="X974" s="900"/>
      <c r="Y974" s="900"/>
      <c r="Z974" s="900"/>
      <c r="AA974" s="900"/>
      <c r="AB974" s="900"/>
    </row>
    <row r="975">
      <c r="A975" s="900"/>
      <c r="B975" s="900"/>
      <c r="C975" s="900"/>
      <c r="D975" s="900"/>
      <c r="E975" s="900"/>
      <c r="F975" s="900"/>
      <c r="G975" s="900"/>
      <c r="H975" s="900"/>
      <c r="I975" s="905"/>
      <c r="J975" s="905"/>
      <c r="K975" s="906"/>
      <c r="L975" s="900"/>
      <c r="M975" s="900"/>
      <c r="N975" s="900"/>
      <c r="O975" s="900"/>
      <c r="P975" s="900"/>
      <c r="Q975" s="900"/>
      <c r="R975" s="900"/>
      <c r="S975" s="900"/>
      <c r="T975" s="900"/>
      <c r="U975" s="900"/>
      <c r="V975" s="900"/>
      <c r="W975" s="900"/>
      <c r="X975" s="900"/>
      <c r="Y975" s="900"/>
      <c r="Z975" s="900"/>
      <c r="AA975" s="900"/>
      <c r="AB975" s="900"/>
    </row>
    <row r="976">
      <c r="A976" s="900"/>
      <c r="B976" s="900"/>
      <c r="C976" s="900"/>
      <c r="D976" s="900"/>
      <c r="E976" s="900"/>
      <c r="F976" s="900"/>
      <c r="G976" s="900"/>
      <c r="H976" s="900"/>
      <c r="I976" s="905"/>
      <c r="J976" s="905"/>
      <c r="K976" s="906"/>
      <c r="L976" s="900"/>
      <c r="M976" s="900"/>
      <c r="N976" s="900"/>
      <c r="O976" s="900"/>
      <c r="P976" s="900"/>
      <c r="Q976" s="900"/>
      <c r="R976" s="900"/>
      <c r="S976" s="900"/>
      <c r="T976" s="900"/>
      <c r="U976" s="900"/>
      <c r="V976" s="900"/>
      <c r="W976" s="900"/>
      <c r="X976" s="900"/>
      <c r="Y976" s="900"/>
      <c r="Z976" s="900"/>
      <c r="AA976" s="900"/>
      <c r="AB976" s="900"/>
    </row>
    <row r="977">
      <c r="A977" s="900"/>
      <c r="B977" s="900"/>
      <c r="C977" s="900"/>
      <c r="D977" s="900"/>
      <c r="E977" s="900"/>
      <c r="F977" s="900"/>
      <c r="G977" s="900"/>
      <c r="H977" s="900"/>
      <c r="I977" s="905"/>
      <c r="J977" s="905"/>
      <c r="K977" s="906"/>
      <c r="L977" s="900"/>
      <c r="M977" s="900"/>
      <c r="N977" s="900"/>
      <c r="O977" s="900"/>
      <c r="P977" s="900"/>
      <c r="Q977" s="900"/>
      <c r="R977" s="900"/>
      <c r="S977" s="900"/>
      <c r="T977" s="900"/>
      <c r="U977" s="900"/>
      <c r="V977" s="900"/>
      <c r="W977" s="900"/>
      <c r="X977" s="900"/>
      <c r="Y977" s="900"/>
      <c r="Z977" s="900"/>
      <c r="AA977" s="900"/>
      <c r="AB977" s="900"/>
    </row>
    <row r="978">
      <c r="A978" s="900"/>
      <c r="B978" s="900"/>
      <c r="C978" s="900"/>
      <c r="D978" s="900"/>
      <c r="E978" s="900"/>
      <c r="F978" s="900"/>
      <c r="G978" s="900"/>
      <c r="H978" s="900"/>
      <c r="I978" s="905"/>
      <c r="J978" s="905"/>
      <c r="K978" s="906"/>
      <c r="L978" s="900"/>
      <c r="M978" s="900"/>
      <c r="N978" s="900"/>
      <c r="O978" s="900"/>
      <c r="P978" s="900"/>
      <c r="Q978" s="900"/>
      <c r="R978" s="900"/>
      <c r="S978" s="900"/>
      <c r="T978" s="900"/>
      <c r="U978" s="900"/>
      <c r="V978" s="900"/>
      <c r="W978" s="900"/>
      <c r="X978" s="900"/>
      <c r="Y978" s="900"/>
      <c r="Z978" s="900"/>
      <c r="AA978" s="900"/>
      <c r="AB978" s="900"/>
    </row>
    <row r="979">
      <c r="A979" s="900"/>
      <c r="B979" s="900"/>
      <c r="C979" s="900"/>
      <c r="D979" s="900"/>
      <c r="E979" s="900"/>
      <c r="F979" s="900"/>
      <c r="G979" s="900"/>
      <c r="H979" s="900"/>
      <c r="I979" s="905"/>
      <c r="J979" s="905"/>
      <c r="K979" s="906"/>
      <c r="L979" s="900"/>
      <c r="M979" s="900"/>
      <c r="N979" s="900"/>
      <c r="O979" s="900"/>
      <c r="P979" s="900"/>
      <c r="Q979" s="900"/>
      <c r="R979" s="900"/>
      <c r="S979" s="900"/>
      <c r="T979" s="900"/>
      <c r="U979" s="900"/>
      <c r="V979" s="900"/>
      <c r="W979" s="900"/>
      <c r="X979" s="900"/>
      <c r="Y979" s="900"/>
      <c r="Z979" s="900"/>
      <c r="AA979" s="900"/>
      <c r="AB979" s="900"/>
    </row>
    <row r="980">
      <c r="A980" s="900"/>
      <c r="B980" s="900"/>
      <c r="C980" s="900"/>
      <c r="D980" s="900"/>
      <c r="E980" s="900"/>
      <c r="F980" s="900"/>
      <c r="G980" s="900"/>
      <c r="H980" s="900"/>
      <c r="I980" s="905"/>
      <c r="J980" s="905"/>
      <c r="K980" s="906"/>
      <c r="L980" s="900"/>
      <c r="M980" s="900"/>
      <c r="N980" s="900"/>
      <c r="O980" s="900"/>
      <c r="P980" s="900"/>
      <c r="Q980" s="900"/>
      <c r="R980" s="900"/>
      <c r="S980" s="900"/>
      <c r="T980" s="900"/>
      <c r="U980" s="900"/>
      <c r="V980" s="900"/>
      <c r="W980" s="900"/>
      <c r="X980" s="900"/>
      <c r="Y980" s="900"/>
      <c r="Z980" s="900"/>
      <c r="AA980" s="900"/>
      <c r="AB980" s="900"/>
    </row>
    <row r="981">
      <c r="A981" s="900"/>
      <c r="B981" s="900"/>
      <c r="C981" s="900"/>
      <c r="D981" s="900"/>
      <c r="E981" s="900"/>
      <c r="F981" s="900"/>
      <c r="G981" s="900"/>
      <c r="H981" s="900"/>
      <c r="I981" s="905"/>
      <c r="J981" s="905"/>
      <c r="K981" s="906"/>
      <c r="L981" s="900"/>
      <c r="M981" s="900"/>
      <c r="N981" s="900"/>
      <c r="O981" s="900"/>
      <c r="P981" s="900"/>
      <c r="Q981" s="900"/>
      <c r="R981" s="900"/>
      <c r="S981" s="900"/>
      <c r="T981" s="900"/>
      <c r="U981" s="900"/>
      <c r="V981" s="900"/>
      <c r="W981" s="900"/>
      <c r="X981" s="900"/>
      <c r="Y981" s="900"/>
      <c r="Z981" s="900"/>
      <c r="AA981" s="900"/>
      <c r="AB981" s="900"/>
    </row>
    <row r="982">
      <c r="A982" s="900"/>
      <c r="B982" s="900"/>
      <c r="C982" s="900"/>
      <c r="D982" s="900"/>
      <c r="E982" s="900"/>
      <c r="F982" s="900"/>
      <c r="G982" s="900"/>
      <c r="H982" s="900"/>
      <c r="I982" s="905"/>
      <c r="J982" s="905"/>
      <c r="K982" s="906"/>
      <c r="L982" s="900"/>
      <c r="M982" s="900"/>
      <c r="N982" s="900"/>
      <c r="O982" s="900"/>
      <c r="P982" s="900"/>
      <c r="Q982" s="900"/>
      <c r="R982" s="900"/>
      <c r="S982" s="900"/>
      <c r="T982" s="900"/>
      <c r="U982" s="900"/>
      <c r="V982" s="900"/>
      <c r="W982" s="900"/>
      <c r="X982" s="900"/>
      <c r="Y982" s="900"/>
      <c r="Z982" s="900"/>
      <c r="AA982" s="900"/>
      <c r="AB982" s="900"/>
    </row>
    <row r="983">
      <c r="A983" s="900"/>
      <c r="B983" s="900"/>
      <c r="C983" s="900"/>
      <c r="D983" s="900"/>
      <c r="E983" s="900"/>
      <c r="F983" s="900"/>
      <c r="G983" s="900"/>
      <c r="H983" s="900"/>
      <c r="I983" s="905"/>
      <c r="J983" s="905"/>
      <c r="K983" s="906"/>
      <c r="L983" s="900"/>
      <c r="M983" s="900"/>
      <c r="N983" s="900"/>
      <c r="O983" s="900"/>
      <c r="P983" s="900"/>
      <c r="Q983" s="900"/>
      <c r="R983" s="900"/>
      <c r="S983" s="900"/>
      <c r="T983" s="900"/>
      <c r="U983" s="900"/>
      <c r="V983" s="900"/>
      <c r="W983" s="900"/>
      <c r="X983" s="900"/>
      <c r="Y983" s="900"/>
      <c r="Z983" s="900"/>
      <c r="AA983" s="900"/>
      <c r="AB983" s="900"/>
    </row>
    <row r="984">
      <c r="A984" s="900"/>
      <c r="B984" s="900"/>
      <c r="C984" s="900"/>
      <c r="D984" s="900"/>
      <c r="E984" s="900"/>
      <c r="F984" s="900"/>
      <c r="G984" s="900"/>
      <c r="H984" s="900"/>
      <c r="I984" s="905"/>
      <c r="J984" s="905"/>
      <c r="K984" s="906"/>
      <c r="L984" s="900"/>
      <c r="M984" s="900"/>
      <c r="N984" s="900"/>
      <c r="O984" s="900"/>
      <c r="P984" s="900"/>
      <c r="Q984" s="900"/>
      <c r="R984" s="900"/>
      <c r="S984" s="900"/>
      <c r="T984" s="900"/>
      <c r="U984" s="900"/>
      <c r="V984" s="900"/>
      <c r="W984" s="900"/>
      <c r="X984" s="900"/>
      <c r="Y984" s="900"/>
      <c r="Z984" s="900"/>
      <c r="AA984" s="900"/>
      <c r="AB984" s="900"/>
    </row>
    <row r="985">
      <c r="A985" s="900"/>
      <c r="B985" s="900"/>
      <c r="C985" s="900"/>
      <c r="D985" s="900"/>
      <c r="E985" s="900"/>
      <c r="F985" s="900"/>
      <c r="G985" s="900"/>
      <c r="H985" s="900"/>
      <c r="I985" s="905"/>
      <c r="J985" s="905"/>
      <c r="K985" s="906"/>
      <c r="L985" s="900"/>
      <c r="M985" s="900"/>
      <c r="N985" s="900"/>
      <c r="O985" s="900"/>
      <c r="P985" s="900"/>
      <c r="Q985" s="900"/>
      <c r="R985" s="900"/>
      <c r="S985" s="900"/>
      <c r="T985" s="900"/>
      <c r="U985" s="900"/>
      <c r="V985" s="900"/>
      <c r="W985" s="900"/>
      <c r="X985" s="900"/>
      <c r="Y985" s="900"/>
      <c r="Z985" s="900"/>
      <c r="AA985" s="900"/>
      <c r="AB985" s="900"/>
    </row>
    <row r="986">
      <c r="A986" s="900"/>
      <c r="B986" s="900"/>
      <c r="C986" s="900"/>
      <c r="D986" s="900"/>
      <c r="E986" s="900"/>
      <c r="F986" s="900"/>
      <c r="G986" s="900"/>
      <c r="H986" s="900"/>
      <c r="I986" s="905"/>
      <c r="J986" s="905"/>
      <c r="K986" s="906"/>
      <c r="L986" s="900"/>
      <c r="M986" s="900"/>
      <c r="N986" s="900"/>
      <c r="O986" s="900"/>
      <c r="P986" s="900"/>
      <c r="Q986" s="900"/>
      <c r="R986" s="900"/>
      <c r="S986" s="900"/>
      <c r="T986" s="900"/>
      <c r="U986" s="900"/>
      <c r="V986" s="900"/>
      <c r="W986" s="900"/>
      <c r="X986" s="900"/>
      <c r="Y986" s="900"/>
      <c r="Z986" s="900"/>
      <c r="AA986" s="900"/>
      <c r="AB986" s="900"/>
    </row>
    <row r="987">
      <c r="A987" s="900"/>
      <c r="B987" s="900"/>
      <c r="C987" s="900"/>
      <c r="D987" s="900"/>
      <c r="E987" s="900"/>
      <c r="F987" s="900"/>
      <c r="G987" s="900"/>
      <c r="H987" s="900"/>
      <c r="I987" s="905"/>
      <c r="J987" s="905"/>
      <c r="K987" s="906"/>
      <c r="L987" s="900"/>
      <c r="M987" s="900"/>
      <c r="N987" s="900"/>
      <c r="O987" s="900"/>
      <c r="P987" s="900"/>
      <c r="Q987" s="900"/>
      <c r="R987" s="900"/>
      <c r="S987" s="900"/>
      <c r="T987" s="900"/>
      <c r="U987" s="900"/>
      <c r="V987" s="900"/>
      <c r="W987" s="900"/>
      <c r="X987" s="900"/>
      <c r="Y987" s="900"/>
      <c r="Z987" s="900"/>
      <c r="AA987" s="900"/>
      <c r="AB987" s="900"/>
    </row>
    <row r="988">
      <c r="A988" s="900"/>
      <c r="B988" s="900"/>
      <c r="C988" s="900"/>
      <c r="D988" s="900"/>
      <c r="E988" s="900"/>
      <c r="F988" s="900"/>
      <c r="G988" s="900"/>
      <c r="H988" s="900"/>
      <c r="I988" s="905"/>
      <c r="J988" s="905"/>
      <c r="K988" s="906"/>
      <c r="L988" s="900"/>
      <c r="M988" s="900"/>
      <c r="N988" s="900"/>
      <c r="O988" s="900"/>
      <c r="P988" s="900"/>
      <c r="Q988" s="900"/>
      <c r="R988" s="900"/>
      <c r="S988" s="900"/>
      <c r="T988" s="900"/>
      <c r="U988" s="900"/>
      <c r="V988" s="900"/>
      <c r="W988" s="900"/>
      <c r="X988" s="900"/>
      <c r="Y988" s="900"/>
      <c r="Z988" s="900"/>
      <c r="AA988" s="900"/>
      <c r="AB988" s="900"/>
    </row>
    <row r="989">
      <c r="A989" s="900"/>
      <c r="B989" s="900"/>
      <c r="C989" s="900"/>
      <c r="D989" s="900"/>
      <c r="E989" s="900"/>
      <c r="F989" s="900"/>
      <c r="G989" s="900"/>
      <c r="H989" s="900"/>
      <c r="I989" s="905"/>
      <c r="J989" s="905"/>
      <c r="K989" s="906"/>
      <c r="L989" s="900"/>
      <c r="M989" s="900"/>
      <c r="N989" s="900"/>
      <c r="O989" s="900"/>
      <c r="P989" s="900"/>
      <c r="Q989" s="900"/>
      <c r="R989" s="900"/>
      <c r="S989" s="900"/>
      <c r="T989" s="900"/>
      <c r="U989" s="900"/>
      <c r="V989" s="900"/>
      <c r="W989" s="900"/>
      <c r="X989" s="900"/>
      <c r="Y989" s="900"/>
      <c r="Z989" s="900"/>
      <c r="AA989" s="900"/>
      <c r="AB989" s="900"/>
    </row>
    <row r="990">
      <c r="A990" s="900"/>
      <c r="B990" s="900"/>
      <c r="C990" s="900"/>
      <c r="D990" s="900"/>
      <c r="E990" s="900"/>
      <c r="F990" s="900"/>
      <c r="G990" s="900"/>
      <c r="H990" s="900"/>
      <c r="I990" s="905"/>
      <c r="J990" s="905"/>
      <c r="K990" s="906"/>
      <c r="L990" s="900"/>
      <c r="M990" s="900"/>
      <c r="N990" s="900"/>
      <c r="O990" s="900"/>
      <c r="P990" s="900"/>
      <c r="Q990" s="900"/>
      <c r="R990" s="900"/>
      <c r="S990" s="900"/>
      <c r="T990" s="900"/>
      <c r="U990" s="900"/>
      <c r="V990" s="900"/>
      <c r="W990" s="900"/>
      <c r="X990" s="900"/>
      <c r="Y990" s="900"/>
      <c r="Z990" s="900"/>
      <c r="AA990" s="900"/>
      <c r="AB990" s="900"/>
    </row>
    <row r="991">
      <c r="A991" s="900"/>
      <c r="B991" s="900"/>
      <c r="C991" s="900"/>
      <c r="D991" s="900"/>
      <c r="E991" s="900"/>
      <c r="F991" s="900"/>
      <c r="G991" s="900"/>
      <c r="H991" s="900"/>
      <c r="I991" s="905"/>
      <c r="J991" s="905"/>
      <c r="K991" s="906"/>
      <c r="L991" s="900"/>
      <c r="M991" s="900"/>
      <c r="N991" s="900"/>
      <c r="O991" s="900"/>
      <c r="P991" s="900"/>
      <c r="Q991" s="900"/>
      <c r="R991" s="900"/>
      <c r="S991" s="900"/>
      <c r="T991" s="900"/>
      <c r="U991" s="900"/>
      <c r="V991" s="900"/>
      <c r="W991" s="900"/>
      <c r="X991" s="900"/>
      <c r="Y991" s="900"/>
      <c r="Z991" s="900"/>
      <c r="AA991" s="900"/>
      <c r="AB991" s="900"/>
    </row>
    <row r="992">
      <c r="A992" s="900"/>
      <c r="B992" s="900"/>
      <c r="C992" s="900"/>
      <c r="D992" s="900"/>
      <c r="E992" s="900"/>
      <c r="F992" s="900"/>
      <c r="G992" s="900"/>
      <c r="H992" s="900"/>
      <c r="I992" s="905"/>
      <c r="J992" s="905"/>
      <c r="K992" s="906"/>
      <c r="L992" s="900"/>
      <c r="M992" s="900"/>
      <c r="N992" s="900"/>
      <c r="O992" s="900"/>
      <c r="P992" s="900"/>
      <c r="Q992" s="900"/>
      <c r="R992" s="900"/>
      <c r="S992" s="900"/>
      <c r="T992" s="900"/>
      <c r="U992" s="900"/>
      <c r="V992" s="900"/>
      <c r="W992" s="900"/>
      <c r="X992" s="900"/>
      <c r="Y992" s="900"/>
      <c r="Z992" s="900"/>
      <c r="AA992" s="900"/>
      <c r="AB992" s="900"/>
    </row>
    <row r="993">
      <c r="A993" s="900"/>
      <c r="B993" s="900"/>
      <c r="C993" s="900"/>
      <c r="D993" s="900"/>
      <c r="E993" s="900"/>
      <c r="F993" s="900"/>
      <c r="G993" s="900"/>
      <c r="H993" s="900"/>
      <c r="I993" s="905"/>
      <c r="J993" s="905"/>
      <c r="K993" s="906"/>
      <c r="L993" s="900"/>
      <c r="M993" s="900"/>
      <c r="N993" s="900"/>
      <c r="O993" s="900"/>
      <c r="P993" s="900"/>
      <c r="Q993" s="900"/>
      <c r="R993" s="900"/>
      <c r="S993" s="900"/>
      <c r="T993" s="900"/>
      <c r="U993" s="900"/>
      <c r="V993" s="900"/>
      <c r="W993" s="900"/>
      <c r="X993" s="900"/>
      <c r="Y993" s="900"/>
      <c r="Z993" s="900"/>
      <c r="AA993" s="900"/>
      <c r="AB993" s="900"/>
    </row>
    <row r="994">
      <c r="A994" s="900"/>
      <c r="B994" s="900"/>
      <c r="C994" s="900"/>
      <c r="D994" s="900"/>
      <c r="E994" s="900"/>
      <c r="F994" s="900"/>
      <c r="G994" s="900"/>
      <c r="H994" s="900"/>
      <c r="I994" s="905"/>
      <c r="J994" s="905"/>
      <c r="K994" s="906"/>
      <c r="L994" s="900"/>
      <c r="M994" s="900"/>
      <c r="N994" s="900"/>
      <c r="O994" s="900"/>
      <c r="P994" s="900"/>
      <c r="Q994" s="900"/>
      <c r="R994" s="900"/>
      <c r="S994" s="900"/>
      <c r="T994" s="900"/>
      <c r="U994" s="900"/>
      <c r="V994" s="900"/>
      <c r="W994" s="900"/>
      <c r="X994" s="900"/>
      <c r="Y994" s="900"/>
      <c r="Z994" s="900"/>
      <c r="AA994" s="900"/>
      <c r="AB994" s="900"/>
    </row>
    <row r="995">
      <c r="A995" s="900"/>
      <c r="B995" s="900"/>
      <c r="C995" s="900"/>
      <c r="D995" s="900"/>
      <c r="E995" s="900"/>
      <c r="F995" s="900"/>
      <c r="G995" s="900"/>
      <c r="H995" s="900"/>
      <c r="I995" s="905"/>
      <c r="J995" s="905"/>
      <c r="K995" s="906"/>
      <c r="L995" s="900"/>
      <c r="M995" s="900"/>
      <c r="N995" s="900"/>
      <c r="O995" s="900"/>
      <c r="P995" s="900"/>
      <c r="Q995" s="900"/>
      <c r="R995" s="900"/>
      <c r="S995" s="900"/>
      <c r="T995" s="900"/>
      <c r="U995" s="900"/>
      <c r="V995" s="900"/>
      <c r="W995" s="900"/>
      <c r="X995" s="900"/>
      <c r="Y995" s="900"/>
      <c r="Z995" s="900"/>
      <c r="AA995" s="900"/>
      <c r="AB995" s="900"/>
    </row>
    <row r="996">
      <c r="A996" s="900"/>
      <c r="B996" s="900"/>
      <c r="C996" s="900"/>
      <c r="D996" s="900"/>
      <c r="E996" s="900"/>
      <c r="F996" s="900"/>
      <c r="G996" s="900"/>
      <c r="H996" s="900"/>
      <c r="I996" s="905"/>
      <c r="J996" s="905"/>
      <c r="K996" s="906"/>
      <c r="L996" s="900"/>
      <c r="M996" s="900"/>
      <c r="N996" s="900"/>
      <c r="O996" s="900"/>
      <c r="P996" s="900"/>
      <c r="Q996" s="900"/>
      <c r="R996" s="900"/>
      <c r="S996" s="900"/>
      <c r="T996" s="900"/>
      <c r="U996" s="900"/>
      <c r="V996" s="900"/>
      <c r="W996" s="900"/>
      <c r="X996" s="900"/>
      <c r="Y996" s="900"/>
      <c r="Z996" s="900"/>
      <c r="AA996" s="900"/>
      <c r="AB996" s="900"/>
    </row>
    <row r="997">
      <c r="A997" s="900"/>
      <c r="B997" s="900"/>
      <c r="C997" s="900"/>
      <c r="D997" s="900"/>
      <c r="E997" s="900"/>
      <c r="F997" s="900"/>
      <c r="G997" s="900"/>
      <c r="H997" s="900"/>
      <c r="I997" s="905"/>
      <c r="J997" s="905"/>
      <c r="K997" s="906"/>
      <c r="L997" s="900"/>
      <c r="M997" s="900"/>
      <c r="N997" s="900"/>
      <c r="O997" s="900"/>
      <c r="P997" s="900"/>
      <c r="Q997" s="900"/>
      <c r="R997" s="900"/>
      <c r="S997" s="900"/>
      <c r="T997" s="900"/>
      <c r="U997" s="900"/>
      <c r="V997" s="900"/>
      <c r="W997" s="900"/>
      <c r="X997" s="900"/>
      <c r="Y997" s="900"/>
      <c r="Z997" s="900"/>
      <c r="AA997" s="900"/>
      <c r="AB997" s="900"/>
    </row>
    <row r="998">
      <c r="A998" s="900"/>
      <c r="B998" s="900"/>
      <c r="C998" s="900"/>
      <c r="D998" s="900"/>
      <c r="E998" s="900"/>
      <c r="F998" s="900"/>
      <c r="G998" s="900"/>
      <c r="H998" s="900"/>
      <c r="I998" s="905"/>
      <c r="J998" s="905"/>
      <c r="K998" s="906"/>
      <c r="L998" s="900"/>
      <c r="M998" s="900"/>
      <c r="N998" s="900"/>
      <c r="O998" s="900"/>
      <c r="P998" s="900"/>
      <c r="Q998" s="900"/>
      <c r="R998" s="900"/>
      <c r="S998" s="900"/>
      <c r="T998" s="900"/>
      <c r="U998" s="900"/>
      <c r="V998" s="900"/>
      <c r="W998" s="900"/>
      <c r="X998" s="900"/>
      <c r="Y998" s="900"/>
      <c r="Z998" s="900"/>
      <c r="AA998" s="900"/>
      <c r="AB998" s="900"/>
    </row>
    <row r="999">
      <c r="A999" s="900"/>
      <c r="B999" s="900"/>
      <c r="C999" s="900"/>
      <c r="D999" s="900"/>
      <c r="E999" s="900"/>
      <c r="F999" s="900"/>
      <c r="G999" s="900"/>
      <c r="H999" s="900"/>
      <c r="I999" s="905"/>
      <c r="J999" s="905"/>
      <c r="K999" s="906"/>
      <c r="L999" s="900"/>
      <c r="M999" s="900"/>
      <c r="N999" s="900"/>
      <c r="O999" s="900"/>
      <c r="P999" s="900"/>
      <c r="Q999" s="900"/>
      <c r="R999" s="900"/>
      <c r="S999" s="900"/>
      <c r="T999" s="900"/>
      <c r="U999" s="900"/>
      <c r="V999" s="900"/>
      <c r="W999" s="900"/>
      <c r="X999" s="900"/>
      <c r="Y999" s="900"/>
      <c r="Z999" s="900"/>
      <c r="AA999" s="900"/>
      <c r="AB999" s="900"/>
    </row>
    <row r="1000">
      <c r="A1000" s="900"/>
      <c r="B1000" s="900"/>
      <c r="C1000" s="900"/>
      <c r="D1000" s="900"/>
      <c r="E1000" s="900"/>
      <c r="F1000" s="900"/>
      <c r="G1000" s="900"/>
      <c r="H1000" s="900"/>
      <c r="I1000" s="905"/>
      <c r="J1000" s="905"/>
      <c r="K1000" s="906"/>
      <c r="L1000" s="900"/>
      <c r="M1000" s="900"/>
      <c r="N1000" s="900"/>
      <c r="O1000" s="900"/>
      <c r="P1000" s="900"/>
      <c r="Q1000" s="900"/>
      <c r="R1000" s="900"/>
      <c r="S1000" s="900"/>
      <c r="T1000" s="900"/>
      <c r="U1000" s="900"/>
      <c r="V1000" s="900"/>
      <c r="W1000" s="900"/>
      <c r="X1000" s="900"/>
      <c r="Y1000" s="900"/>
      <c r="Z1000" s="900"/>
      <c r="AA1000" s="900"/>
      <c r="AB1000" s="900"/>
    </row>
    <row r="1001">
      <c r="A1001" s="900"/>
      <c r="B1001" s="900"/>
      <c r="C1001" s="900"/>
      <c r="D1001" s="900"/>
      <c r="E1001" s="900"/>
      <c r="F1001" s="900"/>
      <c r="G1001" s="900"/>
      <c r="H1001" s="900"/>
      <c r="I1001" s="905"/>
      <c r="J1001" s="905"/>
      <c r="K1001" s="906"/>
      <c r="L1001" s="900"/>
      <c r="M1001" s="900"/>
      <c r="N1001" s="900"/>
      <c r="O1001" s="900"/>
      <c r="P1001" s="900"/>
      <c r="Q1001" s="900"/>
      <c r="R1001" s="900"/>
      <c r="S1001" s="900"/>
      <c r="T1001" s="900"/>
      <c r="U1001" s="900"/>
      <c r="V1001" s="900"/>
      <c r="W1001" s="900"/>
      <c r="X1001" s="900"/>
      <c r="Y1001" s="900"/>
      <c r="Z1001" s="900"/>
      <c r="AA1001" s="900"/>
      <c r="AB1001" s="900"/>
    </row>
    <row r="1002">
      <c r="A1002" s="900"/>
      <c r="B1002" s="900"/>
      <c r="C1002" s="900"/>
      <c r="D1002" s="900"/>
      <c r="E1002" s="900"/>
      <c r="F1002" s="900"/>
      <c r="G1002" s="900"/>
      <c r="H1002" s="900"/>
      <c r="I1002" s="905"/>
      <c r="J1002" s="905"/>
      <c r="K1002" s="906"/>
      <c r="L1002" s="900"/>
      <c r="M1002" s="900"/>
      <c r="N1002" s="900"/>
      <c r="O1002" s="900"/>
      <c r="P1002" s="900"/>
      <c r="Q1002" s="900"/>
      <c r="R1002" s="900"/>
      <c r="S1002" s="900"/>
      <c r="T1002" s="900"/>
      <c r="U1002" s="900"/>
      <c r="V1002" s="900"/>
      <c r="W1002" s="900"/>
      <c r="X1002" s="900"/>
      <c r="Y1002" s="900"/>
      <c r="Z1002" s="900"/>
      <c r="AA1002" s="900"/>
      <c r="AB1002" s="900"/>
    </row>
    <row r="1003">
      <c r="A1003" s="900"/>
      <c r="B1003" s="900"/>
      <c r="C1003" s="900"/>
      <c r="D1003" s="900"/>
      <c r="E1003" s="900"/>
      <c r="F1003" s="900"/>
      <c r="G1003" s="900"/>
      <c r="H1003" s="900"/>
      <c r="I1003" s="905"/>
      <c r="J1003" s="905"/>
      <c r="K1003" s="906"/>
      <c r="L1003" s="900"/>
      <c r="M1003" s="900"/>
      <c r="N1003" s="900"/>
      <c r="O1003" s="900"/>
      <c r="P1003" s="900"/>
      <c r="Q1003" s="900"/>
      <c r="R1003" s="900"/>
      <c r="S1003" s="900"/>
      <c r="T1003" s="900"/>
      <c r="U1003" s="900"/>
      <c r="V1003" s="900"/>
      <c r="W1003" s="900"/>
      <c r="X1003" s="900"/>
      <c r="Y1003" s="900"/>
      <c r="Z1003" s="900"/>
      <c r="AA1003" s="900"/>
      <c r="AB1003" s="900"/>
    </row>
    <row r="1004">
      <c r="A1004" s="900"/>
      <c r="B1004" s="900"/>
      <c r="C1004" s="900"/>
      <c r="D1004" s="900"/>
      <c r="E1004" s="900"/>
      <c r="F1004" s="900"/>
      <c r="G1004" s="900"/>
      <c r="H1004" s="900"/>
      <c r="I1004" s="905"/>
      <c r="J1004" s="905"/>
      <c r="K1004" s="906"/>
      <c r="L1004" s="900"/>
      <c r="M1004" s="900"/>
      <c r="N1004" s="900"/>
      <c r="O1004" s="900"/>
      <c r="P1004" s="900"/>
      <c r="Q1004" s="900"/>
      <c r="R1004" s="900"/>
      <c r="S1004" s="900"/>
      <c r="T1004" s="900"/>
      <c r="U1004" s="900"/>
      <c r="V1004" s="900"/>
      <c r="W1004" s="900"/>
      <c r="X1004" s="900"/>
      <c r="Y1004" s="900"/>
      <c r="Z1004" s="900"/>
      <c r="AA1004" s="900"/>
      <c r="AB1004" s="900"/>
    </row>
    <row r="1005">
      <c r="A1005" s="900"/>
      <c r="B1005" s="900"/>
      <c r="C1005" s="900"/>
      <c r="D1005" s="900"/>
      <c r="E1005" s="900"/>
      <c r="F1005" s="900"/>
      <c r="G1005" s="900"/>
      <c r="H1005" s="900"/>
      <c r="I1005" s="905"/>
      <c r="J1005" s="905"/>
      <c r="K1005" s="906"/>
      <c r="L1005" s="900"/>
      <c r="M1005" s="900"/>
      <c r="N1005" s="900"/>
      <c r="O1005" s="900"/>
      <c r="P1005" s="900"/>
      <c r="Q1005" s="900"/>
      <c r="R1005" s="900"/>
      <c r="S1005" s="900"/>
      <c r="T1005" s="900"/>
      <c r="U1005" s="900"/>
      <c r="V1005" s="900"/>
      <c r="W1005" s="900"/>
      <c r="X1005" s="900"/>
      <c r="Y1005" s="900"/>
      <c r="Z1005" s="900"/>
      <c r="AA1005" s="900"/>
      <c r="AB1005" s="900"/>
    </row>
    <row r="1006">
      <c r="A1006" s="900"/>
      <c r="B1006" s="900"/>
      <c r="C1006" s="900"/>
      <c r="D1006" s="900"/>
      <c r="E1006" s="900"/>
      <c r="F1006" s="900"/>
      <c r="G1006" s="900"/>
      <c r="H1006" s="900"/>
      <c r="I1006" s="905"/>
      <c r="J1006" s="905"/>
      <c r="K1006" s="906"/>
      <c r="L1006" s="900"/>
      <c r="M1006" s="900"/>
      <c r="N1006" s="900"/>
      <c r="O1006" s="900"/>
      <c r="P1006" s="900"/>
      <c r="Q1006" s="900"/>
      <c r="R1006" s="900"/>
      <c r="S1006" s="900"/>
      <c r="T1006" s="900"/>
      <c r="U1006" s="900"/>
      <c r="V1006" s="900"/>
      <c r="W1006" s="900"/>
      <c r="X1006" s="900"/>
      <c r="Y1006" s="900"/>
      <c r="Z1006" s="900"/>
      <c r="AA1006" s="900"/>
      <c r="AB1006" s="900"/>
    </row>
    <row r="1007">
      <c r="A1007" s="900"/>
      <c r="B1007" s="900"/>
      <c r="C1007" s="900"/>
      <c r="D1007" s="900"/>
      <c r="E1007" s="900"/>
      <c r="F1007" s="900"/>
      <c r="G1007" s="900"/>
      <c r="H1007" s="900"/>
      <c r="I1007" s="905"/>
      <c r="J1007" s="905"/>
      <c r="K1007" s="906"/>
      <c r="L1007" s="900"/>
      <c r="M1007" s="900"/>
      <c r="N1007" s="900"/>
      <c r="O1007" s="900"/>
      <c r="P1007" s="900"/>
      <c r="Q1007" s="900"/>
      <c r="R1007" s="900"/>
      <c r="S1007" s="900"/>
      <c r="T1007" s="900"/>
      <c r="U1007" s="900"/>
      <c r="V1007" s="900"/>
      <c r="W1007" s="900"/>
      <c r="X1007" s="900"/>
      <c r="Y1007" s="900"/>
      <c r="Z1007" s="900"/>
      <c r="AA1007" s="900"/>
      <c r="AB1007" s="900"/>
    </row>
    <row r="1008">
      <c r="A1008" s="900"/>
      <c r="B1008" s="900"/>
      <c r="C1008" s="900"/>
      <c r="D1008" s="900"/>
      <c r="E1008" s="900"/>
      <c r="F1008" s="900"/>
      <c r="G1008" s="900"/>
      <c r="H1008" s="900"/>
      <c r="I1008" s="905"/>
      <c r="J1008" s="905"/>
      <c r="K1008" s="906"/>
      <c r="L1008" s="900"/>
      <c r="M1008" s="900"/>
      <c r="N1008" s="900"/>
      <c r="O1008" s="900"/>
      <c r="P1008" s="900"/>
      <c r="Q1008" s="900"/>
      <c r="R1008" s="900"/>
      <c r="S1008" s="900"/>
      <c r="T1008" s="900"/>
      <c r="U1008" s="900"/>
      <c r="V1008" s="900"/>
      <c r="W1008" s="900"/>
      <c r="X1008" s="900"/>
      <c r="Y1008" s="900"/>
      <c r="Z1008" s="900"/>
      <c r="AA1008" s="900"/>
      <c r="AB1008" s="900"/>
    </row>
    <row r="1009">
      <c r="A1009" s="900"/>
      <c r="B1009" s="900"/>
      <c r="C1009" s="900"/>
      <c r="D1009" s="900"/>
      <c r="E1009" s="900"/>
      <c r="F1009" s="900"/>
      <c r="G1009" s="900"/>
      <c r="H1009" s="900"/>
      <c r="I1009" s="905"/>
      <c r="J1009" s="905"/>
      <c r="K1009" s="906"/>
      <c r="L1009" s="900"/>
      <c r="M1009" s="900"/>
      <c r="N1009" s="900"/>
      <c r="O1009" s="900"/>
      <c r="P1009" s="900"/>
      <c r="Q1009" s="900"/>
      <c r="R1009" s="900"/>
      <c r="S1009" s="900"/>
      <c r="T1009" s="900"/>
      <c r="U1009" s="900"/>
      <c r="V1009" s="900"/>
      <c r="W1009" s="900"/>
      <c r="X1009" s="900"/>
      <c r="Y1009" s="900"/>
      <c r="Z1009" s="900"/>
      <c r="AA1009" s="900"/>
      <c r="AB1009" s="900"/>
    </row>
    <row r="1010">
      <c r="A1010" s="900"/>
      <c r="B1010" s="900"/>
      <c r="C1010" s="900"/>
      <c r="D1010" s="900"/>
      <c r="E1010" s="900"/>
      <c r="F1010" s="900"/>
      <c r="G1010" s="900"/>
      <c r="H1010" s="900"/>
      <c r="I1010" s="905"/>
      <c r="J1010" s="905"/>
      <c r="K1010" s="906"/>
      <c r="L1010" s="900"/>
      <c r="M1010" s="900"/>
      <c r="N1010" s="900"/>
      <c r="O1010" s="900"/>
      <c r="P1010" s="900"/>
      <c r="Q1010" s="900"/>
      <c r="R1010" s="900"/>
      <c r="S1010" s="900"/>
      <c r="T1010" s="900"/>
      <c r="U1010" s="900"/>
      <c r="V1010" s="900"/>
      <c r="W1010" s="900"/>
      <c r="X1010" s="900"/>
      <c r="Y1010" s="900"/>
      <c r="Z1010" s="900"/>
      <c r="AA1010" s="900"/>
      <c r="AB1010" s="900"/>
    </row>
    <row r="1011">
      <c r="A1011" s="900"/>
      <c r="B1011" s="900"/>
      <c r="C1011" s="900"/>
      <c r="D1011" s="900"/>
      <c r="E1011" s="900"/>
      <c r="F1011" s="900"/>
      <c r="G1011" s="900"/>
      <c r="H1011" s="900"/>
      <c r="I1011" s="905"/>
      <c r="J1011" s="905"/>
      <c r="K1011" s="906"/>
      <c r="L1011" s="900"/>
      <c r="M1011" s="900"/>
      <c r="N1011" s="900"/>
      <c r="O1011" s="900"/>
      <c r="P1011" s="900"/>
      <c r="Q1011" s="900"/>
      <c r="R1011" s="900"/>
      <c r="S1011" s="900"/>
      <c r="T1011" s="900"/>
      <c r="U1011" s="900"/>
      <c r="V1011" s="900"/>
      <c r="W1011" s="900"/>
      <c r="X1011" s="900"/>
      <c r="Y1011" s="900"/>
      <c r="Z1011" s="900"/>
      <c r="AA1011" s="900"/>
      <c r="AB1011" s="900"/>
    </row>
    <row r="1012">
      <c r="A1012" s="900"/>
      <c r="B1012" s="900"/>
      <c r="C1012" s="900"/>
      <c r="D1012" s="900"/>
      <c r="E1012" s="900"/>
      <c r="F1012" s="900"/>
      <c r="G1012" s="900"/>
      <c r="H1012" s="900"/>
      <c r="I1012" s="905"/>
      <c r="J1012" s="905"/>
      <c r="K1012" s="906"/>
      <c r="L1012" s="900"/>
      <c r="M1012" s="900"/>
      <c r="N1012" s="900"/>
      <c r="O1012" s="900"/>
      <c r="P1012" s="900"/>
      <c r="Q1012" s="900"/>
      <c r="R1012" s="900"/>
      <c r="S1012" s="900"/>
      <c r="T1012" s="900"/>
      <c r="U1012" s="900"/>
      <c r="V1012" s="900"/>
      <c r="W1012" s="900"/>
      <c r="X1012" s="900"/>
      <c r="Y1012" s="900"/>
      <c r="Z1012" s="900"/>
      <c r="AA1012" s="900"/>
      <c r="AB1012" s="900"/>
    </row>
    <row r="1013">
      <c r="A1013" s="900"/>
      <c r="B1013" s="900"/>
      <c r="C1013" s="900"/>
      <c r="D1013" s="900"/>
      <c r="E1013" s="900"/>
      <c r="F1013" s="900"/>
      <c r="G1013" s="900"/>
      <c r="H1013" s="900"/>
      <c r="I1013" s="905"/>
      <c r="J1013" s="905"/>
      <c r="K1013" s="906"/>
      <c r="L1013" s="900"/>
      <c r="M1013" s="900"/>
      <c r="N1013" s="900"/>
      <c r="O1013" s="900"/>
      <c r="P1013" s="900"/>
      <c r="Q1013" s="900"/>
      <c r="R1013" s="900"/>
      <c r="S1013" s="900"/>
      <c r="T1013" s="900"/>
      <c r="U1013" s="900"/>
      <c r="V1013" s="900"/>
      <c r="W1013" s="900"/>
      <c r="X1013" s="900"/>
      <c r="Y1013" s="900"/>
      <c r="Z1013" s="900"/>
      <c r="AA1013" s="900"/>
      <c r="AB1013" s="900"/>
    </row>
    <row r="1014">
      <c r="A1014" s="900"/>
      <c r="B1014" s="900"/>
      <c r="C1014" s="900"/>
      <c r="D1014" s="900"/>
      <c r="E1014" s="900"/>
      <c r="F1014" s="900"/>
      <c r="G1014" s="900"/>
      <c r="H1014" s="900"/>
      <c r="I1014" s="905"/>
      <c r="J1014" s="905"/>
      <c r="K1014" s="906"/>
      <c r="L1014" s="900"/>
      <c r="M1014" s="900"/>
      <c r="N1014" s="900"/>
      <c r="O1014" s="900"/>
      <c r="P1014" s="900"/>
      <c r="Q1014" s="900"/>
      <c r="R1014" s="900"/>
      <c r="S1014" s="900"/>
      <c r="T1014" s="900"/>
      <c r="U1014" s="900"/>
      <c r="V1014" s="900"/>
      <c r="W1014" s="900"/>
      <c r="X1014" s="900"/>
      <c r="Y1014" s="900"/>
      <c r="Z1014" s="900"/>
      <c r="AA1014" s="900"/>
      <c r="AB1014" s="900"/>
    </row>
    <row r="1015">
      <c r="A1015" s="900"/>
      <c r="B1015" s="900"/>
      <c r="C1015" s="900"/>
      <c r="D1015" s="900"/>
      <c r="E1015" s="900"/>
      <c r="F1015" s="900"/>
      <c r="G1015" s="900"/>
      <c r="H1015" s="900"/>
      <c r="I1015" s="905"/>
      <c r="J1015" s="905"/>
      <c r="K1015" s="906"/>
      <c r="L1015" s="900"/>
      <c r="M1015" s="900"/>
      <c r="N1015" s="900"/>
      <c r="O1015" s="900"/>
      <c r="P1015" s="900"/>
      <c r="Q1015" s="900"/>
      <c r="R1015" s="900"/>
      <c r="S1015" s="900"/>
      <c r="T1015" s="900"/>
      <c r="U1015" s="900"/>
      <c r="V1015" s="900"/>
      <c r="W1015" s="900"/>
      <c r="X1015" s="900"/>
      <c r="Y1015" s="900"/>
      <c r="Z1015" s="900"/>
      <c r="AA1015" s="900"/>
      <c r="AB1015" s="900"/>
    </row>
    <row r="1016">
      <c r="A1016" s="900"/>
      <c r="B1016" s="900"/>
      <c r="C1016" s="900"/>
      <c r="D1016" s="900"/>
      <c r="E1016" s="900"/>
      <c r="F1016" s="900"/>
      <c r="G1016" s="900"/>
      <c r="H1016" s="900"/>
      <c r="I1016" s="905"/>
      <c r="J1016" s="905"/>
      <c r="K1016" s="906"/>
      <c r="L1016" s="900"/>
      <c r="M1016" s="900"/>
      <c r="N1016" s="900"/>
      <c r="O1016" s="900"/>
      <c r="P1016" s="900"/>
      <c r="Q1016" s="900"/>
      <c r="R1016" s="900"/>
      <c r="S1016" s="900"/>
      <c r="T1016" s="900"/>
      <c r="U1016" s="900"/>
      <c r="V1016" s="900"/>
      <c r="W1016" s="900"/>
      <c r="X1016" s="900"/>
      <c r="Y1016" s="900"/>
      <c r="Z1016" s="900"/>
      <c r="AA1016" s="900"/>
      <c r="AB1016" s="900"/>
    </row>
    <row r="1017">
      <c r="A1017" s="900"/>
      <c r="B1017" s="900"/>
      <c r="C1017" s="900"/>
      <c r="D1017" s="900"/>
      <c r="E1017" s="900"/>
      <c r="F1017" s="900"/>
      <c r="G1017" s="900"/>
      <c r="H1017" s="900"/>
      <c r="I1017" s="905"/>
      <c r="J1017" s="905"/>
      <c r="K1017" s="906"/>
      <c r="L1017" s="900"/>
      <c r="M1017" s="900"/>
      <c r="N1017" s="900"/>
      <c r="O1017" s="900"/>
      <c r="P1017" s="900"/>
      <c r="Q1017" s="900"/>
      <c r="R1017" s="900"/>
      <c r="S1017" s="900"/>
      <c r="T1017" s="900"/>
      <c r="U1017" s="900"/>
      <c r="V1017" s="900"/>
      <c r="W1017" s="900"/>
      <c r="X1017" s="900"/>
      <c r="Y1017" s="900"/>
      <c r="Z1017" s="900"/>
      <c r="AA1017" s="900"/>
      <c r="AB1017" s="900"/>
    </row>
    <row r="1018">
      <c r="A1018" s="900"/>
      <c r="B1018" s="900"/>
      <c r="C1018" s="900"/>
      <c r="D1018" s="900"/>
      <c r="E1018" s="900"/>
      <c r="F1018" s="900"/>
      <c r="G1018" s="900"/>
      <c r="H1018" s="900"/>
      <c r="I1018" s="905"/>
      <c r="J1018" s="905"/>
      <c r="K1018" s="906"/>
      <c r="L1018" s="900"/>
      <c r="M1018" s="900"/>
      <c r="N1018" s="900"/>
      <c r="O1018" s="900"/>
      <c r="P1018" s="900"/>
      <c r="Q1018" s="900"/>
      <c r="R1018" s="900"/>
      <c r="S1018" s="900"/>
      <c r="T1018" s="900"/>
      <c r="U1018" s="900"/>
      <c r="V1018" s="900"/>
      <c r="W1018" s="900"/>
      <c r="X1018" s="900"/>
      <c r="Y1018" s="900"/>
      <c r="Z1018" s="900"/>
      <c r="AA1018" s="900"/>
      <c r="AB1018" s="900"/>
    </row>
  </sheetData>
  <hyperlinks>
    <hyperlink r:id="rId1" ref="D7"/>
    <hyperlink r:id="rId2" ref="C9"/>
    <hyperlink r:id="rId3" ref="C10"/>
    <hyperlink r:id="rId4" ref="C14"/>
    <hyperlink r:id="rId5" ref="C16"/>
    <hyperlink r:id="rId6" ref="C21"/>
    <hyperlink r:id="rId7" ref="D23"/>
    <hyperlink r:id="rId8" ref="D24"/>
    <hyperlink r:id="rId9" ref="C25"/>
    <hyperlink r:id="rId10" ref="C26"/>
    <hyperlink r:id="rId11" ref="D30"/>
    <hyperlink r:id="rId12" ref="C31"/>
  </hyperlinks>
  <drawing r:id="rId13"/>
  <tableParts count="1">
    <tablePart r:id="rId1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2" width="22.78"/>
    <col customWidth="1" min="4" max="4" width="14.33"/>
    <col customWidth="1" min="5" max="5" width="21.33"/>
    <col customWidth="1" min="6" max="6" width="17.67"/>
  </cols>
  <sheetData>
    <row r="2">
      <c r="A2" s="913" t="s">
        <v>757</v>
      </c>
      <c r="B2" s="914"/>
      <c r="C2" s="914"/>
      <c r="D2" s="914"/>
      <c r="E2" s="913" t="s">
        <v>590</v>
      </c>
      <c r="F2" s="913" t="s">
        <v>28</v>
      </c>
      <c r="G2" s="915"/>
      <c r="H2" s="914"/>
      <c r="I2" s="914"/>
      <c r="J2" s="914"/>
      <c r="K2" s="914"/>
      <c r="L2" s="914"/>
      <c r="M2" s="914"/>
      <c r="N2" s="913" t="s">
        <v>758</v>
      </c>
      <c r="O2" s="914"/>
      <c r="P2" s="916"/>
      <c r="Q2" s="916"/>
      <c r="R2" s="916"/>
      <c r="S2" s="916"/>
      <c r="T2" s="916"/>
      <c r="U2" s="916"/>
      <c r="V2" s="916"/>
      <c r="W2" s="916"/>
      <c r="X2" s="916"/>
      <c r="Y2" s="916"/>
      <c r="Z2" s="916"/>
      <c r="AA2" s="916"/>
      <c r="AB2" s="916"/>
      <c r="AC2" s="916"/>
      <c r="AD2" s="916"/>
      <c r="AE2" s="916"/>
      <c r="AF2" s="916"/>
      <c r="AG2" s="916"/>
      <c r="AH2" s="916"/>
      <c r="AI2" s="916"/>
      <c r="AJ2" s="916"/>
    </row>
    <row r="3" ht="34.5" customHeight="1">
      <c r="A3" s="917" t="s">
        <v>759</v>
      </c>
      <c r="B3" s="918" t="s">
        <v>760</v>
      </c>
      <c r="C3" s="917">
        <v>1000.0</v>
      </c>
      <c r="D3" s="919" t="s">
        <v>761</v>
      </c>
      <c r="E3" s="920" t="s">
        <v>762</v>
      </c>
      <c r="F3" s="921">
        <v>44579.0</v>
      </c>
      <c r="G3" s="920" t="s">
        <v>763</v>
      </c>
      <c r="H3" s="919" t="s">
        <v>764</v>
      </c>
      <c r="I3" s="922" t="s">
        <v>765</v>
      </c>
      <c r="J3" s="923"/>
      <c r="K3" s="923"/>
      <c r="L3" s="924"/>
      <c r="M3" s="919" t="s">
        <v>766</v>
      </c>
      <c r="N3" s="919" t="s">
        <v>767</v>
      </c>
      <c r="O3" s="919" t="s">
        <v>768</v>
      </c>
      <c r="P3" s="924"/>
      <c r="Q3" s="924"/>
      <c r="R3" s="924"/>
      <c r="S3" s="924"/>
      <c r="T3" s="924"/>
      <c r="U3" s="924"/>
      <c r="V3" s="924"/>
      <c r="W3" s="924"/>
      <c r="X3" s="924"/>
      <c r="Y3" s="924"/>
      <c r="Z3" s="924"/>
      <c r="AA3" s="924"/>
      <c r="AB3" s="924"/>
      <c r="AC3" s="924"/>
      <c r="AD3" s="924"/>
      <c r="AE3" s="924"/>
      <c r="AF3" s="924"/>
      <c r="AG3" s="924"/>
      <c r="AH3" s="924"/>
      <c r="AI3" s="924"/>
      <c r="AJ3" s="924"/>
    </row>
    <row r="4" ht="34.5" customHeight="1">
      <c r="A4" s="917" t="s">
        <v>769</v>
      </c>
      <c r="B4" s="918" t="s">
        <v>770</v>
      </c>
      <c r="C4" s="917">
        <v>1000.0</v>
      </c>
      <c r="D4" s="919" t="s">
        <v>771</v>
      </c>
      <c r="E4" s="920" t="s">
        <v>772</v>
      </c>
      <c r="F4" s="924"/>
      <c r="G4" s="920" t="s">
        <v>773</v>
      </c>
      <c r="H4" s="922" t="s">
        <v>774</v>
      </c>
      <c r="I4" s="923"/>
      <c r="J4" s="923"/>
      <c r="K4" s="923"/>
      <c r="L4" s="924"/>
      <c r="M4" s="924"/>
      <c r="N4" s="919" t="s">
        <v>775</v>
      </c>
      <c r="O4" s="924"/>
      <c r="P4" s="924"/>
      <c r="Q4" s="924"/>
      <c r="R4" s="924"/>
      <c r="S4" s="924"/>
      <c r="T4" s="924"/>
      <c r="U4" s="924"/>
      <c r="V4" s="924"/>
      <c r="W4" s="924"/>
      <c r="X4" s="924"/>
      <c r="Y4" s="924"/>
      <c r="Z4" s="924"/>
      <c r="AA4" s="924"/>
      <c r="AB4" s="924"/>
      <c r="AC4" s="924"/>
      <c r="AD4" s="924"/>
      <c r="AE4" s="924"/>
      <c r="AF4" s="924"/>
      <c r="AG4" s="924"/>
      <c r="AH4" s="924"/>
      <c r="AI4" s="924"/>
      <c r="AJ4" s="924"/>
    </row>
    <row r="5" ht="34.5" customHeight="1">
      <c r="A5" s="917" t="s">
        <v>776</v>
      </c>
      <c r="B5" s="918" t="s">
        <v>777</v>
      </c>
      <c r="C5" s="917">
        <v>400.0</v>
      </c>
      <c r="D5" s="919" t="s">
        <v>778</v>
      </c>
      <c r="E5" s="920" t="s">
        <v>779</v>
      </c>
      <c r="F5" s="924"/>
      <c r="G5" s="924"/>
      <c r="H5" s="922" t="s">
        <v>780</v>
      </c>
      <c r="I5" s="923"/>
      <c r="J5" s="924"/>
      <c r="K5" s="924"/>
      <c r="L5" s="919" t="s">
        <v>781</v>
      </c>
      <c r="M5" s="924"/>
      <c r="N5" s="924"/>
      <c r="O5" s="919" t="s">
        <v>782</v>
      </c>
      <c r="P5" s="919" t="s">
        <v>783</v>
      </c>
      <c r="Q5" s="919" t="s">
        <v>784</v>
      </c>
      <c r="R5" s="919" t="s">
        <v>785</v>
      </c>
      <c r="S5" s="919" t="s">
        <v>786</v>
      </c>
      <c r="T5" s="924"/>
      <c r="U5" s="924"/>
      <c r="V5" s="924"/>
      <c r="W5" s="924"/>
      <c r="X5" s="924"/>
      <c r="Y5" s="924"/>
      <c r="Z5" s="924"/>
      <c r="AA5" s="924"/>
      <c r="AB5" s="924"/>
      <c r="AC5" s="924"/>
      <c r="AD5" s="924"/>
      <c r="AE5" s="924"/>
      <c r="AF5" s="924"/>
      <c r="AG5" s="924"/>
      <c r="AH5" s="924"/>
      <c r="AI5" s="924"/>
      <c r="AJ5" s="924"/>
    </row>
    <row r="6" ht="34.5" customHeight="1">
      <c r="A6" s="925">
        <v>44326.0</v>
      </c>
      <c r="B6" s="926" t="s">
        <v>787</v>
      </c>
      <c r="C6" s="927">
        <v>1000.0</v>
      </c>
      <c r="D6" s="928" t="s">
        <v>788</v>
      </c>
      <c r="E6" s="929" t="s">
        <v>789</v>
      </c>
      <c r="F6" s="930"/>
      <c r="G6" s="931"/>
      <c r="H6" s="932" t="s">
        <v>790</v>
      </c>
      <c r="I6" s="933"/>
      <c r="J6" s="934"/>
      <c r="K6" s="934"/>
      <c r="L6" s="935"/>
      <c r="M6" s="935"/>
      <c r="N6" s="928" t="s">
        <v>791</v>
      </c>
      <c r="O6" s="928">
        <v>1000.0</v>
      </c>
      <c r="P6" s="935">
        <f>O6/0.07</f>
        <v>14285.71429</v>
      </c>
      <c r="Q6" s="936">
        <f>0.005*14*P6</f>
        <v>1000</v>
      </c>
      <c r="R6" s="932">
        <v>0.39</v>
      </c>
      <c r="S6" s="935">
        <f>R6*P6</f>
        <v>5571.428571</v>
      </c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</row>
    <row r="7" ht="34.5" customHeight="1">
      <c r="A7" s="917" t="s">
        <v>792</v>
      </c>
      <c r="B7" s="918" t="s">
        <v>770</v>
      </c>
      <c r="C7" s="917">
        <v>1000.0</v>
      </c>
      <c r="D7" s="922" t="s">
        <v>793</v>
      </c>
      <c r="E7" s="924"/>
      <c r="F7" s="937"/>
      <c r="G7" s="924"/>
      <c r="H7" s="922" t="s">
        <v>794</v>
      </c>
      <c r="I7" s="923"/>
      <c r="J7" s="924"/>
      <c r="K7" s="924"/>
      <c r="L7" s="924"/>
      <c r="M7" s="924"/>
      <c r="N7" s="924"/>
      <c r="O7" s="924"/>
      <c r="P7" s="924"/>
      <c r="Q7" s="924"/>
      <c r="R7" s="919" t="s">
        <v>795</v>
      </c>
      <c r="S7" s="924"/>
      <c r="T7" s="924"/>
      <c r="U7" s="924"/>
      <c r="V7" s="924"/>
      <c r="W7" s="924"/>
      <c r="X7" s="924"/>
      <c r="Y7" s="924"/>
      <c r="Z7" s="924"/>
      <c r="AA7" s="924"/>
      <c r="AB7" s="924"/>
      <c r="AC7" s="924"/>
      <c r="AD7" s="924"/>
      <c r="AE7" s="924"/>
      <c r="AF7" s="924"/>
      <c r="AG7" s="924"/>
      <c r="AH7" s="924"/>
      <c r="AI7" s="924"/>
      <c r="AJ7" s="924"/>
    </row>
    <row r="8" ht="34.5" customHeight="1">
      <c r="A8" s="938" t="s">
        <v>796</v>
      </c>
      <c r="B8" s="939" t="s">
        <v>797</v>
      </c>
      <c r="C8" s="938">
        <v>300.0</v>
      </c>
      <c r="D8" s="940" t="s">
        <v>798</v>
      </c>
      <c r="E8" s="941" t="s">
        <v>799</v>
      </c>
      <c r="F8" s="942"/>
      <c r="G8" s="940" t="s">
        <v>800</v>
      </c>
      <c r="H8" s="943" t="s">
        <v>801</v>
      </c>
      <c r="I8" s="944"/>
      <c r="J8" s="944"/>
      <c r="K8" s="944"/>
      <c r="L8" s="916"/>
      <c r="M8" s="916"/>
      <c r="N8" s="943" t="s">
        <v>802</v>
      </c>
      <c r="O8" s="916"/>
      <c r="P8" s="916"/>
      <c r="Q8" s="916"/>
      <c r="R8" s="916"/>
      <c r="S8" s="916"/>
      <c r="T8" s="916"/>
      <c r="U8" s="916"/>
      <c r="V8" s="916"/>
      <c r="W8" s="916"/>
      <c r="X8" s="916"/>
      <c r="Y8" s="916"/>
      <c r="Z8" s="916"/>
      <c r="AA8" s="916"/>
      <c r="AB8" s="916"/>
      <c r="AC8" s="916"/>
      <c r="AD8" s="916"/>
      <c r="AE8" s="916"/>
      <c r="AF8" s="916"/>
      <c r="AG8" s="916"/>
      <c r="AH8" s="916"/>
      <c r="AI8" s="916"/>
      <c r="AJ8" s="916"/>
    </row>
    <row r="9" ht="34.5" customHeight="1">
      <c r="A9" s="945">
        <v>44207.0</v>
      </c>
      <c r="B9" s="946" t="s">
        <v>803</v>
      </c>
      <c r="C9" s="947">
        <v>1000.0</v>
      </c>
      <c r="D9" s="948" t="s">
        <v>804</v>
      </c>
      <c r="E9" s="949" t="s">
        <v>805</v>
      </c>
      <c r="F9" s="947" t="s">
        <v>806</v>
      </c>
      <c r="G9" s="950"/>
      <c r="H9" s="948" t="s">
        <v>807</v>
      </c>
      <c r="I9" s="948" t="s">
        <v>808</v>
      </c>
      <c r="J9" s="948" t="s">
        <v>809</v>
      </c>
      <c r="K9" s="951" t="s">
        <v>810</v>
      </c>
      <c r="L9" s="952" t="s">
        <v>811</v>
      </c>
      <c r="M9" s="950"/>
      <c r="N9" s="953" t="s">
        <v>812</v>
      </c>
      <c r="O9" s="950"/>
      <c r="P9" s="950"/>
      <c r="Q9" s="950"/>
      <c r="R9" s="953" t="s">
        <v>813</v>
      </c>
      <c r="S9" s="950"/>
      <c r="T9" s="948" t="s">
        <v>814</v>
      </c>
      <c r="U9" s="950"/>
      <c r="V9" s="954"/>
      <c r="W9" s="954"/>
      <c r="X9" s="954"/>
      <c r="Y9" s="954"/>
      <c r="Z9" s="954"/>
      <c r="AA9" s="954"/>
      <c r="AB9" s="954"/>
      <c r="AC9" s="954"/>
      <c r="AD9" s="954"/>
      <c r="AE9" s="954"/>
      <c r="AF9" s="954"/>
      <c r="AG9" s="954"/>
      <c r="AH9" s="954"/>
      <c r="AI9" s="954"/>
      <c r="AJ9" s="954"/>
    </row>
  </sheetData>
  <hyperlinks>
    <hyperlink r:id="rId1" ref="E3"/>
    <hyperlink r:id="rId2" ref="G3"/>
    <hyperlink r:id="rId3" ref="E4"/>
    <hyperlink r:id="rId4" ref="G4"/>
    <hyperlink r:id="rId5" ref="E5"/>
    <hyperlink r:id="rId6" ref="E6"/>
    <hyperlink r:id="rId7" ref="E8"/>
    <hyperlink r:id="rId8" ref="B9"/>
    <hyperlink r:id="rId9" ref="E9"/>
  </hyperlinks>
  <drawing r:id="rId1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1.22" defaultRowHeight="15.75"/>
  <cols>
    <col customWidth="1" min="1" max="1" width="8.78"/>
    <col customWidth="1" min="2" max="2" width="10.44"/>
    <col customWidth="1" min="3" max="3" width="14.0"/>
    <col customWidth="1" min="4" max="6" width="10.22"/>
    <col customWidth="1" min="7" max="7" width="8.33"/>
    <col customWidth="1" min="8" max="9" width="14.33"/>
    <col customWidth="1" min="10" max="10" width="22.0"/>
    <col customWidth="1" min="11" max="14" width="14.33"/>
    <col customWidth="1" min="15" max="15" width="116.78"/>
    <col customWidth="1" min="16" max="25" width="6.78"/>
  </cols>
  <sheetData>
    <row r="1">
      <c r="A1" s="955"/>
      <c r="B1" s="956" t="s">
        <v>815</v>
      </c>
      <c r="C1" s="957"/>
      <c r="D1" s="958"/>
      <c r="E1" s="959"/>
      <c r="R1" s="960">
        <v>44412.476060138884</v>
      </c>
    </row>
    <row r="2">
      <c r="A2" s="961"/>
      <c r="B2" s="962" t="s">
        <v>816</v>
      </c>
      <c r="C2" s="963">
        <f>SUM(G5:G26)-SUM(F5:F26)</f>
        <v>37835.49</v>
      </c>
      <c r="D2" s="964"/>
      <c r="E2" s="965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7"/>
      <c r="U2" s="967"/>
      <c r="V2" s="967"/>
      <c r="W2" s="967"/>
      <c r="X2" s="967"/>
      <c r="Y2" s="967"/>
    </row>
    <row r="3" ht="17.25" customHeight="1">
      <c r="B3" s="968"/>
      <c r="C3" s="969"/>
      <c r="D3" s="958"/>
      <c r="E3" s="959"/>
    </row>
    <row r="4" ht="34.5" customHeight="1">
      <c r="A4" s="970" t="s">
        <v>817</v>
      </c>
      <c r="B4" s="971" t="s">
        <v>818</v>
      </c>
      <c r="C4" s="972" t="s">
        <v>819</v>
      </c>
      <c r="D4" s="973" t="s">
        <v>820</v>
      </c>
      <c r="E4" s="973" t="s">
        <v>17</v>
      </c>
      <c r="F4" s="974" t="s">
        <v>821</v>
      </c>
      <c r="G4" s="974" t="s">
        <v>822</v>
      </c>
      <c r="H4" s="974" t="s">
        <v>823</v>
      </c>
      <c r="I4" s="974" t="s">
        <v>824</v>
      </c>
      <c r="J4" s="974" t="s">
        <v>825</v>
      </c>
      <c r="K4" s="975" t="s">
        <v>826</v>
      </c>
      <c r="L4" s="975" t="s">
        <v>827</v>
      </c>
      <c r="M4" s="974"/>
      <c r="N4" s="974" t="s">
        <v>828</v>
      </c>
      <c r="O4" s="974" t="s">
        <v>829</v>
      </c>
      <c r="Q4" s="976"/>
      <c r="R4" s="976"/>
      <c r="S4" s="976"/>
      <c r="T4" s="976"/>
      <c r="U4" s="977"/>
      <c r="V4" s="977"/>
      <c r="W4" s="977"/>
      <c r="X4" s="977"/>
      <c r="Y4" s="977"/>
    </row>
    <row r="5">
      <c r="A5" s="978" t="s">
        <v>830</v>
      </c>
      <c r="B5" s="978" t="s">
        <v>831</v>
      </c>
      <c r="C5" s="958">
        <v>4447.87559221093</v>
      </c>
      <c r="D5" s="979">
        <v>3730.47773794323</v>
      </c>
      <c r="E5" s="980">
        <f t="shared" ref="E5:E26" si="2">C5/D5</f>
        <v>1.192307234</v>
      </c>
      <c r="F5" s="981"/>
      <c r="G5" s="982">
        <v>100.0</v>
      </c>
      <c r="H5" s="983">
        <f>G5</f>
        <v>100</v>
      </c>
      <c r="I5" s="984">
        <f t="shared" ref="I5:I13" si="3">G5/D5</f>
        <v>0.02680621814</v>
      </c>
      <c r="J5" s="984">
        <f>I5</f>
        <v>0.02680621814</v>
      </c>
      <c r="K5" s="983">
        <f t="shared" ref="K5:L5" si="1">G5/I5</f>
        <v>3730.477738</v>
      </c>
      <c r="L5" s="983">
        <f t="shared" si="1"/>
        <v>3730.477738</v>
      </c>
      <c r="M5" s="985"/>
      <c r="N5" s="985" t="s">
        <v>832</v>
      </c>
      <c r="O5" s="985" t="s">
        <v>833</v>
      </c>
    </row>
    <row r="6">
      <c r="A6" s="978" t="s">
        <v>830</v>
      </c>
      <c r="B6" s="978" t="s">
        <v>834</v>
      </c>
      <c r="C6" s="958">
        <v>4584.82027519271</v>
      </c>
      <c r="D6" s="979">
        <v>3812.37434004852</v>
      </c>
      <c r="E6" s="980">
        <f t="shared" si="2"/>
        <v>1.202615448</v>
      </c>
      <c r="F6" s="981"/>
      <c r="G6" s="982">
        <v>1010.0</v>
      </c>
      <c r="H6" s="983">
        <f t="shared" ref="H6:H13" si="5">H5+G6</f>
        <v>1110</v>
      </c>
      <c r="I6" s="984">
        <f t="shared" si="3"/>
        <v>0.2649267648</v>
      </c>
      <c r="J6" s="984">
        <f t="shared" ref="J6:J26" si="6">J5+I6</f>
        <v>0.2917329829</v>
      </c>
      <c r="K6" s="983">
        <f t="shared" ref="K6:L6" si="4">G6/I6</f>
        <v>3812.37434</v>
      </c>
      <c r="L6" s="983">
        <f t="shared" si="4"/>
        <v>3804.849177</v>
      </c>
      <c r="M6" s="985"/>
      <c r="N6" s="985" t="s">
        <v>832</v>
      </c>
      <c r="O6" s="985" t="s">
        <v>835</v>
      </c>
    </row>
    <row r="7">
      <c r="A7" s="978" t="s">
        <v>830</v>
      </c>
      <c r="B7" s="978" t="s">
        <v>836</v>
      </c>
      <c r="C7" s="958">
        <v>4012.28582499344</v>
      </c>
      <c r="D7" s="979">
        <v>3354.75242399352</v>
      </c>
      <c r="E7" s="980">
        <f t="shared" si="2"/>
        <v>1.196000574</v>
      </c>
      <c r="F7" s="981"/>
      <c r="G7" s="982">
        <v>2010.0</v>
      </c>
      <c r="H7" s="983">
        <f t="shared" si="5"/>
        <v>3120</v>
      </c>
      <c r="I7" s="984">
        <f t="shared" si="3"/>
        <v>0.5991500254</v>
      </c>
      <c r="J7" s="984">
        <f t="shared" si="6"/>
        <v>0.8908830083</v>
      </c>
      <c r="K7" s="983">
        <f t="shared" ref="K7:L7" si="7">G7/I7</f>
        <v>3354.752424</v>
      </c>
      <c r="L7" s="983">
        <f t="shared" si="7"/>
        <v>3502.143346</v>
      </c>
      <c r="M7" s="985"/>
      <c r="N7" s="985" t="s">
        <v>832</v>
      </c>
      <c r="O7" s="985" t="s">
        <v>837</v>
      </c>
    </row>
    <row r="8">
      <c r="A8" s="978" t="s">
        <v>830</v>
      </c>
      <c r="B8" s="978" t="s">
        <v>838</v>
      </c>
      <c r="C8" s="958">
        <v>4758.72164979337</v>
      </c>
      <c r="D8" s="979">
        <v>4053.2982698713</v>
      </c>
      <c r="E8" s="980">
        <f t="shared" si="2"/>
        <v>1.174036879</v>
      </c>
      <c r="F8" s="981"/>
      <c r="G8" s="982">
        <v>2500.0</v>
      </c>
      <c r="H8" s="983">
        <f t="shared" si="5"/>
        <v>5620</v>
      </c>
      <c r="I8" s="984">
        <f t="shared" si="3"/>
        <v>0.6167816513</v>
      </c>
      <c r="J8" s="984">
        <f t="shared" si="6"/>
        <v>1.50766466</v>
      </c>
      <c r="K8" s="983">
        <f t="shared" ref="K8:L8" si="8">G8/I8</f>
        <v>4053.29827</v>
      </c>
      <c r="L8" s="983">
        <f t="shared" si="8"/>
        <v>3727.619378</v>
      </c>
      <c r="M8" s="985"/>
      <c r="N8" s="985" t="s">
        <v>832</v>
      </c>
      <c r="O8" s="985" t="s">
        <v>839</v>
      </c>
    </row>
    <row r="9">
      <c r="A9" s="978" t="s">
        <v>830</v>
      </c>
      <c r="B9" s="978" t="s">
        <v>840</v>
      </c>
      <c r="C9" s="958">
        <v>5331.61930195449</v>
      </c>
      <c r="D9" s="979">
        <v>4506.00738980823</v>
      </c>
      <c r="E9" s="980">
        <f t="shared" si="2"/>
        <v>1.183224713</v>
      </c>
      <c r="F9" s="981"/>
      <c r="G9" s="986">
        <v>10000.0</v>
      </c>
      <c r="H9" s="987">
        <f t="shared" si="5"/>
        <v>15620</v>
      </c>
      <c r="I9" s="984">
        <f t="shared" si="3"/>
        <v>2.219259565</v>
      </c>
      <c r="J9" s="984">
        <f t="shared" si="6"/>
        <v>3.726924225</v>
      </c>
      <c r="K9" s="983">
        <f t="shared" ref="K9:L9" si="9">G9/I9</f>
        <v>4506.00739</v>
      </c>
      <c r="L9" s="983">
        <f t="shared" si="9"/>
        <v>4191.12358</v>
      </c>
      <c r="M9" s="985"/>
      <c r="N9" s="985" t="s">
        <v>832</v>
      </c>
      <c r="O9" s="985" t="s">
        <v>841</v>
      </c>
    </row>
    <row r="10">
      <c r="A10" s="978" t="s">
        <v>830</v>
      </c>
      <c r="B10" s="978" t="s">
        <v>842</v>
      </c>
      <c r="C10" s="958">
        <v>5883.05318447111</v>
      </c>
      <c r="D10" s="979">
        <v>5047.65963227622</v>
      </c>
      <c r="E10" s="980">
        <f t="shared" si="2"/>
        <v>1.165501166</v>
      </c>
      <c r="F10" s="981"/>
      <c r="G10" s="988">
        <v>2000.0</v>
      </c>
      <c r="H10" s="989">
        <f t="shared" si="5"/>
        <v>17620</v>
      </c>
      <c r="I10" s="984">
        <f t="shared" si="3"/>
        <v>0.3962232293</v>
      </c>
      <c r="J10" s="984">
        <f t="shared" si="6"/>
        <v>4.123147454</v>
      </c>
      <c r="K10" s="983">
        <f t="shared" ref="K10:L10" si="10">G10/I10</f>
        <v>5047.659632</v>
      </c>
      <c r="L10" s="983">
        <f t="shared" si="10"/>
        <v>4273.43436</v>
      </c>
      <c r="M10" s="985"/>
      <c r="N10" s="985" t="s">
        <v>832</v>
      </c>
      <c r="O10" s="985" t="s">
        <v>843</v>
      </c>
    </row>
    <row r="11">
      <c r="A11" s="978" t="s">
        <v>830</v>
      </c>
      <c r="B11" s="978" t="s">
        <v>844</v>
      </c>
      <c r="C11" s="958">
        <v>6423.09140246102</v>
      </c>
      <c r="D11" s="979">
        <v>5507.04937591623</v>
      </c>
      <c r="E11" s="980">
        <f t="shared" si="2"/>
        <v>1.166339897</v>
      </c>
      <c r="F11" s="981"/>
      <c r="G11" s="988">
        <v>1000.0</v>
      </c>
      <c r="H11" s="989">
        <f t="shared" si="5"/>
        <v>18620</v>
      </c>
      <c r="I11" s="984">
        <f t="shared" si="3"/>
        <v>0.1815854429</v>
      </c>
      <c r="J11" s="984">
        <f t="shared" si="6"/>
        <v>4.304732897</v>
      </c>
      <c r="K11" s="983">
        <f t="shared" ref="K11:L11" si="11">G11/I11</f>
        <v>5507.049376</v>
      </c>
      <c r="L11" s="983">
        <f t="shared" si="11"/>
        <v>4325.471625</v>
      </c>
      <c r="M11" s="985"/>
      <c r="N11" s="985" t="s">
        <v>832</v>
      </c>
      <c r="O11" s="985" t="s">
        <v>845</v>
      </c>
    </row>
    <row r="12">
      <c r="A12" s="978" t="s">
        <v>830</v>
      </c>
      <c r="B12" s="978" t="s">
        <v>846</v>
      </c>
      <c r="C12" s="958">
        <v>13876.4735794148</v>
      </c>
      <c r="D12" s="979">
        <v>11765.8619479858</v>
      </c>
      <c r="E12" s="980">
        <f t="shared" si="2"/>
        <v>1.179384361</v>
      </c>
      <c r="F12" s="981"/>
      <c r="G12" s="988">
        <v>800.0</v>
      </c>
      <c r="H12" s="989">
        <f t="shared" si="5"/>
        <v>19420</v>
      </c>
      <c r="I12" s="984">
        <f t="shared" si="3"/>
        <v>0.0679933186</v>
      </c>
      <c r="J12" s="984">
        <f t="shared" si="6"/>
        <v>4.372726215</v>
      </c>
      <c r="K12" s="983">
        <f t="shared" ref="K12:L12" si="12">G12/I12</f>
        <v>11765.86195</v>
      </c>
      <c r="L12" s="983">
        <f t="shared" si="12"/>
        <v>4441.165315</v>
      </c>
      <c r="M12" s="985"/>
      <c r="N12" s="985" t="s">
        <v>832</v>
      </c>
      <c r="O12" s="985" t="s">
        <v>847</v>
      </c>
    </row>
    <row r="13">
      <c r="A13" s="978" t="s">
        <v>830</v>
      </c>
      <c r="B13" s="978" t="s">
        <v>848</v>
      </c>
      <c r="C13" s="958">
        <v>7711.2203289411</v>
      </c>
      <c r="D13" s="979">
        <v>6226.75643707764</v>
      </c>
      <c r="E13" s="980">
        <f t="shared" si="2"/>
        <v>1.238400828</v>
      </c>
      <c r="F13" s="981"/>
      <c r="G13" s="988">
        <v>2000.0</v>
      </c>
      <c r="H13" s="989">
        <f t="shared" si="5"/>
        <v>21420</v>
      </c>
      <c r="I13" s="984">
        <f t="shared" si="3"/>
        <v>0.3211945128</v>
      </c>
      <c r="J13" s="984">
        <f t="shared" si="6"/>
        <v>4.693920728</v>
      </c>
      <c r="K13" s="983">
        <f t="shared" ref="K13:L13" si="13">G13/I13</f>
        <v>6226.756437</v>
      </c>
      <c r="L13" s="983">
        <f t="shared" si="13"/>
        <v>4563.349328</v>
      </c>
      <c r="M13" s="985"/>
      <c r="N13" s="985" t="s">
        <v>832</v>
      </c>
      <c r="O13" s="985" t="s">
        <v>849</v>
      </c>
    </row>
    <row r="14">
      <c r="A14" s="978" t="s">
        <v>830</v>
      </c>
      <c r="B14" s="978" t="s">
        <v>850</v>
      </c>
      <c r="C14" s="958">
        <v>8640.52143024258</v>
      </c>
      <c r="D14" s="979">
        <v>7001.8551815185</v>
      </c>
      <c r="E14" s="980">
        <f t="shared" si="2"/>
        <v>1.234033154</v>
      </c>
      <c r="F14" s="988">
        <v>7049.85</v>
      </c>
      <c r="G14" s="981"/>
      <c r="H14" s="990">
        <f t="shared" ref="H14:H26" si="14">H13+G14-F14</f>
        <v>14370.15</v>
      </c>
      <c r="I14" s="984">
        <f>-F14/D14</f>
        <v>-1.006854586</v>
      </c>
      <c r="J14" s="984">
        <f t="shared" si="6"/>
        <v>3.687066142</v>
      </c>
      <c r="K14" s="983">
        <f>F14/I14</f>
        <v>-7001.855182</v>
      </c>
      <c r="L14" s="983">
        <f>H14/J14</f>
        <v>3897.44839</v>
      </c>
      <c r="M14" s="985"/>
      <c r="N14" s="985" t="s">
        <v>832</v>
      </c>
      <c r="O14" s="985" t="s">
        <v>851</v>
      </c>
    </row>
    <row r="15">
      <c r="A15" s="978" t="s">
        <v>830</v>
      </c>
      <c r="B15" s="978" t="s">
        <v>852</v>
      </c>
      <c r="C15" s="958">
        <v>8192.223138952013</v>
      </c>
      <c r="D15" s="979">
        <v>7310.240203589306</v>
      </c>
      <c r="E15" s="980">
        <f t="shared" si="2"/>
        <v>1.120650336</v>
      </c>
      <c r="F15" s="981"/>
      <c r="G15" s="982">
        <v>1000.0</v>
      </c>
      <c r="H15" s="990">
        <f t="shared" si="14"/>
        <v>15370.15</v>
      </c>
      <c r="I15" s="984">
        <f t="shared" ref="I15:I26" si="16">G15/D15</f>
        <v>0.1367944106</v>
      </c>
      <c r="J15" s="984">
        <f t="shared" si="6"/>
        <v>3.823860553</v>
      </c>
      <c r="K15" s="983">
        <f t="shared" ref="K15:L15" si="15">G15/I15</f>
        <v>7310.240204</v>
      </c>
      <c r="L15" s="983">
        <f t="shared" si="15"/>
        <v>4019.537268</v>
      </c>
      <c r="M15" s="985"/>
      <c r="N15" s="985" t="s">
        <v>832</v>
      </c>
      <c r="O15" s="985" t="s">
        <v>853</v>
      </c>
    </row>
    <row r="16">
      <c r="A16" s="978" t="s">
        <v>830</v>
      </c>
      <c r="B16" s="978" t="s">
        <v>854</v>
      </c>
      <c r="C16" s="958">
        <v>12260.28269787262</v>
      </c>
      <c r="D16" s="979">
        <v>10929.600654976237</v>
      </c>
      <c r="E16" s="980">
        <f t="shared" si="2"/>
        <v>1.121750289</v>
      </c>
      <c r="F16" s="981"/>
      <c r="G16" s="982">
        <v>5000.0</v>
      </c>
      <c r="H16" s="990">
        <f t="shared" si="14"/>
        <v>20370.15</v>
      </c>
      <c r="I16" s="984">
        <f t="shared" si="16"/>
        <v>0.4574732561</v>
      </c>
      <c r="J16" s="984">
        <f t="shared" si="6"/>
        <v>4.281333809</v>
      </c>
      <c r="K16" s="983">
        <f t="shared" ref="K16:L16" si="17">G16/I16</f>
        <v>10929.60065</v>
      </c>
      <c r="L16" s="983">
        <f t="shared" si="17"/>
        <v>4757.898101</v>
      </c>
      <c r="M16" s="985"/>
      <c r="N16" s="985" t="s">
        <v>832</v>
      </c>
      <c r="O16" s="985" t="s">
        <v>855</v>
      </c>
    </row>
    <row r="17">
      <c r="A17" s="978" t="s">
        <v>830</v>
      </c>
      <c r="B17" s="978" t="s">
        <v>856</v>
      </c>
      <c r="C17" s="958">
        <v>9340.048651574896</v>
      </c>
      <c r="D17" s="979">
        <v>8437.417009838045</v>
      </c>
      <c r="E17" s="980">
        <f t="shared" si="2"/>
        <v>1.106979617</v>
      </c>
      <c r="F17" s="981"/>
      <c r="G17" s="982">
        <v>4000.0</v>
      </c>
      <c r="H17" s="990">
        <f t="shared" si="14"/>
        <v>24370.15</v>
      </c>
      <c r="I17" s="984">
        <f t="shared" si="16"/>
        <v>0.4740787371</v>
      </c>
      <c r="J17" s="984">
        <f t="shared" si="6"/>
        <v>4.755412546</v>
      </c>
      <c r="K17" s="983">
        <f t="shared" ref="K17:L17" si="18">G17/I17</f>
        <v>8437.41701</v>
      </c>
      <c r="L17" s="983">
        <f t="shared" si="18"/>
        <v>5124.718363</v>
      </c>
      <c r="M17" s="985"/>
      <c r="N17" s="985" t="s">
        <v>832</v>
      </c>
      <c r="O17" s="985" t="s">
        <v>857</v>
      </c>
    </row>
    <row r="18">
      <c r="A18" s="978" t="s">
        <v>830</v>
      </c>
      <c r="B18" s="978" t="s">
        <v>858</v>
      </c>
      <c r="C18" s="958">
        <v>7935.522040170545</v>
      </c>
      <c r="D18" s="979">
        <v>7046.267440349036</v>
      </c>
      <c r="E18" s="980">
        <f t="shared" si="2"/>
        <v>1.126202221</v>
      </c>
      <c r="F18" s="981"/>
      <c r="G18" s="982">
        <v>3000.0</v>
      </c>
      <c r="H18" s="990">
        <f t="shared" si="14"/>
        <v>27370.15</v>
      </c>
      <c r="I18" s="984">
        <f t="shared" si="16"/>
        <v>0.4257573283</v>
      </c>
      <c r="J18" s="984">
        <f t="shared" si="6"/>
        <v>5.181169874</v>
      </c>
      <c r="K18" s="983">
        <f t="shared" ref="K18:L18" si="19">G18/I18</f>
        <v>7046.26744</v>
      </c>
      <c r="L18" s="983">
        <f t="shared" si="19"/>
        <v>5282.619691</v>
      </c>
      <c r="M18" s="985"/>
      <c r="N18" s="985" t="s">
        <v>832</v>
      </c>
      <c r="O18" s="985" t="s">
        <v>859</v>
      </c>
    </row>
    <row r="19">
      <c r="A19" s="991" t="s">
        <v>830</v>
      </c>
      <c r="B19" s="991" t="s">
        <v>860</v>
      </c>
      <c r="C19" s="992">
        <v>9524.92661691022</v>
      </c>
      <c r="D19" s="993">
        <v>8455.98220240086</v>
      </c>
      <c r="E19" s="994">
        <f t="shared" si="2"/>
        <v>1.126412803</v>
      </c>
      <c r="F19" s="995"/>
      <c r="G19" s="996">
        <v>3250.0</v>
      </c>
      <c r="H19" s="997">
        <f t="shared" si="14"/>
        <v>30620.15</v>
      </c>
      <c r="I19" s="998">
        <f t="shared" si="16"/>
        <v>0.3843432877</v>
      </c>
      <c r="J19" s="998">
        <f t="shared" si="6"/>
        <v>5.565513162</v>
      </c>
      <c r="K19" s="997">
        <f t="shared" ref="K19:L19" si="20">G19/I19</f>
        <v>8455.982202</v>
      </c>
      <c r="L19" s="997">
        <f t="shared" si="20"/>
        <v>5501.765805</v>
      </c>
      <c r="M19" s="999"/>
      <c r="N19" s="1000" t="s">
        <v>861</v>
      </c>
      <c r="O19" s="999" t="s">
        <v>862</v>
      </c>
      <c r="S19" s="1001"/>
      <c r="T19" s="1001"/>
      <c r="U19" s="1002"/>
      <c r="V19" s="1002"/>
      <c r="W19" s="1002"/>
      <c r="X19" s="1002"/>
      <c r="Y19" s="1002"/>
    </row>
    <row r="20">
      <c r="A20" s="991" t="s">
        <v>863</v>
      </c>
      <c r="B20" s="991" t="s">
        <v>864</v>
      </c>
      <c r="C20" s="992">
        <v>9240.76251972468</v>
      </c>
      <c r="D20" s="993">
        <v>8141.989652316821</v>
      </c>
      <c r="E20" s="994">
        <f t="shared" si="2"/>
        <v>1.134951396</v>
      </c>
      <c r="F20" s="995"/>
      <c r="G20" s="1003">
        <v>900.0</v>
      </c>
      <c r="H20" s="997">
        <f t="shared" si="14"/>
        <v>31520.15</v>
      </c>
      <c r="I20" s="998">
        <f t="shared" si="16"/>
        <v>0.1105380918</v>
      </c>
      <c r="J20" s="998">
        <f t="shared" si="6"/>
        <v>5.676051254</v>
      </c>
      <c r="K20" s="997">
        <f t="shared" ref="K20:L20" si="21">G20/I20</f>
        <v>8141.989652</v>
      </c>
      <c r="L20" s="997">
        <f t="shared" si="21"/>
        <v>5553.182766</v>
      </c>
      <c r="M20" s="999"/>
      <c r="N20" s="1000" t="s">
        <v>861</v>
      </c>
      <c r="O20" s="999" t="s">
        <v>865</v>
      </c>
      <c r="P20" s="1001"/>
      <c r="Q20" s="1001"/>
      <c r="R20" s="1001"/>
      <c r="S20" s="1001"/>
      <c r="T20" s="1001"/>
      <c r="U20" s="1002"/>
      <c r="V20" s="1002"/>
      <c r="W20" s="1002"/>
      <c r="X20" s="1002"/>
      <c r="Y20" s="1002"/>
    </row>
    <row r="21">
      <c r="A21" s="1004" t="s">
        <v>866</v>
      </c>
      <c r="B21" s="1004" t="s">
        <v>867</v>
      </c>
      <c r="C21" s="1005">
        <v>11768.127742240009</v>
      </c>
      <c r="D21" s="1006">
        <v>9908.763558966106</v>
      </c>
      <c r="E21" s="1007">
        <f t="shared" si="2"/>
        <v>1.187648456</v>
      </c>
      <c r="F21" s="1008"/>
      <c r="G21" s="1009">
        <v>337.6</v>
      </c>
      <c r="H21" s="1010">
        <f t="shared" si="14"/>
        <v>31857.75</v>
      </c>
      <c r="I21" s="1011">
        <f t="shared" si="16"/>
        <v>0.03407085031</v>
      </c>
      <c r="J21" s="1011">
        <f t="shared" si="6"/>
        <v>5.710122104</v>
      </c>
      <c r="K21" s="1010">
        <f t="shared" ref="K21:L21" si="22">G21/I21</f>
        <v>9908.763559</v>
      </c>
      <c r="L21" s="1010">
        <f t="shared" si="22"/>
        <v>5579.171412</v>
      </c>
      <c r="M21" s="1012"/>
      <c r="N21" s="1013" t="s">
        <v>861</v>
      </c>
      <c r="O21" s="1012" t="s">
        <v>868</v>
      </c>
      <c r="Q21" s="1014"/>
      <c r="R21" s="1015"/>
      <c r="S21" s="1015"/>
      <c r="T21" s="1015"/>
      <c r="U21" s="1016"/>
      <c r="V21" s="1016"/>
      <c r="W21" s="1016"/>
      <c r="X21" s="1016"/>
      <c r="Y21" s="1016"/>
    </row>
    <row r="22">
      <c r="A22" s="1004" t="s">
        <v>866</v>
      </c>
      <c r="B22" s="1004" t="s">
        <v>869</v>
      </c>
      <c r="C22" s="1005">
        <v>11682.851469154939</v>
      </c>
      <c r="D22" s="1006">
        <v>9915.750087336437</v>
      </c>
      <c r="E22" s="1007">
        <f t="shared" si="2"/>
        <v>1.178211569</v>
      </c>
      <c r="F22" s="1008"/>
      <c r="G22" s="1009">
        <v>355.77</v>
      </c>
      <c r="H22" s="1010">
        <f t="shared" si="14"/>
        <v>32213.52</v>
      </c>
      <c r="I22" s="1011">
        <f t="shared" si="16"/>
        <v>0.03587928264</v>
      </c>
      <c r="J22" s="1011">
        <f t="shared" si="6"/>
        <v>5.746001387</v>
      </c>
      <c r="K22" s="1010">
        <f t="shared" ref="K22:L22" si="23">G22/I22</f>
        <v>9915.750087</v>
      </c>
      <c r="L22" s="1010">
        <f t="shared" si="23"/>
        <v>5606.249952</v>
      </c>
      <c r="M22" s="1012"/>
      <c r="N22" s="1013" t="s">
        <v>861</v>
      </c>
      <c r="O22" s="1012" t="s">
        <v>870</v>
      </c>
      <c r="Q22" s="1014"/>
      <c r="R22" s="1015"/>
      <c r="S22" s="1015"/>
      <c r="T22" s="1015"/>
      <c r="U22" s="1016"/>
      <c r="V22" s="1016"/>
      <c r="W22" s="1016"/>
      <c r="X22" s="1016"/>
      <c r="Y22" s="1016"/>
    </row>
    <row r="23">
      <c r="A23" s="1004" t="s">
        <v>866</v>
      </c>
      <c r="B23" s="1004" t="s">
        <v>871</v>
      </c>
      <c r="C23" s="1005">
        <v>11672.324104943627</v>
      </c>
      <c r="D23" s="1006">
        <v>9776.78535959722</v>
      </c>
      <c r="E23" s="1007">
        <f t="shared" si="2"/>
        <v>1.193881596</v>
      </c>
      <c r="F23" s="1008"/>
      <c r="G23" s="1009">
        <v>1003.97</v>
      </c>
      <c r="H23" s="1010">
        <f t="shared" si="14"/>
        <v>33217.49</v>
      </c>
      <c r="I23" s="1011">
        <f t="shared" si="16"/>
        <v>0.1026891727</v>
      </c>
      <c r="J23" s="1011">
        <f t="shared" si="6"/>
        <v>5.848690559</v>
      </c>
      <c r="K23" s="1010">
        <f t="shared" ref="K23:L23" si="24">G23/I23</f>
        <v>9776.78536</v>
      </c>
      <c r="L23" s="1010">
        <f t="shared" si="24"/>
        <v>5679.47469</v>
      </c>
      <c r="M23" s="1012"/>
      <c r="N23" s="1013" t="s">
        <v>861</v>
      </c>
      <c r="O23" s="1012" t="s">
        <v>872</v>
      </c>
      <c r="Q23" s="1014"/>
      <c r="R23" s="1015"/>
      <c r="S23" s="1015"/>
      <c r="T23" s="1015"/>
      <c r="U23" s="1016"/>
      <c r="V23" s="1016"/>
      <c r="W23" s="1016"/>
      <c r="X23" s="1016"/>
      <c r="Y23" s="1016"/>
    </row>
    <row r="24">
      <c r="A24" s="978" t="s">
        <v>830</v>
      </c>
      <c r="B24" s="978" t="s">
        <v>873</v>
      </c>
      <c r="C24" s="958">
        <v>10770.881347466415</v>
      </c>
      <c r="D24" s="979">
        <v>9186.376992440666</v>
      </c>
      <c r="E24" s="980">
        <f t="shared" si="2"/>
        <v>1.172484142</v>
      </c>
      <c r="F24" s="981"/>
      <c r="G24" s="982">
        <v>1118.0</v>
      </c>
      <c r="H24" s="990">
        <f t="shared" si="14"/>
        <v>34335.49</v>
      </c>
      <c r="I24" s="984">
        <f t="shared" si="16"/>
        <v>0.1217019507</v>
      </c>
      <c r="J24" s="984">
        <f t="shared" si="6"/>
        <v>5.97039251</v>
      </c>
      <c r="K24" s="983">
        <f t="shared" ref="K24:L24" si="25">G24/I24</f>
        <v>9186.376992</v>
      </c>
      <c r="L24" s="983">
        <f t="shared" si="25"/>
        <v>5750.96025</v>
      </c>
      <c r="M24" s="985"/>
      <c r="N24" s="985" t="s">
        <v>832</v>
      </c>
      <c r="O24" s="985" t="s">
        <v>874</v>
      </c>
    </row>
    <row r="25">
      <c r="A25" s="978" t="s">
        <v>830</v>
      </c>
      <c r="B25" s="978" t="s">
        <v>875</v>
      </c>
      <c r="C25" s="958">
        <v>13720.361465146289</v>
      </c>
      <c r="D25" s="979">
        <v>11787.189975430128</v>
      </c>
      <c r="E25" s="980">
        <f t="shared" si="2"/>
        <v>1.164006137</v>
      </c>
      <c r="F25" s="981"/>
      <c r="G25" s="982">
        <v>1500.0</v>
      </c>
      <c r="H25" s="990">
        <f t="shared" si="14"/>
        <v>35835.49</v>
      </c>
      <c r="I25" s="984">
        <f t="shared" si="16"/>
        <v>0.1272567934</v>
      </c>
      <c r="J25" s="984">
        <f t="shared" si="6"/>
        <v>6.097649304</v>
      </c>
      <c r="K25" s="983">
        <f t="shared" ref="K25:L25" si="26">G25/I25</f>
        <v>11787.18998</v>
      </c>
      <c r="L25" s="983">
        <f t="shared" si="26"/>
        <v>5876.935228</v>
      </c>
      <c r="M25" s="985"/>
      <c r="N25" s="985" t="s">
        <v>832</v>
      </c>
      <c r="O25" s="985" t="s">
        <v>876</v>
      </c>
    </row>
    <row r="26">
      <c r="A26" s="1017" t="s">
        <v>830</v>
      </c>
      <c r="B26" s="1017" t="s">
        <v>877</v>
      </c>
      <c r="C26" s="1018">
        <v>23518.31842054723</v>
      </c>
      <c r="D26" s="1019">
        <v>19250.28454854162</v>
      </c>
      <c r="E26" s="1020">
        <f t="shared" si="2"/>
        <v>1.221712768</v>
      </c>
      <c r="F26" s="1021"/>
      <c r="G26" s="1022">
        <v>2000.0</v>
      </c>
      <c r="H26" s="1023">
        <f t="shared" si="14"/>
        <v>37835.49</v>
      </c>
      <c r="I26" s="1024">
        <f t="shared" si="16"/>
        <v>0.1038945682</v>
      </c>
      <c r="J26" s="1024">
        <f t="shared" si="6"/>
        <v>6.201543872</v>
      </c>
      <c r="K26" s="1025">
        <f t="shared" ref="K26:L26" si="27">G26/I26</f>
        <v>19250.28455</v>
      </c>
      <c r="L26" s="1025">
        <f t="shared" si="27"/>
        <v>6100.979173</v>
      </c>
      <c r="M26" s="1026"/>
      <c r="N26" s="1026" t="s">
        <v>832</v>
      </c>
      <c r="O26" s="1026" t="s">
        <v>878</v>
      </c>
      <c r="U26" s="1027"/>
      <c r="V26" s="1027"/>
      <c r="W26" s="1027"/>
      <c r="X26" s="1027"/>
      <c r="Y26" s="1027"/>
    </row>
    <row r="27">
      <c r="A27" s="1028"/>
      <c r="B27" s="1028">
        <v>44284.0</v>
      </c>
      <c r="C27" s="1029" t="s">
        <v>879</v>
      </c>
      <c r="D27" s="1018"/>
      <c r="E27" s="1030"/>
      <c r="F27" s="1027"/>
      <c r="G27" s="1027"/>
      <c r="H27" s="1027"/>
      <c r="I27" s="1027"/>
      <c r="J27" s="1027"/>
      <c r="K27" s="1027"/>
      <c r="L27" s="1027"/>
      <c r="M27" s="1027"/>
      <c r="N27" s="1027"/>
      <c r="O27" s="1027"/>
      <c r="P27" s="1027"/>
      <c r="Q27" s="1027"/>
      <c r="R27" s="1027"/>
      <c r="S27" s="1027"/>
      <c r="T27" s="1027"/>
      <c r="U27" s="1027"/>
      <c r="V27" s="1027"/>
      <c r="W27" s="1027"/>
      <c r="X27" s="1027"/>
      <c r="Y27" s="1027"/>
    </row>
    <row r="28">
      <c r="A28" s="1028"/>
      <c r="B28" s="1028">
        <v>44102.0</v>
      </c>
      <c r="C28" s="969"/>
      <c r="D28" s="1018"/>
      <c r="E28" s="1030"/>
      <c r="F28" s="1031">
        <v>134.0</v>
      </c>
      <c r="G28" s="1027"/>
      <c r="H28" s="1027"/>
      <c r="I28" s="1027"/>
      <c r="J28" s="1027"/>
      <c r="K28" s="1027"/>
      <c r="L28" s="1027"/>
      <c r="M28" s="1027"/>
      <c r="N28" s="1031" t="s">
        <v>880</v>
      </c>
      <c r="O28" s="1027"/>
      <c r="P28" s="1027"/>
      <c r="Q28" s="1027"/>
      <c r="R28" s="1027"/>
      <c r="S28" s="1027"/>
      <c r="T28" s="1027"/>
      <c r="U28" s="1027"/>
      <c r="V28" s="1027"/>
      <c r="W28" s="1027"/>
      <c r="X28" s="1027"/>
      <c r="Y28" s="1027"/>
    </row>
    <row r="29">
      <c r="A29" s="968"/>
      <c r="B29" s="968"/>
      <c r="C29" s="969"/>
      <c r="D29" s="958"/>
      <c r="E29" s="959"/>
    </row>
    <row r="30">
      <c r="A30" s="968"/>
      <c r="B30" s="968"/>
      <c r="C30" s="969"/>
      <c r="D30" s="958"/>
      <c r="E30" s="959"/>
    </row>
    <row r="31">
      <c r="A31" s="1032"/>
      <c r="B31" s="1032" t="s">
        <v>881</v>
      </c>
      <c r="C31" s="969"/>
      <c r="D31" s="958"/>
      <c r="E31" s="959"/>
    </row>
    <row r="32">
      <c r="A32" s="1033"/>
      <c r="B32" s="1033" t="s">
        <v>850</v>
      </c>
      <c r="C32" s="969">
        <v>8640.52143024258</v>
      </c>
      <c r="D32" s="958">
        <v>7001.8551815185</v>
      </c>
      <c r="E32" s="959">
        <v>1.2340331535347036</v>
      </c>
      <c r="F32" s="1034">
        <v>7049.85</v>
      </c>
      <c r="G32" s="1035"/>
      <c r="H32" s="1035"/>
      <c r="I32" s="1035"/>
      <c r="J32" s="1035"/>
      <c r="K32" s="1035"/>
      <c r="L32" s="1035"/>
    </row>
    <row r="33">
      <c r="A33" s="1036"/>
      <c r="B33" s="1036" t="s">
        <v>818</v>
      </c>
      <c r="C33" s="1037" t="s">
        <v>819</v>
      </c>
      <c r="D33" s="1038" t="s">
        <v>820</v>
      </c>
      <c r="E33" s="1038" t="s">
        <v>17</v>
      </c>
      <c r="F33" s="1035" t="s">
        <v>882</v>
      </c>
      <c r="G33" s="1035" t="s">
        <v>883</v>
      </c>
      <c r="H33" s="1035" t="s">
        <v>823</v>
      </c>
      <c r="I33" s="1035" t="s">
        <v>824</v>
      </c>
      <c r="J33" s="1035"/>
      <c r="K33" s="1035"/>
      <c r="L33" s="1035" t="s">
        <v>884</v>
      </c>
    </row>
    <row r="34">
      <c r="A34" s="1039"/>
      <c r="B34" s="1039" t="s">
        <v>840</v>
      </c>
      <c r="C34" s="1040">
        <v>5331.61930195449</v>
      </c>
      <c r="D34" s="1041">
        <v>4506.00738980823</v>
      </c>
      <c r="E34" s="1042">
        <v>1.1832247133046527</v>
      </c>
      <c r="F34" s="1043"/>
      <c r="G34" s="1044">
        <v>10000.0</v>
      </c>
      <c r="H34" s="1044">
        <v>15620.0</v>
      </c>
      <c r="I34" s="1045">
        <v>2.219259565046028</v>
      </c>
      <c r="J34" s="1045"/>
      <c r="K34" s="1046"/>
      <c r="L34" s="1046">
        <f>C34</f>
        <v>5331.619302</v>
      </c>
    </row>
    <row r="35">
      <c r="J35" s="200"/>
      <c r="K35" s="1047"/>
      <c r="L35" s="1047"/>
    </row>
    <row r="36">
      <c r="A36" s="1033"/>
      <c r="B36" s="1033" t="s">
        <v>840</v>
      </c>
      <c r="C36" s="969">
        <v>5331.61930195449</v>
      </c>
      <c r="D36" s="958">
        <v>4506.00738980823</v>
      </c>
      <c r="E36" s="959">
        <v>1.1832247133046527</v>
      </c>
      <c r="G36" s="53">
        <v>1249.85</v>
      </c>
      <c r="I36" s="196">
        <f>G36/L36</f>
        <v>0.2344222138</v>
      </c>
      <c r="J36" s="196"/>
      <c r="K36" s="1048"/>
      <c r="L36" s="1048">
        <f t="shared" ref="L36:L40" si="28">C36</f>
        <v>5331.619302</v>
      </c>
      <c r="M36" s="53" t="s">
        <v>885</v>
      </c>
    </row>
    <row r="37">
      <c r="A37" s="1033"/>
      <c r="B37" s="1033" t="s">
        <v>842</v>
      </c>
      <c r="C37" s="969">
        <v>5883.05318447111</v>
      </c>
      <c r="D37" s="958">
        <v>5047.65963227622</v>
      </c>
      <c r="E37" s="959">
        <v>1.1655011655011638</v>
      </c>
      <c r="G37" s="1049">
        <v>2000.0</v>
      </c>
      <c r="I37" s="196">
        <v>0.3962232293182789</v>
      </c>
      <c r="J37" s="196"/>
      <c r="K37" s="1048"/>
      <c r="L37" s="1048">
        <f t="shared" si="28"/>
        <v>5883.053184</v>
      </c>
    </row>
    <row r="38">
      <c r="A38" s="1033"/>
      <c r="B38" s="1033" t="s">
        <v>844</v>
      </c>
      <c r="C38" s="969">
        <v>6423.09140246102</v>
      </c>
      <c r="D38" s="958">
        <v>5507.04937591623</v>
      </c>
      <c r="E38" s="959">
        <v>1.1663398971054957</v>
      </c>
      <c r="G38" s="1049">
        <v>1000.0</v>
      </c>
      <c r="I38" s="196">
        <v>0.1815854429003782</v>
      </c>
      <c r="J38" s="196"/>
      <c r="K38" s="1048"/>
      <c r="L38" s="1048">
        <f t="shared" si="28"/>
        <v>6423.091402</v>
      </c>
    </row>
    <row r="39">
      <c r="A39" s="1033"/>
      <c r="B39" s="1033" t="s">
        <v>846</v>
      </c>
      <c r="C39" s="969">
        <v>13876.4735794148</v>
      </c>
      <c r="D39" s="958">
        <v>11765.8619479858</v>
      </c>
      <c r="E39" s="959">
        <v>1.1793843613633692</v>
      </c>
      <c r="G39" s="1049">
        <v>800.0</v>
      </c>
      <c r="I39" s="196">
        <v>0.06799331859719399</v>
      </c>
      <c r="J39" s="196"/>
      <c r="K39" s="1048"/>
      <c r="L39" s="1048">
        <f t="shared" si="28"/>
        <v>13876.47358</v>
      </c>
    </row>
    <row r="40">
      <c r="A40" s="1033"/>
      <c r="B40" s="1033" t="s">
        <v>848</v>
      </c>
      <c r="C40" s="969">
        <v>7711.2203289411</v>
      </c>
      <c r="D40" s="958">
        <v>6226.75643707764</v>
      </c>
      <c r="E40" s="959">
        <v>1.238400828242473</v>
      </c>
      <c r="G40" s="1049">
        <v>2000.0</v>
      </c>
      <c r="I40" s="196">
        <v>0.3211945127788949</v>
      </c>
      <c r="J40" s="196"/>
      <c r="K40" s="1048"/>
      <c r="L40" s="1048">
        <f t="shared" si="28"/>
        <v>7711.220329</v>
      </c>
    </row>
    <row r="41">
      <c r="A41" s="1033"/>
      <c r="B41" s="1033"/>
      <c r="C41" s="969"/>
      <c r="D41" s="958"/>
      <c r="E41" s="959"/>
      <c r="F41" s="1049"/>
      <c r="H41" s="1049"/>
      <c r="I41" s="196"/>
      <c r="J41" s="1049"/>
      <c r="K41" s="1048"/>
      <c r="L41" s="1048"/>
    </row>
    <row r="42">
      <c r="H42" s="1049"/>
      <c r="I42" s="196">
        <v>-1.0068545859971774</v>
      </c>
      <c r="J42" s="1049"/>
      <c r="K42" s="1048"/>
      <c r="L42" s="1048"/>
    </row>
    <row r="43">
      <c r="A43" s="968"/>
      <c r="B43" s="968"/>
      <c r="C43" s="969"/>
      <c r="D43" s="958"/>
      <c r="E43" s="959"/>
      <c r="F43" s="53" t="s">
        <v>886</v>
      </c>
      <c r="G43" s="646">
        <f>Sum(G36:G40)</f>
        <v>7049.85</v>
      </c>
      <c r="H43" s="53" t="s">
        <v>886</v>
      </c>
      <c r="I43" s="200">
        <f>Sum(I36:I40)</f>
        <v>1.201418717</v>
      </c>
      <c r="J43" s="53" t="s">
        <v>887</v>
      </c>
      <c r="K43" s="1050"/>
      <c r="L43" s="1050">
        <f>G43/I43</f>
        <v>5867.937546</v>
      </c>
    </row>
    <row r="44">
      <c r="A44" s="53"/>
      <c r="B44" s="53" t="s">
        <v>888</v>
      </c>
      <c r="C44" s="646">
        <f>F32-Sum(G37:G40)</f>
        <v>1249.85</v>
      </c>
      <c r="D44" s="1051" t="s">
        <v>889</v>
      </c>
      <c r="E44" s="959"/>
    </row>
    <row r="45">
      <c r="D45" s="958"/>
      <c r="E45" s="959"/>
    </row>
    <row r="46">
      <c r="A46" s="968"/>
      <c r="B46" s="968"/>
      <c r="D46" s="958"/>
      <c r="E46" s="959"/>
    </row>
    <row r="47">
      <c r="A47" s="968"/>
      <c r="B47" s="968"/>
      <c r="D47" s="958"/>
      <c r="E47" s="959"/>
    </row>
    <row r="48">
      <c r="A48" s="955"/>
      <c r="B48" s="1052" t="s">
        <v>890</v>
      </c>
      <c r="C48" s="957"/>
      <c r="D48" s="958"/>
      <c r="E48" s="1053" t="s">
        <v>9</v>
      </c>
    </row>
    <row r="49">
      <c r="A49" s="53">
        <v>0.0</v>
      </c>
      <c r="B49" s="53" t="s">
        <v>891</v>
      </c>
      <c r="C49" s="1054">
        <v>7049.85</v>
      </c>
      <c r="D49" s="53" t="s">
        <v>892</v>
      </c>
    </row>
    <row r="50">
      <c r="A50" s="53">
        <v>1.0</v>
      </c>
      <c r="B50" s="1055" t="s">
        <v>893</v>
      </c>
      <c r="C50" s="1054">
        <v>178751.0</v>
      </c>
      <c r="D50" s="1051" t="s">
        <v>892</v>
      </c>
      <c r="E50" s="1056">
        <v>1.068</v>
      </c>
    </row>
    <row r="51">
      <c r="A51" s="1057">
        <v>2.0</v>
      </c>
      <c r="B51" s="1058">
        <v>45006.64384336806</v>
      </c>
      <c r="C51" s="1059">
        <v>60000.0</v>
      </c>
      <c r="D51" s="1060" t="s">
        <v>892</v>
      </c>
      <c r="E51" s="1061">
        <v>1.0769</v>
      </c>
      <c r="J51" s="772" t="s">
        <v>894</v>
      </c>
    </row>
    <row r="52">
      <c r="A52" s="1057">
        <v>3.0</v>
      </c>
      <c r="B52" s="1062" t="s">
        <v>895</v>
      </c>
      <c r="C52" s="1059">
        <v>98000.0</v>
      </c>
      <c r="D52" s="1060" t="s">
        <v>896</v>
      </c>
      <c r="E52" s="1063"/>
      <c r="O52" s="53" t="s">
        <v>897</v>
      </c>
    </row>
    <row r="53">
      <c r="A53" s="968"/>
      <c r="B53" s="1064"/>
      <c r="C53" s="1065"/>
      <c r="D53" s="958"/>
      <c r="E53" s="980"/>
      <c r="J53" s="53" t="s">
        <v>898</v>
      </c>
      <c r="O53" s="53" t="s">
        <v>899</v>
      </c>
    </row>
    <row r="54">
      <c r="A54" s="968"/>
      <c r="B54" s="1064"/>
      <c r="C54" s="1065"/>
      <c r="D54" s="958"/>
      <c r="E54" s="980"/>
      <c r="K54" s="53" t="s">
        <v>900</v>
      </c>
      <c r="L54" s="53" t="s">
        <v>883</v>
      </c>
      <c r="M54" s="53" t="s">
        <v>901</v>
      </c>
    </row>
    <row r="55">
      <c r="A55" s="968"/>
      <c r="B55" s="1064"/>
      <c r="C55" s="1065"/>
      <c r="D55" s="958"/>
      <c r="E55" s="980"/>
      <c r="J55" s="53" t="s">
        <v>902</v>
      </c>
      <c r="L55" s="53">
        <v>6000.0</v>
      </c>
    </row>
    <row r="56">
      <c r="A56" s="1066"/>
      <c r="B56" s="1067"/>
      <c r="C56" s="1068"/>
      <c r="D56" s="958"/>
      <c r="E56" s="980"/>
      <c r="J56" s="53" t="s">
        <v>903</v>
      </c>
      <c r="K56" s="53">
        <v>3000.0</v>
      </c>
      <c r="L56" s="53"/>
    </row>
    <row r="57">
      <c r="A57" s="955"/>
      <c r="B57" s="1052" t="s">
        <v>904</v>
      </c>
      <c r="C57" s="957"/>
      <c r="D57" s="958"/>
      <c r="E57" s="980"/>
      <c r="J57" s="53" t="s">
        <v>905</v>
      </c>
      <c r="L57" s="53">
        <v>10000.0</v>
      </c>
    </row>
    <row r="58">
      <c r="A58" s="53">
        <v>1.0</v>
      </c>
      <c r="B58" s="1055" t="s">
        <v>906</v>
      </c>
      <c r="C58" s="1069">
        <v>4999.0</v>
      </c>
      <c r="D58" s="1051" t="s">
        <v>892</v>
      </c>
      <c r="E58" s="1056" t="s">
        <v>907</v>
      </c>
      <c r="J58" s="53" t="s">
        <v>896</v>
      </c>
      <c r="K58" s="53">
        <v>101877.0</v>
      </c>
    </row>
    <row r="59">
      <c r="A59" s="53">
        <v>2.0</v>
      </c>
      <c r="B59" s="1055" t="s">
        <v>908</v>
      </c>
      <c r="C59" s="1069">
        <v>4999.0</v>
      </c>
      <c r="D59" s="1051" t="s">
        <v>892</v>
      </c>
      <c r="E59" s="1056" t="s">
        <v>907</v>
      </c>
      <c r="J59" s="53" t="s">
        <v>909</v>
      </c>
      <c r="L59" s="53">
        <v>12000.0</v>
      </c>
    </row>
    <row r="60">
      <c r="A60" s="53">
        <v>3.0</v>
      </c>
      <c r="B60" s="1055" t="s">
        <v>910</v>
      </c>
      <c r="C60" s="1069">
        <v>4999.0</v>
      </c>
      <c r="D60" s="1051" t="s">
        <v>892</v>
      </c>
      <c r="E60" s="1056" t="s">
        <v>907</v>
      </c>
      <c r="J60" s="53" t="s">
        <v>911</v>
      </c>
      <c r="K60" s="1070">
        <v>10000.0</v>
      </c>
      <c r="L60" s="1071"/>
    </row>
    <row r="61">
      <c r="A61" s="53">
        <v>4.0</v>
      </c>
      <c r="B61" s="1055" t="s">
        <v>912</v>
      </c>
      <c r="C61" s="1069">
        <v>4999.0</v>
      </c>
      <c r="D61" s="1051" t="s">
        <v>892</v>
      </c>
      <c r="E61" s="1056" t="s">
        <v>907</v>
      </c>
      <c r="J61" s="36"/>
      <c r="K61" s="36">
        <f t="shared" ref="K61:L61" si="29">SUM(K55:K60)</f>
        <v>114877</v>
      </c>
      <c r="L61" s="36">
        <f t="shared" si="29"/>
        <v>28000</v>
      </c>
      <c r="M61" s="979">
        <f>K61-L61</f>
        <v>86877</v>
      </c>
      <c r="N61" s="189">
        <f>M61*IntelligentData!I1</f>
        <v>89913.74689</v>
      </c>
    </row>
    <row r="62">
      <c r="A62" s="53">
        <v>5.0</v>
      </c>
      <c r="B62" s="1072">
        <v>45055.0</v>
      </c>
      <c r="C62" s="1069">
        <v>10000.0</v>
      </c>
      <c r="D62" s="1051" t="s">
        <v>892</v>
      </c>
      <c r="E62" s="1056" t="s">
        <v>907</v>
      </c>
      <c r="N62" s="200">
        <f>N61/IntelligentData!C4</f>
        <v>0.9346264904</v>
      </c>
    </row>
    <row r="63">
      <c r="A63" s="53">
        <v>6.0</v>
      </c>
      <c r="B63" s="1072">
        <v>45208.0</v>
      </c>
      <c r="C63" s="53">
        <v>10000.0</v>
      </c>
      <c r="D63" s="1051" t="s">
        <v>896</v>
      </c>
      <c r="E63" s="1056" t="s">
        <v>907</v>
      </c>
      <c r="J63" s="772" t="s">
        <v>913</v>
      </c>
    </row>
    <row r="64">
      <c r="A64" s="1073">
        <v>7.0</v>
      </c>
      <c r="B64" s="1074" t="s">
        <v>914</v>
      </c>
      <c r="C64" s="1073">
        <v>50000.0</v>
      </c>
      <c r="D64" s="1075" t="s">
        <v>892</v>
      </c>
      <c r="E64" s="1076" t="s">
        <v>907</v>
      </c>
      <c r="F64" s="53" t="s">
        <v>915</v>
      </c>
      <c r="J64" s="53" t="s">
        <v>916</v>
      </c>
    </row>
    <row r="65">
      <c r="A65" s="1073">
        <v>8.0</v>
      </c>
      <c r="B65" s="1074" t="s">
        <v>914</v>
      </c>
      <c r="C65" s="1073">
        <v>-50000.0</v>
      </c>
      <c r="D65" s="1075" t="s">
        <v>892</v>
      </c>
      <c r="E65" s="1076" t="s">
        <v>907</v>
      </c>
      <c r="F65" s="53" t="s">
        <v>915</v>
      </c>
      <c r="J65" s="53" t="s">
        <v>917</v>
      </c>
      <c r="K65" s="1077">
        <v>45209.0</v>
      </c>
    </row>
    <row r="66">
      <c r="A66" s="53">
        <v>9.0</v>
      </c>
      <c r="B66" s="53" t="s">
        <v>918</v>
      </c>
      <c r="C66" s="53">
        <v>10000.0</v>
      </c>
      <c r="D66" s="1051" t="s">
        <v>892</v>
      </c>
      <c r="E66" s="1056" t="s">
        <v>907</v>
      </c>
      <c r="J66" s="53" t="s">
        <v>919</v>
      </c>
      <c r="K66" s="859">
        <v>45206.0</v>
      </c>
      <c r="L66" s="53" t="s">
        <v>920</v>
      </c>
    </row>
    <row r="67">
      <c r="A67" s="53">
        <v>10.0</v>
      </c>
      <c r="B67" s="53" t="s">
        <v>921</v>
      </c>
      <c r="C67" s="53">
        <v>10000.0</v>
      </c>
      <c r="D67" s="1051" t="s">
        <v>892</v>
      </c>
      <c r="E67" s="1056" t="s">
        <v>907</v>
      </c>
      <c r="H67" s="36"/>
      <c r="J67" s="53" t="s">
        <v>922</v>
      </c>
      <c r="K67" s="53">
        <v>9.0</v>
      </c>
      <c r="L67" s="979">
        <f>M61/K67</f>
        <v>9653</v>
      </c>
      <c r="M67" s="1078">
        <f>L67*IntelligentData!I1</f>
        <v>9990.416321</v>
      </c>
      <c r="N67" s="200">
        <f>M67/IntelligentData!$C$4</f>
        <v>0.1038473878</v>
      </c>
    </row>
    <row r="68">
      <c r="A68" s="968"/>
      <c r="B68" s="968"/>
      <c r="D68" s="958"/>
      <c r="E68" s="980"/>
      <c r="N68" s="200"/>
    </row>
    <row r="69">
      <c r="A69" s="968"/>
      <c r="B69" s="968"/>
      <c r="D69" s="958"/>
      <c r="E69" s="980"/>
      <c r="N69" s="200"/>
    </row>
    <row r="70">
      <c r="A70" s="968"/>
      <c r="B70" s="968"/>
      <c r="C70" s="1065">
        <f>SUM(C58:C69)</f>
        <v>59996</v>
      </c>
      <c r="D70" s="958"/>
      <c r="E70" s="980"/>
      <c r="N70" s="200"/>
    </row>
    <row r="71">
      <c r="A71" s="968"/>
      <c r="B71" s="968"/>
      <c r="D71" s="958"/>
      <c r="E71" s="959"/>
      <c r="N71" s="200"/>
    </row>
    <row r="72">
      <c r="A72" s="968"/>
      <c r="B72" s="968"/>
      <c r="D72" s="958"/>
      <c r="E72" s="959"/>
      <c r="N72" s="200"/>
    </row>
    <row r="73">
      <c r="A73" s="968"/>
      <c r="B73" s="968"/>
      <c r="D73" s="958"/>
      <c r="E73" s="959"/>
      <c r="N73" s="200"/>
    </row>
    <row r="74">
      <c r="A74" s="968"/>
      <c r="B74" s="968"/>
      <c r="D74" s="958"/>
      <c r="E74" s="959"/>
    </row>
    <row r="75">
      <c r="A75" s="968"/>
      <c r="B75" s="968"/>
      <c r="D75" s="958"/>
      <c r="E75" s="959"/>
    </row>
    <row r="76">
      <c r="A76" s="968"/>
      <c r="B76" s="968"/>
      <c r="D76" s="958"/>
      <c r="E76" s="959"/>
    </row>
    <row r="77">
      <c r="A77" s="968"/>
      <c r="B77" s="968"/>
      <c r="D77" s="958"/>
      <c r="E77" s="959"/>
    </row>
    <row r="78">
      <c r="A78" s="968"/>
      <c r="B78" s="968"/>
      <c r="D78" s="958"/>
      <c r="E78" s="959"/>
    </row>
    <row r="79">
      <c r="A79" s="968"/>
      <c r="B79" s="968"/>
      <c r="D79" s="958"/>
      <c r="E79" s="959"/>
    </row>
    <row r="80">
      <c r="A80" s="968"/>
      <c r="B80" s="968"/>
      <c r="D80" s="958"/>
      <c r="E80" s="959"/>
    </row>
    <row r="81">
      <c r="A81" s="968"/>
      <c r="B81" s="968"/>
      <c r="D81" s="958"/>
      <c r="E81" s="959"/>
    </row>
    <row r="82">
      <c r="A82" s="968"/>
      <c r="B82" s="968"/>
      <c r="D82" s="958"/>
      <c r="E82" s="959"/>
    </row>
    <row r="83">
      <c r="A83" s="968"/>
      <c r="B83" s="968"/>
      <c r="D83" s="958"/>
      <c r="E83" s="959"/>
    </row>
    <row r="84">
      <c r="A84" s="968"/>
      <c r="B84" s="968"/>
      <c r="D84" s="958"/>
      <c r="E84" s="959"/>
    </row>
    <row r="85">
      <c r="A85" s="968"/>
      <c r="B85" s="968"/>
      <c r="D85" s="958"/>
      <c r="E85" s="959"/>
    </row>
    <row r="86">
      <c r="A86" s="968"/>
      <c r="B86" s="968"/>
      <c r="D86" s="958"/>
      <c r="E86" s="959"/>
    </row>
    <row r="87">
      <c r="A87" s="968"/>
      <c r="B87" s="968"/>
      <c r="D87" s="958"/>
      <c r="E87" s="959"/>
    </row>
    <row r="88">
      <c r="A88" s="968"/>
      <c r="B88" s="968"/>
      <c r="D88" s="958"/>
      <c r="E88" s="959"/>
    </row>
    <row r="89">
      <c r="A89" s="968"/>
      <c r="B89" s="968"/>
      <c r="D89" s="958"/>
      <c r="E89" s="959"/>
    </row>
    <row r="90">
      <c r="A90" s="968"/>
      <c r="B90" s="968"/>
      <c r="D90" s="958"/>
      <c r="E90" s="959"/>
    </row>
    <row r="91">
      <c r="A91" s="968"/>
      <c r="B91" s="968"/>
      <c r="D91" s="958"/>
      <c r="E91" s="959"/>
    </row>
    <row r="92">
      <c r="A92" s="968"/>
      <c r="B92" s="968"/>
      <c r="D92" s="958"/>
      <c r="E92" s="959"/>
    </row>
    <row r="93">
      <c r="A93" s="968"/>
      <c r="B93" s="968"/>
      <c r="D93" s="958"/>
      <c r="E93" s="959"/>
    </row>
    <row r="94">
      <c r="A94" s="968"/>
      <c r="B94" s="968"/>
      <c r="D94" s="958"/>
      <c r="E94" s="959"/>
    </row>
    <row r="95">
      <c r="A95" s="968"/>
      <c r="B95" s="968"/>
      <c r="D95" s="958"/>
      <c r="E95" s="959"/>
    </row>
    <row r="96">
      <c r="A96" s="968"/>
      <c r="B96" s="968"/>
      <c r="D96" s="958"/>
      <c r="E96" s="959"/>
    </row>
    <row r="97">
      <c r="A97" s="968"/>
      <c r="B97" s="968"/>
      <c r="D97" s="958"/>
      <c r="E97" s="959"/>
    </row>
    <row r="98">
      <c r="A98" s="968"/>
      <c r="B98" s="968"/>
      <c r="D98" s="958"/>
      <c r="E98" s="959"/>
    </row>
    <row r="99">
      <c r="A99" s="968"/>
      <c r="B99" s="968"/>
      <c r="D99" s="958"/>
      <c r="E99" s="959"/>
    </row>
    <row r="100">
      <c r="A100" s="968"/>
      <c r="B100" s="968"/>
      <c r="D100" s="958"/>
      <c r="E100" s="959"/>
    </row>
    <row r="101">
      <c r="A101" s="968"/>
      <c r="B101" s="968"/>
      <c r="D101" s="958"/>
      <c r="E101" s="959"/>
    </row>
    <row r="102">
      <c r="A102" s="968"/>
      <c r="B102" s="968"/>
      <c r="D102" s="958"/>
      <c r="E102" s="959"/>
    </row>
    <row r="103">
      <c r="A103" s="968"/>
      <c r="B103" s="968"/>
      <c r="D103" s="958"/>
      <c r="E103" s="959"/>
    </row>
    <row r="104">
      <c r="A104" s="968"/>
      <c r="B104" s="968"/>
      <c r="D104" s="958"/>
      <c r="E104" s="959"/>
    </row>
    <row r="105">
      <c r="A105" s="968"/>
      <c r="B105" s="968"/>
      <c r="D105" s="958"/>
      <c r="E105" s="959"/>
    </row>
    <row r="106">
      <c r="A106" s="968"/>
      <c r="B106" s="968"/>
      <c r="D106" s="958"/>
      <c r="E106" s="959"/>
    </row>
    <row r="107">
      <c r="A107" s="968"/>
      <c r="B107" s="968"/>
      <c r="D107" s="958"/>
      <c r="E107" s="959"/>
    </row>
    <row r="108">
      <c r="A108" s="968"/>
      <c r="B108" s="968"/>
      <c r="D108" s="958"/>
      <c r="E108" s="959"/>
    </row>
    <row r="109">
      <c r="A109" s="968"/>
      <c r="B109" s="968"/>
      <c r="D109" s="958"/>
      <c r="E109" s="959"/>
    </row>
    <row r="110">
      <c r="A110" s="968"/>
      <c r="B110" s="968"/>
      <c r="D110" s="958"/>
      <c r="E110" s="959"/>
    </row>
    <row r="111">
      <c r="A111" s="968"/>
      <c r="B111" s="968"/>
      <c r="D111" s="958"/>
      <c r="E111" s="959"/>
    </row>
    <row r="112">
      <c r="A112" s="968"/>
      <c r="B112" s="968"/>
      <c r="D112" s="958"/>
      <c r="E112" s="959"/>
    </row>
    <row r="113">
      <c r="A113" s="968"/>
      <c r="B113" s="968"/>
      <c r="D113" s="958"/>
      <c r="E113" s="959"/>
    </row>
    <row r="114">
      <c r="A114" s="968"/>
      <c r="B114" s="968"/>
      <c r="D114" s="958"/>
      <c r="E114" s="959"/>
    </row>
    <row r="115">
      <c r="A115" s="968"/>
      <c r="B115" s="968"/>
      <c r="D115" s="958"/>
      <c r="E115" s="959"/>
    </row>
    <row r="116">
      <c r="A116" s="968"/>
      <c r="B116" s="968"/>
      <c r="D116" s="958"/>
      <c r="E116" s="959"/>
    </row>
    <row r="117">
      <c r="A117" s="968"/>
      <c r="B117" s="968"/>
      <c r="D117" s="958"/>
      <c r="E117" s="959"/>
    </row>
    <row r="118">
      <c r="A118" s="968"/>
      <c r="B118" s="968"/>
      <c r="D118" s="958"/>
      <c r="E118" s="959"/>
    </row>
    <row r="119">
      <c r="A119" s="968"/>
      <c r="B119" s="968"/>
      <c r="D119" s="958"/>
      <c r="E119" s="959"/>
    </row>
    <row r="120">
      <c r="A120" s="968"/>
      <c r="B120" s="968"/>
      <c r="D120" s="958"/>
      <c r="E120" s="959"/>
    </row>
    <row r="121">
      <c r="A121" s="968"/>
      <c r="B121" s="968"/>
      <c r="D121" s="958"/>
      <c r="E121" s="959"/>
    </row>
    <row r="122">
      <c r="A122" s="968"/>
      <c r="B122" s="968"/>
      <c r="D122" s="958"/>
      <c r="E122" s="959"/>
    </row>
    <row r="123">
      <c r="A123" s="968"/>
      <c r="B123" s="968"/>
      <c r="D123" s="958"/>
      <c r="E123" s="959"/>
    </row>
    <row r="124">
      <c r="A124" s="968"/>
      <c r="B124" s="968"/>
      <c r="D124" s="958"/>
      <c r="E124" s="959"/>
    </row>
    <row r="125">
      <c r="A125" s="968"/>
      <c r="B125" s="968"/>
      <c r="D125" s="958"/>
      <c r="E125" s="959"/>
    </row>
    <row r="126">
      <c r="A126" s="968"/>
      <c r="B126" s="968"/>
      <c r="D126" s="958"/>
      <c r="E126" s="959"/>
    </row>
    <row r="127">
      <c r="A127" s="968"/>
      <c r="B127" s="968"/>
      <c r="D127" s="958"/>
      <c r="E127" s="959"/>
    </row>
    <row r="128">
      <c r="A128" s="968"/>
      <c r="B128" s="968"/>
      <c r="D128" s="958"/>
      <c r="E128" s="959"/>
    </row>
    <row r="129">
      <c r="A129" s="968"/>
      <c r="B129" s="968"/>
      <c r="D129" s="958"/>
      <c r="E129" s="959"/>
    </row>
    <row r="130">
      <c r="A130" s="968"/>
      <c r="B130" s="968"/>
      <c r="D130" s="958"/>
      <c r="E130" s="959"/>
    </row>
    <row r="131">
      <c r="A131" s="968"/>
      <c r="B131" s="968"/>
      <c r="D131" s="958"/>
      <c r="E131" s="959"/>
    </row>
    <row r="132">
      <c r="A132" s="968"/>
      <c r="B132" s="968"/>
      <c r="D132" s="958"/>
      <c r="E132" s="959"/>
    </row>
    <row r="133">
      <c r="A133" s="968"/>
      <c r="B133" s="968"/>
      <c r="D133" s="958"/>
      <c r="E133" s="959"/>
    </row>
    <row r="134">
      <c r="A134" s="968"/>
      <c r="B134" s="968"/>
      <c r="D134" s="958"/>
      <c r="E134" s="959"/>
    </row>
    <row r="135">
      <c r="A135" s="968"/>
      <c r="B135" s="968"/>
      <c r="D135" s="958"/>
      <c r="E135" s="959"/>
    </row>
    <row r="136">
      <c r="A136" s="968"/>
      <c r="B136" s="968"/>
      <c r="D136" s="958"/>
      <c r="E136" s="959"/>
    </row>
    <row r="137">
      <c r="A137" s="968"/>
      <c r="B137" s="968"/>
      <c r="D137" s="958"/>
      <c r="E137" s="959"/>
    </row>
    <row r="138">
      <c r="A138" s="968"/>
      <c r="B138" s="968"/>
      <c r="D138" s="958"/>
      <c r="E138" s="959"/>
    </row>
    <row r="139">
      <c r="A139" s="968"/>
      <c r="B139" s="968"/>
      <c r="D139" s="958"/>
      <c r="E139" s="959"/>
    </row>
    <row r="140">
      <c r="A140" s="968"/>
      <c r="B140" s="968"/>
      <c r="D140" s="958"/>
      <c r="E140" s="959"/>
    </row>
    <row r="141">
      <c r="A141" s="968"/>
      <c r="B141" s="968"/>
      <c r="D141" s="958"/>
      <c r="E141" s="959"/>
    </row>
    <row r="142">
      <c r="A142" s="968"/>
      <c r="B142" s="968"/>
      <c r="D142" s="958"/>
      <c r="E142" s="959"/>
    </row>
    <row r="143">
      <c r="A143" s="968"/>
      <c r="B143" s="968"/>
      <c r="D143" s="958"/>
      <c r="E143" s="959"/>
    </row>
    <row r="144">
      <c r="A144" s="968"/>
      <c r="B144" s="968"/>
      <c r="D144" s="958"/>
      <c r="E144" s="959"/>
    </row>
    <row r="145">
      <c r="A145" s="968"/>
      <c r="B145" s="968"/>
      <c r="D145" s="958"/>
      <c r="E145" s="959"/>
    </row>
    <row r="146">
      <c r="A146" s="968"/>
      <c r="B146" s="968"/>
      <c r="D146" s="958"/>
      <c r="E146" s="959"/>
    </row>
    <row r="147">
      <c r="A147" s="968"/>
      <c r="B147" s="968"/>
      <c r="D147" s="958"/>
      <c r="E147" s="959"/>
    </row>
    <row r="148">
      <c r="A148" s="968"/>
      <c r="B148" s="968"/>
      <c r="D148" s="958"/>
      <c r="E148" s="959"/>
    </row>
    <row r="149">
      <c r="A149" s="968"/>
      <c r="B149" s="968"/>
      <c r="D149" s="958"/>
      <c r="E149" s="959"/>
    </row>
    <row r="150">
      <c r="A150" s="968"/>
      <c r="B150" s="968"/>
      <c r="D150" s="958"/>
      <c r="E150" s="959"/>
    </row>
    <row r="151">
      <c r="A151" s="968"/>
      <c r="B151" s="968"/>
      <c r="D151" s="958"/>
      <c r="E151" s="959"/>
    </row>
    <row r="152">
      <c r="A152" s="968"/>
      <c r="B152" s="968"/>
      <c r="D152" s="958"/>
      <c r="E152" s="959"/>
    </row>
    <row r="153">
      <c r="A153" s="968"/>
      <c r="B153" s="968"/>
      <c r="D153" s="958"/>
      <c r="E153" s="959"/>
    </row>
    <row r="154">
      <c r="A154" s="968"/>
      <c r="B154" s="968"/>
      <c r="D154" s="958"/>
      <c r="E154" s="959"/>
    </row>
    <row r="155">
      <c r="A155" s="968"/>
      <c r="B155" s="968"/>
      <c r="D155" s="958"/>
      <c r="E155" s="959"/>
    </row>
    <row r="156">
      <c r="A156" s="968"/>
      <c r="B156" s="968"/>
      <c r="D156" s="958"/>
      <c r="E156" s="959"/>
    </row>
    <row r="157">
      <c r="A157" s="968"/>
      <c r="B157" s="968"/>
      <c r="D157" s="958"/>
      <c r="E157" s="959"/>
    </row>
    <row r="158">
      <c r="A158" s="968"/>
      <c r="B158" s="968"/>
      <c r="D158" s="958"/>
      <c r="E158" s="959"/>
    </row>
    <row r="159">
      <c r="A159" s="968"/>
      <c r="B159" s="968"/>
      <c r="D159" s="958"/>
      <c r="E159" s="959"/>
    </row>
    <row r="160">
      <c r="A160" s="968"/>
      <c r="B160" s="968"/>
      <c r="D160" s="958"/>
      <c r="E160" s="959"/>
    </row>
    <row r="161">
      <c r="A161" s="968"/>
      <c r="B161" s="968"/>
      <c r="D161" s="958"/>
      <c r="E161" s="959"/>
    </row>
    <row r="162">
      <c r="A162" s="968"/>
      <c r="B162" s="968"/>
      <c r="D162" s="958"/>
      <c r="E162" s="959"/>
    </row>
    <row r="163">
      <c r="A163" s="968"/>
      <c r="B163" s="968"/>
      <c r="D163" s="958"/>
      <c r="E163" s="959"/>
    </row>
    <row r="164">
      <c r="A164" s="968"/>
      <c r="B164" s="968"/>
      <c r="D164" s="958"/>
      <c r="E164" s="959"/>
    </row>
    <row r="165">
      <c r="A165" s="968"/>
      <c r="B165" s="968"/>
      <c r="D165" s="958"/>
      <c r="E165" s="959"/>
    </row>
    <row r="166">
      <c r="A166" s="968"/>
      <c r="B166" s="968"/>
      <c r="D166" s="958"/>
      <c r="E166" s="959"/>
    </row>
    <row r="167">
      <c r="A167" s="968"/>
      <c r="B167" s="968"/>
      <c r="D167" s="958"/>
      <c r="E167" s="959"/>
    </row>
    <row r="168">
      <c r="A168" s="968"/>
      <c r="B168" s="968"/>
      <c r="D168" s="958"/>
      <c r="E168" s="959"/>
    </row>
    <row r="169">
      <c r="A169" s="968"/>
      <c r="B169" s="968"/>
      <c r="D169" s="958"/>
      <c r="E169" s="959"/>
    </row>
    <row r="170">
      <c r="A170" s="968"/>
      <c r="B170" s="968"/>
      <c r="D170" s="958"/>
      <c r="E170" s="959"/>
    </row>
    <row r="171">
      <c r="A171" s="968"/>
      <c r="B171" s="968"/>
      <c r="D171" s="958"/>
      <c r="E171" s="959"/>
    </row>
    <row r="172">
      <c r="A172" s="968"/>
      <c r="B172" s="968"/>
      <c r="D172" s="958"/>
      <c r="E172" s="959"/>
    </row>
    <row r="173">
      <c r="A173" s="968"/>
      <c r="B173" s="968"/>
      <c r="D173" s="958"/>
      <c r="E173" s="959"/>
    </row>
    <row r="174">
      <c r="A174" s="968"/>
      <c r="B174" s="968"/>
      <c r="D174" s="958"/>
      <c r="E174" s="959"/>
    </row>
    <row r="175">
      <c r="A175" s="968"/>
      <c r="B175" s="968"/>
      <c r="D175" s="958"/>
      <c r="E175" s="959"/>
    </row>
    <row r="176">
      <c r="A176" s="968"/>
      <c r="B176" s="968"/>
      <c r="D176" s="958"/>
      <c r="E176" s="959"/>
    </row>
    <row r="177">
      <c r="A177" s="968"/>
      <c r="B177" s="968"/>
      <c r="D177" s="958"/>
      <c r="E177" s="959"/>
    </row>
    <row r="178">
      <c r="A178" s="968"/>
      <c r="B178" s="968"/>
      <c r="D178" s="958"/>
      <c r="E178" s="959"/>
    </row>
    <row r="179">
      <c r="A179" s="968"/>
      <c r="B179" s="968"/>
      <c r="D179" s="958"/>
      <c r="E179" s="959"/>
    </row>
    <row r="180">
      <c r="A180" s="968"/>
      <c r="B180" s="968"/>
      <c r="D180" s="958"/>
      <c r="E180" s="959"/>
    </row>
    <row r="181">
      <c r="A181" s="968"/>
      <c r="B181" s="968"/>
      <c r="D181" s="958"/>
      <c r="E181" s="959"/>
    </row>
    <row r="182">
      <c r="A182" s="968"/>
      <c r="B182" s="968"/>
      <c r="D182" s="958"/>
      <c r="E182" s="959"/>
    </row>
    <row r="183">
      <c r="A183" s="968"/>
      <c r="B183" s="968"/>
      <c r="D183" s="958"/>
      <c r="E183" s="959"/>
    </row>
    <row r="184">
      <c r="A184" s="968"/>
      <c r="B184" s="968"/>
      <c r="D184" s="958"/>
      <c r="E184" s="959"/>
    </row>
    <row r="185">
      <c r="A185" s="968"/>
      <c r="B185" s="968"/>
      <c r="D185" s="958"/>
      <c r="E185" s="959"/>
    </row>
    <row r="186">
      <c r="A186" s="968"/>
      <c r="B186" s="968"/>
      <c r="D186" s="958"/>
      <c r="E186" s="959"/>
    </row>
    <row r="187">
      <c r="A187" s="968"/>
      <c r="B187" s="968"/>
      <c r="D187" s="958"/>
      <c r="E187" s="959"/>
    </row>
    <row r="188">
      <c r="A188" s="968"/>
      <c r="B188" s="968"/>
      <c r="D188" s="958"/>
      <c r="E188" s="959"/>
    </row>
    <row r="189">
      <c r="A189" s="968"/>
      <c r="B189" s="968"/>
      <c r="D189" s="958"/>
      <c r="E189" s="959"/>
    </row>
    <row r="190">
      <c r="A190" s="968"/>
      <c r="B190" s="968"/>
      <c r="D190" s="958"/>
      <c r="E190" s="959"/>
    </row>
    <row r="191">
      <c r="A191" s="968"/>
      <c r="B191" s="968"/>
      <c r="D191" s="958"/>
      <c r="E191" s="959"/>
    </row>
    <row r="192">
      <c r="A192" s="968"/>
      <c r="B192" s="968"/>
      <c r="D192" s="958"/>
      <c r="E192" s="959"/>
    </row>
    <row r="193">
      <c r="A193" s="968"/>
      <c r="B193" s="968"/>
      <c r="D193" s="958"/>
      <c r="E193" s="959"/>
    </row>
    <row r="194">
      <c r="A194" s="968"/>
      <c r="B194" s="968"/>
      <c r="D194" s="958"/>
      <c r="E194" s="959"/>
    </row>
    <row r="195">
      <c r="A195" s="968"/>
      <c r="B195" s="968"/>
      <c r="D195" s="958"/>
      <c r="E195" s="959"/>
    </row>
    <row r="196">
      <c r="A196" s="968"/>
      <c r="B196" s="968"/>
      <c r="D196" s="958"/>
      <c r="E196" s="959"/>
    </row>
    <row r="197">
      <c r="A197" s="968"/>
      <c r="B197" s="968"/>
      <c r="D197" s="958"/>
      <c r="E197" s="959"/>
    </row>
    <row r="198">
      <c r="A198" s="968"/>
      <c r="B198" s="968"/>
      <c r="D198" s="958"/>
      <c r="E198" s="959"/>
    </row>
    <row r="199">
      <c r="A199" s="968"/>
      <c r="B199" s="968"/>
      <c r="D199" s="958"/>
      <c r="E199" s="959"/>
    </row>
    <row r="200">
      <c r="A200" s="968"/>
      <c r="B200" s="968"/>
      <c r="D200" s="958"/>
      <c r="E200" s="959"/>
    </row>
    <row r="201">
      <c r="A201" s="968"/>
      <c r="B201" s="968"/>
      <c r="D201" s="958"/>
      <c r="E201" s="959"/>
    </row>
    <row r="202">
      <c r="A202" s="968"/>
      <c r="B202" s="968"/>
      <c r="D202" s="958"/>
      <c r="E202" s="959"/>
    </row>
    <row r="203">
      <c r="A203" s="968"/>
      <c r="B203" s="968"/>
      <c r="D203" s="958"/>
      <c r="E203" s="959"/>
    </row>
    <row r="204">
      <c r="A204" s="968"/>
      <c r="B204" s="968"/>
      <c r="D204" s="958"/>
      <c r="E204" s="959"/>
    </row>
    <row r="205">
      <c r="A205" s="968"/>
      <c r="B205" s="968"/>
      <c r="D205" s="958"/>
      <c r="E205" s="959"/>
    </row>
    <row r="206">
      <c r="A206" s="968"/>
      <c r="B206" s="968"/>
      <c r="D206" s="958"/>
      <c r="E206" s="959"/>
    </row>
    <row r="207">
      <c r="A207" s="968"/>
      <c r="B207" s="968"/>
      <c r="D207" s="958"/>
      <c r="E207" s="959"/>
    </row>
    <row r="208">
      <c r="A208" s="968"/>
      <c r="B208" s="968"/>
      <c r="D208" s="958"/>
      <c r="E208" s="959"/>
    </row>
    <row r="209">
      <c r="A209" s="968"/>
      <c r="B209" s="968"/>
      <c r="D209" s="958"/>
      <c r="E209" s="959"/>
    </row>
    <row r="210">
      <c r="A210" s="968"/>
      <c r="B210" s="968"/>
      <c r="D210" s="958"/>
      <c r="E210" s="959"/>
    </row>
    <row r="211">
      <c r="A211" s="968"/>
      <c r="B211" s="968"/>
      <c r="D211" s="958"/>
      <c r="E211" s="959"/>
    </row>
    <row r="212">
      <c r="A212" s="968"/>
      <c r="B212" s="968"/>
      <c r="D212" s="958"/>
      <c r="E212" s="959"/>
    </row>
    <row r="213">
      <c r="A213" s="968"/>
      <c r="B213" s="968"/>
      <c r="D213" s="958"/>
      <c r="E213" s="959"/>
    </row>
    <row r="214">
      <c r="A214" s="968"/>
      <c r="B214" s="968"/>
      <c r="D214" s="958"/>
      <c r="E214" s="959"/>
    </row>
    <row r="215">
      <c r="A215" s="968"/>
      <c r="B215" s="968"/>
      <c r="D215" s="958"/>
      <c r="E215" s="959"/>
    </row>
    <row r="216">
      <c r="A216" s="968"/>
      <c r="B216" s="968"/>
      <c r="D216" s="958"/>
      <c r="E216" s="959"/>
    </row>
    <row r="217">
      <c r="A217" s="968"/>
      <c r="B217" s="968"/>
      <c r="D217" s="958"/>
      <c r="E217" s="959"/>
    </row>
    <row r="218">
      <c r="A218" s="968"/>
      <c r="B218" s="968"/>
      <c r="D218" s="958"/>
      <c r="E218" s="959"/>
    </row>
    <row r="219">
      <c r="A219" s="968"/>
      <c r="B219" s="968"/>
      <c r="D219" s="958"/>
      <c r="E219" s="959"/>
    </row>
    <row r="220">
      <c r="A220" s="968"/>
      <c r="B220" s="968"/>
      <c r="D220" s="958"/>
      <c r="E220" s="959"/>
    </row>
    <row r="221">
      <c r="A221" s="968"/>
      <c r="B221" s="968"/>
      <c r="D221" s="958"/>
      <c r="E221" s="959"/>
    </row>
    <row r="222">
      <c r="A222" s="968"/>
      <c r="B222" s="968"/>
      <c r="D222" s="958"/>
      <c r="E222" s="959"/>
    </row>
    <row r="223">
      <c r="A223" s="968"/>
      <c r="B223" s="968"/>
      <c r="D223" s="958"/>
      <c r="E223" s="959"/>
    </row>
    <row r="224">
      <c r="A224" s="968"/>
      <c r="B224" s="968"/>
      <c r="D224" s="958"/>
      <c r="E224" s="959"/>
    </row>
    <row r="225">
      <c r="A225" s="968"/>
      <c r="B225" s="968"/>
      <c r="D225" s="958"/>
      <c r="E225" s="959"/>
    </row>
    <row r="226">
      <c r="A226" s="968"/>
      <c r="B226" s="968"/>
      <c r="D226" s="958"/>
      <c r="E226" s="959"/>
    </row>
    <row r="227">
      <c r="A227" s="968"/>
      <c r="B227" s="968"/>
      <c r="D227" s="958"/>
      <c r="E227" s="959"/>
    </row>
    <row r="228">
      <c r="A228" s="968"/>
      <c r="B228" s="968"/>
      <c r="D228" s="958"/>
      <c r="E228" s="959"/>
    </row>
    <row r="229">
      <c r="A229" s="968"/>
      <c r="B229" s="968"/>
      <c r="D229" s="958"/>
      <c r="E229" s="959"/>
    </row>
    <row r="230">
      <c r="A230" s="968"/>
      <c r="B230" s="968"/>
      <c r="D230" s="958"/>
      <c r="E230" s="959"/>
    </row>
    <row r="231">
      <c r="A231" s="968"/>
      <c r="B231" s="968"/>
      <c r="D231" s="958"/>
      <c r="E231" s="959"/>
    </row>
    <row r="232">
      <c r="A232" s="968"/>
      <c r="B232" s="968"/>
      <c r="D232" s="958"/>
      <c r="E232" s="959"/>
    </row>
    <row r="233">
      <c r="A233" s="968"/>
      <c r="B233" s="968"/>
      <c r="D233" s="958"/>
      <c r="E233" s="959"/>
    </row>
    <row r="234">
      <c r="A234" s="968"/>
      <c r="B234" s="968"/>
      <c r="D234" s="958"/>
      <c r="E234" s="959"/>
    </row>
    <row r="235">
      <c r="A235" s="968"/>
      <c r="B235" s="968"/>
      <c r="D235" s="958"/>
      <c r="E235" s="959"/>
    </row>
    <row r="236">
      <c r="A236" s="968"/>
      <c r="B236" s="968"/>
      <c r="D236" s="958"/>
      <c r="E236" s="959"/>
    </row>
    <row r="237">
      <c r="A237" s="968"/>
      <c r="B237" s="968"/>
      <c r="D237" s="958"/>
      <c r="E237" s="959"/>
    </row>
    <row r="238">
      <c r="A238" s="968"/>
      <c r="B238" s="968"/>
      <c r="D238" s="958"/>
      <c r="E238" s="959"/>
    </row>
    <row r="239">
      <c r="A239" s="968"/>
      <c r="B239" s="968"/>
      <c r="D239" s="958"/>
      <c r="E239" s="959"/>
    </row>
    <row r="240">
      <c r="A240" s="968"/>
      <c r="B240" s="968"/>
      <c r="D240" s="958"/>
      <c r="E240" s="959"/>
    </row>
    <row r="241">
      <c r="A241" s="968"/>
      <c r="B241" s="968"/>
      <c r="D241" s="958"/>
      <c r="E241" s="959"/>
    </row>
    <row r="242">
      <c r="A242" s="968"/>
      <c r="B242" s="968"/>
      <c r="D242" s="958"/>
      <c r="E242" s="959"/>
    </row>
    <row r="243">
      <c r="A243" s="968"/>
      <c r="B243" s="968"/>
      <c r="D243" s="958"/>
      <c r="E243" s="959"/>
    </row>
    <row r="244">
      <c r="A244" s="968"/>
      <c r="B244" s="968"/>
      <c r="D244" s="958"/>
      <c r="E244" s="959"/>
    </row>
    <row r="245">
      <c r="A245" s="968"/>
      <c r="B245" s="968"/>
      <c r="D245" s="958"/>
      <c r="E245" s="959"/>
    </row>
    <row r="246">
      <c r="A246" s="968"/>
      <c r="B246" s="968"/>
      <c r="D246" s="958"/>
      <c r="E246" s="959"/>
    </row>
    <row r="247">
      <c r="A247" s="968"/>
      <c r="B247" s="968"/>
      <c r="D247" s="958"/>
      <c r="E247" s="959"/>
    </row>
    <row r="248">
      <c r="A248" s="968"/>
      <c r="B248" s="968"/>
      <c r="D248" s="958"/>
      <c r="E248" s="959"/>
    </row>
    <row r="249">
      <c r="A249" s="968"/>
      <c r="B249" s="968"/>
      <c r="D249" s="958"/>
      <c r="E249" s="959"/>
    </row>
    <row r="250">
      <c r="A250" s="968"/>
      <c r="B250" s="968"/>
      <c r="D250" s="958"/>
      <c r="E250" s="959"/>
    </row>
    <row r="251">
      <c r="A251" s="968"/>
      <c r="B251" s="968"/>
      <c r="D251" s="958"/>
      <c r="E251" s="959"/>
    </row>
    <row r="252">
      <c r="A252" s="968"/>
      <c r="B252" s="968"/>
      <c r="D252" s="958"/>
      <c r="E252" s="959"/>
    </row>
    <row r="253">
      <c r="A253" s="968"/>
      <c r="B253" s="968"/>
      <c r="D253" s="958"/>
      <c r="E253" s="959"/>
    </row>
    <row r="254">
      <c r="A254" s="968"/>
      <c r="B254" s="968"/>
      <c r="D254" s="958"/>
      <c r="E254" s="959"/>
    </row>
    <row r="255">
      <c r="A255" s="968"/>
      <c r="B255" s="968"/>
      <c r="D255" s="958"/>
      <c r="E255" s="959"/>
    </row>
    <row r="256">
      <c r="A256" s="968"/>
      <c r="B256" s="968"/>
      <c r="D256" s="958"/>
      <c r="E256" s="959"/>
    </row>
    <row r="257">
      <c r="A257" s="968"/>
      <c r="B257" s="968"/>
      <c r="D257" s="958"/>
      <c r="E257" s="959"/>
    </row>
    <row r="258">
      <c r="A258" s="968"/>
      <c r="B258" s="968"/>
      <c r="D258" s="958"/>
      <c r="E258" s="959"/>
    </row>
    <row r="259">
      <c r="A259" s="968"/>
      <c r="B259" s="968"/>
      <c r="D259" s="958"/>
      <c r="E259" s="959"/>
    </row>
    <row r="260">
      <c r="A260" s="968"/>
      <c r="B260" s="968"/>
      <c r="D260" s="958"/>
      <c r="E260" s="959"/>
    </row>
    <row r="261">
      <c r="A261" s="968"/>
      <c r="B261" s="968"/>
      <c r="D261" s="958"/>
      <c r="E261" s="959"/>
    </row>
    <row r="262">
      <c r="A262" s="968"/>
      <c r="B262" s="968"/>
      <c r="D262" s="958"/>
      <c r="E262" s="959"/>
    </row>
    <row r="263">
      <c r="A263" s="968"/>
      <c r="B263" s="968"/>
      <c r="D263" s="958"/>
      <c r="E263" s="959"/>
    </row>
    <row r="264">
      <c r="A264" s="968"/>
      <c r="B264" s="968"/>
      <c r="D264" s="958"/>
      <c r="E264" s="959"/>
    </row>
    <row r="265">
      <c r="A265" s="968"/>
      <c r="B265" s="968"/>
      <c r="D265" s="958"/>
      <c r="E265" s="959"/>
    </row>
    <row r="266">
      <c r="A266" s="968"/>
      <c r="B266" s="968"/>
      <c r="D266" s="958"/>
      <c r="E266" s="959"/>
    </row>
    <row r="267">
      <c r="A267" s="968"/>
      <c r="B267" s="968"/>
      <c r="D267" s="958"/>
      <c r="E267" s="959"/>
    </row>
    <row r="268">
      <c r="A268" s="968"/>
      <c r="B268" s="968"/>
      <c r="D268" s="958"/>
      <c r="E268" s="959"/>
    </row>
    <row r="269">
      <c r="A269" s="968"/>
      <c r="B269" s="968"/>
      <c r="D269" s="958"/>
      <c r="E269" s="959"/>
    </row>
    <row r="270">
      <c r="A270" s="968"/>
      <c r="B270" s="968"/>
      <c r="D270" s="958"/>
      <c r="E270" s="959"/>
    </row>
    <row r="271">
      <c r="A271" s="968"/>
      <c r="B271" s="968"/>
      <c r="D271" s="958"/>
      <c r="E271" s="959"/>
    </row>
    <row r="272">
      <c r="A272" s="968"/>
      <c r="B272" s="968"/>
      <c r="D272" s="958"/>
      <c r="E272" s="959"/>
    </row>
    <row r="273">
      <c r="A273" s="968"/>
      <c r="B273" s="968"/>
      <c r="D273" s="958"/>
      <c r="E273" s="959"/>
    </row>
    <row r="274">
      <c r="A274" s="968"/>
      <c r="B274" s="968"/>
      <c r="D274" s="958"/>
      <c r="E274" s="959"/>
    </row>
    <row r="275">
      <c r="A275" s="968"/>
      <c r="B275" s="968"/>
      <c r="D275" s="958"/>
      <c r="E275" s="959"/>
    </row>
    <row r="276">
      <c r="A276" s="968"/>
      <c r="B276" s="968"/>
      <c r="D276" s="958"/>
      <c r="E276" s="959"/>
    </row>
    <row r="277">
      <c r="A277" s="968"/>
      <c r="B277" s="968"/>
      <c r="D277" s="958"/>
      <c r="E277" s="959"/>
    </row>
    <row r="278">
      <c r="A278" s="968"/>
      <c r="B278" s="968"/>
      <c r="D278" s="958"/>
      <c r="E278" s="959"/>
    </row>
    <row r="279">
      <c r="A279" s="968"/>
      <c r="B279" s="968"/>
      <c r="D279" s="958"/>
      <c r="E279" s="959"/>
    </row>
    <row r="280">
      <c r="A280" s="968"/>
      <c r="B280" s="968"/>
      <c r="D280" s="958"/>
      <c r="E280" s="959"/>
    </row>
    <row r="281">
      <c r="A281" s="968"/>
      <c r="B281" s="968"/>
      <c r="D281" s="958"/>
      <c r="E281" s="959"/>
    </row>
    <row r="282">
      <c r="A282" s="968"/>
      <c r="B282" s="968"/>
      <c r="D282" s="958"/>
      <c r="E282" s="959"/>
    </row>
    <row r="283">
      <c r="A283" s="968"/>
      <c r="B283" s="968"/>
      <c r="D283" s="958"/>
      <c r="E283" s="959"/>
    </row>
    <row r="284">
      <c r="A284" s="968"/>
      <c r="B284" s="968"/>
      <c r="D284" s="958"/>
      <c r="E284" s="959"/>
    </row>
    <row r="285">
      <c r="A285" s="968"/>
      <c r="B285" s="968"/>
      <c r="D285" s="958"/>
      <c r="E285" s="959"/>
    </row>
    <row r="286">
      <c r="A286" s="968"/>
      <c r="B286" s="968"/>
      <c r="D286" s="958"/>
      <c r="E286" s="959"/>
    </row>
    <row r="287">
      <c r="A287" s="968"/>
      <c r="B287" s="968"/>
      <c r="D287" s="958"/>
      <c r="E287" s="959"/>
    </row>
    <row r="288">
      <c r="A288" s="968"/>
      <c r="B288" s="968"/>
      <c r="D288" s="958"/>
      <c r="E288" s="959"/>
    </row>
    <row r="289">
      <c r="A289" s="968"/>
      <c r="B289" s="968"/>
      <c r="D289" s="958"/>
      <c r="E289" s="959"/>
    </row>
    <row r="290">
      <c r="A290" s="968"/>
      <c r="B290" s="968"/>
      <c r="D290" s="958"/>
      <c r="E290" s="959"/>
    </row>
    <row r="291">
      <c r="A291" s="968"/>
      <c r="B291" s="968"/>
      <c r="D291" s="958"/>
      <c r="E291" s="959"/>
    </row>
    <row r="292">
      <c r="A292" s="968"/>
      <c r="B292" s="968"/>
      <c r="D292" s="958"/>
      <c r="E292" s="959"/>
    </row>
    <row r="293">
      <c r="A293" s="968"/>
      <c r="B293" s="968"/>
      <c r="D293" s="958"/>
      <c r="E293" s="959"/>
    </row>
    <row r="294">
      <c r="A294" s="968"/>
      <c r="B294" s="968"/>
      <c r="D294" s="958"/>
      <c r="E294" s="959"/>
    </row>
    <row r="295">
      <c r="A295" s="968"/>
      <c r="B295" s="968"/>
      <c r="D295" s="958"/>
      <c r="E295" s="959"/>
    </row>
    <row r="296">
      <c r="A296" s="968"/>
      <c r="B296" s="968"/>
      <c r="D296" s="958"/>
      <c r="E296" s="959"/>
    </row>
    <row r="297">
      <c r="A297" s="968"/>
      <c r="B297" s="968"/>
      <c r="D297" s="958"/>
      <c r="E297" s="959"/>
    </row>
    <row r="298">
      <c r="A298" s="968"/>
      <c r="B298" s="968"/>
      <c r="D298" s="958"/>
      <c r="E298" s="959"/>
    </row>
    <row r="299">
      <c r="A299" s="968"/>
      <c r="B299" s="968"/>
      <c r="D299" s="958"/>
      <c r="E299" s="959"/>
    </row>
    <row r="300">
      <c r="A300" s="968"/>
      <c r="B300" s="968"/>
      <c r="D300" s="958"/>
      <c r="E300" s="959"/>
    </row>
    <row r="301">
      <c r="A301" s="968"/>
      <c r="B301" s="968"/>
      <c r="D301" s="958"/>
      <c r="E301" s="959"/>
    </row>
    <row r="302">
      <c r="A302" s="968"/>
      <c r="B302" s="968"/>
      <c r="D302" s="958"/>
      <c r="E302" s="959"/>
    </row>
    <row r="303">
      <c r="A303" s="968"/>
      <c r="B303" s="968"/>
      <c r="D303" s="958"/>
      <c r="E303" s="959"/>
    </row>
    <row r="304">
      <c r="A304" s="968"/>
      <c r="B304" s="968"/>
      <c r="D304" s="958"/>
      <c r="E304" s="959"/>
    </row>
    <row r="305">
      <c r="A305" s="968"/>
      <c r="B305" s="968"/>
      <c r="D305" s="958"/>
      <c r="E305" s="959"/>
    </row>
    <row r="306">
      <c r="A306" s="968"/>
      <c r="B306" s="968"/>
      <c r="D306" s="958"/>
      <c r="E306" s="959"/>
    </row>
    <row r="307">
      <c r="A307" s="968"/>
      <c r="B307" s="968"/>
      <c r="D307" s="958"/>
      <c r="E307" s="959"/>
    </row>
    <row r="308">
      <c r="A308" s="968"/>
      <c r="B308" s="968"/>
      <c r="D308" s="958"/>
      <c r="E308" s="959"/>
    </row>
    <row r="309">
      <c r="A309" s="968"/>
      <c r="B309" s="968"/>
      <c r="D309" s="958"/>
      <c r="E309" s="959"/>
    </row>
    <row r="310">
      <c r="A310" s="968"/>
      <c r="B310" s="968"/>
      <c r="D310" s="958"/>
      <c r="E310" s="959"/>
    </row>
    <row r="311">
      <c r="A311" s="968"/>
      <c r="B311" s="968"/>
      <c r="D311" s="958"/>
      <c r="E311" s="959"/>
    </row>
    <row r="312">
      <c r="A312" s="968"/>
      <c r="B312" s="968"/>
      <c r="D312" s="958"/>
      <c r="E312" s="959"/>
    </row>
    <row r="313">
      <c r="A313" s="968"/>
      <c r="B313" s="968"/>
      <c r="D313" s="958"/>
      <c r="E313" s="959"/>
    </row>
    <row r="314">
      <c r="A314" s="968"/>
      <c r="B314" s="968"/>
      <c r="D314" s="958"/>
      <c r="E314" s="959"/>
    </row>
    <row r="315">
      <c r="A315" s="968"/>
      <c r="B315" s="968"/>
      <c r="D315" s="958"/>
      <c r="E315" s="959"/>
    </row>
    <row r="316">
      <c r="A316" s="968"/>
      <c r="B316" s="968"/>
      <c r="D316" s="958"/>
      <c r="E316" s="959"/>
    </row>
    <row r="317">
      <c r="A317" s="968"/>
      <c r="B317" s="968"/>
      <c r="D317" s="958"/>
      <c r="E317" s="959"/>
    </row>
    <row r="318">
      <c r="A318" s="968"/>
      <c r="B318" s="968"/>
      <c r="D318" s="958"/>
      <c r="E318" s="959"/>
    </row>
    <row r="319">
      <c r="A319" s="968"/>
      <c r="B319" s="968"/>
      <c r="D319" s="958"/>
      <c r="E319" s="959"/>
    </row>
    <row r="320">
      <c r="A320" s="968"/>
      <c r="B320" s="968"/>
      <c r="D320" s="958"/>
      <c r="E320" s="959"/>
    </row>
    <row r="321">
      <c r="A321" s="968"/>
      <c r="B321" s="968"/>
      <c r="D321" s="958"/>
      <c r="E321" s="959"/>
    </row>
    <row r="322">
      <c r="A322" s="968"/>
      <c r="B322" s="968"/>
      <c r="D322" s="958"/>
      <c r="E322" s="959"/>
    </row>
    <row r="323">
      <c r="A323" s="968"/>
      <c r="B323" s="968"/>
      <c r="D323" s="958"/>
      <c r="E323" s="959"/>
    </row>
    <row r="324">
      <c r="A324" s="968"/>
      <c r="B324" s="968"/>
      <c r="D324" s="958"/>
      <c r="E324" s="959"/>
    </row>
    <row r="325">
      <c r="A325" s="968"/>
      <c r="B325" s="968"/>
      <c r="D325" s="958"/>
      <c r="E325" s="959"/>
    </row>
    <row r="326">
      <c r="A326" s="968"/>
      <c r="B326" s="968"/>
      <c r="D326" s="958"/>
      <c r="E326" s="959"/>
    </row>
    <row r="327">
      <c r="A327" s="968"/>
      <c r="B327" s="968"/>
      <c r="D327" s="958"/>
      <c r="E327" s="959"/>
    </row>
    <row r="328">
      <c r="A328" s="968"/>
      <c r="B328" s="968"/>
      <c r="D328" s="958"/>
      <c r="E328" s="959"/>
    </row>
    <row r="329">
      <c r="A329" s="968"/>
      <c r="B329" s="968"/>
      <c r="D329" s="958"/>
      <c r="E329" s="959"/>
    </row>
    <row r="330">
      <c r="A330" s="968"/>
      <c r="B330" s="968"/>
      <c r="D330" s="958"/>
      <c r="E330" s="959"/>
    </row>
    <row r="331">
      <c r="A331" s="968"/>
      <c r="B331" s="968"/>
      <c r="D331" s="958"/>
      <c r="E331" s="959"/>
    </row>
    <row r="332">
      <c r="A332" s="968"/>
      <c r="B332" s="968"/>
      <c r="D332" s="958"/>
      <c r="E332" s="959"/>
    </row>
    <row r="333">
      <c r="A333" s="968"/>
      <c r="B333" s="968"/>
      <c r="D333" s="958"/>
      <c r="E333" s="959"/>
    </row>
    <row r="334">
      <c r="A334" s="968"/>
      <c r="B334" s="968"/>
      <c r="D334" s="958"/>
      <c r="E334" s="959"/>
    </row>
    <row r="335">
      <c r="A335" s="968"/>
      <c r="B335" s="968"/>
      <c r="D335" s="958"/>
      <c r="E335" s="959"/>
    </row>
    <row r="336">
      <c r="A336" s="968"/>
      <c r="B336" s="968"/>
      <c r="D336" s="958"/>
      <c r="E336" s="959"/>
    </row>
    <row r="337">
      <c r="A337" s="968"/>
      <c r="B337" s="968"/>
      <c r="D337" s="958"/>
      <c r="E337" s="959"/>
    </row>
    <row r="338">
      <c r="A338" s="968"/>
      <c r="B338" s="968"/>
      <c r="D338" s="958"/>
      <c r="E338" s="959"/>
    </row>
    <row r="339">
      <c r="A339" s="968"/>
      <c r="B339" s="968"/>
      <c r="D339" s="958"/>
      <c r="E339" s="959"/>
    </row>
    <row r="340">
      <c r="A340" s="968"/>
      <c r="B340" s="968"/>
      <c r="D340" s="958"/>
      <c r="E340" s="959"/>
    </row>
    <row r="341">
      <c r="A341" s="968"/>
      <c r="B341" s="968"/>
      <c r="D341" s="958"/>
      <c r="E341" s="959"/>
    </row>
    <row r="342">
      <c r="A342" s="968"/>
      <c r="B342" s="968"/>
      <c r="D342" s="958"/>
      <c r="E342" s="959"/>
    </row>
    <row r="343">
      <c r="A343" s="968"/>
      <c r="B343" s="968"/>
      <c r="D343" s="958"/>
      <c r="E343" s="959"/>
    </row>
    <row r="344">
      <c r="A344" s="968"/>
      <c r="B344" s="968"/>
      <c r="D344" s="958"/>
      <c r="E344" s="959"/>
    </row>
    <row r="345">
      <c r="A345" s="968"/>
      <c r="B345" s="968"/>
      <c r="D345" s="958"/>
      <c r="E345" s="959"/>
    </row>
    <row r="346">
      <c r="A346" s="968"/>
      <c r="B346" s="968"/>
      <c r="D346" s="958"/>
      <c r="E346" s="959"/>
    </row>
    <row r="347">
      <c r="A347" s="968"/>
      <c r="B347" s="968"/>
      <c r="D347" s="958"/>
      <c r="E347" s="959"/>
    </row>
    <row r="348">
      <c r="A348" s="968"/>
      <c r="B348" s="968"/>
      <c r="D348" s="958"/>
      <c r="E348" s="959"/>
    </row>
    <row r="349">
      <c r="A349" s="968"/>
      <c r="B349" s="968"/>
      <c r="D349" s="958"/>
      <c r="E349" s="959"/>
    </row>
    <row r="350">
      <c r="A350" s="968"/>
      <c r="B350" s="968"/>
      <c r="D350" s="958"/>
      <c r="E350" s="959"/>
    </row>
    <row r="351">
      <c r="A351" s="968"/>
      <c r="B351" s="968"/>
      <c r="D351" s="958"/>
      <c r="E351" s="959"/>
    </row>
    <row r="352">
      <c r="A352" s="968"/>
      <c r="B352" s="968"/>
      <c r="D352" s="958"/>
      <c r="E352" s="959"/>
    </row>
    <row r="353">
      <c r="A353" s="968"/>
      <c r="B353" s="968"/>
      <c r="D353" s="958"/>
      <c r="E353" s="959"/>
    </row>
    <row r="354">
      <c r="A354" s="968"/>
      <c r="B354" s="968"/>
      <c r="D354" s="958"/>
      <c r="E354" s="959"/>
    </row>
    <row r="355">
      <c r="A355" s="968"/>
      <c r="B355" s="968"/>
      <c r="D355" s="958"/>
      <c r="E355" s="959"/>
    </row>
    <row r="356">
      <c r="A356" s="968"/>
      <c r="B356" s="968"/>
      <c r="D356" s="958"/>
      <c r="E356" s="959"/>
    </row>
    <row r="357">
      <c r="A357" s="968"/>
      <c r="B357" s="968"/>
      <c r="D357" s="958"/>
      <c r="E357" s="959"/>
    </row>
    <row r="358">
      <c r="A358" s="968"/>
      <c r="B358" s="968"/>
      <c r="D358" s="958"/>
      <c r="E358" s="959"/>
    </row>
    <row r="359">
      <c r="A359" s="968"/>
      <c r="B359" s="968"/>
      <c r="D359" s="958"/>
      <c r="E359" s="959"/>
    </row>
    <row r="360">
      <c r="A360" s="968"/>
      <c r="B360" s="968"/>
      <c r="D360" s="958"/>
      <c r="E360" s="959"/>
    </row>
    <row r="361">
      <c r="A361" s="968"/>
      <c r="B361" s="968"/>
      <c r="D361" s="958"/>
      <c r="E361" s="959"/>
    </row>
    <row r="362">
      <c r="A362" s="968"/>
      <c r="B362" s="968"/>
      <c r="D362" s="958"/>
      <c r="E362" s="959"/>
    </row>
    <row r="363">
      <c r="A363" s="968"/>
      <c r="B363" s="968"/>
      <c r="D363" s="958"/>
      <c r="E363" s="959"/>
    </row>
    <row r="364">
      <c r="A364" s="968"/>
      <c r="B364" s="968"/>
      <c r="D364" s="958"/>
      <c r="E364" s="959"/>
    </row>
    <row r="365">
      <c r="A365" s="968"/>
      <c r="B365" s="968"/>
      <c r="D365" s="958"/>
      <c r="E365" s="959"/>
    </row>
    <row r="366">
      <c r="A366" s="968"/>
      <c r="B366" s="968"/>
      <c r="D366" s="958"/>
      <c r="E366" s="959"/>
    </row>
    <row r="367">
      <c r="A367" s="968"/>
      <c r="B367" s="968"/>
      <c r="D367" s="958"/>
      <c r="E367" s="959"/>
    </row>
    <row r="368">
      <c r="A368" s="968"/>
      <c r="B368" s="968"/>
      <c r="D368" s="958"/>
      <c r="E368" s="959"/>
    </row>
    <row r="369">
      <c r="A369" s="968"/>
      <c r="B369" s="968"/>
      <c r="D369" s="958"/>
      <c r="E369" s="959"/>
    </row>
    <row r="370">
      <c r="A370" s="968"/>
      <c r="B370" s="968"/>
      <c r="D370" s="958"/>
      <c r="E370" s="959"/>
    </row>
    <row r="371">
      <c r="A371" s="968"/>
      <c r="B371" s="968"/>
      <c r="D371" s="958"/>
      <c r="E371" s="959"/>
    </row>
    <row r="372">
      <c r="A372" s="968"/>
      <c r="B372" s="968"/>
      <c r="D372" s="958"/>
      <c r="E372" s="959"/>
    </row>
    <row r="373">
      <c r="A373" s="968"/>
      <c r="B373" s="968"/>
      <c r="D373" s="958"/>
      <c r="E373" s="959"/>
    </row>
    <row r="374">
      <c r="A374" s="968"/>
      <c r="B374" s="968"/>
      <c r="D374" s="958"/>
      <c r="E374" s="959"/>
    </row>
    <row r="375">
      <c r="A375" s="968"/>
      <c r="B375" s="968"/>
      <c r="D375" s="958"/>
      <c r="E375" s="959"/>
    </row>
    <row r="376">
      <c r="A376" s="968"/>
      <c r="B376" s="968"/>
      <c r="D376" s="958"/>
      <c r="E376" s="959"/>
    </row>
    <row r="377">
      <c r="A377" s="968"/>
      <c r="B377" s="968"/>
      <c r="D377" s="958"/>
      <c r="E377" s="959"/>
    </row>
    <row r="378">
      <c r="A378" s="968"/>
      <c r="B378" s="968"/>
      <c r="D378" s="958"/>
      <c r="E378" s="959"/>
    </row>
    <row r="379">
      <c r="A379" s="968"/>
      <c r="B379" s="968"/>
      <c r="D379" s="958"/>
      <c r="E379" s="959"/>
    </row>
    <row r="380">
      <c r="A380" s="968"/>
      <c r="B380" s="968"/>
      <c r="D380" s="958"/>
      <c r="E380" s="959"/>
    </row>
    <row r="381">
      <c r="A381" s="968"/>
      <c r="B381" s="968"/>
      <c r="D381" s="958"/>
      <c r="E381" s="959"/>
    </row>
    <row r="382">
      <c r="A382" s="968"/>
      <c r="B382" s="968"/>
      <c r="D382" s="958"/>
      <c r="E382" s="959"/>
    </row>
    <row r="383">
      <c r="A383" s="968"/>
      <c r="B383" s="968"/>
      <c r="D383" s="958"/>
      <c r="E383" s="959"/>
    </row>
    <row r="384">
      <c r="A384" s="968"/>
      <c r="B384" s="968"/>
      <c r="D384" s="958"/>
      <c r="E384" s="959"/>
    </row>
    <row r="385">
      <c r="A385" s="968"/>
      <c r="B385" s="968"/>
      <c r="D385" s="958"/>
      <c r="E385" s="959"/>
    </row>
    <row r="386">
      <c r="A386" s="968"/>
      <c r="B386" s="968"/>
      <c r="D386" s="958"/>
      <c r="E386" s="959"/>
    </row>
    <row r="387">
      <c r="A387" s="968"/>
      <c r="B387" s="968"/>
      <c r="D387" s="958"/>
      <c r="E387" s="959"/>
    </row>
    <row r="388">
      <c r="A388" s="968"/>
      <c r="B388" s="968"/>
      <c r="D388" s="958"/>
      <c r="E388" s="959"/>
    </row>
    <row r="389">
      <c r="A389" s="968"/>
      <c r="B389" s="968"/>
      <c r="D389" s="958"/>
      <c r="E389" s="959"/>
    </row>
    <row r="390">
      <c r="A390" s="968"/>
      <c r="B390" s="968"/>
      <c r="D390" s="958"/>
      <c r="E390" s="959"/>
    </row>
    <row r="391">
      <c r="A391" s="968"/>
      <c r="B391" s="968"/>
      <c r="D391" s="958"/>
      <c r="E391" s="959"/>
    </row>
    <row r="392">
      <c r="A392" s="968"/>
      <c r="B392" s="968"/>
      <c r="D392" s="958"/>
      <c r="E392" s="959"/>
    </row>
    <row r="393">
      <c r="A393" s="968"/>
      <c r="B393" s="968"/>
      <c r="D393" s="958"/>
      <c r="E393" s="959"/>
    </row>
    <row r="394">
      <c r="A394" s="968"/>
      <c r="B394" s="968"/>
      <c r="D394" s="958"/>
      <c r="E394" s="959"/>
    </row>
    <row r="395">
      <c r="A395" s="968"/>
      <c r="B395" s="968"/>
      <c r="D395" s="958"/>
      <c r="E395" s="959"/>
    </row>
    <row r="396">
      <c r="A396" s="968"/>
      <c r="B396" s="968"/>
      <c r="D396" s="958"/>
      <c r="E396" s="959"/>
    </row>
    <row r="397">
      <c r="A397" s="968"/>
      <c r="B397" s="968"/>
      <c r="D397" s="958"/>
      <c r="E397" s="959"/>
    </row>
    <row r="398">
      <c r="A398" s="968"/>
      <c r="B398" s="968"/>
      <c r="D398" s="958"/>
      <c r="E398" s="959"/>
    </row>
    <row r="399">
      <c r="A399" s="968"/>
      <c r="B399" s="968"/>
      <c r="D399" s="958"/>
      <c r="E399" s="959"/>
    </row>
    <row r="400">
      <c r="A400" s="968"/>
      <c r="B400" s="968"/>
      <c r="D400" s="958"/>
      <c r="E400" s="959"/>
    </row>
    <row r="401">
      <c r="A401" s="968"/>
      <c r="B401" s="968"/>
      <c r="D401" s="958"/>
      <c r="E401" s="959"/>
    </row>
    <row r="402">
      <c r="A402" s="968"/>
      <c r="B402" s="968"/>
      <c r="D402" s="958"/>
      <c r="E402" s="959"/>
    </row>
    <row r="403">
      <c r="A403" s="968"/>
      <c r="B403" s="968"/>
      <c r="D403" s="958"/>
      <c r="E403" s="959"/>
    </row>
    <row r="404">
      <c r="A404" s="968"/>
      <c r="B404" s="968"/>
      <c r="D404" s="958"/>
      <c r="E404" s="959"/>
    </row>
    <row r="405">
      <c r="A405" s="968"/>
      <c r="B405" s="968"/>
      <c r="D405" s="958"/>
      <c r="E405" s="959"/>
    </row>
    <row r="406">
      <c r="A406" s="968"/>
      <c r="B406" s="968"/>
      <c r="D406" s="958"/>
      <c r="E406" s="959"/>
    </row>
    <row r="407">
      <c r="A407" s="968"/>
      <c r="B407" s="968"/>
      <c r="D407" s="958"/>
      <c r="E407" s="959"/>
    </row>
    <row r="408">
      <c r="A408" s="968"/>
      <c r="B408" s="968"/>
      <c r="D408" s="958"/>
      <c r="E408" s="959"/>
    </row>
    <row r="409">
      <c r="A409" s="968"/>
      <c r="B409" s="968"/>
      <c r="D409" s="958"/>
      <c r="E409" s="959"/>
    </row>
    <row r="410">
      <c r="A410" s="968"/>
      <c r="B410" s="968"/>
      <c r="D410" s="958"/>
      <c r="E410" s="959"/>
    </row>
    <row r="411">
      <c r="A411" s="968"/>
      <c r="B411" s="968"/>
      <c r="D411" s="958"/>
      <c r="E411" s="959"/>
    </row>
    <row r="412">
      <c r="A412" s="968"/>
      <c r="B412" s="968"/>
      <c r="D412" s="958"/>
      <c r="E412" s="959"/>
    </row>
    <row r="413">
      <c r="A413" s="968"/>
      <c r="B413" s="968"/>
      <c r="D413" s="958"/>
      <c r="E413" s="959"/>
    </row>
    <row r="414">
      <c r="A414" s="968"/>
      <c r="B414" s="968"/>
      <c r="D414" s="958"/>
      <c r="E414" s="959"/>
    </row>
    <row r="415">
      <c r="A415" s="968"/>
      <c r="B415" s="968"/>
      <c r="D415" s="958"/>
      <c r="E415" s="959"/>
    </row>
    <row r="416">
      <c r="A416" s="968"/>
      <c r="B416" s="968"/>
      <c r="D416" s="958"/>
      <c r="E416" s="959"/>
    </row>
    <row r="417">
      <c r="A417" s="968"/>
      <c r="B417" s="968"/>
      <c r="D417" s="958"/>
      <c r="E417" s="959"/>
    </row>
    <row r="418">
      <c r="A418" s="968"/>
      <c r="B418" s="968"/>
      <c r="D418" s="958"/>
      <c r="E418" s="959"/>
    </row>
    <row r="419">
      <c r="A419" s="968"/>
      <c r="B419" s="968"/>
      <c r="D419" s="958"/>
      <c r="E419" s="959"/>
    </row>
    <row r="420">
      <c r="A420" s="968"/>
      <c r="B420" s="968"/>
      <c r="D420" s="958"/>
      <c r="E420" s="959"/>
    </row>
    <row r="421">
      <c r="A421" s="968"/>
      <c r="B421" s="968"/>
      <c r="D421" s="958"/>
      <c r="E421" s="959"/>
    </row>
    <row r="422">
      <c r="A422" s="968"/>
      <c r="B422" s="968"/>
      <c r="D422" s="958"/>
      <c r="E422" s="959"/>
    </row>
    <row r="423">
      <c r="A423" s="968"/>
      <c r="B423" s="968"/>
      <c r="D423" s="958"/>
      <c r="E423" s="959"/>
    </row>
    <row r="424">
      <c r="A424" s="968"/>
      <c r="B424" s="968"/>
      <c r="D424" s="958"/>
      <c r="E424" s="959"/>
    </row>
    <row r="425">
      <c r="A425" s="968"/>
      <c r="B425" s="968"/>
      <c r="D425" s="958"/>
      <c r="E425" s="959"/>
    </row>
    <row r="426">
      <c r="A426" s="968"/>
      <c r="B426" s="968"/>
      <c r="D426" s="958"/>
      <c r="E426" s="959"/>
    </row>
    <row r="427">
      <c r="A427" s="968"/>
      <c r="B427" s="968"/>
      <c r="D427" s="958"/>
      <c r="E427" s="959"/>
    </row>
    <row r="428">
      <c r="A428" s="968"/>
      <c r="B428" s="968"/>
      <c r="D428" s="958"/>
      <c r="E428" s="959"/>
    </row>
    <row r="429">
      <c r="A429" s="968"/>
      <c r="B429" s="968"/>
      <c r="D429" s="958"/>
      <c r="E429" s="959"/>
    </row>
    <row r="430">
      <c r="A430" s="968"/>
      <c r="B430" s="968"/>
      <c r="D430" s="958"/>
      <c r="E430" s="959"/>
    </row>
    <row r="431">
      <c r="A431" s="968"/>
      <c r="B431" s="968"/>
      <c r="D431" s="958"/>
      <c r="E431" s="959"/>
    </row>
    <row r="432">
      <c r="A432" s="968"/>
      <c r="B432" s="968"/>
      <c r="D432" s="958"/>
      <c r="E432" s="959"/>
    </row>
    <row r="433">
      <c r="A433" s="968"/>
      <c r="B433" s="968"/>
      <c r="D433" s="958"/>
      <c r="E433" s="959"/>
    </row>
    <row r="434">
      <c r="A434" s="968"/>
      <c r="B434" s="968"/>
      <c r="D434" s="958"/>
      <c r="E434" s="959"/>
    </row>
    <row r="435">
      <c r="A435" s="968"/>
      <c r="B435" s="968"/>
      <c r="D435" s="958"/>
      <c r="E435" s="959"/>
    </row>
    <row r="436">
      <c r="A436" s="968"/>
      <c r="B436" s="968"/>
      <c r="D436" s="958"/>
      <c r="E436" s="959"/>
    </row>
    <row r="437">
      <c r="A437" s="968"/>
      <c r="B437" s="968"/>
      <c r="D437" s="958"/>
      <c r="E437" s="959"/>
    </row>
    <row r="438">
      <c r="A438" s="968"/>
      <c r="B438" s="968"/>
      <c r="D438" s="958"/>
      <c r="E438" s="959"/>
    </row>
    <row r="439">
      <c r="A439" s="968"/>
      <c r="B439" s="968"/>
      <c r="D439" s="958"/>
      <c r="E439" s="959"/>
    </row>
    <row r="440">
      <c r="A440" s="968"/>
      <c r="B440" s="968"/>
      <c r="D440" s="958"/>
      <c r="E440" s="959"/>
    </row>
    <row r="441">
      <c r="A441" s="968"/>
      <c r="B441" s="968"/>
      <c r="D441" s="958"/>
      <c r="E441" s="959"/>
    </row>
    <row r="442">
      <c r="A442" s="968"/>
      <c r="B442" s="968"/>
      <c r="D442" s="958"/>
      <c r="E442" s="959"/>
    </row>
    <row r="443">
      <c r="A443" s="968"/>
      <c r="B443" s="968"/>
      <c r="D443" s="958"/>
      <c r="E443" s="959"/>
    </row>
    <row r="444">
      <c r="A444" s="968"/>
      <c r="B444" s="968"/>
      <c r="D444" s="958"/>
      <c r="E444" s="959"/>
    </row>
    <row r="445">
      <c r="A445" s="968"/>
      <c r="B445" s="968"/>
      <c r="D445" s="958"/>
      <c r="E445" s="959"/>
    </row>
    <row r="446">
      <c r="A446" s="968"/>
      <c r="B446" s="968"/>
      <c r="D446" s="958"/>
      <c r="E446" s="959"/>
    </row>
    <row r="447">
      <c r="A447" s="968"/>
      <c r="B447" s="968"/>
      <c r="D447" s="958"/>
      <c r="E447" s="959"/>
    </row>
    <row r="448">
      <c r="A448" s="968"/>
      <c r="B448" s="968"/>
      <c r="D448" s="958"/>
      <c r="E448" s="959"/>
    </row>
    <row r="449">
      <c r="A449" s="968"/>
      <c r="B449" s="968"/>
      <c r="D449" s="958"/>
      <c r="E449" s="959"/>
    </row>
    <row r="450">
      <c r="A450" s="968"/>
      <c r="B450" s="968"/>
      <c r="D450" s="958"/>
      <c r="E450" s="959"/>
    </row>
    <row r="451">
      <c r="A451" s="968"/>
      <c r="B451" s="968"/>
      <c r="D451" s="958"/>
      <c r="E451" s="959"/>
    </row>
    <row r="452">
      <c r="A452" s="968"/>
      <c r="B452" s="968"/>
      <c r="D452" s="958"/>
      <c r="E452" s="959"/>
    </row>
    <row r="453">
      <c r="A453" s="968"/>
      <c r="B453" s="968"/>
      <c r="D453" s="958"/>
      <c r="E453" s="959"/>
    </row>
    <row r="454">
      <c r="A454" s="968"/>
      <c r="B454" s="968"/>
      <c r="D454" s="958"/>
      <c r="E454" s="959"/>
    </row>
    <row r="455">
      <c r="A455" s="968"/>
      <c r="B455" s="968"/>
      <c r="D455" s="958"/>
      <c r="E455" s="959"/>
    </row>
    <row r="456">
      <c r="A456" s="968"/>
      <c r="B456" s="968"/>
      <c r="D456" s="958"/>
      <c r="E456" s="959"/>
    </row>
    <row r="457">
      <c r="A457" s="968"/>
      <c r="B457" s="968"/>
      <c r="D457" s="958"/>
      <c r="E457" s="959"/>
    </row>
    <row r="458">
      <c r="A458" s="968"/>
      <c r="B458" s="968"/>
      <c r="D458" s="958"/>
      <c r="E458" s="959"/>
    </row>
    <row r="459">
      <c r="A459" s="968"/>
      <c r="B459" s="968"/>
      <c r="D459" s="958"/>
      <c r="E459" s="959"/>
    </row>
    <row r="460">
      <c r="A460" s="968"/>
      <c r="B460" s="968"/>
      <c r="D460" s="958"/>
      <c r="E460" s="959"/>
    </row>
    <row r="461">
      <c r="A461" s="968"/>
      <c r="B461" s="968"/>
      <c r="D461" s="958"/>
      <c r="E461" s="959"/>
    </row>
    <row r="462">
      <c r="A462" s="968"/>
      <c r="B462" s="968"/>
      <c r="D462" s="958"/>
      <c r="E462" s="959"/>
    </row>
    <row r="463">
      <c r="A463" s="968"/>
      <c r="B463" s="968"/>
      <c r="D463" s="958"/>
      <c r="E463" s="959"/>
    </row>
    <row r="464">
      <c r="A464" s="968"/>
      <c r="B464" s="968"/>
      <c r="D464" s="958"/>
      <c r="E464" s="959"/>
    </row>
    <row r="465">
      <c r="A465" s="968"/>
      <c r="B465" s="968"/>
      <c r="D465" s="958"/>
      <c r="E465" s="959"/>
    </row>
    <row r="466">
      <c r="A466" s="968"/>
      <c r="B466" s="968"/>
      <c r="D466" s="958"/>
      <c r="E466" s="959"/>
    </row>
    <row r="467">
      <c r="A467" s="968"/>
      <c r="B467" s="968"/>
      <c r="D467" s="958"/>
      <c r="E467" s="959"/>
    </row>
    <row r="468">
      <c r="A468" s="968"/>
      <c r="B468" s="968"/>
      <c r="D468" s="958"/>
      <c r="E468" s="959"/>
    </row>
    <row r="469">
      <c r="A469" s="968"/>
      <c r="B469" s="968"/>
      <c r="D469" s="958"/>
      <c r="E469" s="959"/>
    </row>
    <row r="470">
      <c r="A470" s="968"/>
      <c r="B470" s="968"/>
      <c r="D470" s="958"/>
      <c r="E470" s="959"/>
    </row>
    <row r="471">
      <c r="A471" s="968"/>
      <c r="B471" s="968"/>
      <c r="D471" s="958"/>
      <c r="E471" s="959"/>
    </row>
    <row r="472">
      <c r="A472" s="968"/>
      <c r="B472" s="968"/>
      <c r="D472" s="958"/>
      <c r="E472" s="959"/>
    </row>
    <row r="473">
      <c r="A473" s="968"/>
      <c r="B473" s="968"/>
      <c r="D473" s="958"/>
      <c r="E473" s="959"/>
    </row>
    <row r="474">
      <c r="A474" s="968"/>
      <c r="B474" s="968"/>
      <c r="D474" s="958"/>
      <c r="E474" s="959"/>
    </row>
    <row r="475">
      <c r="A475" s="968"/>
      <c r="B475" s="968"/>
      <c r="D475" s="958"/>
      <c r="E475" s="959"/>
    </row>
    <row r="476">
      <c r="A476" s="968"/>
      <c r="B476" s="968"/>
      <c r="D476" s="958"/>
      <c r="E476" s="959"/>
    </row>
    <row r="477">
      <c r="A477" s="968"/>
      <c r="B477" s="968"/>
      <c r="D477" s="958"/>
      <c r="E477" s="959"/>
    </row>
    <row r="478">
      <c r="A478" s="968"/>
      <c r="B478" s="968"/>
      <c r="D478" s="958"/>
      <c r="E478" s="959"/>
    </row>
    <row r="479">
      <c r="A479" s="968"/>
      <c r="B479" s="968"/>
      <c r="D479" s="958"/>
      <c r="E479" s="959"/>
    </row>
    <row r="480">
      <c r="A480" s="968"/>
      <c r="B480" s="968"/>
      <c r="D480" s="958"/>
      <c r="E480" s="959"/>
    </row>
    <row r="481">
      <c r="A481" s="968"/>
      <c r="B481" s="968"/>
      <c r="D481" s="958"/>
      <c r="E481" s="959"/>
    </row>
    <row r="482">
      <c r="A482" s="968"/>
      <c r="B482" s="968"/>
      <c r="D482" s="958"/>
      <c r="E482" s="959"/>
    </row>
    <row r="483">
      <c r="A483" s="968"/>
      <c r="B483" s="968"/>
      <c r="D483" s="958"/>
      <c r="E483" s="959"/>
    </row>
    <row r="484">
      <c r="A484" s="968"/>
      <c r="B484" s="968"/>
      <c r="D484" s="958"/>
      <c r="E484" s="959"/>
    </row>
    <row r="485">
      <c r="A485" s="968"/>
      <c r="B485" s="968"/>
      <c r="D485" s="958"/>
      <c r="E485" s="959"/>
    </row>
    <row r="486">
      <c r="A486" s="968"/>
      <c r="B486" s="968"/>
      <c r="D486" s="958"/>
      <c r="E486" s="959"/>
    </row>
    <row r="487">
      <c r="A487" s="968"/>
      <c r="B487" s="968"/>
      <c r="D487" s="958"/>
      <c r="E487" s="959"/>
    </row>
    <row r="488">
      <c r="A488" s="968"/>
      <c r="B488" s="968"/>
      <c r="D488" s="958"/>
      <c r="E488" s="959"/>
    </row>
    <row r="489">
      <c r="A489" s="968"/>
      <c r="B489" s="968"/>
      <c r="D489" s="958"/>
      <c r="E489" s="959"/>
    </row>
    <row r="490">
      <c r="A490" s="968"/>
      <c r="B490" s="968"/>
      <c r="D490" s="958"/>
      <c r="E490" s="959"/>
    </row>
    <row r="491">
      <c r="A491" s="968"/>
      <c r="B491" s="968"/>
      <c r="D491" s="958"/>
      <c r="E491" s="959"/>
    </row>
    <row r="492">
      <c r="A492" s="968"/>
      <c r="B492" s="968"/>
      <c r="D492" s="958"/>
      <c r="E492" s="959"/>
    </row>
    <row r="493">
      <c r="A493" s="968"/>
      <c r="B493" s="968"/>
      <c r="D493" s="958"/>
      <c r="E493" s="959"/>
    </row>
    <row r="494">
      <c r="A494" s="968"/>
      <c r="B494" s="968"/>
      <c r="D494" s="958"/>
      <c r="E494" s="959"/>
    </row>
    <row r="495">
      <c r="A495" s="968"/>
      <c r="B495" s="968"/>
      <c r="D495" s="958"/>
      <c r="E495" s="959"/>
    </row>
    <row r="496">
      <c r="A496" s="968"/>
      <c r="B496" s="968"/>
      <c r="D496" s="958"/>
      <c r="E496" s="959"/>
    </row>
    <row r="497">
      <c r="A497" s="968"/>
      <c r="B497" s="968"/>
      <c r="D497" s="958"/>
      <c r="E497" s="959"/>
    </row>
    <row r="498">
      <c r="A498" s="968"/>
      <c r="B498" s="968"/>
      <c r="D498" s="958"/>
      <c r="E498" s="959"/>
    </row>
    <row r="499">
      <c r="A499" s="968"/>
      <c r="B499" s="968"/>
      <c r="D499" s="958"/>
      <c r="E499" s="959"/>
    </row>
    <row r="500">
      <c r="A500" s="968"/>
      <c r="B500" s="968"/>
      <c r="D500" s="958"/>
      <c r="E500" s="959"/>
    </row>
    <row r="501">
      <c r="A501" s="968"/>
      <c r="B501" s="968"/>
      <c r="D501" s="958"/>
      <c r="E501" s="959"/>
    </row>
    <row r="502">
      <c r="A502" s="968"/>
      <c r="B502" s="968"/>
      <c r="D502" s="958"/>
      <c r="E502" s="959"/>
    </row>
    <row r="503">
      <c r="A503" s="968"/>
      <c r="B503" s="968"/>
      <c r="D503" s="958"/>
      <c r="E503" s="959"/>
    </row>
    <row r="504">
      <c r="A504" s="968"/>
      <c r="B504" s="968"/>
      <c r="D504" s="958"/>
      <c r="E504" s="959"/>
    </row>
    <row r="505">
      <c r="A505" s="968"/>
      <c r="B505" s="968"/>
      <c r="D505" s="958"/>
      <c r="E505" s="959"/>
    </row>
    <row r="506">
      <c r="A506" s="968"/>
      <c r="B506" s="968"/>
      <c r="D506" s="958"/>
      <c r="E506" s="959"/>
    </row>
    <row r="507">
      <c r="A507" s="968"/>
      <c r="B507" s="968"/>
      <c r="D507" s="958"/>
      <c r="E507" s="959"/>
    </row>
    <row r="508">
      <c r="A508" s="968"/>
      <c r="B508" s="968"/>
      <c r="D508" s="958"/>
      <c r="E508" s="959"/>
    </row>
    <row r="509">
      <c r="A509" s="968"/>
      <c r="B509" s="968"/>
      <c r="D509" s="958"/>
      <c r="E509" s="959"/>
    </row>
    <row r="510">
      <c r="A510" s="968"/>
      <c r="B510" s="968"/>
      <c r="D510" s="958"/>
      <c r="E510" s="959"/>
    </row>
    <row r="511">
      <c r="A511" s="968"/>
      <c r="B511" s="968"/>
      <c r="D511" s="958"/>
      <c r="E511" s="959"/>
    </row>
    <row r="512">
      <c r="A512" s="968"/>
      <c r="B512" s="968"/>
      <c r="D512" s="958"/>
      <c r="E512" s="959"/>
    </row>
    <row r="513">
      <c r="A513" s="968"/>
      <c r="B513" s="968"/>
      <c r="D513" s="958"/>
      <c r="E513" s="959"/>
    </row>
    <row r="514">
      <c r="A514" s="968"/>
      <c r="B514" s="968"/>
      <c r="D514" s="958"/>
      <c r="E514" s="959"/>
    </row>
    <row r="515">
      <c r="A515" s="968"/>
      <c r="B515" s="968"/>
      <c r="D515" s="958"/>
      <c r="E515" s="959"/>
    </row>
    <row r="516">
      <c r="A516" s="968"/>
      <c r="B516" s="968"/>
      <c r="D516" s="958"/>
      <c r="E516" s="959"/>
    </row>
    <row r="517">
      <c r="A517" s="968"/>
      <c r="B517" s="968"/>
      <c r="D517" s="958"/>
      <c r="E517" s="959"/>
    </row>
    <row r="518">
      <c r="A518" s="968"/>
      <c r="B518" s="968"/>
      <c r="D518" s="958"/>
      <c r="E518" s="959"/>
    </row>
    <row r="519">
      <c r="A519" s="968"/>
      <c r="B519" s="968"/>
      <c r="D519" s="958"/>
      <c r="E519" s="959"/>
    </row>
    <row r="520">
      <c r="A520" s="968"/>
      <c r="B520" s="968"/>
      <c r="D520" s="958"/>
      <c r="E520" s="959"/>
    </row>
    <row r="521">
      <c r="A521" s="968"/>
      <c r="B521" s="968"/>
      <c r="D521" s="958"/>
      <c r="E521" s="959"/>
    </row>
    <row r="522">
      <c r="A522" s="968"/>
      <c r="B522" s="968"/>
      <c r="D522" s="958"/>
      <c r="E522" s="959"/>
    </row>
    <row r="523">
      <c r="A523" s="968"/>
      <c r="B523" s="968"/>
      <c r="D523" s="958"/>
      <c r="E523" s="959"/>
    </row>
    <row r="524">
      <c r="A524" s="968"/>
      <c r="B524" s="968"/>
      <c r="D524" s="958"/>
      <c r="E524" s="959"/>
    </row>
    <row r="525">
      <c r="A525" s="968"/>
      <c r="B525" s="968"/>
      <c r="D525" s="958"/>
      <c r="E525" s="959"/>
    </row>
    <row r="526">
      <c r="A526" s="968"/>
      <c r="B526" s="968"/>
      <c r="D526" s="958"/>
      <c r="E526" s="959"/>
    </row>
    <row r="527">
      <c r="A527" s="968"/>
      <c r="B527" s="968"/>
      <c r="D527" s="958"/>
      <c r="E527" s="959"/>
    </row>
    <row r="528">
      <c r="A528" s="968"/>
      <c r="B528" s="968"/>
      <c r="D528" s="958"/>
      <c r="E528" s="959"/>
    </row>
    <row r="529">
      <c r="A529" s="968"/>
      <c r="B529" s="968"/>
      <c r="D529" s="958"/>
      <c r="E529" s="959"/>
    </row>
    <row r="530">
      <c r="A530" s="968"/>
      <c r="B530" s="968"/>
      <c r="D530" s="958"/>
      <c r="E530" s="959"/>
    </row>
    <row r="531">
      <c r="A531" s="968"/>
      <c r="B531" s="968"/>
      <c r="D531" s="958"/>
      <c r="E531" s="959"/>
    </row>
    <row r="532">
      <c r="A532" s="968"/>
      <c r="B532" s="968"/>
      <c r="D532" s="958"/>
      <c r="E532" s="959"/>
    </row>
    <row r="533">
      <c r="A533" s="968"/>
      <c r="B533" s="968"/>
      <c r="D533" s="958"/>
      <c r="E533" s="959"/>
    </row>
    <row r="534">
      <c r="A534" s="968"/>
      <c r="B534" s="968"/>
      <c r="D534" s="958"/>
      <c r="E534" s="959"/>
    </row>
    <row r="535">
      <c r="A535" s="968"/>
      <c r="B535" s="968"/>
      <c r="D535" s="958"/>
      <c r="E535" s="959"/>
    </row>
    <row r="536">
      <c r="A536" s="968"/>
      <c r="B536" s="968"/>
      <c r="D536" s="958"/>
      <c r="E536" s="959"/>
    </row>
    <row r="537">
      <c r="A537" s="968"/>
      <c r="B537" s="968"/>
      <c r="D537" s="958"/>
      <c r="E537" s="959"/>
    </row>
    <row r="538">
      <c r="A538" s="968"/>
      <c r="B538" s="968"/>
      <c r="D538" s="958"/>
      <c r="E538" s="959"/>
    </row>
    <row r="539">
      <c r="A539" s="968"/>
      <c r="B539" s="968"/>
      <c r="D539" s="958"/>
      <c r="E539" s="959"/>
    </row>
    <row r="540">
      <c r="A540" s="968"/>
      <c r="B540" s="968"/>
      <c r="D540" s="958"/>
      <c r="E540" s="959"/>
    </row>
    <row r="541">
      <c r="A541" s="968"/>
      <c r="B541" s="968"/>
      <c r="D541" s="958"/>
      <c r="E541" s="959"/>
    </row>
    <row r="542">
      <c r="A542" s="968"/>
      <c r="B542" s="968"/>
      <c r="D542" s="958"/>
      <c r="E542" s="959"/>
    </row>
    <row r="543">
      <c r="A543" s="968"/>
      <c r="B543" s="968"/>
      <c r="D543" s="958"/>
      <c r="E543" s="959"/>
    </row>
    <row r="544">
      <c r="A544" s="968"/>
      <c r="B544" s="968"/>
      <c r="D544" s="958"/>
      <c r="E544" s="959"/>
    </row>
    <row r="545">
      <c r="A545" s="968"/>
      <c r="B545" s="968"/>
      <c r="D545" s="958"/>
      <c r="E545" s="959"/>
    </row>
    <row r="546">
      <c r="A546" s="968"/>
      <c r="B546" s="968"/>
      <c r="D546" s="958"/>
      <c r="E546" s="959"/>
    </row>
    <row r="547">
      <c r="A547" s="968"/>
      <c r="B547" s="968"/>
      <c r="D547" s="958"/>
      <c r="E547" s="959"/>
    </row>
    <row r="548">
      <c r="A548" s="968"/>
      <c r="B548" s="968"/>
      <c r="D548" s="958"/>
      <c r="E548" s="959"/>
    </row>
    <row r="549">
      <c r="A549" s="968"/>
      <c r="B549" s="968"/>
      <c r="D549" s="958"/>
      <c r="E549" s="959"/>
    </row>
    <row r="550">
      <c r="A550" s="968"/>
      <c r="B550" s="968"/>
      <c r="D550" s="958"/>
      <c r="E550" s="959"/>
    </row>
    <row r="551">
      <c r="A551" s="968"/>
      <c r="B551" s="968"/>
      <c r="D551" s="958"/>
      <c r="E551" s="959"/>
    </row>
    <row r="552">
      <c r="A552" s="968"/>
      <c r="B552" s="968"/>
      <c r="D552" s="958"/>
      <c r="E552" s="959"/>
    </row>
    <row r="553">
      <c r="A553" s="968"/>
      <c r="B553" s="968"/>
      <c r="D553" s="958"/>
      <c r="E553" s="959"/>
    </row>
    <row r="554">
      <c r="A554" s="968"/>
      <c r="B554" s="968"/>
      <c r="D554" s="958"/>
      <c r="E554" s="959"/>
    </row>
    <row r="555">
      <c r="A555" s="968"/>
      <c r="B555" s="968"/>
      <c r="D555" s="958"/>
      <c r="E555" s="959"/>
    </row>
    <row r="556">
      <c r="A556" s="968"/>
      <c r="B556" s="968"/>
      <c r="D556" s="958"/>
      <c r="E556" s="959"/>
    </row>
    <row r="557">
      <c r="A557" s="968"/>
      <c r="B557" s="968"/>
      <c r="D557" s="958"/>
      <c r="E557" s="959"/>
    </row>
    <row r="558">
      <c r="A558" s="968"/>
      <c r="B558" s="968"/>
      <c r="D558" s="958"/>
      <c r="E558" s="959"/>
    </row>
    <row r="559">
      <c r="A559" s="968"/>
      <c r="B559" s="968"/>
      <c r="D559" s="958"/>
      <c r="E559" s="959"/>
    </row>
    <row r="560">
      <c r="A560" s="968"/>
      <c r="B560" s="968"/>
      <c r="D560" s="958"/>
      <c r="E560" s="959"/>
    </row>
    <row r="561">
      <c r="A561" s="968"/>
      <c r="B561" s="968"/>
      <c r="D561" s="958"/>
      <c r="E561" s="959"/>
    </row>
    <row r="562">
      <c r="A562" s="968"/>
      <c r="B562" s="968"/>
      <c r="D562" s="958"/>
      <c r="E562" s="959"/>
    </row>
    <row r="563">
      <c r="A563" s="968"/>
      <c r="B563" s="968"/>
      <c r="D563" s="958"/>
      <c r="E563" s="959"/>
    </row>
    <row r="564">
      <c r="A564" s="968"/>
      <c r="B564" s="968"/>
      <c r="D564" s="958"/>
      <c r="E564" s="959"/>
    </row>
    <row r="565">
      <c r="A565" s="968"/>
      <c r="B565" s="968"/>
      <c r="D565" s="958"/>
      <c r="E565" s="959"/>
    </row>
    <row r="566">
      <c r="A566" s="968"/>
      <c r="B566" s="968"/>
      <c r="D566" s="958"/>
      <c r="E566" s="959"/>
    </row>
    <row r="567">
      <c r="A567" s="968"/>
      <c r="B567" s="968"/>
      <c r="D567" s="958"/>
      <c r="E567" s="959"/>
    </row>
    <row r="568">
      <c r="A568" s="968"/>
      <c r="B568" s="968"/>
      <c r="D568" s="958"/>
      <c r="E568" s="959"/>
    </row>
    <row r="569">
      <c r="A569" s="968"/>
      <c r="B569" s="968"/>
      <c r="D569" s="958"/>
      <c r="E569" s="959"/>
    </row>
    <row r="570">
      <c r="A570" s="968"/>
      <c r="B570" s="968"/>
      <c r="D570" s="958"/>
      <c r="E570" s="959"/>
    </row>
    <row r="571">
      <c r="A571" s="968"/>
      <c r="B571" s="968"/>
      <c r="D571" s="958"/>
      <c r="E571" s="959"/>
    </row>
    <row r="572">
      <c r="A572" s="968"/>
      <c r="B572" s="968"/>
      <c r="D572" s="958"/>
      <c r="E572" s="959"/>
    </row>
    <row r="573">
      <c r="A573" s="968"/>
      <c r="B573" s="968"/>
      <c r="D573" s="958"/>
      <c r="E573" s="959"/>
    </row>
    <row r="574">
      <c r="A574" s="968"/>
      <c r="B574" s="968"/>
      <c r="D574" s="958"/>
      <c r="E574" s="959"/>
    </row>
    <row r="575">
      <c r="A575" s="968"/>
      <c r="B575" s="968"/>
      <c r="D575" s="958"/>
      <c r="E575" s="959"/>
    </row>
    <row r="576">
      <c r="A576" s="968"/>
      <c r="B576" s="968"/>
      <c r="D576" s="958"/>
      <c r="E576" s="959"/>
    </row>
    <row r="577">
      <c r="A577" s="968"/>
      <c r="B577" s="968"/>
      <c r="D577" s="958"/>
      <c r="E577" s="959"/>
    </row>
    <row r="578">
      <c r="A578" s="968"/>
      <c r="B578" s="968"/>
      <c r="D578" s="958"/>
      <c r="E578" s="959"/>
    </row>
    <row r="579">
      <c r="A579" s="968"/>
      <c r="B579" s="968"/>
      <c r="D579" s="958"/>
      <c r="E579" s="959"/>
    </row>
    <row r="580">
      <c r="A580" s="968"/>
      <c r="B580" s="968"/>
      <c r="D580" s="958"/>
      <c r="E580" s="959"/>
    </row>
    <row r="581">
      <c r="A581" s="968"/>
      <c r="B581" s="968"/>
      <c r="D581" s="958"/>
      <c r="E581" s="959"/>
    </row>
    <row r="582">
      <c r="A582" s="968"/>
      <c r="B582" s="968"/>
      <c r="D582" s="958"/>
      <c r="E582" s="959"/>
    </row>
    <row r="583">
      <c r="A583" s="968"/>
      <c r="B583" s="968"/>
      <c r="D583" s="958"/>
      <c r="E583" s="959"/>
    </row>
    <row r="584">
      <c r="A584" s="968"/>
      <c r="B584" s="968"/>
      <c r="D584" s="958"/>
      <c r="E584" s="959"/>
    </row>
    <row r="585">
      <c r="A585" s="968"/>
      <c r="B585" s="968"/>
      <c r="D585" s="958"/>
      <c r="E585" s="959"/>
    </row>
    <row r="586">
      <c r="A586" s="968"/>
      <c r="B586" s="968"/>
      <c r="D586" s="958"/>
      <c r="E586" s="959"/>
    </row>
    <row r="587">
      <c r="A587" s="968"/>
      <c r="B587" s="968"/>
      <c r="D587" s="958"/>
      <c r="E587" s="959"/>
    </row>
    <row r="588">
      <c r="A588" s="968"/>
      <c r="B588" s="968"/>
      <c r="D588" s="958"/>
      <c r="E588" s="959"/>
    </row>
    <row r="589">
      <c r="A589" s="968"/>
      <c r="B589" s="968"/>
      <c r="D589" s="958"/>
      <c r="E589" s="959"/>
    </row>
    <row r="590">
      <c r="A590" s="968"/>
      <c r="B590" s="968"/>
      <c r="D590" s="958"/>
      <c r="E590" s="959"/>
    </row>
    <row r="591">
      <c r="A591" s="968"/>
      <c r="B591" s="968"/>
      <c r="D591" s="958"/>
      <c r="E591" s="959"/>
    </row>
    <row r="592">
      <c r="A592" s="968"/>
      <c r="B592" s="968"/>
      <c r="D592" s="958"/>
      <c r="E592" s="959"/>
    </row>
    <row r="593">
      <c r="A593" s="968"/>
      <c r="B593" s="968"/>
      <c r="D593" s="958"/>
      <c r="E593" s="959"/>
    </row>
    <row r="594">
      <c r="A594" s="968"/>
      <c r="B594" s="968"/>
      <c r="D594" s="958"/>
      <c r="E594" s="959"/>
    </row>
    <row r="595">
      <c r="A595" s="968"/>
      <c r="B595" s="968"/>
      <c r="D595" s="958"/>
      <c r="E595" s="959"/>
    </row>
    <row r="596">
      <c r="A596" s="968"/>
      <c r="B596" s="968"/>
      <c r="D596" s="958"/>
      <c r="E596" s="959"/>
    </row>
    <row r="597">
      <c r="A597" s="968"/>
      <c r="B597" s="968"/>
      <c r="D597" s="958"/>
      <c r="E597" s="959"/>
    </row>
    <row r="598">
      <c r="A598" s="968"/>
      <c r="B598" s="968"/>
      <c r="D598" s="958"/>
      <c r="E598" s="959"/>
    </row>
    <row r="599">
      <c r="A599" s="968"/>
      <c r="B599" s="968"/>
      <c r="D599" s="958"/>
      <c r="E599" s="959"/>
    </row>
    <row r="600">
      <c r="A600" s="968"/>
      <c r="B600" s="968"/>
      <c r="D600" s="958"/>
      <c r="E600" s="959"/>
    </row>
    <row r="601">
      <c r="A601" s="968"/>
      <c r="B601" s="968"/>
      <c r="D601" s="958"/>
      <c r="E601" s="959"/>
    </row>
    <row r="602">
      <c r="A602" s="968"/>
      <c r="B602" s="968"/>
      <c r="D602" s="958"/>
      <c r="E602" s="959"/>
    </row>
    <row r="603">
      <c r="A603" s="968"/>
      <c r="B603" s="968"/>
      <c r="D603" s="958"/>
      <c r="E603" s="959"/>
    </row>
    <row r="604">
      <c r="A604" s="968"/>
      <c r="B604" s="968"/>
      <c r="D604" s="958"/>
      <c r="E604" s="959"/>
    </row>
    <row r="605">
      <c r="A605" s="968"/>
      <c r="B605" s="968"/>
      <c r="D605" s="958"/>
      <c r="E605" s="959"/>
    </row>
    <row r="606">
      <c r="A606" s="968"/>
      <c r="B606" s="968"/>
      <c r="D606" s="958"/>
      <c r="E606" s="959"/>
    </row>
    <row r="607">
      <c r="A607" s="968"/>
      <c r="B607" s="968"/>
      <c r="D607" s="958"/>
      <c r="E607" s="959"/>
    </row>
    <row r="608">
      <c r="A608" s="968"/>
      <c r="B608" s="968"/>
      <c r="D608" s="958"/>
      <c r="E608" s="959"/>
    </row>
    <row r="609">
      <c r="A609" s="968"/>
      <c r="B609" s="968"/>
      <c r="D609" s="958"/>
      <c r="E609" s="959"/>
    </row>
    <row r="610">
      <c r="A610" s="968"/>
      <c r="B610" s="968"/>
      <c r="D610" s="958"/>
      <c r="E610" s="959"/>
    </row>
    <row r="611">
      <c r="A611" s="968"/>
      <c r="B611" s="968"/>
      <c r="D611" s="958"/>
      <c r="E611" s="959"/>
    </row>
    <row r="612">
      <c r="A612" s="968"/>
      <c r="B612" s="968"/>
      <c r="D612" s="958"/>
      <c r="E612" s="959"/>
    </row>
    <row r="613">
      <c r="A613" s="968"/>
      <c r="B613" s="968"/>
      <c r="D613" s="958"/>
      <c r="E613" s="959"/>
    </row>
    <row r="614">
      <c r="A614" s="968"/>
      <c r="B614" s="968"/>
      <c r="D614" s="958"/>
      <c r="E614" s="959"/>
    </row>
    <row r="615">
      <c r="A615" s="968"/>
      <c r="B615" s="968"/>
      <c r="D615" s="958"/>
      <c r="E615" s="959"/>
    </row>
    <row r="616">
      <c r="A616" s="968"/>
      <c r="B616" s="968"/>
      <c r="D616" s="958"/>
      <c r="E616" s="959"/>
    </row>
    <row r="617">
      <c r="A617" s="968"/>
      <c r="B617" s="968"/>
      <c r="D617" s="958"/>
      <c r="E617" s="959"/>
    </row>
    <row r="618">
      <c r="A618" s="968"/>
      <c r="B618" s="968"/>
      <c r="D618" s="958"/>
      <c r="E618" s="959"/>
    </row>
    <row r="619">
      <c r="A619" s="968"/>
      <c r="B619" s="968"/>
      <c r="D619" s="958"/>
      <c r="E619" s="959"/>
    </row>
    <row r="620">
      <c r="A620" s="968"/>
      <c r="B620" s="968"/>
      <c r="D620" s="958"/>
      <c r="E620" s="959"/>
    </row>
    <row r="621">
      <c r="A621" s="968"/>
      <c r="B621" s="968"/>
      <c r="D621" s="958"/>
      <c r="E621" s="959"/>
    </row>
    <row r="622">
      <c r="A622" s="968"/>
      <c r="B622" s="968"/>
      <c r="D622" s="958"/>
      <c r="E622" s="959"/>
    </row>
    <row r="623">
      <c r="A623" s="968"/>
      <c r="B623" s="968"/>
      <c r="D623" s="958"/>
      <c r="E623" s="959"/>
    </row>
    <row r="624">
      <c r="A624" s="968"/>
      <c r="B624" s="968"/>
      <c r="D624" s="958"/>
      <c r="E624" s="959"/>
    </row>
    <row r="625">
      <c r="A625" s="968"/>
      <c r="B625" s="968"/>
      <c r="D625" s="958"/>
      <c r="E625" s="959"/>
    </row>
    <row r="626">
      <c r="A626" s="968"/>
      <c r="B626" s="968"/>
      <c r="D626" s="958"/>
      <c r="E626" s="959"/>
    </row>
    <row r="627">
      <c r="A627" s="968"/>
      <c r="B627" s="968"/>
      <c r="D627" s="958"/>
      <c r="E627" s="959"/>
    </row>
    <row r="628">
      <c r="A628" s="968"/>
      <c r="B628" s="968"/>
      <c r="D628" s="958"/>
      <c r="E628" s="959"/>
    </row>
    <row r="629">
      <c r="A629" s="968"/>
      <c r="B629" s="968"/>
      <c r="D629" s="958"/>
      <c r="E629" s="959"/>
    </row>
    <row r="630">
      <c r="A630" s="968"/>
      <c r="B630" s="968"/>
      <c r="D630" s="958"/>
      <c r="E630" s="959"/>
    </row>
    <row r="631">
      <c r="A631" s="968"/>
      <c r="B631" s="968"/>
      <c r="D631" s="958"/>
      <c r="E631" s="959"/>
    </row>
    <row r="632">
      <c r="A632" s="968"/>
      <c r="B632" s="968"/>
      <c r="D632" s="958"/>
      <c r="E632" s="959"/>
    </row>
    <row r="633">
      <c r="A633" s="968"/>
      <c r="B633" s="968"/>
      <c r="D633" s="958"/>
      <c r="E633" s="959"/>
    </row>
    <row r="634">
      <c r="A634" s="968"/>
      <c r="B634" s="968"/>
      <c r="D634" s="958"/>
      <c r="E634" s="959"/>
    </row>
    <row r="635">
      <c r="A635" s="968"/>
      <c r="B635" s="968"/>
      <c r="D635" s="958"/>
      <c r="E635" s="959"/>
    </row>
    <row r="636">
      <c r="A636" s="968"/>
      <c r="B636" s="968"/>
      <c r="D636" s="958"/>
      <c r="E636" s="959"/>
    </row>
    <row r="637">
      <c r="A637" s="968"/>
      <c r="B637" s="968"/>
      <c r="D637" s="958"/>
      <c r="E637" s="959"/>
    </row>
    <row r="638">
      <c r="A638" s="968"/>
      <c r="B638" s="968"/>
      <c r="D638" s="958"/>
      <c r="E638" s="959"/>
    </row>
    <row r="639">
      <c r="A639" s="968"/>
      <c r="B639" s="968"/>
      <c r="D639" s="958"/>
      <c r="E639" s="959"/>
    </row>
    <row r="640">
      <c r="A640" s="968"/>
      <c r="B640" s="968"/>
      <c r="D640" s="958"/>
      <c r="E640" s="959"/>
    </row>
    <row r="641">
      <c r="A641" s="968"/>
      <c r="B641" s="968"/>
      <c r="D641" s="958"/>
      <c r="E641" s="959"/>
    </row>
    <row r="642">
      <c r="A642" s="968"/>
      <c r="B642" s="968"/>
      <c r="D642" s="958"/>
      <c r="E642" s="959"/>
    </row>
    <row r="643">
      <c r="A643" s="968"/>
      <c r="B643" s="968"/>
      <c r="D643" s="958"/>
      <c r="E643" s="959"/>
    </row>
    <row r="644">
      <c r="A644" s="968"/>
      <c r="B644" s="968"/>
      <c r="D644" s="958"/>
      <c r="E644" s="959"/>
    </row>
    <row r="645">
      <c r="A645" s="968"/>
      <c r="B645" s="968"/>
      <c r="D645" s="958"/>
      <c r="E645" s="959"/>
    </row>
    <row r="646">
      <c r="A646" s="968"/>
      <c r="B646" s="968"/>
      <c r="D646" s="958"/>
      <c r="E646" s="959"/>
    </row>
    <row r="647">
      <c r="A647" s="968"/>
      <c r="B647" s="968"/>
      <c r="D647" s="958"/>
      <c r="E647" s="959"/>
    </row>
    <row r="648">
      <c r="A648" s="968"/>
      <c r="B648" s="968"/>
      <c r="D648" s="958"/>
      <c r="E648" s="959"/>
    </row>
    <row r="649">
      <c r="A649" s="968"/>
      <c r="B649" s="968"/>
      <c r="D649" s="958"/>
      <c r="E649" s="959"/>
    </row>
    <row r="650">
      <c r="A650" s="968"/>
      <c r="B650" s="968"/>
      <c r="D650" s="958"/>
      <c r="E650" s="959"/>
    </row>
    <row r="651">
      <c r="A651" s="968"/>
      <c r="B651" s="968"/>
      <c r="D651" s="958"/>
      <c r="E651" s="959"/>
    </row>
    <row r="652">
      <c r="A652" s="968"/>
      <c r="B652" s="968"/>
      <c r="D652" s="958"/>
      <c r="E652" s="959"/>
    </row>
    <row r="653">
      <c r="A653" s="968"/>
      <c r="B653" s="968"/>
      <c r="D653" s="958"/>
      <c r="E653" s="959"/>
    </row>
    <row r="654">
      <c r="A654" s="968"/>
      <c r="B654" s="968"/>
      <c r="D654" s="958"/>
      <c r="E654" s="959"/>
    </row>
    <row r="655">
      <c r="A655" s="968"/>
      <c r="B655" s="968"/>
      <c r="D655" s="958"/>
      <c r="E655" s="959"/>
    </row>
    <row r="656">
      <c r="A656" s="968"/>
      <c r="B656" s="968"/>
      <c r="D656" s="958"/>
      <c r="E656" s="959"/>
    </row>
    <row r="657">
      <c r="A657" s="968"/>
      <c r="B657" s="968"/>
      <c r="D657" s="958"/>
      <c r="E657" s="959"/>
    </row>
    <row r="658">
      <c r="A658" s="968"/>
      <c r="B658" s="968"/>
      <c r="D658" s="958"/>
      <c r="E658" s="959"/>
    </row>
    <row r="659">
      <c r="A659" s="968"/>
      <c r="B659" s="968"/>
      <c r="D659" s="958"/>
      <c r="E659" s="959"/>
    </row>
    <row r="660">
      <c r="A660" s="968"/>
      <c r="B660" s="968"/>
      <c r="D660" s="958"/>
      <c r="E660" s="959"/>
    </row>
    <row r="661">
      <c r="A661" s="968"/>
      <c r="B661" s="968"/>
      <c r="D661" s="958"/>
      <c r="E661" s="959"/>
    </row>
    <row r="662">
      <c r="A662" s="968"/>
      <c r="B662" s="968"/>
      <c r="D662" s="958"/>
      <c r="E662" s="959"/>
    </row>
    <row r="663">
      <c r="A663" s="968"/>
      <c r="B663" s="968"/>
      <c r="D663" s="958"/>
      <c r="E663" s="959"/>
    </row>
    <row r="664">
      <c r="A664" s="968"/>
      <c r="B664" s="968"/>
      <c r="D664" s="958"/>
      <c r="E664" s="959"/>
    </row>
    <row r="665">
      <c r="A665" s="968"/>
      <c r="B665" s="968"/>
      <c r="D665" s="958"/>
      <c r="E665" s="959"/>
    </row>
    <row r="666">
      <c r="A666" s="968"/>
      <c r="B666" s="968"/>
      <c r="D666" s="958"/>
      <c r="E666" s="959"/>
    </row>
    <row r="667">
      <c r="A667" s="968"/>
      <c r="B667" s="968"/>
      <c r="D667" s="958"/>
      <c r="E667" s="959"/>
    </row>
    <row r="668">
      <c r="A668" s="968"/>
      <c r="B668" s="968"/>
      <c r="D668" s="958"/>
      <c r="E668" s="959"/>
    </row>
    <row r="669">
      <c r="A669" s="968"/>
      <c r="B669" s="968"/>
      <c r="D669" s="958"/>
      <c r="E669" s="959"/>
    </row>
    <row r="670">
      <c r="A670" s="968"/>
      <c r="B670" s="968"/>
      <c r="D670" s="958"/>
      <c r="E670" s="959"/>
    </row>
    <row r="671">
      <c r="A671" s="968"/>
      <c r="B671" s="968"/>
      <c r="D671" s="958"/>
      <c r="E671" s="959"/>
    </row>
    <row r="672">
      <c r="A672" s="968"/>
      <c r="B672" s="968"/>
      <c r="D672" s="958"/>
      <c r="E672" s="959"/>
    </row>
    <row r="673">
      <c r="A673" s="968"/>
      <c r="B673" s="968"/>
      <c r="D673" s="958"/>
      <c r="E673" s="959"/>
    </row>
    <row r="674">
      <c r="A674" s="968"/>
      <c r="B674" s="968"/>
      <c r="D674" s="958"/>
      <c r="E674" s="959"/>
    </row>
    <row r="675">
      <c r="A675" s="968"/>
      <c r="B675" s="968"/>
      <c r="D675" s="958"/>
      <c r="E675" s="959"/>
    </row>
    <row r="676">
      <c r="A676" s="968"/>
      <c r="B676" s="968"/>
      <c r="D676" s="958"/>
      <c r="E676" s="959"/>
    </row>
    <row r="677">
      <c r="A677" s="968"/>
      <c r="B677" s="968"/>
      <c r="D677" s="958"/>
      <c r="E677" s="959"/>
    </row>
    <row r="678">
      <c r="A678" s="968"/>
      <c r="B678" s="968"/>
      <c r="D678" s="958"/>
      <c r="E678" s="959"/>
    </row>
    <row r="679">
      <c r="A679" s="968"/>
      <c r="B679" s="968"/>
      <c r="D679" s="958"/>
      <c r="E679" s="959"/>
    </row>
    <row r="680">
      <c r="A680" s="968"/>
      <c r="B680" s="968"/>
      <c r="D680" s="958"/>
      <c r="E680" s="959"/>
    </row>
    <row r="681">
      <c r="A681" s="968"/>
      <c r="B681" s="968"/>
      <c r="D681" s="958"/>
      <c r="E681" s="959"/>
    </row>
    <row r="682">
      <c r="A682" s="968"/>
      <c r="B682" s="968"/>
      <c r="D682" s="958"/>
      <c r="E682" s="959"/>
    </row>
    <row r="683">
      <c r="A683" s="968"/>
      <c r="B683" s="968"/>
      <c r="D683" s="958"/>
      <c r="E683" s="959"/>
    </row>
    <row r="684">
      <c r="A684" s="968"/>
      <c r="B684" s="968"/>
      <c r="D684" s="958"/>
      <c r="E684" s="959"/>
    </row>
    <row r="685">
      <c r="A685" s="968"/>
      <c r="B685" s="968"/>
      <c r="D685" s="958"/>
      <c r="E685" s="959"/>
    </row>
    <row r="686">
      <c r="A686" s="968"/>
      <c r="B686" s="968"/>
      <c r="D686" s="958"/>
      <c r="E686" s="959"/>
    </row>
    <row r="687">
      <c r="A687" s="968"/>
      <c r="B687" s="968"/>
      <c r="D687" s="958"/>
      <c r="E687" s="959"/>
    </row>
    <row r="688">
      <c r="A688" s="968"/>
      <c r="B688" s="968"/>
      <c r="D688" s="958"/>
      <c r="E688" s="959"/>
    </row>
    <row r="689">
      <c r="A689" s="968"/>
      <c r="B689" s="968"/>
      <c r="D689" s="958"/>
      <c r="E689" s="959"/>
    </row>
    <row r="690">
      <c r="A690" s="968"/>
      <c r="B690" s="968"/>
      <c r="D690" s="958"/>
      <c r="E690" s="959"/>
    </row>
    <row r="691">
      <c r="A691" s="968"/>
      <c r="B691" s="968"/>
      <c r="D691" s="958"/>
      <c r="E691" s="959"/>
    </row>
    <row r="692">
      <c r="A692" s="968"/>
      <c r="B692" s="968"/>
      <c r="D692" s="958"/>
      <c r="E692" s="959"/>
    </row>
    <row r="693">
      <c r="A693" s="968"/>
      <c r="B693" s="968"/>
      <c r="D693" s="958"/>
      <c r="E693" s="959"/>
    </row>
    <row r="694">
      <c r="A694" s="968"/>
      <c r="B694" s="968"/>
      <c r="D694" s="958"/>
      <c r="E694" s="959"/>
    </row>
    <row r="695">
      <c r="A695" s="968"/>
      <c r="B695" s="968"/>
      <c r="D695" s="958"/>
      <c r="E695" s="959"/>
    </row>
    <row r="696">
      <c r="A696" s="968"/>
      <c r="B696" s="968"/>
      <c r="D696" s="958"/>
      <c r="E696" s="959"/>
    </row>
    <row r="697">
      <c r="A697" s="968"/>
      <c r="B697" s="968"/>
      <c r="D697" s="958"/>
      <c r="E697" s="959"/>
    </row>
    <row r="698">
      <c r="A698" s="968"/>
      <c r="B698" s="968"/>
      <c r="D698" s="958"/>
      <c r="E698" s="959"/>
    </row>
    <row r="699">
      <c r="A699" s="968"/>
      <c r="B699" s="968"/>
      <c r="D699" s="958"/>
      <c r="E699" s="959"/>
    </row>
    <row r="700">
      <c r="A700" s="968"/>
      <c r="B700" s="968"/>
      <c r="D700" s="958"/>
      <c r="E700" s="959"/>
    </row>
    <row r="701">
      <c r="A701" s="968"/>
      <c r="B701" s="968"/>
      <c r="D701" s="958"/>
      <c r="E701" s="959"/>
    </row>
    <row r="702">
      <c r="A702" s="968"/>
      <c r="B702" s="968"/>
      <c r="D702" s="958"/>
      <c r="E702" s="959"/>
    </row>
    <row r="703">
      <c r="A703" s="968"/>
      <c r="B703" s="968"/>
      <c r="D703" s="958"/>
      <c r="E703" s="959"/>
    </row>
    <row r="704">
      <c r="A704" s="968"/>
      <c r="B704" s="968"/>
      <c r="D704" s="958"/>
      <c r="E704" s="959"/>
    </row>
    <row r="705">
      <c r="A705" s="968"/>
      <c r="B705" s="968"/>
      <c r="D705" s="958"/>
      <c r="E705" s="959"/>
    </row>
    <row r="706">
      <c r="A706" s="968"/>
      <c r="B706" s="968"/>
      <c r="D706" s="958"/>
      <c r="E706" s="959"/>
    </row>
    <row r="707">
      <c r="A707" s="968"/>
      <c r="B707" s="968"/>
      <c r="D707" s="958"/>
      <c r="E707" s="959"/>
    </row>
    <row r="708">
      <c r="A708" s="968"/>
      <c r="B708" s="968"/>
      <c r="D708" s="958"/>
      <c r="E708" s="959"/>
    </row>
    <row r="709">
      <c r="A709" s="968"/>
      <c r="B709" s="968"/>
      <c r="D709" s="958"/>
      <c r="E709" s="959"/>
    </row>
    <row r="710">
      <c r="A710" s="968"/>
      <c r="B710" s="968"/>
      <c r="D710" s="958"/>
      <c r="E710" s="959"/>
    </row>
    <row r="711">
      <c r="A711" s="968"/>
      <c r="B711" s="968"/>
      <c r="D711" s="958"/>
      <c r="E711" s="959"/>
    </row>
    <row r="712">
      <c r="A712" s="968"/>
      <c r="B712" s="968"/>
      <c r="D712" s="958"/>
      <c r="E712" s="959"/>
    </row>
    <row r="713">
      <c r="A713" s="968"/>
      <c r="B713" s="968"/>
      <c r="D713" s="958"/>
      <c r="E713" s="959"/>
    </row>
    <row r="714">
      <c r="A714" s="968"/>
      <c r="B714" s="968"/>
      <c r="D714" s="958"/>
      <c r="E714" s="959"/>
    </row>
    <row r="715">
      <c r="A715" s="968"/>
      <c r="B715" s="968"/>
      <c r="D715" s="958"/>
      <c r="E715" s="959"/>
    </row>
    <row r="716">
      <c r="A716" s="968"/>
      <c r="B716" s="968"/>
      <c r="D716" s="958"/>
      <c r="E716" s="959"/>
    </row>
    <row r="717">
      <c r="A717" s="968"/>
      <c r="B717" s="968"/>
      <c r="D717" s="958"/>
      <c r="E717" s="959"/>
    </row>
    <row r="718">
      <c r="A718" s="968"/>
      <c r="B718" s="968"/>
      <c r="D718" s="958"/>
      <c r="E718" s="959"/>
    </row>
    <row r="719">
      <c r="A719" s="968"/>
      <c r="B719" s="968"/>
      <c r="D719" s="958"/>
      <c r="E719" s="959"/>
    </row>
    <row r="720">
      <c r="A720" s="968"/>
      <c r="B720" s="968"/>
      <c r="D720" s="958"/>
      <c r="E720" s="959"/>
    </row>
    <row r="721">
      <c r="A721" s="968"/>
      <c r="B721" s="968"/>
      <c r="D721" s="958"/>
      <c r="E721" s="959"/>
    </row>
    <row r="722">
      <c r="A722" s="968"/>
      <c r="B722" s="968"/>
      <c r="D722" s="958"/>
      <c r="E722" s="959"/>
    </row>
    <row r="723">
      <c r="A723" s="968"/>
      <c r="B723" s="968"/>
      <c r="D723" s="958"/>
      <c r="E723" s="959"/>
    </row>
    <row r="724">
      <c r="A724" s="968"/>
      <c r="B724" s="968"/>
      <c r="D724" s="958"/>
      <c r="E724" s="959"/>
    </row>
    <row r="725">
      <c r="A725" s="968"/>
      <c r="B725" s="968"/>
      <c r="D725" s="958"/>
      <c r="E725" s="959"/>
    </row>
    <row r="726">
      <c r="A726" s="968"/>
      <c r="B726" s="968"/>
      <c r="D726" s="958"/>
      <c r="E726" s="959"/>
    </row>
    <row r="727">
      <c r="A727" s="968"/>
      <c r="B727" s="968"/>
      <c r="D727" s="958"/>
      <c r="E727" s="959"/>
    </row>
    <row r="728">
      <c r="A728" s="968"/>
      <c r="B728" s="968"/>
      <c r="D728" s="958"/>
      <c r="E728" s="959"/>
    </row>
    <row r="729">
      <c r="A729" s="968"/>
      <c r="B729" s="968"/>
      <c r="D729" s="958"/>
      <c r="E729" s="959"/>
    </row>
    <row r="730">
      <c r="A730" s="968"/>
      <c r="B730" s="968"/>
      <c r="D730" s="958"/>
      <c r="E730" s="959"/>
    </row>
    <row r="731">
      <c r="A731" s="968"/>
      <c r="B731" s="968"/>
      <c r="D731" s="958"/>
      <c r="E731" s="959"/>
    </row>
    <row r="732">
      <c r="A732" s="968"/>
      <c r="B732" s="968"/>
      <c r="D732" s="958"/>
      <c r="E732" s="959"/>
    </row>
    <row r="733">
      <c r="A733" s="968"/>
      <c r="B733" s="968"/>
      <c r="D733" s="958"/>
      <c r="E733" s="959"/>
    </row>
    <row r="734">
      <c r="A734" s="968"/>
      <c r="B734" s="968"/>
      <c r="D734" s="958"/>
      <c r="E734" s="959"/>
    </row>
    <row r="735">
      <c r="A735" s="968"/>
      <c r="B735" s="968"/>
      <c r="D735" s="958"/>
      <c r="E735" s="959"/>
    </row>
    <row r="736">
      <c r="A736" s="968"/>
      <c r="B736" s="968"/>
      <c r="D736" s="958"/>
      <c r="E736" s="959"/>
    </row>
    <row r="737">
      <c r="A737" s="968"/>
      <c r="B737" s="968"/>
      <c r="D737" s="958"/>
      <c r="E737" s="959"/>
    </row>
    <row r="738">
      <c r="A738" s="968"/>
      <c r="B738" s="968"/>
      <c r="D738" s="958"/>
      <c r="E738" s="959"/>
    </row>
    <row r="739">
      <c r="A739" s="968"/>
      <c r="B739" s="968"/>
      <c r="D739" s="958"/>
      <c r="E739" s="959"/>
    </row>
    <row r="740">
      <c r="A740" s="968"/>
      <c r="B740" s="968"/>
      <c r="D740" s="958"/>
      <c r="E740" s="959"/>
    </row>
    <row r="741">
      <c r="A741" s="968"/>
      <c r="B741" s="968"/>
      <c r="D741" s="958"/>
      <c r="E741" s="959"/>
    </row>
    <row r="742">
      <c r="A742" s="968"/>
      <c r="B742" s="968"/>
      <c r="D742" s="958"/>
      <c r="E742" s="959"/>
    </row>
    <row r="743">
      <c r="A743" s="968"/>
      <c r="B743" s="968"/>
      <c r="D743" s="958"/>
      <c r="E743" s="959"/>
    </row>
    <row r="744">
      <c r="A744" s="968"/>
      <c r="B744" s="968"/>
      <c r="D744" s="958"/>
      <c r="E744" s="959"/>
    </row>
    <row r="745">
      <c r="A745" s="968"/>
      <c r="B745" s="968"/>
      <c r="D745" s="958"/>
      <c r="E745" s="959"/>
    </row>
    <row r="746">
      <c r="A746" s="968"/>
      <c r="B746" s="968"/>
      <c r="D746" s="958"/>
      <c r="E746" s="959"/>
    </row>
    <row r="747">
      <c r="A747" s="968"/>
      <c r="B747" s="968"/>
      <c r="D747" s="958"/>
      <c r="E747" s="959"/>
    </row>
    <row r="748">
      <c r="A748" s="968"/>
      <c r="B748" s="968"/>
      <c r="D748" s="958"/>
      <c r="E748" s="959"/>
    </row>
    <row r="749">
      <c r="A749" s="968"/>
      <c r="B749" s="968"/>
      <c r="D749" s="958"/>
      <c r="E749" s="959"/>
    </row>
    <row r="750">
      <c r="A750" s="968"/>
      <c r="B750" s="968"/>
      <c r="D750" s="958"/>
      <c r="E750" s="959"/>
    </row>
    <row r="751">
      <c r="A751" s="968"/>
      <c r="B751" s="968"/>
      <c r="D751" s="958"/>
      <c r="E751" s="959"/>
    </row>
    <row r="752">
      <c r="A752" s="968"/>
      <c r="B752" s="968"/>
      <c r="D752" s="958"/>
      <c r="E752" s="959"/>
    </row>
    <row r="753">
      <c r="A753" s="968"/>
      <c r="B753" s="968"/>
      <c r="D753" s="958"/>
      <c r="E753" s="959"/>
    </row>
    <row r="754">
      <c r="A754" s="968"/>
      <c r="B754" s="968"/>
      <c r="D754" s="958"/>
      <c r="E754" s="959"/>
    </row>
    <row r="755">
      <c r="A755" s="968"/>
      <c r="B755" s="968"/>
      <c r="D755" s="958"/>
      <c r="E755" s="959"/>
    </row>
    <row r="756">
      <c r="A756" s="968"/>
      <c r="B756" s="968"/>
      <c r="D756" s="958"/>
      <c r="E756" s="959"/>
    </row>
    <row r="757">
      <c r="A757" s="968"/>
      <c r="B757" s="968"/>
      <c r="D757" s="958"/>
      <c r="E757" s="959"/>
    </row>
    <row r="758">
      <c r="A758" s="968"/>
      <c r="B758" s="968"/>
      <c r="D758" s="958"/>
      <c r="E758" s="959"/>
    </row>
    <row r="759">
      <c r="A759" s="968"/>
      <c r="B759" s="968"/>
      <c r="D759" s="958"/>
      <c r="E759" s="959"/>
    </row>
    <row r="760">
      <c r="A760" s="968"/>
      <c r="B760" s="968"/>
      <c r="D760" s="958"/>
      <c r="E760" s="959"/>
    </row>
    <row r="761">
      <c r="A761" s="968"/>
      <c r="B761" s="968"/>
      <c r="D761" s="958"/>
      <c r="E761" s="959"/>
    </row>
    <row r="762">
      <c r="A762" s="968"/>
      <c r="B762" s="968"/>
      <c r="D762" s="958"/>
      <c r="E762" s="959"/>
    </row>
    <row r="763">
      <c r="A763" s="968"/>
      <c r="B763" s="968"/>
      <c r="D763" s="958"/>
      <c r="E763" s="959"/>
    </row>
    <row r="764">
      <c r="A764" s="968"/>
      <c r="B764" s="968"/>
      <c r="D764" s="958"/>
      <c r="E764" s="959"/>
    </row>
    <row r="765">
      <c r="A765" s="968"/>
      <c r="B765" s="968"/>
      <c r="D765" s="958"/>
      <c r="E765" s="959"/>
    </row>
    <row r="766">
      <c r="A766" s="968"/>
      <c r="B766" s="968"/>
      <c r="D766" s="958"/>
      <c r="E766" s="959"/>
    </row>
    <row r="767">
      <c r="A767" s="968"/>
      <c r="B767" s="968"/>
      <c r="D767" s="958"/>
      <c r="E767" s="959"/>
    </row>
    <row r="768">
      <c r="A768" s="968"/>
      <c r="B768" s="968"/>
      <c r="D768" s="958"/>
      <c r="E768" s="959"/>
    </row>
    <row r="769">
      <c r="A769" s="968"/>
      <c r="B769" s="968"/>
      <c r="D769" s="958"/>
      <c r="E769" s="959"/>
    </row>
    <row r="770">
      <c r="A770" s="968"/>
      <c r="B770" s="968"/>
      <c r="D770" s="958"/>
      <c r="E770" s="959"/>
    </row>
    <row r="771">
      <c r="A771" s="968"/>
      <c r="B771" s="968"/>
      <c r="D771" s="958"/>
      <c r="E771" s="959"/>
    </row>
    <row r="772">
      <c r="A772" s="968"/>
      <c r="B772" s="968"/>
      <c r="D772" s="958"/>
      <c r="E772" s="959"/>
    </row>
    <row r="773">
      <c r="A773" s="968"/>
      <c r="B773" s="968"/>
      <c r="D773" s="958"/>
      <c r="E773" s="959"/>
    </row>
    <row r="774">
      <c r="A774" s="968"/>
      <c r="B774" s="968"/>
      <c r="D774" s="958"/>
      <c r="E774" s="959"/>
    </row>
    <row r="775">
      <c r="A775" s="968"/>
      <c r="B775" s="968"/>
      <c r="D775" s="958"/>
      <c r="E775" s="959"/>
    </row>
    <row r="776">
      <c r="A776" s="968"/>
      <c r="B776" s="968"/>
      <c r="D776" s="958"/>
      <c r="E776" s="959"/>
    </row>
    <row r="777">
      <c r="A777" s="968"/>
      <c r="B777" s="968"/>
      <c r="D777" s="958"/>
      <c r="E777" s="959"/>
    </row>
    <row r="778">
      <c r="A778" s="968"/>
      <c r="B778" s="968"/>
      <c r="D778" s="958"/>
      <c r="E778" s="959"/>
    </row>
    <row r="779">
      <c r="A779" s="968"/>
      <c r="B779" s="968"/>
      <c r="D779" s="958"/>
      <c r="E779" s="959"/>
    </row>
    <row r="780">
      <c r="A780" s="968"/>
      <c r="B780" s="968"/>
      <c r="D780" s="958"/>
      <c r="E780" s="959"/>
    </row>
    <row r="781">
      <c r="A781" s="968"/>
      <c r="B781" s="968"/>
      <c r="D781" s="958"/>
      <c r="E781" s="959"/>
    </row>
    <row r="782">
      <c r="A782" s="968"/>
      <c r="B782" s="968"/>
      <c r="D782" s="958"/>
      <c r="E782" s="959"/>
    </row>
    <row r="783">
      <c r="A783" s="968"/>
      <c r="B783" s="968"/>
      <c r="D783" s="958"/>
      <c r="E783" s="959"/>
    </row>
    <row r="784">
      <c r="A784" s="968"/>
      <c r="B784" s="968"/>
      <c r="D784" s="958"/>
      <c r="E784" s="959"/>
    </row>
    <row r="785">
      <c r="A785" s="968"/>
      <c r="B785" s="968"/>
      <c r="D785" s="958"/>
      <c r="E785" s="959"/>
    </row>
    <row r="786">
      <c r="A786" s="968"/>
      <c r="B786" s="968"/>
      <c r="D786" s="958"/>
      <c r="E786" s="959"/>
    </row>
    <row r="787">
      <c r="A787" s="968"/>
      <c r="B787" s="968"/>
      <c r="D787" s="958"/>
      <c r="E787" s="959"/>
    </row>
    <row r="788">
      <c r="A788" s="968"/>
      <c r="B788" s="968"/>
      <c r="D788" s="958"/>
      <c r="E788" s="959"/>
    </row>
    <row r="789">
      <c r="A789" s="968"/>
      <c r="B789" s="968"/>
      <c r="D789" s="958"/>
      <c r="E789" s="959"/>
    </row>
    <row r="790">
      <c r="A790" s="968"/>
      <c r="B790" s="968"/>
      <c r="D790" s="958"/>
      <c r="E790" s="959"/>
    </row>
    <row r="791">
      <c r="A791" s="968"/>
      <c r="B791" s="968"/>
      <c r="D791" s="958"/>
      <c r="E791" s="959"/>
    </row>
    <row r="792">
      <c r="A792" s="968"/>
      <c r="B792" s="968"/>
      <c r="D792" s="958"/>
      <c r="E792" s="959"/>
    </row>
    <row r="793">
      <c r="A793" s="968"/>
      <c r="B793" s="968"/>
      <c r="D793" s="958"/>
      <c r="E793" s="959"/>
    </row>
    <row r="794">
      <c r="A794" s="968"/>
      <c r="B794" s="968"/>
      <c r="D794" s="958"/>
      <c r="E794" s="959"/>
    </row>
    <row r="795">
      <c r="A795" s="968"/>
      <c r="B795" s="968"/>
      <c r="D795" s="958"/>
      <c r="E795" s="959"/>
    </row>
    <row r="796">
      <c r="A796" s="968"/>
      <c r="B796" s="968"/>
      <c r="D796" s="958"/>
      <c r="E796" s="959"/>
    </row>
    <row r="797">
      <c r="A797" s="968"/>
      <c r="B797" s="968"/>
      <c r="D797" s="958"/>
      <c r="E797" s="959"/>
    </row>
    <row r="798">
      <c r="A798" s="968"/>
      <c r="B798" s="968"/>
      <c r="D798" s="958"/>
      <c r="E798" s="959"/>
    </row>
    <row r="799">
      <c r="A799" s="968"/>
      <c r="B799" s="968"/>
      <c r="D799" s="958"/>
      <c r="E799" s="959"/>
    </row>
    <row r="800">
      <c r="A800" s="968"/>
      <c r="B800" s="968"/>
      <c r="D800" s="958"/>
      <c r="E800" s="959"/>
    </row>
    <row r="801">
      <c r="A801" s="968"/>
      <c r="B801" s="968"/>
      <c r="D801" s="958"/>
      <c r="E801" s="959"/>
    </row>
    <row r="802">
      <c r="A802" s="968"/>
      <c r="B802" s="968"/>
      <c r="D802" s="958"/>
      <c r="E802" s="959"/>
    </row>
    <row r="803">
      <c r="A803" s="968"/>
      <c r="B803" s="968"/>
      <c r="D803" s="958"/>
      <c r="E803" s="959"/>
    </row>
    <row r="804">
      <c r="A804" s="968"/>
      <c r="B804" s="968"/>
      <c r="D804" s="958"/>
      <c r="E804" s="959"/>
    </row>
    <row r="805">
      <c r="A805" s="968"/>
      <c r="B805" s="968"/>
      <c r="D805" s="958"/>
      <c r="E805" s="959"/>
    </row>
    <row r="806">
      <c r="A806" s="968"/>
      <c r="B806" s="968"/>
      <c r="D806" s="958"/>
      <c r="E806" s="959"/>
    </row>
    <row r="807">
      <c r="A807" s="968"/>
      <c r="B807" s="968"/>
      <c r="D807" s="958"/>
      <c r="E807" s="959"/>
    </row>
    <row r="808">
      <c r="A808" s="968"/>
      <c r="B808" s="968"/>
      <c r="D808" s="958"/>
      <c r="E808" s="959"/>
    </row>
    <row r="809">
      <c r="A809" s="968"/>
      <c r="B809" s="968"/>
      <c r="D809" s="958"/>
      <c r="E809" s="959"/>
    </row>
    <row r="810">
      <c r="A810" s="968"/>
      <c r="B810" s="968"/>
      <c r="D810" s="958"/>
      <c r="E810" s="959"/>
    </row>
    <row r="811">
      <c r="A811" s="968"/>
      <c r="B811" s="968"/>
      <c r="D811" s="958"/>
      <c r="E811" s="959"/>
    </row>
    <row r="812">
      <c r="A812" s="968"/>
      <c r="B812" s="968"/>
      <c r="D812" s="958"/>
      <c r="E812" s="959"/>
    </row>
    <row r="813">
      <c r="A813" s="968"/>
      <c r="B813" s="968"/>
      <c r="D813" s="958"/>
      <c r="E813" s="959"/>
    </row>
    <row r="814">
      <c r="A814" s="968"/>
      <c r="B814" s="968"/>
      <c r="D814" s="958"/>
      <c r="E814" s="959"/>
    </row>
    <row r="815">
      <c r="A815" s="968"/>
      <c r="B815" s="968"/>
      <c r="D815" s="958"/>
      <c r="E815" s="959"/>
    </row>
    <row r="816">
      <c r="A816" s="968"/>
      <c r="B816" s="968"/>
      <c r="D816" s="958"/>
      <c r="E816" s="959"/>
    </row>
    <row r="817">
      <c r="A817" s="968"/>
      <c r="B817" s="968"/>
      <c r="D817" s="958"/>
      <c r="E817" s="959"/>
    </row>
    <row r="818">
      <c r="A818" s="968"/>
      <c r="B818" s="968"/>
      <c r="D818" s="958"/>
      <c r="E818" s="959"/>
    </row>
    <row r="819">
      <c r="A819" s="968"/>
      <c r="B819" s="968"/>
      <c r="D819" s="958"/>
      <c r="E819" s="959"/>
    </row>
    <row r="820">
      <c r="A820" s="968"/>
      <c r="B820" s="968"/>
      <c r="D820" s="958"/>
      <c r="E820" s="959"/>
    </row>
    <row r="821">
      <c r="A821" s="968"/>
      <c r="B821" s="968"/>
      <c r="D821" s="958"/>
      <c r="E821" s="959"/>
    </row>
    <row r="822">
      <c r="A822" s="968"/>
      <c r="B822" s="968"/>
      <c r="D822" s="958"/>
      <c r="E822" s="959"/>
    </row>
    <row r="823">
      <c r="A823" s="968"/>
      <c r="B823" s="968"/>
      <c r="D823" s="958"/>
      <c r="E823" s="959"/>
    </row>
    <row r="824">
      <c r="A824" s="968"/>
      <c r="B824" s="968"/>
      <c r="D824" s="958"/>
      <c r="E824" s="959"/>
    </row>
    <row r="825">
      <c r="A825" s="968"/>
      <c r="B825" s="968"/>
      <c r="D825" s="958"/>
      <c r="E825" s="959"/>
    </row>
    <row r="826">
      <c r="A826" s="968"/>
      <c r="B826" s="968"/>
      <c r="D826" s="958"/>
      <c r="E826" s="959"/>
    </row>
    <row r="827">
      <c r="A827" s="968"/>
      <c r="B827" s="968"/>
      <c r="D827" s="958"/>
      <c r="E827" s="959"/>
    </row>
    <row r="828">
      <c r="A828" s="968"/>
      <c r="B828" s="968"/>
      <c r="D828" s="958"/>
      <c r="E828" s="959"/>
    </row>
    <row r="829">
      <c r="A829" s="968"/>
      <c r="B829" s="968"/>
      <c r="D829" s="958"/>
      <c r="E829" s="959"/>
    </row>
    <row r="830">
      <c r="A830" s="968"/>
      <c r="B830" s="968"/>
      <c r="D830" s="958"/>
      <c r="E830" s="959"/>
    </row>
    <row r="831">
      <c r="A831" s="968"/>
      <c r="B831" s="968"/>
      <c r="D831" s="958"/>
      <c r="E831" s="959"/>
    </row>
    <row r="832">
      <c r="A832" s="968"/>
      <c r="B832" s="968"/>
      <c r="D832" s="958"/>
      <c r="E832" s="959"/>
    </row>
    <row r="833">
      <c r="A833" s="968"/>
      <c r="B833" s="968"/>
      <c r="D833" s="958"/>
      <c r="E833" s="959"/>
    </row>
    <row r="834">
      <c r="A834" s="968"/>
      <c r="B834" s="968"/>
      <c r="D834" s="958"/>
      <c r="E834" s="959"/>
    </row>
    <row r="835">
      <c r="A835" s="968"/>
      <c r="B835" s="968"/>
      <c r="D835" s="958"/>
      <c r="E835" s="959"/>
    </row>
    <row r="836">
      <c r="A836" s="968"/>
      <c r="B836" s="968"/>
      <c r="D836" s="958"/>
      <c r="E836" s="959"/>
    </row>
    <row r="837">
      <c r="A837" s="968"/>
      <c r="B837" s="968"/>
      <c r="D837" s="958"/>
      <c r="E837" s="959"/>
    </row>
    <row r="838">
      <c r="A838" s="968"/>
      <c r="B838" s="968"/>
      <c r="D838" s="958"/>
      <c r="E838" s="959"/>
    </row>
    <row r="839">
      <c r="A839" s="968"/>
      <c r="B839" s="968"/>
      <c r="D839" s="958"/>
      <c r="E839" s="959"/>
    </row>
    <row r="840">
      <c r="A840" s="968"/>
      <c r="B840" s="968"/>
      <c r="D840" s="958"/>
      <c r="E840" s="959"/>
    </row>
    <row r="841">
      <c r="A841" s="968"/>
      <c r="B841" s="968"/>
      <c r="D841" s="958"/>
      <c r="E841" s="959"/>
    </row>
    <row r="842">
      <c r="A842" s="968"/>
      <c r="B842" s="968"/>
      <c r="D842" s="958"/>
      <c r="E842" s="959"/>
    </row>
    <row r="843">
      <c r="A843" s="968"/>
      <c r="B843" s="968"/>
      <c r="D843" s="958"/>
      <c r="E843" s="959"/>
    </row>
    <row r="844">
      <c r="A844" s="968"/>
      <c r="B844" s="968"/>
      <c r="D844" s="958"/>
      <c r="E844" s="959"/>
    </row>
    <row r="845">
      <c r="A845" s="968"/>
      <c r="B845" s="968"/>
      <c r="D845" s="958"/>
      <c r="E845" s="959"/>
    </row>
    <row r="846">
      <c r="A846" s="968"/>
      <c r="B846" s="968"/>
      <c r="D846" s="958"/>
      <c r="E846" s="959"/>
    </row>
    <row r="847">
      <c r="A847" s="968"/>
      <c r="B847" s="968"/>
      <c r="D847" s="958"/>
      <c r="E847" s="959"/>
    </row>
    <row r="848">
      <c r="A848" s="968"/>
      <c r="B848" s="968"/>
      <c r="D848" s="958"/>
      <c r="E848" s="959"/>
    </row>
    <row r="849">
      <c r="A849" s="968"/>
      <c r="B849" s="968"/>
      <c r="D849" s="958"/>
      <c r="E849" s="959"/>
    </row>
    <row r="850">
      <c r="A850" s="968"/>
      <c r="B850" s="968"/>
      <c r="D850" s="958"/>
      <c r="E850" s="959"/>
    </row>
    <row r="851">
      <c r="A851" s="968"/>
      <c r="B851" s="968"/>
      <c r="D851" s="958"/>
      <c r="E851" s="959"/>
    </row>
    <row r="852">
      <c r="A852" s="968"/>
      <c r="B852" s="968"/>
      <c r="D852" s="958"/>
      <c r="E852" s="959"/>
    </row>
    <row r="853">
      <c r="A853" s="968"/>
      <c r="B853" s="968"/>
      <c r="D853" s="958"/>
      <c r="E853" s="959"/>
    </row>
    <row r="854">
      <c r="A854" s="968"/>
      <c r="B854" s="968"/>
      <c r="D854" s="958"/>
      <c r="E854" s="959"/>
    </row>
    <row r="855">
      <c r="A855" s="968"/>
      <c r="B855" s="968"/>
      <c r="D855" s="958"/>
      <c r="E855" s="959"/>
    </row>
    <row r="856">
      <c r="A856" s="968"/>
      <c r="B856" s="968"/>
      <c r="D856" s="958"/>
      <c r="E856" s="959"/>
    </row>
    <row r="857">
      <c r="A857" s="968"/>
      <c r="B857" s="968"/>
      <c r="D857" s="958"/>
      <c r="E857" s="959"/>
    </row>
    <row r="858">
      <c r="A858" s="968"/>
      <c r="B858" s="968"/>
      <c r="D858" s="958"/>
      <c r="E858" s="959"/>
    </row>
    <row r="859">
      <c r="A859" s="968"/>
      <c r="B859" s="968"/>
      <c r="D859" s="958"/>
      <c r="E859" s="959"/>
    </row>
    <row r="860">
      <c r="A860" s="968"/>
      <c r="B860" s="968"/>
      <c r="D860" s="958"/>
      <c r="E860" s="959"/>
    </row>
    <row r="861">
      <c r="A861" s="968"/>
      <c r="B861" s="968"/>
      <c r="D861" s="958"/>
      <c r="E861" s="959"/>
    </row>
    <row r="862">
      <c r="A862" s="968"/>
      <c r="B862" s="968"/>
      <c r="D862" s="958"/>
      <c r="E862" s="959"/>
    </row>
    <row r="863">
      <c r="A863" s="968"/>
      <c r="B863" s="968"/>
      <c r="D863" s="958"/>
      <c r="E863" s="959"/>
    </row>
    <row r="864">
      <c r="A864" s="968"/>
      <c r="B864" s="968"/>
      <c r="D864" s="958"/>
      <c r="E864" s="959"/>
    </row>
    <row r="865">
      <c r="A865" s="968"/>
      <c r="B865" s="968"/>
      <c r="D865" s="958"/>
      <c r="E865" s="959"/>
    </row>
    <row r="866">
      <c r="A866" s="968"/>
      <c r="B866" s="968"/>
      <c r="D866" s="958"/>
      <c r="E866" s="959"/>
    </row>
    <row r="867">
      <c r="A867" s="968"/>
      <c r="B867" s="968"/>
      <c r="D867" s="958"/>
      <c r="E867" s="959"/>
    </row>
    <row r="868">
      <c r="A868" s="968"/>
      <c r="B868" s="968"/>
      <c r="D868" s="958"/>
      <c r="E868" s="959"/>
    </row>
    <row r="869">
      <c r="A869" s="968"/>
      <c r="B869" s="968"/>
      <c r="D869" s="958"/>
      <c r="E869" s="959"/>
    </row>
    <row r="870">
      <c r="A870" s="968"/>
      <c r="B870" s="968"/>
      <c r="D870" s="958"/>
      <c r="E870" s="959"/>
    </row>
    <row r="871">
      <c r="A871" s="968"/>
      <c r="B871" s="968"/>
      <c r="D871" s="958"/>
      <c r="E871" s="959"/>
    </row>
    <row r="872">
      <c r="A872" s="968"/>
      <c r="B872" s="968"/>
      <c r="D872" s="958"/>
      <c r="E872" s="959"/>
    </row>
    <row r="873">
      <c r="A873" s="968"/>
      <c r="B873" s="968"/>
      <c r="D873" s="958"/>
      <c r="E873" s="959"/>
    </row>
    <row r="874">
      <c r="A874" s="968"/>
      <c r="B874" s="968"/>
      <c r="D874" s="958"/>
      <c r="E874" s="959"/>
    </row>
    <row r="875">
      <c r="A875" s="968"/>
      <c r="B875" s="968"/>
      <c r="D875" s="958"/>
      <c r="E875" s="959"/>
    </row>
    <row r="876">
      <c r="A876" s="968"/>
      <c r="B876" s="968"/>
      <c r="D876" s="958"/>
      <c r="E876" s="959"/>
    </row>
    <row r="877">
      <c r="A877" s="968"/>
      <c r="B877" s="968"/>
      <c r="D877" s="958"/>
      <c r="E877" s="959"/>
    </row>
    <row r="878">
      <c r="A878" s="968"/>
      <c r="B878" s="968"/>
      <c r="D878" s="958"/>
      <c r="E878" s="959"/>
    </row>
    <row r="879">
      <c r="A879" s="968"/>
      <c r="B879" s="968"/>
      <c r="D879" s="958"/>
      <c r="E879" s="959"/>
    </row>
    <row r="880">
      <c r="A880" s="968"/>
      <c r="B880" s="968"/>
      <c r="D880" s="958"/>
      <c r="E880" s="959"/>
    </row>
    <row r="881">
      <c r="A881" s="968"/>
      <c r="B881" s="968"/>
      <c r="D881" s="958"/>
      <c r="E881" s="959"/>
    </row>
    <row r="882">
      <c r="A882" s="968"/>
      <c r="B882" s="968"/>
      <c r="D882" s="958"/>
      <c r="E882" s="959"/>
    </row>
    <row r="883">
      <c r="A883" s="968"/>
      <c r="B883" s="968"/>
      <c r="D883" s="958"/>
      <c r="E883" s="959"/>
    </row>
    <row r="884">
      <c r="A884" s="968"/>
      <c r="B884" s="968"/>
      <c r="D884" s="958"/>
      <c r="E884" s="959"/>
    </row>
    <row r="885">
      <c r="A885" s="968"/>
      <c r="B885" s="968"/>
      <c r="D885" s="958"/>
      <c r="E885" s="959"/>
    </row>
    <row r="886">
      <c r="A886" s="968"/>
      <c r="B886" s="968"/>
      <c r="D886" s="958"/>
      <c r="E886" s="959"/>
    </row>
    <row r="887">
      <c r="A887" s="968"/>
      <c r="B887" s="968"/>
      <c r="D887" s="958"/>
      <c r="E887" s="959"/>
    </row>
    <row r="888">
      <c r="A888" s="968"/>
      <c r="B888" s="968"/>
      <c r="D888" s="958"/>
      <c r="E888" s="959"/>
    </row>
    <row r="889">
      <c r="A889" s="968"/>
      <c r="B889" s="968"/>
      <c r="D889" s="958"/>
      <c r="E889" s="959"/>
    </row>
    <row r="890">
      <c r="A890" s="968"/>
      <c r="B890" s="968"/>
      <c r="D890" s="958"/>
      <c r="E890" s="959"/>
    </row>
    <row r="891">
      <c r="A891" s="968"/>
      <c r="B891" s="968"/>
      <c r="D891" s="958"/>
      <c r="E891" s="959"/>
    </row>
    <row r="892">
      <c r="A892" s="968"/>
      <c r="B892" s="968"/>
      <c r="D892" s="958"/>
      <c r="E892" s="959"/>
    </row>
    <row r="893">
      <c r="A893" s="968"/>
      <c r="B893" s="968"/>
      <c r="D893" s="958"/>
      <c r="E893" s="959"/>
    </row>
    <row r="894">
      <c r="A894" s="968"/>
      <c r="B894" s="968"/>
      <c r="D894" s="958"/>
      <c r="E894" s="959"/>
    </row>
    <row r="895">
      <c r="A895" s="968"/>
      <c r="B895" s="968"/>
      <c r="D895" s="958"/>
      <c r="E895" s="959"/>
    </row>
    <row r="896">
      <c r="A896" s="968"/>
      <c r="B896" s="968"/>
      <c r="D896" s="958"/>
      <c r="E896" s="959"/>
    </row>
    <row r="897">
      <c r="A897" s="968"/>
      <c r="B897" s="968"/>
      <c r="D897" s="958"/>
      <c r="E897" s="959"/>
    </row>
    <row r="898">
      <c r="A898" s="968"/>
      <c r="B898" s="968"/>
      <c r="D898" s="958"/>
      <c r="E898" s="959"/>
    </row>
    <row r="899">
      <c r="A899" s="968"/>
      <c r="B899" s="968"/>
      <c r="D899" s="958"/>
      <c r="E899" s="959"/>
    </row>
    <row r="900">
      <c r="A900" s="968"/>
      <c r="B900" s="968"/>
      <c r="D900" s="958"/>
      <c r="E900" s="959"/>
    </row>
    <row r="901">
      <c r="A901" s="968"/>
      <c r="B901" s="968"/>
      <c r="D901" s="958"/>
      <c r="E901" s="959"/>
    </row>
    <row r="902">
      <c r="A902" s="968"/>
      <c r="B902" s="968"/>
      <c r="D902" s="958"/>
      <c r="E902" s="959"/>
    </row>
    <row r="903">
      <c r="A903" s="968"/>
      <c r="B903" s="968"/>
      <c r="D903" s="958"/>
      <c r="E903" s="959"/>
    </row>
    <row r="904">
      <c r="A904" s="968"/>
      <c r="B904" s="968"/>
      <c r="D904" s="958"/>
      <c r="E904" s="959"/>
    </row>
    <row r="905">
      <c r="A905" s="968"/>
      <c r="B905" s="968"/>
      <c r="D905" s="958"/>
      <c r="E905" s="959"/>
    </row>
    <row r="906">
      <c r="A906" s="968"/>
      <c r="B906" s="968"/>
      <c r="D906" s="958"/>
      <c r="E906" s="959"/>
    </row>
    <row r="907">
      <c r="A907" s="968"/>
      <c r="B907" s="968"/>
      <c r="D907" s="958"/>
      <c r="E907" s="959"/>
    </row>
    <row r="908">
      <c r="A908" s="968"/>
      <c r="B908" s="968"/>
      <c r="D908" s="958"/>
      <c r="E908" s="959"/>
    </row>
    <row r="909">
      <c r="A909" s="968"/>
      <c r="B909" s="968"/>
      <c r="D909" s="958"/>
      <c r="E909" s="959"/>
    </row>
    <row r="910">
      <c r="A910" s="968"/>
      <c r="B910" s="968"/>
      <c r="D910" s="958"/>
      <c r="E910" s="959"/>
    </row>
    <row r="911">
      <c r="A911" s="968"/>
      <c r="B911" s="968"/>
      <c r="D911" s="958"/>
      <c r="E911" s="959"/>
    </row>
    <row r="912">
      <c r="A912" s="968"/>
      <c r="B912" s="968"/>
      <c r="D912" s="958"/>
      <c r="E912" s="959"/>
    </row>
    <row r="913">
      <c r="A913" s="968"/>
      <c r="B913" s="968"/>
      <c r="D913" s="958"/>
      <c r="E913" s="959"/>
    </row>
    <row r="914">
      <c r="A914" s="968"/>
      <c r="B914" s="968"/>
      <c r="D914" s="958"/>
      <c r="E914" s="959"/>
    </row>
    <row r="915">
      <c r="A915" s="968"/>
      <c r="B915" s="968"/>
      <c r="D915" s="958"/>
      <c r="E915" s="959"/>
    </row>
    <row r="916">
      <c r="A916" s="968"/>
      <c r="B916" s="968"/>
      <c r="D916" s="958"/>
      <c r="E916" s="959"/>
    </row>
    <row r="917">
      <c r="A917" s="968"/>
      <c r="B917" s="968"/>
      <c r="D917" s="958"/>
      <c r="E917" s="959"/>
    </row>
    <row r="918">
      <c r="A918" s="968"/>
      <c r="B918" s="968"/>
      <c r="D918" s="958"/>
      <c r="E918" s="959"/>
    </row>
    <row r="919">
      <c r="A919" s="968"/>
      <c r="B919" s="968"/>
      <c r="D919" s="958"/>
      <c r="E919" s="959"/>
    </row>
    <row r="920">
      <c r="A920" s="968"/>
      <c r="B920" s="968"/>
      <c r="D920" s="958"/>
      <c r="E920" s="959"/>
    </row>
    <row r="921">
      <c r="A921" s="968"/>
      <c r="B921" s="968"/>
      <c r="D921" s="958"/>
      <c r="E921" s="959"/>
    </row>
    <row r="922">
      <c r="A922" s="968"/>
      <c r="B922" s="968"/>
      <c r="D922" s="958"/>
      <c r="E922" s="959"/>
    </row>
    <row r="923">
      <c r="A923" s="968"/>
      <c r="B923" s="968"/>
      <c r="D923" s="958"/>
      <c r="E923" s="959"/>
    </row>
    <row r="924">
      <c r="A924" s="968"/>
      <c r="B924" s="968"/>
      <c r="D924" s="958"/>
      <c r="E924" s="959"/>
    </row>
    <row r="925">
      <c r="A925" s="968"/>
      <c r="B925" s="968"/>
      <c r="D925" s="958"/>
      <c r="E925" s="959"/>
    </row>
    <row r="926">
      <c r="A926" s="968"/>
      <c r="B926" s="968"/>
      <c r="D926" s="958"/>
      <c r="E926" s="959"/>
    </row>
    <row r="927">
      <c r="A927" s="968"/>
      <c r="B927" s="968"/>
      <c r="D927" s="958"/>
      <c r="E927" s="959"/>
    </row>
    <row r="928">
      <c r="A928" s="968"/>
      <c r="B928" s="968"/>
      <c r="D928" s="958"/>
      <c r="E928" s="959"/>
    </row>
    <row r="929">
      <c r="A929" s="968"/>
      <c r="B929" s="968"/>
      <c r="D929" s="958"/>
      <c r="E929" s="959"/>
    </row>
    <row r="930">
      <c r="A930" s="968"/>
      <c r="B930" s="968"/>
      <c r="D930" s="958"/>
      <c r="E930" s="959"/>
    </row>
    <row r="931">
      <c r="A931" s="968"/>
      <c r="B931" s="968"/>
      <c r="D931" s="958"/>
      <c r="E931" s="959"/>
    </row>
    <row r="932">
      <c r="A932" s="968"/>
      <c r="B932" s="968"/>
      <c r="D932" s="958"/>
      <c r="E932" s="959"/>
    </row>
    <row r="933">
      <c r="A933" s="968"/>
      <c r="B933" s="968"/>
      <c r="D933" s="958"/>
      <c r="E933" s="959"/>
    </row>
    <row r="934">
      <c r="A934" s="968"/>
      <c r="B934" s="968"/>
      <c r="D934" s="958"/>
      <c r="E934" s="959"/>
    </row>
    <row r="935">
      <c r="A935" s="968"/>
      <c r="B935" s="968"/>
      <c r="D935" s="958"/>
      <c r="E935" s="959"/>
    </row>
    <row r="936">
      <c r="A936" s="968"/>
      <c r="B936" s="968"/>
      <c r="D936" s="958"/>
      <c r="E936" s="959"/>
    </row>
    <row r="937">
      <c r="A937" s="968"/>
      <c r="B937" s="968"/>
      <c r="D937" s="958"/>
      <c r="E937" s="959"/>
    </row>
    <row r="938">
      <c r="A938" s="968"/>
      <c r="B938" s="968"/>
      <c r="D938" s="958"/>
      <c r="E938" s="959"/>
    </row>
    <row r="939">
      <c r="A939" s="968"/>
      <c r="B939" s="968"/>
      <c r="D939" s="958"/>
      <c r="E939" s="959"/>
    </row>
    <row r="940">
      <c r="A940" s="968"/>
      <c r="B940" s="968"/>
      <c r="D940" s="958"/>
      <c r="E940" s="959"/>
    </row>
    <row r="941">
      <c r="A941" s="968"/>
      <c r="B941" s="968"/>
      <c r="D941" s="958"/>
      <c r="E941" s="959"/>
    </row>
    <row r="942">
      <c r="A942" s="968"/>
      <c r="B942" s="968"/>
      <c r="D942" s="958"/>
      <c r="E942" s="959"/>
    </row>
    <row r="943">
      <c r="A943" s="968"/>
      <c r="B943" s="968"/>
      <c r="D943" s="958"/>
      <c r="E943" s="959"/>
    </row>
    <row r="944">
      <c r="A944" s="968"/>
      <c r="B944" s="968"/>
      <c r="D944" s="958"/>
      <c r="E944" s="959"/>
    </row>
    <row r="945">
      <c r="A945" s="968"/>
      <c r="B945" s="968"/>
      <c r="D945" s="958"/>
      <c r="E945" s="959"/>
    </row>
    <row r="946">
      <c r="A946" s="968"/>
      <c r="B946" s="968"/>
      <c r="D946" s="958"/>
      <c r="E946" s="959"/>
    </row>
    <row r="947">
      <c r="A947" s="968"/>
      <c r="B947" s="968"/>
      <c r="D947" s="958"/>
      <c r="E947" s="959"/>
    </row>
    <row r="948">
      <c r="A948" s="968"/>
      <c r="B948" s="968"/>
      <c r="D948" s="958"/>
      <c r="E948" s="959"/>
    </row>
    <row r="949">
      <c r="A949" s="968"/>
      <c r="B949" s="968"/>
      <c r="D949" s="958"/>
      <c r="E949" s="959"/>
    </row>
    <row r="950">
      <c r="A950" s="968"/>
      <c r="B950" s="968"/>
      <c r="D950" s="958"/>
      <c r="E950" s="959"/>
    </row>
    <row r="951">
      <c r="A951" s="968"/>
      <c r="B951" s="968"/>
      <c r="D951" s="958"/>
      <c r="E951" s="959"/>
    </row>
    <row r="952">
      <c r="A952" s="968"/>
      <c r="B952" s="968"/>
      <c r="D952" s="958"/>
      <c r="E952" s="959"/>
    </row>
    <row r="953">
      <c r="A953" s="968"/>
      <c r="B953" s="968"/>
      <c r="D953" s="958"/>
      <c r="E953" s="959"/>
    </row>
    <row r="954">
      <c r="A954" s="968"/>
      <c r="B954" s="968"/>
      <c r="D954" s="958"/>
      <c r="E954" s="959"/>
    </row>
    <row r="955">
      <c r="A955" s="968"/>
      <c r="B955" s="968"/>
      <c r="D955" s="958"/>
      <c r="E955" s="959"/>
    </row>
    <row r="956">
      <c r="A956" s="968"/>
      <c r="B956" s="968"/>
      <c r="D956" s="958"/>
      <c r="E956" s="959"/>
    </row>
    <row r="957">
      <c r="A957" s="968"/>
      <c r="B957" s="968"/>
      <c r="D957" s="958"/>
      <c r="E957" s="959"/>
    </row>
    <row r="958">
      <c r="A958" s="968"/>
      <c r="B958" s="968"/>
      <c r="D958" s="958"/>
      <c r="E958" s="959"/>
    </row>
    <row r="959">
      <c r="A959" s="968"/>
      <c r="B959" s="968"/>
      <c r="D959" s="958"/>
      <c r="E959" s="959"/>
    </row>
    <row r="960">
      <c r="A960" s="968"/>
      <c r="B960" s="968"/>
      <c r="D960" s="958"/>
      <c r="E960" s="959"/>
    </row>
    <row r="961">
      <c r="A961" s="968"/>
      <c r="B961" s="968"/>
      <c r="D961" s="958"/>
      <c r="E961" s="959"/>
    </row>
    <row r="962">
      <c r="A962" s="968"/>
      <c r="B962" s="968"/>
      <c r="D962" s="958"/>
      <c r="E962" s="959"/>
    </row>
    <row r="963">
      <c r="A963" s="968"/>
      <c r="B963" s="968"/>
      <c r="D963" s="958"/>
      <c r="E963" s="959"/>
    </row>
    <row r="964">
      <c r="A964" s="968"/>
      <c r="B964" s="968"/>
      <c r="D964" s="958"/>
      <c r="E964" s="959"/>
    </row>
    <row r="965">
      <c r="A965" s="968"/>
      <c r="B965" s="968"/>
      <c r="D965" s="958"/>
      <c r="E965" s="959"/>
    </row>
    <row r="966">
      <c r="A966" s="968"/>
      <c r="B966" s="968"/>
      <c r="D966" s="958"/>
      <c r="E966" s="959"/>
    </row>
    <row r="967">
      <c r="A967" s="968"/>
      <c r="B967" s="968"/>
      <c r="D967" s="958"/>
      <c r="E967" s="959"/>
    </row>
    <row r="968">
      <c r="A968" s="968"/>
      <c r="B968" s="968"/>
      <c r="D968" s="958"/>
      <c r="E968" s="959"/>
    </row>
    <row r="969">
      <c r="A969" s="968"/>
      <c r="B969" s="968"/>
      <c r="D969" s="958"/>
      <c r="E969" s="959"/>
    </row>
    <row r="970">
      <c r="A970" s="968"/>
      <c r="B970" s="968"/>
      <c r="D970" s="958"/>
      <c r="E970" s="959"/>
    </row>
    <row r="971">
      <c r="A971" s="968"/>
      <c r="B971" s="968"/>
      <c r="D971" s="958"/>
      <c r="E971" s="959"/>
    </row>
    <row r="972">
      <c r="A972" s="968"/>
      <c r="B972" s="968"/>
      <c r="D972" s="958"/>
      <c r="E972" s="959"/>
    </row>
    <row r="973">
      <c r="A973" s="968"/>
      <c r="B973" s="968"/>
      <c r="D973" s="958"/>
      <c r="E973" s="959"/>
    </row>
    <row r="974">
      <c r="A974" s="968"/>
      <c r="B974" s="968"/>
      <c r="D974" s="958"/>
      <c r="E974" s="959"/>
    </row>
    <row r="975">
      <c r="A975" s="968"/>
      <c r="B975" s="968"/>
      <c r="D975" s="958"/>
      <c r="E975" s="959"/>
    </row>
    <row r="976">
      <c r="A976" s="968"/>
      <c r="B976" s="968"/>
      <c r="D976" s="958"/>
      <c r="E976" s="959"/>
    </row>
    <row r="977">
      <c r="A977" s="968"/>
      <c r="B977" s="968"/>
      <c r="D977" s="958"/>
      <c r="E977" s="959"/>
    </row>
    <row r="978">
      <c r="A978" s="968"/>
      <c r="B978" s="968"/>
      <c r="D978" s="958"/>
      <c r="E978" s="959"/>
    </row>
    <row r="979">
      <c r="A979" s="968"/>
      <c r="B979" s="968"/>
      <c r="D979" s="958"/>
      <c r="E979" s="959"/>
    </row>
    <row r="980">
      <c r="A980" s="968"/>
      <c r="B980" s="968"/>
      <c r="D980" s="958"/>
      <c r="E980" s="959"/>
    </row>
    <row r="981">
      <c r="A981" s="968"/>
      <c r="B981" s="968"/>
      <c r="D981" s="958"/>
      <c r="E981" s="959"/>
    </row>
    <row r="982">
      <c r="A982" s="968"/>
      <c r="B982" s="968"/>
      <c r="D982" s="958"/>
      <c r="E982" s="959"/>
    </row>
    <row r="983">
      <c r="A983" s="968"/>
      <c r="B983" s="968"/>
      <c r="D983" s="958"/>
      <c r="E983" s="959"/>
    </row>
    <row r="984">
      <c r="A984" s="968"/>
      <c r="B984" s="968"/>
      <c r="D984" s="958"/>
      <c r="E984" s="959"/>
    </row>
    <row r="985">
      <c r="A985" s="968"/>
      <c r="B985" s="968"/>
      <c r="D985" s="958"/>
      <c r="E985" s="959"/>
    </row>
    <row r="986">
      <c r="A986" s="968"/>
      <c r="B986" s="968"/>
      <c r="D986" s="958"/>
      <c r="E986" s="959"/>
    </row>
    <row r="987">
      <c r="A987" s="968"/>
      <c r="B987" s="968"/>
      <c r="D987" s="958"/>
      <c r="E987" s="959"/>
    </row>
    <row r="988">
      <c r="A988" s="968"/>
      <c r="B988" s="968"/>
      <c r="D988" s="958"/>
      <c r="E988" s="959"/>
    </row>
    <row r="989">
      <c r="A989" s="968"/>
      <c r="B989" s="968"/>
      <c r="D989" s="958"/>
      <c r="E989" s="959"/>
    </row>
    <row r="990">
      <c r="A990" s="968"/>
      <c r="B990" s="968"/>
      <c r="D990" s="958"/>
      <c r="E990" s="959"/>
    </row>
    <row r="991">
      <c r="A991" s="968"/>
      <c r="B991" s="968"/>
      <c r="D991" s="958"/>
      <c r="E991" s="959"/>
    </row>
    <row r="992">
      <c r="A992" s="968"/>
      <c r="B992" s="968"/>
      <c r="D992" s="958"/>
      <c r="E992" s="959"/>
    </row>
    <row r="993">
      <c r="A993" s="968"/>
      <c r="B993" s="968"/>
      <c r="D993" s="958"/>
      <c r="E993" s="959"/>
    </row>
    <row r="994">
      <c r="A994" s="968"/>
      <c r="B994" s="968"/>
      <c r="D994" s="958"/>
      <c r="E994" s="959"/>
    </row>
    <row r="995">
      <c r="A995" s="968"/>
      <c r="B995" s="968"/>
      <c r="D995" s="958"/>
      <c r="E995" s="959"/>
    </row>
    <row r="996">
      <c r="A996" s="968"/>
      <c r="B996" s="968"/>
      <c r="D996" s="958"/>
      <c r="E996" s="959"/>
    </row>
    <row r="997">
      <c r="A997" s="968"/>
      <c r="B997" s="968"/>
      <c r="D997" s="958"/>
      <c r="E997" s="959"/>
    </row>
    <row r="998">
      <c r="A998" s="968"/>
      <c r="B998" s="968"/>
      <c r="D998" s="958"/>
      <c r="E998" s="959"/>
    </row>
    <row r="999">
      <c r="A999" s="968"/>
      <c r="B999" s="968"/>
      <c r="D999" s="958"/>
      <c r="E999" s="959"/>
    </row>
    <row r="1000">
      <c r="A1000" s="968"/>
      <c r="B1000" s="968"/>
      <c r="D1000" s="958"/>
      <c r="E1000" s="959"/>
    </row>
    <row r="1001">
      <c r="A1001" s="968"/>
      <c r="B1001" s="968"/>
      <c r="D1001" s="958"/>
      <c r="E1001" s="959"/>
    </row>
    <row r="1002">
      <c r="A1002" s="968"/>
      <c r="B1002" s="968"/>
      <c r="D1002" s="958"/>
      <c r="E1002" s="959"/>
    </row>
    <row r="1003">
      <c r="A1003" s="968"/>
      <c r="B1003" s="968"/>
      <c r="D1003" s="958"/>
      <c r="E1003" s="959"/>
    </row>
    <row r="1004">
      <c r="A1004" s="968"/>
      <c r="B1004" s="968"/>
      <c r="D1004" s="958"/>
      <c r="E1004" s="959"/>
    </row>
  </sheetData>
  <mergeCells count="22">
    <mergeCell ref="O4:P4"/>
    <mergeCell ref="O5:T5"/>
    <mergeCell ref="O6:T6"/>
    <mergeCell ref="O7:T7"/>
    <mergeCell ref="O8:T8"/>
    <mergeCell ref="O9:T9"/>
    <mergeCell ref="O10:T10"/>
    <mergeCell ref="O18:T18"/>
    <mergeCell ref="O19:R19"/>
    <mergeCell ref="O21:Q21"/>
    <mergeCell ref="O22:Q22"/>
    <mergeCell ref="O23:Q23"/>
    <mergeCell ref="O24:T24"/>
    <mergeCell ref="O25:T25"/>
    <mergeCell ref="O26:T26"/>
    <mergeCell ref="O11:T11"/>
    <mergeCell ref="O12:T12"/>
    <mergeCell ref="O13:T13"/>
    <mergeCell ref="O14:T14"/>
    <mergeCell ref="O15:T15"/>
    <mergeCell ref="O16:T16"/>
    <mergeCell ref="O17:T17"/>
  </mergeCells>
  <hyperlinks>
    <hyperlink r:id="rId1" ref="N19"/>
    <hyperlink r:id="rId2" ref="N20"/>
    <hyperlink r:id="rId3" ref="N21"/>
    <hyperlink r:id="rId4" ref="N22"/>
    <hyperlink r:id="rId5" ref="N23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1.22" defaultRowHeight="15.75"/>
  <cols>
    <col customWidth="1" min="1" max="1" width="8.78"/>
    <col customWidth="1" min="2" max="2" width="10.44"/>
    <col customWidth="1" min="3" max="3" width="14.0"/>
    <col customWidth="1" min="4" max="6" width="10.22"/>
    <col customWidth="1" min="7" max="7" width="8.33"/>
    <col customWidth="1" min="8" max="11" width="14.33"/>
    <col customWidth="1" min="12" max="12" width="116.78"/>
    <col customWidth="1" min="13" max="22" width="6.78"/>
  </cols>
  <sheetData>
    <row r="1" ht="34.5" customHeight="1">
      <c r="A1" s="970"/>
      <c r="B1" s="971" t="s">
        <v>818</v>
      </c>
      <c r="C1" s="972" t="s">
        <v>819</v>
      </c>
      <c r="D1" s="973" t="s">
        <v>820</v>
      </c>
      <c r="E1" s="973" t="s">
        <v>17</v>
      </c>
      <c r="F1" s="974" t="s">
        <v>821</v>
      </c>
      <c r="G1" s="974" t="s">
        <v>822</v>
      </c>
      <c r="H1" s="974" t="s">
        <v>824</v>
      </c>
      <c r="I1" s="975" t="s">
        <v>826</v>
      </c>
      <c r="J1" s="974"/>
      <c r="K1" s="974" t="s">
        <v>828</v>
      </c>
      <c r="L1" s="974" t="s">
        <v>829</v>
      </c>
      <c r="N1" s="976"/>
      <c r="O1" s="976"/>
      <c r="P1" s="976"/>
      <c r="Q1" s="976"/>
      <c r="R1" s="977"/>
      <c r="S1" s="977"/>
      <c r="T1" s="977"/>
      <c r="U1" s="977"/>
      <c r="V1" s="977"/>
    </row>
    <row r="2">
      <c r="A2" s="978"/>
      <c r="B2" s="978" t="s">
        <v>831</v>
      </c>
      <c r="C2" s="958">
        <v>4447.87559221093</v>
      </c>
      <c r="D2" s="979">
        <v>3730.47773794323</v>
      </c>
      <c r="E2" s="980">
        <f t="shared" ref="E2:E22" si="1">C2/D2</f>
        <v>1.192307234</v>
      </c>
      <c r="F2" s="981"/>
      <c r="G2" s="982">
        <v>100.0</v>
      </c>
      <c r="H2" s="984">
        <f t="shared" ref="H2:H22" si="2">G2/D2</f>
        <v>0.02680621814</v>
      </c>
      <c r="I2" s="983">
        <f t="shared" ref="I2:I22" si="3">G2/H2</f>
        <v>3730.477738</v>
      </c>
      <c r="J2" s="985"/>
      <c r="K2" s="985" t="s">
        <v>832</v>
      </c>
      <c r="L2" s="985" t="s">
        <v>833</v>
      </c>
    </row>
    <row r="3">
      <c r="A3" s="978"/>
      <c r="B3" s="978" t="s">
        <v>834</v>
      </c>
      <c r="C3" s="958">
        <v>4584.82027519271</v>
      </c>
      <c r="D3" s="979">
        <v>3812.37434004852</v>
      </c>
      <c r="E3" s="980">
        <f t="shared" si="1"/>
        <v>1.202615448</v>
      </c>
      <c r="F3" s="981"/>
      <c r="G3" s="982">
        <v>1010.0</v>
      </c>
      <c r="H3" s="984">
        <f t="shared" si="2"/>
        <v>0.2649267648</v>
      </c>
      <c r="I3" s="983">
        <f t="shared" si="3"/>
        <v>3812.37434</v>
      </c>
      <c r="J3" s="985"/>
      <c r="K3" s="985" t="s">
        <v>832</v>
      </c>
      <c r="L3" s="985" t="s">
        <v>835</v>
      </c>
    </row>
    <row r="4">
      <c r="A4" s="978"/>
      <c r="B4" s="978" t="s">
        <v>836</v>
      </c>
      <c r="C4" s="958">
        <v>4012.28582499344</v>
      </c>
      <c r="D4" s="979">
        <v>3354.75242399352</v>
      </c>
      <c r="E4" s="980">
        <f t="shared" si="1"/>
        <v>1.196000574</v>
      </c>
      <c r="F4" s="981"/>
      <c r="G4" s="982">
        <v>2010.0</v>
      </c>
      <c r="H4" s="984">
        <f t="shared" si="2"/>
        <v>0.5991500254</v>
      </c>
      <c r="I4" s="983">
        <f t="shared" si="3"/>
        <v>3354.752424</v>
      </c>
      <c r="J4" s="985"/>
      <c r="K4" s="985" t="s">
        <v>832</v>
      </c>
      <c r="L4" s="985" t="s">
        <v>837</v>
      </c>
    </row>
    <row r="5">
      <c r="A5" s="978"/>
      <c r="B5" s="978" t="s">
        <v>838</v>
      </c>
      <c r="C5" s="958">
        <v>4758.72164979337</v>
      </c>
      <c r="D5" s="979">
        <v>4053.2982698713</v>
      </c>
      <c r="E5" s="980">
        <f t="shared" si="1"/>
        <v>1.174036879</v>
      </c>
      <c r="F5" s="981"/>
      <c r="G5" s="982">
        <v>2500.0</v>
      </c>
      <c r="H5" s="984">
        <f t="shared" si="2"/>
        <v>0.6167816513</v>
      </c>
      <c r="I5" s="983">
        <f t="shared" si="3"/>
        <v>4053.29827</v>
      </c>
      <c r="J5" s="985"/>
      <c r="K5" s="985" t="s">
        <v>832</v>
      </c>
      <c r="L5" s="985" t="s">
        <v>839</v>
      </c>
    </row>
    <row r="6">
      <c r="A6" s="978"/>
      <c r="B6" s="978" t="s">
        <v>840</v>
      </c>
      <c r="C6" s="958">
        <v>5331.61930195449</v>
      </c>
      <c r="D6" s="979">
        <v>4506.00738980823</v>
      </c>
      <c r="E6" s="980">
        <f t="shared" si="1"/>
        <v>1.183224713</v>
      </c>
      <c r="F6" s="981"/>
      <c r="G6" s="1079">
        <v>10000.0</v>
      </c>
      <c r="H6" s="984">
        <f t="shared" si="2"/>
        <v>2.219259565</v>
      </c>
      <c r="I6" s="983">
        <f t="shared" si="3"/>
        <v>4506.00739</v>
      </c>
      <c r="J6" s="985"/>
      <c r="K6" s="985" t="s">
        <v>832</v>
      </c>
      <c r="L6" s="985" t="s">
        <v>841</v>
      </c>
    </row>
    <row r="7">
      <c r="A7" s="978"/>
      <c r="B7" s="978" t="s">
        <v>842</v>
      </c>
      <c r="C7" s="958">
        <v>5883.05318447111</v>
      </c>
      <c r="D7" s="979">
        <v>5047.65963227622</v>
      </c>
      <c r="E7" s="980">
        <f t="shared" si="1"/>
        <v>1.165501166</v>
      </c>
      <c r="F7" s="981"/>
      <c r="G7" s="1079">
        <v>2000.0</v>
      </c>
      <c r="H7" s="984">
        <f t="shared" si="2"/>
        <v>0.3962232293</v>
      </c>
      <c r="I7" s="983">
        <f t="shared" si="3"/>
        <v>5047.659632</v>
      </c>
      <c r="J7" s="985"/>
      <c r="K7" s="985" t="s">
        <v>832</v>
      </c>
      <c r="L7" s="985" t="s">
        <v>843</v>
      </c>
    </row>
    <row r="8">
      <c r="A8" s="978"/>
      <c r="B8" s="978" t="s">
        <v>844</v>
      </c>
      <c r="C8" s="958">
        <v>6423.09140246102</v>
      </c>
      <c r="D8" s="979">
        <v>5507.04937591623</v>
      </c>
      <c r="E8" s="980">
        <f t="shared" si="1"/>
        <v>1.166339897</v>
      </c>
      <c r="F8" s="981"/>
      <c r="G8" s="1079">
        <v>1000.0</v>
      </c>
      <c r="H8" s="984">
        <f t="shared" si="2"/>
        <v>0.1815854429</v>
      </c>
      <c r="I8" s="983">
        <f t="shared" si="3"/>
        <v>5507.049376</v>
      </c>
      <c r="J8" s="985"/>
      <c r="K8" s="985" t="s">
        <v>832</v>
      </c>
      <c r="L8" s="985" t="s">
        <v>845</v>
      </c>
    </row>
    <row r="9">
      <c r="A9" s="978"/>
      <c r="B9" s="978" t="s">
        <v>846</v>
      </c>
      <c r="C9" s="958">
        <v>13876.4735794148</v>
      </c>
      <c r="D9" s="979">
        <v>11765.8619479858</v>
      </c>
      <c r="E9" s="980">
        <f t="shared" si="1"/>
        <v>1.179384361</v>
      </c>
      <c r="F9" s="981"/>
      <c r="G9" s="1079">
        <v>800.0</v>
      </c>
      <c r="H9" s="984">
        <f t="shared" si="2"/>
        <v>0.0679933186</v>
      </c>
      <c r="I9" s="983">
        <f t="shared" si="3"/>
        <v>11765.86195</v>
      </c>
      <c r="J9" s="985"/>
      <c r="K9" s="985" t="s">
        <v>832</v>
      </c>
      <c r="L9" s="985" t="s">
        <v>847</v>
      </c>
    </row>
    <row r="10">
      <c r="A10" s="978"/>
      <c r="B10" s="978" t="s">
        <v>848</v>
      </c>
      <c r="C10" s="958">
        <v>7711.2203289411</v>
      </c>
      <c r="D10" s="979">
        <v>6226.75643707764</v>
      </c>
      <c r="E10" s="980">
        <f t="shared" si="1"/>
        <v>1.238400828</v>
      </c>
      <c r="F10" s="981"/>
      <c r="G10" s="1079">
        <v>2000.0</v>
      </c>
      <c r="H10" s="984">
        <f t="shared" si="2"/>
        <v>0.3211945128</v>
      </c>
      <c r="I10" s="983">
        <f t="shared" si="3"/>
        <v>6226.756437</v>
      </c>
      <c r="J10" s="985"/>
      <c r="K10" s="985" t="s">
        <v>832</v>
      </c>
      <c r="L10" s="985" t="s">
        <v>849</v>
      </c>
    </row>
    <row r="11">
      <c r="A11" s="978"/>
      <c r="B11" s="978" t="s">
        <v>852</v>
      </c>
      <c r="C11" s="958">
        <v>8192.223138952013</v>
      </c>
      <c r="D11" s="979">
        <v>7310.240203589306</v>
      </c>
      <c r="E11" s="980">
        <f t="shared" si="1"/>
        <v>1.120650336</v>
      </c>
      <c r="F11" s="981"/>
      <c r="G11" s="1079">
        <v>1000.0</v>
      </c>
      <c r="H11" s="984">
        <f t="shared" si="2"/>
        <v>0.1367944106</v>
      </c>
      <c r="I11" s="983">
        <f t="shared" si="3"/>
        <v>7310.240204</v>
      </c>
      <c r="J11" s="985"/>
      <c r="K11" s="985" t="s">
        <v>832</v>
      </c>
      <c r="L11" s="985" t="s">
        <v>853</v>
      </c>
    </row>
    <row r="12">
      <c r="A12" s="978"/>
      <c r="B12" s="978" t="s">
        <v>854</v>
      </c>
      <c r="C12" s="958">
        <v>12260.28269787262</v>
      </c>
      <c r="D12" s="979">
        <v>10929.600654976237</v>
      </c>
      <c r="E12" s="980">
        <f t="shared" si="1"/>
        <v>1.121750289</v>
      </c>
      <c r="F12" s="981"/>
      <c r="G12" s="1079">
        <v>5000.0</v>
      </c>
      <c r="H12" s="984">
        <f t="shared" si="2"/>
        <v>0.4574732561</v>
      </c>
      <c r="I12" s="983">
        <f t="shared" si="3"/>
        <v>10929.60065</v>
      </c>
      <c r="J12" s="985"/>
      <c r="K12" s="985" t="s">
        <v>832</v>
      </c>
      <c r="L12" s="985" t="s">
        <v>855</v>
      </c>
    </row>
    <row r="13">
      <c r="A13" s="978"/>
      <c r="B13" s="978" t="s">
        <v>856</v>
      </c>
      <c r="C13" s="958">
        <v>9340.048651574896</v>
      </c>
      <c r="D13" s="979">
        <v>8437.417009838045</v>
      </c>
      <c r="E13" s="980">
        <f t="shared" si="1"/>
        <v>1.106979617</v>
      </c>
      <c r="F13" s="981"/>
      <c r="G13" s="1079">
        <v>4000.0</v>
      </c>
      <c r="H13" s="984">
        <f t="shared" si="2"/>
        <v>0.4740787371</v>
      </c>
      <c r="I13" s="983">
        <f t="shared" si="3"/>
        <v>8437.41701</v>
      </c>
      <c r="J13" s="985"/>
      <c r="K13" s="985" t="s">
        <v>832</v>
      </c>
      <c r="L13" s="985" t="s">
        <v>857</v>
      </c>
    </row>
    <row r="14">
      <c r="A14" s="978"/>
      <c r="B14" s="978" t="s">
        <v>858</v>
      </c>
      <c r="C14" s="958">
        <v>7935.522040170545</v>
      </c>
      <c r="D14" s="979">
        <v>7046.267440349036</v>
      </c>
      <c r="E14" s="980">
        <f t="shared" si="1"/>
        <v>1.126202221</v>
      </c>
      <c r="F14" s="981"/>
      <c r="G14" s="1079">
        <v>3000.0</v>
      </c>
      <c r="H14" s="984">
        <f t="shared" si="2"/>
        <v>0.4257573283</v>
      </c>
      <c r="I14" s="983">
        <f t="shared" si="3"/>
        <v>7046.26744</v>
      </c>
      <c r="J14" s="985"/>
      <c r="K14" s="985" t="s">
        <v>832</v>
      </c>
      <c r="L14" s="985" t="s">
        <v>859</v>
      </c>
    </row>
    <row r="15">
      <c r="A15" s="978"/>
      <c r="B15" s="978" t="s">
        <v>860</v>
      </c>
      <c r="C15" s="958">
        <v>9524.92661691022</v>
      </c>
      <c r="D15" s="979">
        <v>8455.98220240086</v>
      </c>
      <c r="E15" s="980">
        <f t="shared" si="1"/>
        <v>1.126412803</v>
      </c>
      <c r="F15" s="1080"/>
      <c r="G15" s="1079">
        <v>3250.0</v>
      </c>
      <c r="H15" s="984">
        <f t="shared" si="2"/>
        <v>0.3843432877</v>
      </c>
      <c r="I15" s="983">
        <f t="shared" si="3"/>
        <v>8455.982202</v>
      </c>
      <c r="J15" s="985"/>
      <c r="K15" s="1081" t="s">
        <v>861</v>
      </c>
      <c r="L15" s="985" t="s">
        <v>923</v>
      </c>
      <c r="P15" s="981"/>
      <c r="Q15" s="981"/>
    </row>
    <row r="16">
      <c r="A16" s="978"/>
      <c r="B16" s="978" t="s">
        <v>864</v>
      </c>
      <c r="C16" s="958">
        <v>9240.76251972468</v>
      </c>
      <c r="D16" s="979">
        <v>8141.989652316821</v>
      </c>
      <c r="E16" s="980">
        <f t="shared" si="1"/>
        <v>1.134951396</v>
      </c>
      <c r="F16" s="1080"/>
      <c r="G16" s="1079">
        <v>900.0</v>
      </c>
      <c r="H16" s="984">
        <f t="shared" si="2"/>
        <v>0.1105380918</v>
      </c>
      <c r="I16" s="983">
        <f t="shared" si="3"/>
        <v>8141.989652</v>
      </c>
      <c r="J16" s="985"/>
      <c r="K16" s="1081" t="s">
        <v>861</v>
      </c>
      <c r="L16" s="985" t="s">
        <v>924</v>
      </c>
      <c r="P16" s="981"/>
      <c r="Q16" s="981"/>
    </row>
    <row r="17">
      <c r="A17" s="978"/>
      <c r="B17" s="978" t="s">
        <v>867</v>
      </c>
      <c r="C17" s="958">
        <v>11768.127742240009</v>
      </c>
      <c r="D17" s="979">
        <v>9908.763558966106</v>
      </c>
      <c r="E17" s="980">
        <f t="shared" si="1"/>
        <v>1.187648456</v>
      </c>
      <c r="F17" s="1080"/>
      <c r="G17" s="1079">
        <v>337.6</v>
      </c>
      <c r="H17" s="984">
        <f t="shared" si="2"/>
        <v>0.03407085031</v>
      </c>
      <c r="I17" s="983">
        <f t="shared" si="3"/>
        <v>9908.763559</v>
      </c>
      <c r="J17" s="985"/>
      <c r="K17" s="1081" t="s">
        <v>861</v>
      </c>
      <c r="L17" s="985" t="s">
        <v>923</v>
      </c>
      <c r="O17" s="981"/>
      <c r="P17" s="981"/>
      <c r="Q17" s="981"/>
    </row>
    <row r="18">
      <c r="A18" s="978"/>
      <c r="B18" s="978" t="s">
        <v>869</v>
      </c>
      <c r="C18" s="958">
        <v>11682.851469154939</v>
      </c>
      <c r="D18" s="979">
        <v>9915.750087336437</v>
      </c>
      <c r="E18" s="980">
        <f t="shared" si="1"/>
        <v>1.178211569</v>
      </c>
      <c r="F18" s="1080"/>
      <c r="G18" s="1079">
        <v>355.77</v>
      </c>
      <c r="H18" s="984">
        <f t="shared" si="2"/>
        <v>0.03587928264</v>
      </c>
      <c r="I18" s="983">
        <f t="shared" si="3"/>
        <v>9915.750087</v>
      </c>
      <c r="J18" s="985"/>
      <c r="K18" s="1081" t="s">
        <v>861</v>
      </c>
      <c r="L18" s="985" t="s">
        <v>923</v>
      </c>
      <c r="O18" s="981"/>
      <c r="P18" s="981"/>
      <c r="Q18" s="981"/>
    </row>
    <row r="19">
      <c r="A19" s="978"/>
      <c r="B19" s="978" t="s">
        <v>871</v>
      </c>
      <c r="C19" s="958">
        <v>11672.324104943627</v>
      </c>
      <c r="D19" s="979">
        <v>9776.78535959722</v>
      </c>
      <c r="E19" s="980">
        <f t="shared" si="1"/>
        <v>1.193881596</v>
      </c>
      <c r="F19" s="1080"/>
      <c r="G19" s="1079">
        <v>1003.97</v>
      </c>
      <c r="H19" s="984">
        <f t="shared" si="2"/>
        <v>0.1026891727</v>
      </c>
      <c r="I19" s="983">
        <f t="shared" si="3"/>
        <v>9776.78536</v>
      </c>
      <c r="J19" s="985"/>
      <c r="K19" s="1081" t="s">
        <v>861</v>
      </c>
      <c r="L19" s="985" t="s">
        <v>923</v>
      </c>
      <c r="O19" s="981"/>
      <c r="P19" s="981"/>
      <c r="Q19" s="981"/>
    </row>
    <row r="20">
      <c r="A20" s="978"/>
      <c r="B20" s="978" t="s">
        <v>873</v>
      </c>
      <c r="C20" s="958">
        <v>10770.881347466415</v>
      </c>
      <c r="D20" s="979">
        <v>9186.376992440666</v>
      </c>
      <c r="E20" s="980">
        <f t="shared" si="1"/>
        <v>1.172484142</v>
      </c>
      <c r="F20" s="981"/>
      <c r="G20" s="1079">
        <v>1118.0</v>
      </c>
      <c r="H20" s="984">
        <f t="shared" si="2"/>
        <v>0.1217019507</v>
      </c>
      <c r="I20" s="983">
        <f t="shared" si="3"/>
        <v>9186.376992</v>
      </c>
      <c r="J20" s="985"/>
      <c r="K20" s="985" t="s">
        <v>832</v>
      </c>
      <c r="L20" s="985" t="s">
        <v>874</v>
      </c>
    </row>
    <row r="21">
      <c r="A21" s="978"/>
      <c r="B21" s="978" t="s">
        <v>875</v>
      </c>
      <c r="C21" s="958">
        <v>13720.361465146289</v>
      </c>
      <c r="D21" s="979">
        <v>11787.189975430128</v>
      </c>
      <c r="E21" s="980">
        <f t="shared" si="1"/>
        <v>1.164006137</v>
      </c>
      <c r="F21" s="981"/>
      <c r="G21" s="1079">
        <v>1500.0</v>
      </c>
      <c r="H21" s="984">
        <f t="shared" si="2"/>
        <v>0.1272567934</v>
      </c>
      <c r="I21" s="983">
        <f t="shared" si="3"/>
        <v>11787.18998</v>
      </c>
      <c r="J21" s="985"/>
      <c r="K21" s="985" t="s">
        <v>832</v>
      </c>
      <c r="L21" s="985" t="s">
        <v>876</v>
      </c>
    </row>
    <row r="22">
      <c r="A22" s="1017"/>
      <c r="B22" s="1017" t="s">
        <v>877</v>
      </c>
      <c r="C22" s="1018">
        <v>23518.31842054723</v>
      </c>
      <c r="D22" s="1019">
        <v>19250.28454854162</v>
      </c>
      <c r="E22" s="1020">
        <f t="shared" si="1"/>
        <v>1.221712768</v>
      </c>
      <c r="F22" s="1021"/>
      <c r="G22" s="1079">
        <v>2000.0</v>
      </c>
      <c r="H22" s="1024">
        <f t="shared" si="2"/>
        <v>0.1038945682</v>
      </c>
      <c r="I22" s="1025">
        <f t="shared" si="3"/>
        <v>19250.28455</v>
      </c>
      <c r="J22" s="1026"/>
      <c r="K22" s="1026" t="s">
        <v>832</v>
      </c>
      <c r="L22" s="1026" t="s">
        <v>878</v>
      </c>
      <c r="R22" s="1027"/>
      <c r="S22" s="1027"/>
      <c r="T22" s="1027"/>
      <c r="U22" s="1027"/>
      <c r="V22" s="1027"/>
    </row>
    <row r="23">
      <c r="A23" s="1028"/>
      <c r="C23" s="1082"/>
      <c r="D23" s="1083"/>
      <c r="E23" s="1084"/>
      <c r="F23" s="1085" t="s">
        <v>925</v>
      </c>
      <c r="G23" s="1086">
        <f t="shared" ref="G23:H23" si="4">SUM(G2:G22)</f>
        <v>44885.34</v>
      </c>
      <c r="H23" s="1087">
        <f t="shared" si="4"/>
        <v>7.208398458</v>
      </c>
      <c r="I23" s="1088"/>
      <c r="J23" s="1027"/>
      <c r="K23" s="1027"/>
      <c r="L23" s="1027"/>
      <c r="M23" s="1027"/>
      <c r="N23" s="1027"/>
      <c r="O23" s="1027"/>
      <c r="P23" s="1027"/>
      <c r="Q23" s="1027"/>
      <c r="R23" s="1027"/>
      <c r="S23" s="1027"/>
      <c r="T23" s="1027"/>
      <c r="U23" s="1027"/>
      <c r="V23" s="1027"/>
    </row>
    <row r="24">
      <c r="A24" s="1028"/>
      <c r="B24" s="1028"/>
      <c r="C24" s="969"/>
      <c r="D24" s="1018"/>
      <c r="E24" s="1030"/>
      <c r="I24" s="1027"/>
      <c r="J24" s="1027"/>
      <c r="K24" s="1031"/>
      <c r="L24" s="1027"/>
      <c r="M24" s="1027"/>
      <c r="N24" s="1027"/>
      <c r="O24" s="1027"/>
      <c r="P24" s="1027"/>
      <c r="Q24" s="1027"/>
      <c r="R24" s="1027"/>
      <c r="S24" s="1027"/>
      <c r="T24" s="1027"/>
      <c r="U24" s="1027"/>
      <c r="V24" s="1027"/>
    </row>
    <row r="25">
      <c r="A25" s="968"/>
      <c r="B25" s="968"/>
      <c r="D25" s="958"/>
      <c r="E25" s="959"/>
      <c r="F25" s="1031" t="s">
        <v>827</v>
      </c>
      <c r="G25" s="1027"/>
      <c r="H25" s="1089">
        <f>G23/H23</f>
        <v>6226.81172</v>
      </c>
      <c r="J25" s="36" t="s">
        <v>926</v>
      </c>
    </row>
    <row r="26">
      <c r="A26" s="968"/>
      <c r="B26" s="968"/>
      <c r="D26" s="958"/>
      <c r="E26" s="959"/>
      <c r="J26" s="36" t="s">
        <v>891</v>
      </c>
      <c r="K26" s="1090">
        <v>7049.85</v>
      </c>
      <c r="L26" s="36"/>
    </row>
    <row r="27">
      <c r="A27" s="968"/>
      <c r="B27" s="36"/>
      <c r="C27" s="1091"/>
      <c r="D27" s="958"/>
      <c r="E27" s="958"/>
      <c r="J27" s="36" t="s">
        <v>927</v>
      </c>
      <c r="K27" s="1092">
        <v>5720.0</v>
      </c>
    </row>
    <row r="28">
      <c r="C28" s="1093"/>
    </row>
    <row r="29">
      <c r="B29" s="36"/>
      <c r="C29" s="1093"/>
      <c r="D29" s="958"/>
      <c r="E29" s="856"/>
    </row>
    <row r="30">
      <c r="B30" s="968"/>
      <c r="C30" s="1093"/>
      <c r="D30" s="958"/>
      <c r="E30" s="856"/>
    </row>
    <row r="31">
      <c r="B31" s="36"/>
      <c r="C31" s="1093"/>
      <c r="D31" s="958"/>
      <c r="E31" s="856"/>
    </row>
    <row r="32">
      <c r="A32" s="968"/>
      <c r="B32" s="968"/>
      <c r="C32" s="1065"/>
      <c r="D32" s="958"/>
      <c r="E32" s="856"/>
    </row>
    <row r="33">
      <c r="A33" s="968"/>
      <c r="B33" s="1064"/>
      <c r="C33" s="1065"/>
      <c r="D33" s="958"/>
      <c r="E33" s="980"/>
    </row>
    <row r="34">
      <c r="A34" s="968"/>
      <c r="B34" s="1064"/>
      <c r="C34" s="1065"/>
      <c r="D34" s="958"/>
      <c r="E34" s="980"/>
    </row>
    <row r="35">
      <c r="A35" s="968"/>
      <c r="B35" s="1064"/>
      <c r="C35" s="1065"/>
      <c r="D35" s="958"/>
      <c r="E35" s="980"/>
    </row>
    <row r="36">
      <c r="A36" s="968"/>
      <c r="B36" s="1064"/>
      <c r="C36" s="1065"/>
      <c r="D36" s="958"/>
      <c r="E36" s="980"/>
    </row>
    <row r="37">
      <c r="A37" s="968"/>
      <c r="B37" s="1064"/>
      <c r="C37" s="1065"/>
      <c r="D37" s="958"/>
      <c r="E37" s="980"/>
    </row>
    <row r="38">
      <c r="A38" s="968"/>
      <c r="B38" s="1064"/>
      <c r="C38" s="1065"/>
      <c r="D38" s="958"/>
      <c r="E38" s="980"/>
    </row>
    <row r="39">
      <c r="A39" s="968"/>
      <c r="B39" s="1064"/>
      <c r="C39" s="1065"/>
      <c r="D39" s="958"/>
      <c r="E39" s="980"/>
    </row>
    <row r="40">
      <c r="A40" s="968"/>
      <c r="B40" s="1064"/>
      <c r="C40" s="1065"/>
      <c r="D40" s="958"/>
      <c r="E40" s="980"/>
    </row>
    <row r="41">
      <c r="A41" s="968"/>
      <c r="B41" s="1064"/>
      <c r="D41" s="958"/>
      <c r="E41" s="980"/>
    </row>
    <row r="42">
      <c r="A42" s="968"/>
      <c r="B42" s="1064"/>
      <c r="D42" s="958"/>
      <c r="E42" s="980"/>
    </row>
    <row r="43">
      <c r="A43" s="968"/>
      <c r="B43" s="1064"/>
      <c r="D43" s="958"/>
      <c r="E43" s="980"/>
    </row>
    <row r="44">
      <c r="A44" s="968"/>
      <c r="B44" s="968"/>
      <c r="D44" s="958"/>
      <c r="E44" s="980"/>
    </row>
    <row r="45">
      <c r="A45" s="968"/>
      <c r="B45" s="968"/>
      <c r="D45" s="958"/>
      <c r="E45" s="980"/>
    </row>
    <row r="46">
      <c r="A46" s="968"/>
      <c r="B46" s="968"/>
      <c r="D46" s="958"/>
      <c r="E46" s="980"/>
    </row>
    <row r="47">
      <c r="A47" s="968"/>
      <c r="B47" s="968"/>
      <c r="D47" s="958"/>
      <c r="E47" s="980"/>
    </row>
    <row r="48">
      <c r="A48" s="968"/>
      <c r="B48" s="968"/>
      <c r="D48" s="958"/>
      <c r="E48" s="980"/>
    </row>
    <row r="49">
      <c r="A49" s="968"/>
      <c r="B49" s="968"/>
      <c r="D49" s="958"/>
      <c r="E49" s="959"/>
    </row>
    <row r="50">
      <c r="A50" s="968"/>
      <c r="B50" s="968"/>
      <c r="D50" s="958"/>
      <c r="E50" s="959"/>
    </row>
    <row r="51">
      <c r="A51" s="968"/>
      <c r="B51" s="968"/>
      <c r="D51" s="958"/>
      <c r="E51" s="959"/>
    </row>
    <row r="52">
      <c r="A52" s="968"/>
      <c r="B52" s="968"/>
      <c r="D52" s="958"/>
      <c r="E52" s="959"/>
    </row>
    <row r="53">
      <c r="A53" s="968"/>
      <c r="B53" s="968"/>
      <c r="D53" s="958"/>
      <c r="E53" s="959"/>
    </row>
    <row r="54">
      <c r="A54" s="968"/>
      <c r="B54" s="968"/>
      <c r="D54" s="958"/>
      <c r="E54" s="959"/>
    </row>
    <row r="55">
      <c r="A55" s="968"/>
      <c r="B55" s="968"/>
      <c r="D55" s="958"/>
      <c r="E55" s="959"/>
    </row>
    <row r="56">
      <c r="A56" s="968"/>
      <c r="B56" s="968"/>
      <c r="D56" s="958"/>
      <c r="E56" s="959"/>
    </row>
    <row r="57">
      <c r="A57" s="968"/>
      <c r="B57" s="968"/>
      <c r="D57" s="958"/>
      <c r="E57" s="959"/>
    </row>
    <row r="58">
      <c r="A58" s="968"/>
      <c r="B58" s="968"/>
      <c r="D58" s="958"/>
      <c r="E58" s="959"/>
    </row>
    <row r="59">
      <c r="A59" s="968"/>
      <c r="B59" s="968"/>
      <c r="D59" s="958"/>
      <c r="E59" s="959"/>
    </row>
    <row r="60">
      <c r="A60" s="968"/>
      <c r="B60" s="968"/>
      <c r="D60" s="958"/>
      <c r="E60" s="959"/>
    </row>
    <row r="61">
      <c r="A61" s="968"/>
      <c r="B61" s="968"/>
      <c r="D61" s="958"/>
      <c r="E61" s="959"/>
    </row>
    <row r="62">
      <c r="A62" s="968"/>
      <c r="B62" s="968"/>
      <c r="D62" s="958"/>
      <c r="E62" s="959"/>
    </row>
    <row r="63">
      <c r="A63" s="968"/>
      <c r="B63" s="968"/>
      <c r="D63" s="958"/>
      <c r="E63" s="959"/>
    </row>
    <row r="64">
      <c r="A64" s="968"/>
      <c r="B64" s="968"/>
      <c r="D64" s="958"/>
      <c r="E64" s="959"/>
    </row>
    <row r="65">
      <c r="A65" s="968"/>
      <c r="B65" s="968"/>
      <c r="D65" s="958"/>
      <c r="E65" s="959"/>
    </row>
    <row r="66">
      <c r="A66" s="968"/>
      <c r="B66" s="968"/>
      <c r="D66" s="958"/>
      <c r="E66" s="959"/>
    </row>
    <row r="67">
      <c r="A67" s="968"/>
      <c r="B67" s="968"/>
      <c r="D67" s="958"/>
      <c r="E67" s="959"/>
    </row>
    <row r="68">
      <c r="A68" s="968"/>
      <c r="B68" s="968"/>
      <c r="D68" s="958"/>
      <c r="E68" s="959"/>
    </row>
    <row r="69">
      <c r="A69" s="968"/>
      <c r="B69" s="968"/>
      <c r="D69" s="958"/>
      <c r="E69" s="959"/>
    </row>
    <row r="70">
      <c r="A70" s="968"/>
      <c r="B70" s="968"/>
      <c r="D70" s="958"/>
      <c r="E70" s="959"/>
    </row>
    <row r="71">
      <c r="A71" s="968"/>
      <c r="B71" s="968"/>
      <c r="D71" s="958"/>
      <c r="E71" s="959"/>
    </row>
    <row r="72">
      <c r="A72" s="968"/>
      <c r="B72" s="968"/>
      <c r="D72" s="958"/>
      <c r="E72" s="959"/>
    </row>
    <row r="73">
      <c r="A73" s="968"/>
      <c r="B73" s="968"/>
      <c r="D73" s="958"/>
      <c r="E73" s="959"/>
    </row>
    <row r="74">
      <c r="A74" s="968"/>
      <c r="B74" s="968"/>
      <c r="D74" s="958"/>
      <c r="E74" s="959"/>
    </row>
    <row r="75">
      <c r="A75" s="968"/>
      <c r="B75" s="968"/>
      <c r="D75" s="958"/>
      <c r="E75" s="959"/>
    </row>
    <row r="76">
      <c r="A76" s="968"/>
      <c r="B76" s="968"/>
      <c r="D76" s="958"/>
      <c r="E76" s="959"/>
    </row>
    <row r="77">
      <c r="A77" s="968"/>
      <c r="B77" s="968"/>
      <c r="D77" s="958"/>
      <c r="E77" s="959"/>
    </row>
    <row r="78">
      <c r="A78" s="968"/>
      <c r="B78" s="968"/>
      <c r="D78" s="958"/>
      <c r="E78" s="959"/>
    </row>
    <row r="79">
      <c r="A79" s="968"/>
      <c r="B79" s="968"/>
      <c r="D79" s="958"/>
      <c r="E79" s="959"/>
    </row>
    <row r="80">
      <c r="A80" s="968"/>
      <c r="B80" s="968"/>
      <c r="D80" s="958"/>
      <c r="E80" s="959"/>
    </row>
    <row r="81">
      <c r="A81" s="968"/>
      <c r="B81" s="968"/>
      <c r="D81" s="958"/>
      <c r="E81" s="959"/>
    </row>
    <row r="82">
      <c r="A82" s="968"/>
      <c r="B82" s="968"/>
      <c r="D82" s="958"/>
      <c r="E82" s="959"/>
    </row>
    <row r="83">
      <c r="A83" s="968"/>
      <c r="B83" s="968"/>
      <c r="D83" s="958"/>
      <c r="E83" s="959"/>
    </row>
    <row r="84">
      <c r="A84" s="968"/>
      <c r="B84" s="968"/>
      <c r="D84" s="958"/>
      <c r="E84" s="959"/>
    </row>
    <row r="85">
      <c r="A85" s="968"/>
      <c r="B85" s="968"/>
      <c r="D85" s="958"/>
      <c r="E85" s="959"/>
    </row>
    <row r="86">
      <c r="A86" s="968"/>
      <c r="B86" s="968"/>
      <c r="D86" s="958"/>
      <c r="E86" s="959"/>
    </row>
    <row r="87">
      <c r="A87" s="968"/>
      <c r="B87" s="968"/>
      <c r="D87" s="958"/>
      <c r="E87" s="959"/>
    </row>
    <row r="88">
      <c r="A88" s="968"/>
      <c r="B88" s="968"/>
      <c r="D88" s="958"/>
      <c r="E88" s="959"/>
    </row>
    <row r="89">
      <c r="A89" s="968"/>
      <c r="B89" s="968"/>
      <c r="D89" s="958"/>
      <c r="E89" s="959"/>
    </row>
    <row r="90">
      <c r="A90" s="968"/>
      <c r="B90" s="968"/>
      <c r="D90" s="958"/>
      <c r="E90" s="959"/>
    </row>
    <row r="91">
      <c r="A91" s="968"/>
      <c r="B91" s="968"/>
      <c r="D91" s="958"/>
      <c r="E91" s="959"/>
    </row>
    <row r="92">
      <c r="A92" s="968"/>
      <c r="B92" s="968"/>
      <c r="D92" s="958"/>
      <c r="E92" s="959"/>
    </row>
    <row r="93">
      <c r="A93" s="968"/>
      <c r="B93" s="968"/>
      <c r="D93" s="958"/>
      <c r="E93" s="959"/>
    </row>
    <row r="94">
      <c r="A94" s="968"/>
      <c r="B94" s="968"/>
      <c r="D94" s="958"/>
      <c r="E94" s="959"/>
    </row>
    <row r="95">
      <c r="A95" s="968"/>
      <c r="B95" s="968"/>
      <c r="D95" s="958"/>
      <c r="E95" s="959"/>
    </row>
    <row r="96">
      <c r="A96" s="968"/>
      <c r="B96" s="968"/>
      <c r="D96" s="958"/>
      <c r="E96" s="959"/>
    </row>
    <row r="97">
      <c r="A97" s="968"/>
      <c r="B97" s="968"/>
      <c r="D97" s="958"/>
      <c r="E97" s="959"/>
    </row>
    <row r="98">
      <c r="A98" s="968"/>
      <c r="B98" s="968"/>
      <c r="D98" s="958"/>
      <c r="E98" s="959"/>
    </row>
    <row r="99">
      <c r="A99" s="968"/>
      <c r="B99" s="968"/>
      <c r="D99" s="958"/>
      <c r="E99" s="959"/>
    </row>
    <row r="100">
      <c r="A100" s="968"/>
      <c r="B100" s="968"/>
      <c r="D100" s="958"/>
      <c r="E100" s="959"/>
    </row>
    <row r="101">
      <c r="A101" s="968"/>
      <c r="B101" s="968"/>
      <c r="D101" s="958"/>
      <c r="E101" s="959"/>
    </row>
    <row r="102">
      <c r="A102" s="968"/>
      <c r="B102" s="968"/>
      <c r="D102" s="958"/>
      <c r="E102" s="959"/>
    </row>
    <row r="103">
      <c r="A103" s="968"/>
      <c r="B103" s="968"/>
      <c r="D103" s="958"/>
      <c r="E103" s="959"/>
    </row>
    <row r="104">
      <c r="A104" s="968"/>
      <c r="B104" s="968"/>
      <c r="D104" s="958"/>
      <c r="E104" s="959"/>
    </row>
    <row r="105">
      <c r="A105" s="968"/>
      <c r="B105" s="968"/>
      <c r="D105" s="958"/>
      <c r="E105" s="959"/>
    </row>
    <row r="106">
      <c r="A106" s="968"/>
      <c r="B106" s="968"/>
      <c r="D106" s="958"/>
      <c r="E106" s="959"/>
    </row>
    <row r="107">
      <c r="A107" s="968"/>
      <c r="B107" s="968"/>
      <c r="D107" s="958"/>
      <c r="E107" s="959"/>
    </row>
    <row r="108">
      <c r="A108" s="968"/>
      <c r="B108" s="968"/>
      <c r="D108" s="958"/>
      <c r="E108" s="959"/>
    </row>
    <row r="109">
      <c r="A109" s="968"/>
      <c r="B109" s="968"/>
      <c r="D109" s="958"/>
      <c r="E109" s="959"/>
    </row>
    <row r="110">
      <c r="A110" s="968"/>
      <c r="B110" s="968"/>
      <c r="D110" s="958"/>
      <c r="E110" s="959"/>
    </row>
    <row r="111">
      <c r="A111" s="968"/>
      <c r="B111" s="968"/>
      <c r="D111" s="958"/>
      <c r="E111" s="959"/>
    </row>
    <row r="112">
      <c r="A112" s="968"/>
      <c r="B112" s="968"/>
      <c r="D112" s="958"/>
      <c r="E112" s="959"/>
    </row>
    <row r="113">
      <c r="A113" s="968"/>
      <c r="B113" s="968"/>
      <c r="D113" s="958"/>
      <c r="E113" s="959"/>
    </row>
    <row r="114">
      <c r="A114" s="968"/>
      <c r="B114" s="968"/>
      <c r="D114" s="958"/>
      <c r="E114" s="959"/>
    </row>
    <row r="115">
      <c r="A115" s="968"/>
      <c r="B115" s="968"/>
      <c r="D115" s="958"/>
      <c r="E115" s="959"/>
    </row>
    <row r="116">
      <c r="A116" s="968"/>
      <c r="B116" s="968"/>
      <c r="D116" s="958"/>
      <c r="E116" s="959"/>
    </row>
    <row r="117">
      <c r="A117" s="968"/>
      <c r="B117" s="968"/>
      <c r="D117" s="958"/>
      <c r="E117" s="959"/>
    </row>
    <row r="118">
      <c r="A118" s="968"/>
      <c r="B118" s="968"/>
      <c r="D118" s="958"/>
      <c r="E118" s="959"/>
    </row>
    <row r="119">
      <c r="A119" s="968"/>
      <c r="B119" s="968"/>
      <c r="D119" s="958"/>
      <c r="E119" s="959"/>
    </row>
    <row r="120">
      <c r="A120" s="968"/>
      <c r="B120" s="968"/>
      <c r="D120" s="958"/>
      <c r="E120" s="959"/>
    </row>
    <row r="121">
      <c r="A121" s="968"/>
      <c r="B121" s="968"/>
      <c r="D121" s="958"/>
      <c r="E121" s="959"/>
    </row>
    <row r="122">
      <c r="A122" s="968"/>
      <c r="B122" s="968"/>
      <c r="D122" s="958"/>
      <c r="E122" s="959"/>
    </row>
    <row r="123">
      <c r="A123" s="968"/>
      <c r="B123" s="968"/>
      <c r="D123" s="958"/>
      <c r="E123" s="959"/>
    </row>
    <row r="124">
      <c r="A124" s="968"/>
      <c r="B124" s="968"/>
      <c r="D124" s="958"/>
      <c r="E124" s="959"/>
    </row>
    <row r="125">
      <c r="A125" s="968"/>
      <c r="B125" s="968"/>
      <c r="D125" s="958"/>
      <c r="E125" s="959"/>
    </row>
    <row r="126">
      <c r="A126" s="968"/>
      <c r="B126" s="968"/>
      <c r="D126" s="958"/>
      <c r="E126" s="959"/>
    </row>
    <row r="127">
      <c r="A127" s="968"/>
      <c r="B127" s="968"/>
      <c r="D127" s="958"/>
      <c r="E127" s="959"/>
    </row>
    <row r="128">
      <c r="A128" s="968"/>
      <c r="B128" s="968"/>
      <c r="D128" s="958"/>
      <c r="E128" s="959"/>
    </row>
    <row r="129">
      <c r="A129" s="968"/>
      <c r="B129" s="968"/>
      <c r="D129" s="958"/>
      <c r="E129" s="959"/>
    </row>
    <row r="130">
      <c r="A130" s="968"/>
      <c r="B130" s="968"/>
      <c r="D130" s="958"/>
      <c r="E130" s="959"/>
    </row>
    <row r="131">
      <c r="A131" s="968"/>
      <c r="B131" s="968"/>
      <c r="D131" s="958"/>
      <c r="E131" s="959"/>
    </row>
    <row r="132">
      <c r="A132" s="968"/>
      <c r="B132" s="968"/>
      <c r="D132" s="958"/>
      <c r="E132" s="959"/>
    </row>
    <row r="133">
      <c r="A133" s="968"/>
      <c r="B133" s="968"/>
      <c r="D133" s="958"/>
      <c r="E133" s="959"/>
    </row>
    <row r="134">
      <c r="A134" s="968"/>
      <c r="B134" s="968"/>
      <c r="D134" s="958"/>
      <c r="E134" s="959"/>
    </row>
    <row r="135">
      <c r="A135" s="968"/>
      <c r="B135" s="968"/>
      <c r="D135" s="958"/>
      <c r="E135" s="959"/>
    </row>
    <row r="136">
      <c r="A136" s="968"/>
      <c r="B136" s="968"/>
      <c r="D136" s="958"/>
      <c r="E136" s="959"/>
    </row>
    <row r="137">
      <c r="A137" s="968"/>
      <c r="B137" s="968"/>
      <c r="D137" s="958"/>
      <c r="E137" s="959"/>
    </row>
    <row r="138">
      <c r="A138" s="968"/>
      <c r="B138" s="968"/>
      <c r="D138" s="958"/>
      <c r="E138" s="959"/>
    </row>
    <row r="139">
      <c r="A139" s="968"/>
      <c r="B139" s="968"/>
      <c r="D139" s="958"/>
      <c r="E139" s="959"/>
    </row>
    <row r="140">
      <c r="A140" s="968"/>
      <c r="B140" s="968"/>
      <c r="D140" s="958"/>
      <c r="E140" s="959"/>
    </row>
    <row r="141">
      <c r="A141" s="968"/>
      <c r="B141" s="968"/>
      <c r="D141" s="958"/>
      <c r="E141" s="959"/>
    </row>
    <row r="142">
      <c r="A142" s="968"/>
      <c r="B142" s="968"/>
      <c r="D142" s="958"/>
      <c r="E142" s="959"/>
    </row>
    <row r="143">
      <c r="A143" s="968"/>
      <c r="B143" s="968"/>
      <c r="D143" s="958"/>
      <c r="E143" s="959"/>
    </row>
    <row r="144">
      <c r="A144" s="968"/>
      <c r="B144" s="968"/>
      <c r="D144" s="958"/>
      <c r="E144" s="959"/>
    </row>
    <row r="145">
      <c r="A145" s="968"/>
      <c r="B145" s="968"/>
      <c r="D145" s="958"/>
      <c r="E145" s="959"/>
    </row>
    <row r="146">
      <c r="A146" s="968"/>
      <c r="B146" s="968"/>
      <c r="D146" s="958"/>
      <c r="E146" s="959"/>
    </row>
    <row r="147">
      <c r="A147" s="968"/>
      <c r="B147" s="968"/>
      <c r="D147" s="958"/>
      <c r="E147" s="959"/>
    </row>
    <row r="148">
      <c r="A148" s="968"/>
      <c r="B148" s="968"/>
      <c r="D148" s="958"/>
      <c r="E148" s="959"/>
    </row>
    <row r="149">
      <c r="A149" s="968"/>
      <c r="B149" s="968"/>
      <c r="D149" s="958"/>
      <c r="E149" s="959"/>
    </row>
    <row r="150">
      <c r="A150" s="968"/>
      <c r="B150" s="968"/>
      <c r="D150" s="958"/>
      <c r="E150" s="959"/>
    </row>
    <row r="151">
      <c r="A151" s="968"/>
      <c r="B151" s="968"/>
      <c r="D151" s="958"/>
      <c r="E151" s="959"/>
    </row>
    <row r="152">
      <c r="A152" s="968"/>
      <c r="B152" s="968"/>
      <c r="D152" s="958"/>
      <c r="E152" s="959"/>
    </row>
    <row r="153">
      <c r="A153" s="968"/>
      <c r="B153" s="968"/>
      <c r="D153" s="958"/>
      <c r="E153" s="959"/>
    </row>
    <row r="154">
      <c r="A154" s="968"/>
      <c r="B154" s="968"/>
      <c r="D154" s="958"/>
      <c r="E154" s="959"/>
    </row>
    <row r="155">
      <c r="A155" s="968"/>
      <c r="B155" s="968"/>
      <c r="D155" s="958"/>
      <c r="E155" s="959"/>
    </row>
    <row r="156">
      <c r="A156" s="968"/>
      <c r="B156" s="968"/>
      <c r="D156" s="958"/>
      <c r="E156" s="959"/>
    </row>
    <row r="157">
      <c r="A157" s="968"/>
      <c r="B157" s="968"/>
      <c r="D157" s="958"/>
      <c r="E157" s="959"/>
    </row>
    <row r="158">
      <c r="A158" s="968"/>
      <c r="B158" s="968"/>
      <c r="D158" s="958"/>
      <c r="E158" s="959"/>
    </row>
    <row r="159">
      <c r="A159" s="968"/>
      <c r="B159" s="968"/>
      <c r="D159" s="958"/>
      <c r="E159" s="959"/>
    </row>
    <row r="160">
      <c r="A160" s="968"/>
      <c r="B160" s="968"/>
      <c r="D160" s="958"/>
      <c r="E160" s="959"/>
    </row>
    <row r="161">
      <c r="A161" s="968"/>
      <c r="B161" s="968"/>
      <c r="D161" s="958"/>
      <c r="E161" s="959"/>
    </row>
    <row r="162">
      <c r="A162" s="968"/>
      <c r="B162" s="968"/>
      <c r="D162" s="958"/>
      <c r="E162" s="959"/>
    </row>
    <row r="163">
      <c r="A163" s="968"/>
      <c r="B163" s="968"/>
      <c r="D163" s="958"/>
      <c r="E163" s="959"/>
    </row>
    <row r="164">
      <c r="A164" s="968"/>
      <c r="B164" s="968"/>
      <c r="D164" s="958"/>
      <c r="E164" s="959"/>
    </row>
    <row r="165">
      <c r="A165" s="968"/>
      <c r="B165" s="968"/>
      <c r="D165" s="958"/>
      <c r="E165" s="959"/>
    </row>
    <row r="166">
      <c r="A166" s="968"/>
      <c r="B166" s="968"/>
      <c r="D166" s="958"/>
      <c r="E166" s="959"/>
    </row>
    <row r="167">
      <c r="A167" s="968"/>
      <c r="B167" s="968"/>
      <c r="D167" s="958"/>
      <c r="E167" s="959"/>
    </row>
    <row r="168">
      <c r="A168" s="968"/>
      <c r="B168" s="968"/>
      <c r="D168" s="958"/>
      <c r="E168" s="959"/>
    </row>
    <row r="169">
      <c r="A169" s="968"/>
      <c r="B169" s="968"/>
      <c r="D169" s="958"/>
      <c r="E169" s="959"/>
    </row>
    <row r="170">
      <c r="A170" s="968"/>
      <c r="B170" s="968"/>
      <c r="D170" s="958"/>
      <c r="E170" s="959"/>
    </row>
    <row r="171">
      <c r="A171" s="968"/>
      <c r="B171" s="968"/>
      <c r="D171" s="958"/>
      <c r="E171" s="959"/>
    </row>
    <row r="172">
      <c r="A172" s="968"/>
      <c r="B172" s="968"/>
      <c r="D172" s="958"/>
      <c r="E172" s="959"/>
    </row>
    <row r="173">
      <c r="A173" s="968"/>
      <c r="B173" s="968"/>
      <c r="D173" s="958"/>
      <c r="E173" s="959"/>
    </row>
    <row r="174">
      <c r="A174" s="968"/>
      <c r="B174" s="968"/>
      <c r="D174" s="958"/>
      <c r="E174" s="959"/>
    </row>
    <row r="175">
      <c r="A175" s="968"/>
      <c r="B175" s="968"/>
      <c r="D175" s="958"/>
      <c r="E175" s="959"/>
    </row>
    <row r="176">
      <c r="A176" s="968"/>
      <c r="B176" s="968"/>
      <c r="D176" s="958"/>
      <c r="E176" s="959"/>
    </row>
    <row r="177">
      <c r="A177" s="968"/>
      <c r="B177" s="968"/>
      <c r="D177" s="958"/>
      <c r="E177" s="959"/>
    </row>
    <row r="178">
      <c r="A178" s="968"/>
      <c r="B178" s="968"/>
      <c r="D178" s="958"/>
      <c r="E178" s="959"/>
    </row>
    <row r="179">
      <c r="A179" s="968"/>
      <c r="B179" s="968"/>
      <c r="D179" s="958"/>
      <c r="E179" s="959"/>
    </row>
    <row r="180">
      <c r="A180" s="968"/>
      <c r="B180" s="968"/>
      <c r="D180" s="958"/>
      <c r="E180" s="959"/>
    </row>
    <row r="181">
      <c r="A181" s="968"/>
      <c r="B181" s="968"/>
      <c r="D181" s="958"/>
      <c r="E181" s="959"/>
    </row>
    <row r="182">
      <c r="A182" s="968"/>
      <c r="B182" s="968"/>
      <c r="D182" s="958"/>
      <c r="E182" s="959"/>
    </row>
    <row r="183">
      <c r="A183" s="968"/>
      <c r="B183" s="968"/>
      <c r="D183" s="958"/>
      <c r="E183" s="959"/>
    </row>
    <row r="184">
      <c r="A184" s="968"/>
      <c r="B184" s="968"/>
      <c r="D184" s="958"/>
      <c r="E184" s="959"/>
    </row>
    <row r="185">
      <c r="A185" s="968"/>
      <c r="B185" s="968"/>
      <c r="D185" s="958"/>
      <c r="E185" s="959"/>
    </row>
    <row r="186">
      <c r="A186" s="968"/>
      <c r="B186" s="968"/>
      <c r="D186" s="958"/>
      <c r="E186" s="959"/>
    </row>
    <row r="187">
      <c r="A187" s="968"/>
      <c r="B187" s="968"/>
      <c r="D187" s="958"/>
      <c r="E187" s="959"/>
    </row>
    <row r="188">
      <c r="A188" s="968"/>
      <c r="B188" s="968"/>
      <c r="D188" s="958"/>
      <c r="E188" s="959"/>
    </row>
    <row r="189">
      <c r="A189" s="968"/>
      <c r="B189" s="968"/>
      <c r="D189" s="958"/>
      <c r="E189" s="959"/>
    </row>
    <row r="190">
      <c r="A190" s="968"/>
      <c r="B190" s="968"/>
      <c r="D190" s="958"/>
      <c r="E190" s="959"/>
    </row>
    <row r="191">
      <c r="A191" s="968"/>
      <c r="B191" s="968"/>
      <c r="D191" s="958"/>
      <c r="E191" s="959"/>
    </row>
    <row r="192">
      <c r="A192" s="968"/>
      <c r="B192" s="968"/>
      <c r="D192" s="958"/>
      <c r="E192" s="959"/>
    </row>
    <row r="193">
      <c r="A193" s="968"/>
      <c r="B193" s="968"/>
      <c r="D193" s="958"/>
      <c r="E193" s="959"/>
    </row>
    <row r="194">
      <c r="A194" s="968"/>
      <c r="B194" s="968"/>
      <c r="D194" s="958"/>
      <c r="E194" s="959"/>
    </row>
    <row r="195">
      <c r="A195" s="968"/>
      <c r="B195" s="968"/>
      <c r="D195" s="958"/>
      <c r="E195" s="959"/>
    </row>
    <row r="196">
      <c r="A196" s="968"/>
      <c r="B196" s="968"/>
      <c r="D196" s="958"/>
      <c r="E196" s="959"/>
    </row>
    <row r="197">
      <c r="A197" s="968"/>
      <c r="B197" s="968"/>
      <c r="D197" s="958"/>
      <c r="E197" s="959"/>
    </row>
    <row r="198">
      <c r="A198" s="968"/>
      <c r="B198" s="968"/>
      <c r="D198" s="958"/>
      <c r="E198" s="959"/>
    </row>
    <row r="199">
      <c r="A199" s="968"/>
      <c r="B199" s="968"/>
      <c r="D199" s="958"/>
      <c r="E199" s="959"/>
    </row>
    <row r="200">
      <c r="A200" s="968"/>
      <c r="B200" s="968"/>
      <c r="D200" s="958"/>
      <c r="E200" s="959"/>
    </row>
    <row r="201">
      <c r="A201" s="968"/>
      <c r="B201" s="968"/>
      <c r="D201" s="958"/>
      <c r="E201" s="959"/>
    </row>
    <row r="202">
      <c r="A202" s="968"/>
      <c r="B202" s="968"/>
      <c r="D202" s="958"/>
      <c r="E202" s="959"/>
    </row>
    <row r="203">
      <c r="A203" s="968"/>
      <c r="B203" s="968"/>
      <c r="D203" s="958"/>
      <c r="E203" s="959"/>
    </row>
    <row r="204">
      <c r="A204" s="968"/>
      <c r="B204" s="968"/>
      <c r="D204" s="958"/>
      <c r="E204" s="959"/>
    </row>
    <row r="205">
      <c r="A205" s="968"/>
      <c r="B205" s="968"/>
      <c r="D205" s="958"/>
      <c r="E205" s="959"/>
    </row>
    <row r="206">
      <c r="A206" s="968"/>
      <c r="B206" s="968"/>
      <c r="D206" s="958"/>
      <c r="E206" s="959"/>
    </row>
    <row r="207">
      <c r="A207" s="968"/>
      <c r="B207" s="968"/>
      <c r="D207" s="958"/>
      <c r="E207" s="959"/>
    </row>
    <row r="208">
      <c r="A208" s="968"/>
      <c r="B208" s="968"/>
      <c r="D208" s="958"/>
      <c r="E208" s="959"/>
    </row>
    <row r="209">
      <c r="A209" s="968"/>
      <c r="B209" s="968"/>
      <c r="D209" s="958"/>
      <c r="E209" s="959"/>
    </row>
    <row r="210">
      <c r="A210" s="968"/>
      <c r="B210" s="968"/>
      <c r="D210" s="958"/>
      <c r="E210" s="959"/>
    </row>
    <row r="211">
      <c r="A211" s="968"/>
      <c r="B211" s="968"/>
      <c r="D211" s="958"/>
      <c r="E211" s="959"/>
    </row>
    <row r="212">
      <c r="A212" s="968"/>
      <c r="B212" s="968"/>
      <c r="D212" s="958"/>
      <c r="E212" s="959"/>
    </row>
    <row r="213">
      <c r="A213" s="968"/>
      <c r="B213" s="968"/>
      <c r="D213" s="958"/>
      <c r="E213" s="959"/>
    </row>
    <row r="214">
      <c r="A214" s="968"/>
      <c r="B214" s="968"/>
      <c r="D214" s="958"/>
      <c r="E214" s="959"/>
    </row>
    <row r="215">
      <c r="A215" s="968"/>
      <c r="B215" s="968"/>
      <c r="D215" s="958"/>
      <c r="E215" s="959"/>
    </row>
    <row r="216">
      <c r="A216" s="968"/>
      <c r="B216" s="968"/>
      <c r="D216" s="958"/>
      <c r="E216" s="959"/>
    </row>
    <row r="217">
      <c r="A217" s="968"/>
      <c r="B217" s="968"/>
      <c r="D217" s="958"/>
      <c r="E217" s="959"/>
    </row>
    <row r="218">
      <c r="A218" s="968"/>
      <c r="B218" s="968"/>
      <c r="D218" s="958"/>
      <c r="E218" s="959"/>
    </row>
    <row r="219">
      <c r="A219" s="968"/>
      <c r="B219" s="968"/>
      <c r="D219" s="958"/>
      <c r="E219" s="959"/>
    </row>
    <row r="220">
      <c r="A220" s="968"/>
      <c r="B220" s="968"/>
      <c r="D220" s="958"/>
      <c r="E220" s="959"/>
    </row>
    <row r="221">
      <c r="A221" s="968"/>
      <c r="B221" s="968"/>
      <c r="D221" s="958"/>
      <c r="E221" s="959"/>
    </row>
    <row r="222">
      <c r="A222" s="968"/>
      <c r="B222" s="968"/>
      <c r="D222" s="958"/>
      <c r="E222" s="959"/>
    </row>
    <row r="223">
      <c r="A223" s="968"/>
      <c r="B223" s="968"/>
      <c r="D223" s="958"/>
      <c r="E223" s="959"/>
    </row>
    <row r="224">
      <c r="A224" s="968"/>
      <c r="B224" s="968"/>
      <c r="D224" s="958"/>
      <c r="E224" s="959"/>
    </row>
    <row r="225">
      <c r="A225" s="968"/>
      <c r="B225" s="968"/>
      <c r="D225" s="958"/>
      <c r="E225" s="959"/>
    </row>
    <row r="226">
      <c r="A226" s="968"/>
      <c r="B226" s="968"/>
      <c r="D226" s="958"/>
      <c r="E226" s="959"/>
    </row>
    <row r="227">
      <c r="A227" s="968"/>
      <c r="B227" s="968"/>
      <c r="D227" s="958"/>
      <c r="E227" s="959"/>
    </row>
    <row r="228">
      <c r="A228" s="968"/>
      <c r="B228" s="968"/>
      <c r="D228" s="958"/>
      <c r="E228" s="959"/>
    </row>
    <row r="229">
      <c r="A229" s="968"/>
      <c r="B229" s="968"/>
      <c r="D229" s="958"/>
      <c r="E229" s="959"/>
    </row>
    <row r="230">
      <c r="A230" s="968"/>
      <c r="B230" s="968"/>
      <c r="D230" s="958"/>
      <c r="E230" s="959"/>
    </row>
    <row r="231">
      <c r="A231" s="968"/>
      <c r="B231" s="968"/>
      <c r="D231" s="958"/>
      <c r="E231" s="959"/>
    </row>
    <row r="232">
      <c r="A232" s="968"/>
      <c r="B232" s="968"/>
      <c r="D232" s="958"/>
      <c r="E232" s="959"/>
    </row>
    <row r="233">
      <c r="A233" s="968"/>
      <c r="B233" s="968"/>
      <c r="D233" s="958"/>
      <c r="E233" s="959"/>
    </row>
    <row r="234">
      <c r="A234" s="968"/>
      <c r="B234" s="968"/>
      <c r="D234" s="958"/>
      <c r="E234" s="959"/>
    </row>
    <row r="235">
      <c r="A235" s="968"/>
      <c r="B235" s="968"/>
      <c r="D235" s="958"/>
      <c r="E235" s="959"/>
    </row>
    <row r="236">
      <c r="A236" s="968"/>
      <c r="B236" s="968"/>
      <c r="D236" s="958"/>
      <c r="E236" s="959"/>
    </row>
    <row r="237">
      <c r="A237" s="968"/>
      <c r="B237" s="968"/>
      <c r="D237" s="958"/>
      <c r="E237" s="959"/>
    </row>
    <row r="238">
      <c r="A238" s="968"/>
      <c r="B238" s="968"/>
      <c r="D238" s="958"/>
      <c r="E238" s="959"/>
    </row>
    <row r="239">
      <c r="A239" s="968"/>
      <c r="B239" s="968"/>
      <c r="D239" s="958"/>
      <c r="E239" s="959"/>
    </row>
    <row r="240">
      <c r="A240" s="968"/>
      <c r="B240" s="968"/>
      <c r="D240" s="958"/>
      <c r="E240" s="959"/>
    </row>
    <row r="241">
      <c r="A241" s="968"/>
      <c r="B241" s="968"/>
      <c r="D241" s="958"/>
      <c r="E241" s="959"/>
    </row>
    <row r="242">
      <c r="A242" s="968"/>
      <c r="B242" s="968"/>
      <c r="D242" s="958"/>
      <c r="E242" s="959"/>
    </row>
    <row r="243">
      <c r="A243" s="968"/>
      <c r="B243" s="968"/>
      <c r="D243" s="958"/>
      <c r="E243" s="959"/>
    </row>
    <row r="244">
      <c r="A244" s="968"/>
      <c r="B244" s="968"/>
      <c r="D244" s="958"/>
      <c r="E244" s="959"/>
    </row>
    <row r="245">
      <c r="A245" s="968"/>
      <c r="B245" s="968"/>
      <c r="D245" s="958"/>
      <c r="E245" s="959"/>
    </row>
    <row r="246">
      <c r="A246" s="968"/>
      <c r="B246" s="968"/>
      <c r="D246" s="958"/>
      <c r="E246" s="959"/>
    </row>
    <row r="247">
      <c r="A247" s="968"/>
      <c r="B247" s="968"/>
      <c r="D247" s="958"/>
      <c r="E247" s="959"/>
    </row>
    <row r="248">
      <c r="A248" s="968"/>
      <c r="B248" s="968"/>
      <c r="D248" s="958"/>
      <c r="E248" s="959"/>
    </row>
    <row r="249">
      <c r="A249" s="968"/>
      <c r="B249" s="968"/>
      <c r="D249" s="958"/>
      <c r="E249" s="959"/>
    </row>
    <row r="250">
      <c r="A250" s="968"/>
      <c r="B250" s="968"/>
      <c r="D250" s="958"/>
      <c r="E250" s="959"/>
    </row>
    <row r="251">
      <c r="A251" s="968"/>
      <c r="B251" s="968"/>
      <c r="D251" s="958"/>
      <c r="E251" s="959"/>
    </row>
    <row r="252">
      <c r="A252" s="968"/>
      <c r="B252" s="968"/>
      <c r="D252" s="958"/>
      <c r="E252" s="959"/>
    </row>
    <row r="253">
      <c r="A253" s="968"/>
      <c r="B253" s="968"/>
      <c r="D253" s="958"/>
      <c r="E253" s="959"/>
    </row>
    <row r="254">
      <c r="A254" s="968"/>
      <c r="B254" s="968"/>
      <c r="D254" s="958"/>
      <c r="E254" s="959"/>
    </row>
    <row r="255">
      <c r="A255" s="968"/>
      <c r="B255" s="968"/>
      <c r="D255" s="958"/>
      <c r="E255" s="959"/>
    </row>
    <row r="256">
      <c r="A256" s="968"/>
      <c r="B256" s="968"/>
      <c r="D256" s="958"/>
      <c r="E256" s="959"/>
    </row>
    <row r="257">
      <c r="A257" s="968"/>
      <c r="B257" s="968"/>
      <c r="D257" s="958"/>
      <c r="E257" s="959"/>
    </row>
    <row r="258">
      <c r="A258" s="968"/>
      <c r="B258" s="968"/>
      <c r="D258" s="958"/>
      <c r="E258" s="959"/>
    </row>
    <row r="259">
      <c r="A259" s="968"/>
      <c r="B259" s="968"/>
      <c r="D259" s="958"/>
      <c r="E259" s="959"/>
    </row>
    <row r="260">
      <c r="A260" s="968"/>
      <c r="B260" s="968"/>
      <c r="D260" s="958"/>
      <c r="E260" s="959"/>
    </row>
    <row r="261">
      <c r="A261" s="968"/>
      <c r="B261" s="968"/>
      <c r="D261" s="958"/>
      <c r="E261" s="959"/>
    </row>
    <row r="262">
      <c r="A262" s="968"/>
      <c r="B262" s="968"/>
      <c r="D262" s="958"/>
      <c r="E262" s="959"/>
    </row>
    <row r="263">
      <c r="A263" s="968"/>
      <c r="B263" s="968"/>
      <c r="D263" s="958"/>
      <c r="E263" s="959"/>
    </row>
    <row r="264">
      <c r="A264" s="968"/>
      <c r="B264" s="968"/>
      <c r="D264" s="958"/>
      <c r="E264" s="959"/>
    </row>
    <row r="265">
      <c r="A265" s="968"/>
      <c r="B265" s="968"/>
      <c r="D265" s="958"/>
      <c r="E265" s="959"/>
    </row>
    <row r="266">
      <c r="A266" s="968"/>
      <c r="B266" s="968"/>
      <c r="D266" s="958"/>
      <c r="E266" s="959"/>
    </row>
    <row r="267">
      <c r="A267" s="968"/>
      <c r="B267" s="968"/>
      <c r="D267" s="958"/>
      <c r="E267" s="959"/>
    </row>
    <row r="268">
      <c r="A268" s="968"/>
      <c r="B268" s="968"/>
      <c r="D268" s="958"/>
      <c r="E268" s="959"/>
    </row>
    <row r="269">
      <c r="A269" s="968"/>
      <c r="B269" s="968"/>
      <c r="D269" s="958"/>
      <c r="E269" s="959"/>
    </row>
    <row r="270">
      <c r="A270" s="968"/>
      <c r="B270" s="968"/>
      <c r="D270" s="958"/>
      <c r="E270" s="959"/>
    </row>
    <row r="271">
      <c r="A271" s="968"/>
      <c r="B271" s="968"/>
      <c r="D271" s="958"/>
      <c r="E271" s="959"/>
    </row>
    <row r="272">
      <c r="A272" s="968"/>
      <c r="B272" s="968"/>
      <c r="D272" s="958"/>
      <c r="E272" s="959"/>
    </row>
    <row r="273">
      <c r="A273" s="968"/>
      <c r="B273" s="968"/>
      <c r="D273" s="958"/>
      <c r="E273" s="959"/>
    </row>
    <row r="274">
      <c r="A274" s="968"/>
      <c r="B274" s="968"/>
      <c r="D274" s="958"/>
      <c r="E274" s="959"/>
    </row>
    <row r="275">
      <c r="A275" s="968"/>
      <c r="B275" s="968"/>
      <c r="D275" s="958"/>
      <c r="E275" s="959"/>
    </row>
    <row r="276">
      <c r="A276" s="968"/>
      <c r="B276" s="968"/>
      <c r="D276" s="958"/>
      <c r="E276" s="959"/>
    </row>
    <row r="277">
      <c r="A277" s="968"/>
      <c r="B277" s="968"/>
      <c r="D277" s="958"/>
      <c r="E277" s="959"/>
    </row>
    <row r="278">
      <c r="A278" s="968"/>
      <c r="B278" s="968"/>
      <c r="D278" s="958"/>
      <c r="E278" s="959"/>
    </row>
    <row r="279">
      <c r="A279" s="968"/>
      <c r="B279" s="968"/>
      <c r="D279" s="958"/>
      <c r="E279" s="959"/>
    </row>
    <row r="280">
      <c r="A280" s="968"/>
      <c r="B280" s="968"/>
      <c r="D280" s="958"/>
      <c r="E280" s="959"/>
    </row>
    <row r="281">
      <c r="A281" s="968"/>
      <c r="B281" s="968"/>
      <c r="D281" s="958"/>
      <c r="E281" s="959"/>
    </row>
    <row r="282">
      <c r="A282" s="968"/>
      <c r="B282" s="968"/>
      <c r="D282" s="958"/>
      <c r="E282" s="959"/>
    </row>
    <row r="283">
      <c r="A283" s="968"/>
      <c r="B283" s="968"/>
      <c r="D283" s="958"/>
      <c r="E283" s="959"/>
    </row>
    <row r="284">
      <c r="A284" s="968"/>
      <c r="B284" s="968"/>
      <c r="D284" s="958"/>
      <c r="E284" s="959"/>
    </row>
    <row r="285">
      <c r="A285" s="968"/>
      <c r="B285" s="968"/>
      <c r="D285" s="958"/>
      <c r="E285" s="959"/>
    </row>
    <row r="286">
      <c r="A286" s="968"/>
      <c r="B286" s="968"/>
      <c r="D286" s="958"/>
      <c r="E286" s="959"/>
    </row>
    <row r="287">
      <c r="A287" s="968"/>
      <c r="B287" s="968"/>
      <c r="D287" s="958"/>
      <c r="E287" s="959"/>
    </row>
    <row r="288">
      <c r="A288" s="968"/>
      <c r="B288" s="968"/>
      <c r="D288" s="958"/>
      <c r="E288" s="959"/>
    </row>
    <row r="289">
      <c r="A289" s="968"/>
      <c r="B289" s="968"/>
      <c r="D289" s="958"/>
      <c r="E289" s="959"/>
    </row>
    <row r="290">
      <c r="A290" s="968"/>
      <c r="B290" s="968"/>
      <c r="D290" s="958"/>
      <c r="E290" s="959"/>
    </row>
    <row r="291">
      <c r="A291" s="968"/>
      <c r="B291" s="968"/>
      <c r="D291" s="958"/>
      <c r="E291" s="959"/>
    </row>
    <row r="292">
      <c r="A292" s="968"/>
      <c r="B292" s="968"/>
      <c r="D292" s="958"/>
      <c r="E292" s="959"/>
    </row>
    <row r="293">
      <c r="A293" s="968"/>
      <c r="B293" s="968"/>
      <c r="D293" s="958"/>
      <c r="E293" s="959"/>
    </row>
    <row r="294">
      <c r="A294" s="968"/>
      <c r="B294" s="968"/>
      <c r="D294" s="958"/>
      <c r="E294" s="959"/>
    </row>
    <row r="295">
      <c r="A295" s="968"/>
      <c r="B295" s="968"/>
      <c r="D295" s="958"/>
      <c r="E295" s="959"/>
    </row>
    <row r="296">
      <c r="A296" s="968"/>
      <c r="B296" s="968"/>
      <c r="D296" s="958"/>
      <c r="E296" s="959"/>
    </row>
    <row r="297">
      <c r="A297" s="968"/>
      <c r="B297" s="968"/>
      <c r="D297" s="958"/>
      <c r="E297" s="959"/>
    </row>
    <row r="298">
      <c r="A298" s="968"/>
      <c r="B298" s="968"/>
      <c r="D298" s="958"/>
      <c r="E298" s="959"/>
    </row>
    <row r="299">
      <c r="A299" s="968"/>
      <c r="B299" s="968"/>
      <c r="D299" s="958"/>
      <c r="E299" s="959"/>
    </row>
    <row r="300">
      <c r="A300" s="968"/>
      <c r="B300" s="968"/>
      <c r="D300" s="958"/>
      <c r="E300" s="959"/>
    </row>
    <row r="301">
      <c r="A301" s="968"/>
      <c r="B301" s="968"/>
      <c r="D301" s="958"/>
      <c r="E301" s="959"/>
    </row>
    <row r="302">
      <c r="A302" s="968"/>
      <c r="B302" s="968"/>
      <c r="D302" s="958"/>
      <c r="E302" s="959"/>
    </row>
    <row r="303">
      <c r="A303" s="968"/>
      <c r="B303" s="968"/>
      <c r="D303" s="958"/>
      <c r="E303" s="959"/>
    </row>
    <row r="304">
      <c r="A304" s="968"/>
      <c r="B304" s="968"/>
      <c r="D304" s="958"/>
      <c r="E304" s="959"/>
    </row>
    <row r="305">
      <c r="A305" s="968"/>
      <c r="B305" s="968"/>
      <c r="D305" s="958"/>
      <c r="E305" s="959"/>
    </row>
    <row r="306">
      <c r="A306" s="968"/>
      <c r="B306" s="968"/>
      <c r="D306" s="958"/>
      <c r="E306" s="959"/>
    </row>
    <row r="307">
      <c r="A307" s="968"/>
      <c r="B307" s="968"/>
      <c r="D307" s="958"/>
      <c r="E307" s="959"/>
    </row>
    <row r="308">
      <c r="A308" s="968"/>
      <c r="B308" s="968"/>
      <c r="D308" s="958"/>
      <c r="E308" s="959"/>
    </row>
    <row r="309">
      <c r="A309" s="968"/>
      <c r="B309" s="968"/>
      <c r="D309" s="958"/>
      <c r="E309" s="959"/>
    </row>
    <row r="310">
      <c r="A310" s="968"/>
      <c r="B310" s="968"/>
      <c r="D310" s="958"/>
      <c r="E310" s="959"/>
    </row>
    <row r="311">
      <c r="A311" s="968"/>
      <c r="B311" s="968"/>
      <c r="D311" s="958"/>
      <c r="E311" s="959"/>
    </row>
    <row r="312">
      <c r="A312" s="968"/>
      <c r="B312" s="968"/>
      <c r="D312" s="958"/>
      <c r="E312" s="959"/>
    </row>
    <row r="313">
      <c r="A313" s="968"/>
      <c r="B313" s="968"/>
      <c r="D313" s="958"/>
      <c r="E313" s="959"/>
    </row>
    <row r="314">
      <c r="A314" s="968"/>
      <c r="B314" s="968"/>
      <c r="D314" s="958"/>
      <c r="E314" s="959"/>
    </row>
    <row r="315">
      <c r="A315" s="968"/>
      <c r="B315" s="968"/>
      <c r="D315" s="958"/>
      <c r="E315" s="959"/>
    </row>
    <row r="316">
      <c r="A316" s="968"/>
      <c r="B316" s="968"/>
      <c r="D316" s="958"/>
      <c r="E316" s="959"/>
    </row>
    <row r="317">
      <c r="A317" s="968"/>
      <c r="B317" s="968"/>
      <c r="D317" s="958"/>
      <c r="E317" s="959"/>
    </row>
    <row r="318">
      <c r="A318" s="968"/>
      <c r="B318" s="968"/>
      <c r="D318" s="958"/>
      <c r="E318" s="959"/>
    </row>
    <row r="319">
      <c r="A319" s="968"/>
      <c r="B319" s="968"/>
      <c r="D319" s="958"/>
      <c r="E319" s="959"/>
    </row>
    <row r="320">
      <c r="A320" s="968"/>
      <c r="B320" s="968"/>
      <c r="D320" s="958"/>
      <c r="E320" s="959"/>
    </row>
    <row r="321">
      <c r="A321" s="968"/>
      <c r="B321" s="968"/>
      <c r="D321" s="958"/>
      <c r="E321" s="959"/>
    </row>
    <row r="322">
      <c r="A322" s="968"/>
      <c r="B322" s="968"/>
      <c r="D322" s="958"/>
      <c r="E322" s="959"/>
    </row>
    <row r="323">
      <c r="A323" s="968"/>
      <c r="B323" s="968"/>
      <c r="D323" s="958"/>
      <c r="E323" s="959"/>
    </row>
    <row r="324">
      <c r="A324" s="968"/>
      <c r="B324" s="968"/>
      <c r="D324" s="958"/>
      <c r="E324" s="959"/>
    </row>
    <row r="325">
      <c r="A325" s="968"/>
      <c r="B325" s="968"/>
      <c r="D325" s="958"/>
      <c r="E325" s="959"/>
    </row>
    <row r="326">
      <c r="A326" s="968"/>
      <c r="B326" s="968"/>
      <c r="D326" s="958"/>
      <c r="E326" s="959"/>
    </row>
    <row r="327">
      <c r="A327" s="968"/>
      <c r="B327" s="968"/>
      <c r="D327" s="958"/>
      <c r="E327" s="959"/>
    </row>
    <row r="328">
      <c r="A328" s="968"/>
      <c r="B328" s="968"/>
      <c r="D328" s="958"/>
      <c r="E328" s="959"/>
    </row>
    <row r="329">
      <c r="A329" s="968"/>
      <c r="B329" s="968"/>
      <c r="D329" s="958"/>
      <c r="E329" s="959"/>
    </row>
    <row r="330">
      <c r="A330" s="968"/>
      <c r="B330" s="968"/>
      <c r="D330" s="958"/>
      <c r="E330" s="959"/>
    </row>
    <row r="331">
      <c r="A331" s="968"/>
      <c r="B331" s="968"/>
      <c r="D331" s="958"/>
      <c r="E331" s="959"/>
    </row>
    <row r="332">
      <c r="A332" s="968"/>
      <c r="B332" s="968"/>
      <c r="D332" s="958"/>
      <c r="E332" s="959"/>
    </row>
    <row r="333">
      <c r="A333" s="968"/>
      <c r="B333" s="968"/>
      <c r="D333" s="958"/>
      <c r="E333" s="959"/>
    </row>
    <row r="334">
      <c r="A334" s="968"/>
      <c r="B334" s="968"/>
      <c r="D334" s="958"/>
      <c r="E334" s="959"/>
    </row>
    <row r="335">
      <c r="A335" s="968"/>
      <c r="B335" s="968"/>
      <c r="D335" s="958"/>
      <c r="E335" s="959"/>
    </row>
    <row r="336">
      <c r="A336" s="968"/>
      <c r="B336" s="968"/>
      <c r="D336" s="958"/>
      <c r="E336" s="959"/>
    </row>
    <row r="337">
      <c r="A337" s="968"/>
      <c r="B337" s="968"/>
      <c r="D337" s="958"/>
      <c r="E337" s="959"/>
    </row>
    <row r="338">
      <c r="A338" s="968"/>
      <c r="B338" s="968"/>
      <c r="D338" s="958"/>
      <c r="E338" s="959"/>
    </row>
    <row r="339">
      <c r="A339" s="968"/>
      <c r="B339" s="968"/>
      <c r="D339" s="958"/>
      <c r="E339" s="959"/>
    </row>
    <row r="340">
      <c r="A340" s="968"/>
      <c r="B340" s="968"/>
      <c r="D340" s="958"/>
      <c r="E340" s="959"/>
    </row>
    <row r="341">
      <c r="A341" s="968"/>
      <c r="B341" s="968"/>
      <c r="D341" s="958"/>
      <c r="E341" s="959"/>
    </row>
    <row r="342">
      <c r="A342" s="968"/>
      <c r="B342" s="968"/>
      <c r="D342" s="958"/>
      <c r="E342" s="959"/>
    </row>
    <row r="343">
      <c r="A343" s="968"/>
      <c r="B343" s="968"/>
      <c r="D343" s="958"/>
      <c r="E343" s="959"/>
    </row>
    <row r="344">
      <c r="A344" s="968"/>
      <c r="B344" s="968"/>
      <c r="D344" s="958"/>
      <c r="E344" s="959"/>
    </row>
    <row r="345">
      <c r="A345" s="968"/>
      <c r="B345" s="968"/>
      <c r="D345" s="958"/>
      <c r="E345" s="959"/>
    </row>
    <row r="346">
      <c r="A346" s="968"/>
      <c r="B346" s="968"/>
      <c r="D346" s="958"/>
      <c r="E346" s="959"/>
    </row>
    <row r="347">
      <c r="A347" s="968"/>
      <c r="B347" s="968"/>
      <c r="D347" s="958"/>
      <c r="E347" s="959"/>
    </row>
    <row r="348">
      <c r="A348" s="968"/>
      <c r="B348" s="968"/>
      <c r="D348" s="958"/>
      <c r="E348" s="959"/>
    </row>
    <row r="349">
      <c r="A349" s="968"/>
      <c r="B349" s="968"/>
      <c r="D349" s="958"/>
      <c r="E349" s="959"/>
    </row>
    <row r="350">
      <c r="A350" s="968"/>
      <c r="B350" s="968"/>
      <c r="D350" s="958"/>
      <c r="E350" s="959"/>
    </row>
    <row r="351">
      <c r="A351" s="968"/>
      <c r="B351" s="968"/>
      <c r="D351" s="958"/>
      <c r="E351" s="959"/>
    </row>
    <row r="352">
      <c r="A352" s="968"/>
      <c r="B352" s="968"/>
      <c r="D352" s="958"/>
      <c r="E352" s="959"/>
    </row>
    <row r="353">
      <c r="A353" s="968"/>
      <c r="B353" s="968"/>
      <c r="D353" s="958"/>
      <c r="E353" s="959"/>
    </row>
    <row r="354">
      <c r="A354" s="968"/>
      <c r="B354" s="968"/>
      <c r="D354" s="958"/>
      <c r="E354" s="959"/>
    </row>
    <row r="355">
      <c r="A355" s="968"/>
      <c r="B355" s="968"/>
      <c r="D355" s="958"/>
      <c r="E355" s="959"/>
    </row>
    <row r="356">
      <c r="A356" s="968"/>
      <c r="B356" s="968"/>
      <c r="D356" s="958"/>
      <c r="E356" s="959"/>
    </row>
    <row r="357">
      <c r="A357" s="968"/>
      <c r="B357" s="968"/>
      <c r="D357" s="958"/>
      <c r="E357" s="959"/>
    </row>
    <row r="358">
      <c r="A358" s="968"/>
      <c r="B358" s="968"/>
      <c r="D358" s="958"/>
      <c r="E358" s="959"/>
    </row>
    <row r="359">
      <c r="A359" s="968"/>
      <c r="B359" s="968"/>
      <c r="D359" s="958"/>
      <c r="E359" s="959"/>
    </row>
    <row r="360">
      <c r="A360" s="968"/>
      <c r="B360" s="968"/>
      <c r="D360" s="958"/>
      <c r="E360" s="959"/>
    </row>
    <row r="361">
      <c r="A361" s="968"/>
      <c r="B361" s="968"/>
      <c r="D361" s="958"/>
      <c r="E361" s="959"/>
    </row>
    <row r="362">
      <c r="A362" s="968"/>
      <c r="B362" s="968"/>
      <c r="D362" s="958"/>
      <c r="E362" s="959"/>
    </row>
    <row r="363">
      <c r="A363" s="968"/>
      <c r="B363" s="968"/>
      <c r="D363" s="958"/>
      <c r="E363" s="959"/>
    </row>
    <row r="364">
      <c r="A364" s="968"/>
      <c r="B364" s="968"/>
      <c r="D364" s="958"/>
      <c r="E364" s="959"/>
    </row>
    <row r="365">
      <c r="A365" s="968"/>
      <c r="B365" s="968"/>
      <c r="D365" s="958"/>
      <c r="E365" s="959"/>
    </row>
    <row r="366">
      <c r="A366" s="968"/>
      <c r="B366" s="968"/>
      <c r="D366" s="958"/>
      <c r="E366" s="959"/>
    </row>
    <row r="367">
      <c r="A367" s="968"/>
      <c r="B367" s="968"/>
      <c r="D367" s="958"/>
      <c r="E367" s="959"/>
    </row>
    <row r="368">
      <c r="A368" s="968"/>
      <c r="B368" s="968"/>
      <c r="D368" s="958"/>
      <c r="E368" s="959"/>
    </row>
    <row r="369">
      <c r="A369" s="968"/>
      <c r="B369" s="968"/>
      <c r="D369" s="958"/>
      <c r="E369" s="959"/>
    </row>
    <row r="370">
      <c r="A370" s="968"/>
      <c r="B370" s="968"/>
      <c r="D370" s="958"/>
      <c r="E370" s="959"/>
    </row>
    <row r="371">
      <c r="A371" s="968"/>
      <c r="B371" s="968"/>
      <c r="D371" s="958"/>
      <c r="E371" s="959"/>
    </row>
    <row r="372">
      <c r="A372" s="968"/>
      <c r="B372" s="968"/>
      <c r="D372" s="958"/>
      <c r="E372" s="959"/>
    </row>
    <row r="373">
      <c r="A373" s="968"/>
      <c r="B373" s="968"/>
      <c r="D373" s="958"/>
      <c r="E373" s="959"/>
    </row>
    <row r="374">
      <c r="A374" s="968"/>
      <c r="B374" s="968"/>
      <c r="D374" s="958"/>
      <c r="E374" s="959"/>
    </row>
    <row r="375">
      <c r="A375" s="968"/>
      <c r="B375" s="968"/>
      <c r="D375" s="958"/>
      <c r="E375" s="959"/>
    </row>
    <row r="376">
      <c r="A376" s="968"/>
      <c r="B376" s="968"/>
      <c r="D376" s="958"/>
      <c r="E376" s="959"/>
    </row>
    <row r="377">
      <c r="A377" s="968"/>
      <c r="B377" s="968"/>
      <c r="D377" s="958"/>
      <c r="E377" s="959"/>
    </row>
    <row r="378">
      <c r="A378" s="968"/>
      <c r="B378" s="968"/>
      <c r="D378" s="958"/>
      <c r="E378" s="959"/>
    </row>
    <row r="379">
      <c r="A379" s="968"/>
      <c r="B379" s="968"/>
      <c r="D379" s="958"/>
      <c r="E379" s="959"/>
    </row>
    <row r="380">
      <c r="A380" s="968"/>
      <c r="B380" s="968"/>
      <c r="D380" s="958"/>
      <c r="E380" s="959"/>
    </row>
    <row r="381">
      <c r="A381" s="968"/>
      <c r="B381" s="968"/>
      <c r="D381" s="958"/>
      <c r="E381" s="959"/>
    </row>
    <row r="382">
      <c r="A382" s="968"/>
      <c r="B382" s="968"/>
      <c r="D382" s="958"/>
      <c r="E382" s="959"/>
    </row>
    <row r="383">
      <c r="A383" s="968"/>
      <c r="B383" s="968"/>
      <c r="D383" s="958"/>
      <c r="E383" s="959"/>
    </row>
    <row r="384">
      <c r="A384" s="968"/>
      <c r="B384" s="968"/>
      <c r="D384" s="958"/>
      <c r="E384" s="959"/>
    </row>
    <row r="385">
      <c r="A385" s="968"/>
      <c r="B385" s="968"/>
      <c r="D385" s="958"/>
      <c r="E385" s="959"/>
    </row>
    <row r="386">
      <c r="A386" s="968"/>
      <c r="B386" s="968"/>
      <c r="D386" s="958"/>
      <c r="E386" s="959"/>
    </row>
    <row r="387">
      <c r="A387" s="968"/>
      <c r="B387" s="968"/>
      <c r="D387" s="958"/>
      <c r="E387" s="959"/>
    </row>
    <row r="388">
      <c r="A388" s="968"/>
      <c r="B388" s="968"/>
      <c r="D388" s="958"/>
      <c r="E388" s="959"/>
    </row>
    <row r="389">
      <c r="A389" s="968"/>
      <c r="B389" s="968"/>
      <c r="D389" s="958"/>
      <c r="E389" s="959"/>
    </row>
    <row r="390">
      <c r="A390" s="968"/>
      <c r="B390" s="968"/>
      <c r="D390" s="958"/>
      <c r="E390" s="959"/>
    </row>
    <row r="391">
      <c r="A391" s="968"/>
      <c r="B391" s="968"/>
      <c r="D391" s="958"/>
      <c r="E391" s="959"/>
    </row>
    <row r="392">
      <c r="A392" s="968"/>
      <c r="B392" s="968"/>
      <c r="D392" s="958"/>
      <c r="E392" s="959"/>
    </row>
    <row r="393">
      <c r="A393" s="968"/>
      <c r="B393" s="968"/>
      <c r="D393" s="958"/>
      <c r="E393" s="959"/>
    </row>
    <row r="394">
      <c r="A394" s="968"/>
      <c r="B394" s="968"/>
      <c r="D394" s="958"/>
      <c r="E394" s="959"/>
    </row>
    <row r="395">
      <c r="A395" s="968"/>
      <c r="B395" s="968"/>
      <c r="D395" s="958"/>
      <c r="E395" s="959"/>
    </row>
    <row r="396">
      <c r="A396" s="968"/>
      <c r="B396" s="968"/>
      <c r="D396" s="958"/>
      <c r="E396" s="959"/>
    </row>
    <row r="397">
      <c r="A397" s="968"/>
      <c r="B397" s="968"/>
      <c r="D397" s="958"/>
      <c r="E397" s="959"/>
    </row>
    <row r="398">
      <c r="A398" s="968"/>
      <c r="B398" s="968"/>
      <c r="D398" s="958"/>
      <c r="E398" s="959"/>
    </row>
    <row r="399">
      <c r="A399" s="968"/>
      <c r="B399" s="968"/>
      <c r="D399" s="958"/>
      <c r="E399" s="959"/>
    </row>
    <row r="400">
      <c r="A400" s="968"/>
      <c r="B400" s="968"/>
      <c r="D400" s="958"/>
      <c r="E400" s="959"/>
    </row>
    <row r="401">
      <c r="A401" s="968"/>
      <c r="B401" s="968"/>
      <c r="D401" s="958"/>
      <c r="E401" s="959"/>
    </row>
    <row r="402">
      <c r="A402" s="968"/>
      <c r="B402" s="968"/>
      <c r="D402" s="958"/>
      <c r="E402" s="959"/>
    </row>
    <row r="403">
      <c r="A403" s="968"/>
      <c r="B403" s="968"/>
      <c r="D403" s="958"/>
      <c r="E403" s="959"/>
    </row>
    <row r="404">
      <c r="A404" s="968"/>
      <c r="B404" s="968"/>
      <c r="D404" s="958"/>
      <c r="E404" s="959"/>
    </row>
    <row r="405">
      <c r="A405" s="968"/>
      <c r="B405" s="968"/>
      <c r="D405" s="958"/>
      <c r="E405" s="959"/>
    </row>
    <row r="406">
      <c r="A406" s="968"/>
      <c r="B406" s="968"/>
      <c r="D406" s="958"/>
      <c r="E406" s="959"/>
    </row>
    <row r="407">
      <c r="A407" s="968"/>
      <c r="B407" s="968"/>
      <c r="D407" s="958"/>
      <c r="E407" s="959"/>
    </row>
    <row r="408">
      <c r="A408" s="968"/>
      <c r="B408" s="968"/>
      <c r="D408" s="958"/>
      <c r="E408" s="959"/>
    </row>
    <row r="409">
      <c r="A409" s="968"/>
      <c r="B409" s="968"/>
      <c r="D409" s="958"/>
      <c r="E409" s="959"/>
    </row>
    <row r="410">
      <c r="A410" s="968"/>
      <c r="B410" s="968"/>
      <c r="D410" s="958"/>
      <c r="E410" s="959"/>
    </row>
    <row r="411">
      <c r="A411" s="968"/>
      <c r="B411" s="968"/>
      <c r="D411" s="958"/>
      <c r="E411" s="959"/>
    </row>
    <row r="412">
      <c r="A412" s="968"/>
      <c r="B412" s="968"/>
      <c r="D412" s="958"/>
      <c r="E412" s="959"/>
    </row>
    <row r="413">
      <c r="A413" s="968"/>
      <c r="B413" s="968"/>
      <c r="D413" s="958"/>
      <c r="E413" s="959"/>
    </row>
    <row r="414">
      <c r="A414" s="968"/>
      <c r="B414" s="968"/>
      <c r="D414" s="958"/>
      <c r="E414" s="959"/>
    </row>
    <row r="415">
      <c r="A415" s="968"/>
      <c r="B415" s="968"/>
      <c r="D415" s="958"/>
      <c r="E415" s="959"/>
    </row>
    <row r="416">
      <c r="A416" s="968"/>
      <c r="B416" s="968"/>
      <c r="D416" s="958"/>
      <c r="E416" s="959"/>
    </row>
    <row r="417">
      <c r="A417" s="968"/>
      <c r="B417" s="968"/>
      <c r="D417" s="958"/>
      <c r="E417" s="959"/>
    </row>
    <row r="418">
      <c r="A418" s="968"/>
      <c r="B418" s="968"/>
      <c r="D418" s="958"/>
      <c r="E418" s="959"/>
    </row>
    <row r="419">
      <c r="A419" s="968"/>
      <c r="B419" s="968"/>
      <c r="D419" s="958"/>
      <c r="E419" s="959"/>
    </row>
    <row r="420">
      <c r="A420" s="968"/>
      <c r="B420" s="968"/>
      <c r="D420" s="958"/>
      <c r="E420" s="959"/>
    </row>
    <row r="421">
      <c r="A421" s="968"/>
      <c r="B421" s="968"/>
      <c r="D421" s="958"/>
      <c r="E421" s="959"/>
    </row>
    <row r="422">
      <c r="A422" s="968"/>
      <c r="B422" s="968"/>
      <c r="D422" s="958"/>
      <c r="E422" s="959"/>
    </row>
    <row r="423">
      <c r="A423" s="968"/>
      <c r="B423" s="968"/>
      <c r="D423" s="958"/>
      <c r="E423" s="959"/>
    </row>
    <row r="424">
      <c r="A424" s="968"/>
      <c r="B424" s="968"/>
      <c r="D424" s="958"/>
      <c r="E424" s="959"/>
    </row>
    <row r="425">
      <c r="A425" s="968"/>
      <c r="B425" s="968"/>
      <c r="D425" s="958"/>
      <c r="E425" s="959"/>
    </row>
    <row r="426">
      <c r="A426" s="968"/>
      <c r="B426" s="968"/>
      <c r="D426" s="958"/>
      <c r="E426" s="959"/>
    </row>
    <row r="427">
      <c r="A427" s="968"/>
      <c r="B427" s="968"/>
      <c r="D427" s="958"/>
      <c r="E427" s="959"/>
    </row>
    <row r="428">
      <c r="A428" s="968"/>
      <c r="B428" s="968"/>
      <c r="D428" s="958"/>
      <c r="E428" s="959"/>
    </row>
    <row r="429">
      <c r="A429" s="968"/>
      <c r="B429" s="968"/>
      <c r="D429" s="958"/>
      <c r="E429" s="959"/>
    </row>
    <row r="430">
      <c r="A430" s="968"/>
      <c r="B430" s="968"/>
      <c r="D430" s="958"/>
      <c r="E430" s="959"/>
    </row>
    <row r="431">
      <c r="A431" s="968"/>
      <c r="B431" s="968"/>
      <c r="D431" s="958"/>
      <c r="E431" s="959"/>
    </row>
    <row r="432">
      <c r="A432" s="968"/>
      <c r="B432" s="968"/>
      <c r="D432" s="958"/>
      <c r="E432" s="959"/>
    </row>
    <row r="433">
      <c r="A433" s="968"/>
      <c r="B433" s="968"/>
      <c r="D433" s="958"/>
      <c r="E433" s="959"/>
    </row>
    <row r="434">
      <c r="A434" s="968"/>
      <c r="B434" s="968"/>
      <c r="D434" s="958"/>
      <c r="E434" s="959"/>
    </row>
    <row r="435">
      <c r="A435" s="968"/>
      <c r="B435" s="968"/>
      <c r="D435" s="958"/>
      <c r="E435" s="959"/>
    </row>
    <row r="436">
      <c r="A436" s="968"/>
      <c r="B436" s="968"/>
      <c r="D436" s="958"/>
      <c r="E436" s="959"/>
    </row>
    <row r="437">
      <c r="A437" s="968"/>
      <c r="B437" s="968"/>
      <c r="D437" s="958"/>
      <c r="E437" s="959"/>
    </row>
    <row r="438">
      <c r="A438" s="968"/>
      <c r="B438" s="968"/>
      <c r="D438" s="958"/>
      <c r="E438" s="959"/>
    </row>
    <row r="439">
      <c r="A439" s="968"/>
      <c r="B439" s="968"/>
      <c r="D439" s="958"/>
      <c r="E439" s="959"/>
    </row>
    <row r="440">
      <c r="A440" s="968"/>
      <c r="B440" s="968"/>
      <c r="D440" s="958"/>
      <c r="E440" s="959"/>
    </row>
    <row r="441">
      <c r="A441" s="968"/>
      <c r="B441" s="968"/>
      <c r="D441" s="958"/>
      <c r="E441" s="959"/>
    </row>
    <row r="442">
      <c r="A442" s="968"/>
      <c r="B442" s="968"/>
      <c r="D442" s="958"/>
      <c r="E442" s="959"/>
    </row>
    <row r="443">
      <c r="A443" s="968"/>
      <c r="B443" s="968"/>
      <c r="D443" s="958"/>
      <c r="E443" s="959"/>
    </row>
    <row r="444">
      <c r="A444" s="968"/>
      <c r="B444" s="968"/>
      <c r="D444" s="958"/>
      <c r="E444" s="959"/>
    </row>
    <row r="445">
      <c r="A445" s="968"/>
      <c r="B445" s="968"/>
      <c r="D445" s="958"/>
      <c r="E445" s="959"/>
    </row>
    <row r="446">
      <c r="A446" s="968"/>
      <c r="B446" s="968"/>
      <c r="D446" s="958"/>
      <c r="E446" s="959"/>
    </row>
    <row r="447">
      <c r="A447" s="968"/>
      <c r="B447" s="968"/>
      <c r="D447" s="958"/>
      <c r="E447" s="959"/>
    </row>
    <row r="448">
      <c r="A448" s="968"/>
      <c r="B448" s="968"/>
      <c r="D448" s="958"/>
      <c r="E448" s="959"/>
    </row>
    <row r="449">
      <c r="A449" s="968"/>
      <c r="B449" s="968"/>
      <c r="D449" s="958"/>
      <c r="E449" s="959"/>
    </row>
    <row r="450">
      <c r="A450" s="968"/>
      <c r="B450" s="968"/>
      <c r="D450" s="958"/>
      <c r="E450" s="959"/>
    </row>
    <row r="451">
      <c r="A451" s="968"/>
      <c r="B451" s="968"/>
      <c r="D451" s="958"/>
      <c r="E451" s="959"/>
    </row>
    <row r="452">
      <c r="A452" s="968"/>
      <c r="B452" s="968"/>
      <c r="D452" s="958"/>
      <c r="E452" s="959"/>
    </row>
    <row r="453">
      <c r="A453" s="968"/>
      <c r="B453" s="968"/>
      <c r="D453" s="958"/>
      <c r="E453" s="959"/>
    </row>
    <row r="454">
      <c r="A454" s="968"/>
      <c r="B454" s="968"/>
      <c r="D454" s="958"/>
      <c r="E454" s="959"/>
    </row>
    <row r="455">
      <c r="A455" s="968"/>
      <c r="B455" s="968"/>
      <c r="D455" s="958"/>
      <c r="E455" s="959"/>
    </row>
    <row r="456">
      <c r="A456" s="968"/>
      <c r="B456" s="968"/>
      <c r="D456" s="958"/>
      <c r="E456" s="959"/>
    </row>
    <row r="457">
      <c r="A457" s="968"/>
      <c r="B457" s="968"/>
      <c r="D457" s="958"/>
      <c r="E457" s="959"/>
    </row>
    <row r="458">
      <c r="A458" s="968"/>
      <c r="B458" s="968"/>
      <c r="D458" s="958"/>
      <c r="E458" s="959"/>
    </row>
    <row r="459">
      <c r="A459" s="968"/>
      <c r="B459" s="968"/>
      <c r="D459" s="958"/>
      <c r="E459" s="959"/>
    </row>
    <row r="460">
      <c r="A460" s="968"/>
      <c r="B460" s="968"/>
      <c r="D460" s="958"/>
      <c r="E460" s="959"/>
    </row>
    <row r="461">
      <c r="A461" s="968"/>
      <c r="B461" s="968"/>
      <c r="D461" s="958"/>
      <c r="E461" s="959"/>
    </row>
    <row r="462">
      <c r="A462" s="968"/>
      <c r="B462" s="968"/>
      <c r="D462" s="958"/>
      <c r="E462" s="959"/>
    </row>
    <row r="463">
      <c r="A463" s="968"/>
      <c r="B463" s="968"/>
      <c r="D463" s="958"/>
      <c r="E463" s="959"/>
    </row>
    <row r="464">
      <c r="A464" s="968"/>
      <c r="B464" s="968"/>
      <c r="D464" s="958"/>
      <c r="E464" s="959"/>
    </row>
    <row r="465">
      <c r="A465" s="968"/>
      <c r="B465" s="968"/>
      <c r="D465" s="958"/>
      <c r="E465" s="959"/>
    </row>
    <row r="466">
      <c r="A466" s="968"/>
      <c r="B466" s="968"/>
      <c r="D466" s="958"/>
      <c r="E466" s="959"/>
    </row>
    <row r="467">
      <c r="A467" s="968"/>
      <c r="B467" s="968"/>
      <c r="D467" s="958"/>
      <c r="E467" s="959"/>
    </row>
    <row r="468">
      <c r="A468" s="968"/>
      <c r="B468" s="968"/>
      <c r="D468" s="958"/>
      <c r="E468" s="959"/>
    </row>
    <row r="469">
      <c r="A469" s="968"/>
      <c r="B469" s="968"/>
      <c r="D469" s="958"/>
      <c r="E469" s="959"/>
    </row>
    <row r="470">
      <c r="A470" s="968"/>
      <c r="B470" s="968"/>
      <c r="D470" s="958"/>
      <c r="E470" s="959"/>
    </row>
    <row r="471">
      <c r="A471" s="968"/>
      <c r="B471" s="968"/>
      <c r="D471" s="958"/>
      <c r="E471" s="959"/>
    </row>
    <row r="472">
      <c r="A472" s="968"/>
      <c r="B472" s="968"/>
      <c r="D472" s="958"/>
      <c r="E472" s="959"/>
    </row>
    <row r="473">
      <c r="A473" s="968"/>
      <c r="B473" s="968"/>
      <c r="D473" s="958"/>
      <c r="E473" s="959"/>
    </row>
    <row r="474">
      <c r="A474" s="968"/>
      <c r="B474" s="968"/>
      <c r="D474" s="958"/>
      <c r="E474" s="959"/>
    </row>
    <row r="475">
      <c r="A475" s="968"/>
      <c r="B475" s="968"/>
      <c r="D475" s="958"/>
      <c r="E475" s="959"/>
    </row>
    <row r="476">
      <c r="A476" s="968"/>
      <c r="B476" s="968"/>
      <c r="D476" s="958"/>
      <c r="E476" s="959"/>
    </row>
    <row r="477">
      <c r="A477" s="968"/>
      <c r="B477" s="968"/>
      <c r="D477" s="958"/>
      <c r="E477" s="959"/>
    </row>
    <row r="478">
      <c r="A478" s="968"/>
      <c r="B478" s="968"/>
      <c r="D478" s="958"/>
      <c r="E478" s="959"/>
    </row>
    <row r="479">
      <c r="A479" s="968"/>
      <c r="B479" s="968"/>
      <c r="D479" s="958"/>
      <c r="E479" s="959"/>
    </row>
    <row r="480">
      <c r="A480" s="968"/>
      <c r="B480" s="968"/>
      <c r="D480" s="958"/>
      <c r="E480" s="959"/>
    </row>
    <row r="481">
      <c r="A481" s="968"/>
      <c r="B481" s="968"/>
      <c r="D481" s="958"/>
      <c r="E481" s="959"/>
    </row>
    <row r="482">
      <c r="A482" s="968"/>
      <c r="B482" s="968"/>
      <c r="D482" s="958"/>
      <c r="E482" s="959"/>
    </row>
    <row r="483">
      <c r="A483" s="968"/>
      <c r="B483" s="968"/>
      <c r="D483" s="958"/>
      <c r="E483" s="959"/>
    </row>
    <row r="484">
      <c r="A484" s="968"/>
      <c r="B484" s="968"/>
      <c r="D484" s="958"/>
      <c r="E484" s="959"/>
    </row>
    <row r="485">
      <c r="A485" s="968"/>
      <c r="B485" s="968"/>
      <c r="D485" s="958"/>
      <c r="E485" s="959"/>
    </row>
    <row r="486">
      <c r="A486" s="968"/>
      <c r="B486" s="968"/>
      <c r="D486" s="958"/>
      <c r="E486" s="959"/>
    </row>
    <row r="487">
      <c r="A487" s="968"/>
      <c r="B487" s="968"/>
      <c r="D487" s="958"/>
      <c r="E487" s="959"/>
    </row>
    <row r="488">
      <c r="A488" s="968"/>
      <c r="B488" s="968"/>
      <c r="D488" s="958"/>
      <c r="E488" s="959"/>
    </row>
    <row r="489">
      <c r="A489" s="968"/>
      <c r="B489" s="968"/>
      <c r="D489" s="958"/>
      <c r="E489" s="959"/>
    </row>
    <row r="490">
      <c r="A490" s="968"/>
      <c r="B490" s="968"/>
      <c r="D490" s="958"/>
      <c r="E490" s="959"/>
    </row>
    <row r="491">
      <c r="A491" s="968"/>
      <c r="B491" s="968"/>
      <c r="D491" s="958"/>
      <c r="E491" s="959"/>
    </row>
    <row r="492">
      <c r="A492" s="968"/>
      <c r="B492" s="968"/>
      <c r="D492" s="958"/>
      <c r="E492" s="959"/>
    </row>
    <row r="493">
      <c r="A493" s="968"/>
      <c r="B493" s="968"/>
      <c r="D493" s="958"/>
      <c r="E493" s="959"/>
    </row>
    <row r="494">
      <c r="A494" s="968"/>
      <c r="B494" s="968"/>
      <c r="D494" s="958"/>
      <c r="E494" s="959"/>
    </row>
    <row r="495">
      <c r="A495" s="968"/>
      <c r="B495" s="968"/>
      <c r="D495" s="958"/>
      <c r="E495" s="959"/>
    </row>
    <row r="496">
      <c r="A496" s="968"/>
      <c r="B496" s="968"/>
      <c r="D496" s="958"/>
      <c r="E496" s="959"/>
    </row>
    <row r="497">
      <c r="A497" s="968"/>
      <c r="B497" s="968"/>
      <c r="D497" s="958"/>
      <c r="E497" s="959"/>
    </row>
    <row r="498">
      <c r="A498" s="968"/>
      <c r="B498" s="968"/>
      <c r="D498" s="958"/>
      <c r="E498" s="959"/>
    </row>
    <row r="499">
      <c r="A499" s="968"/>
      <c r="B499" s="968"/>
      <c r="D499" s="958"/>
      <c r="E499" s="959"/>
    </row>
    <row r="500">
      <c r="A500" s="968"/>
      <c r="B500" s="968"/>
      <c r="D500" s="958"/>
      <c r="E500" s="959"/>
    </row>
    <row r="501">
      <c r="A501" s="968"/>
      <c r="B501" s="968"/>
      <c r="D501" s="958"/>
      <c r="E501" s="959"/>
    </row>
    <row r="502">
      <c r="A502" s="968"/>
      <c r="B502" s="968"/>
      <c r="D502" s="958"/>
      <c r="E502" s="959"/>
    </row>
    <row r="503">
      <c r="A503" s="968"/>
      <c r="B503" s="968"/>
      <c r="D503" s="958"/>
      <c r="E503" s="959"/>
    </row>
    <row r="504">
      <c r="A504" s="968"/>
      <c r="B504" s="968"/>
      <c r="D504" s="958"/>
      <c r="E504" s="959"/>
    </row>
    <row r="505">
      <c r="A505" s="968"/>
      <c r="B505" s="968"/>
      <c r="D505" s="958"/>
      <c r="E505" s="959"/>
    </row>
    <row r="506">
      <c r="A506" s="968"/>
      <c r="B506" s="968"/>
      <c r="D506" s="958"/>
      <c r="E506" s="959"/>
    </row>
    <row r="507">
      <c r="A507" s="968"/>
      <c r="B507" s="968"/>
      <c r="D507" s="958"/>
      <c r="E507" s="959"/>
    </row>
    <row r="508">
      <c r="A508" s="968"/>
      <c r="B508" s="968"/>
      <c r="D508" s="958"/>
      <c r="E508" s="959"/>
    </row>
    <row r="509">
      <c r="A509" s="968"/>
      <c r="B509" s="968"/>
      <c r="D509" s="958"/>
      <c r="E509" s="959"/>
    </row>
    <row r="510">
      <c r="A510" s="968"/>
      <c r="B510" s="968"/>
      <c r="D510" s="958"/>
      <c r="E510" s="959"/>
    </row>
    <row r="511">
      <c r="A511" s="968"/>
      <c r="B511" s="968"/>
      <c r="D511" s="958"/>
      <c r="E511" s="959"/>
    </row>
    <row r="512">
      <c r="A512" s="968"/>
      <c r="B512" s="968"/>
      <c r="D512" s="958"/>
      <c r="E512" s="959"/>
    </row>
    <row r="513">
      <c r="A513" s="968"/>
      <c r="B513" s="968"/>
      <c r="D513" s="958"/>
      <c r="E513" s="959"/>
    </row>
    <row r="514">
      <c r="A514" s="968"/>
      <c r="B514" s="968"/>
      <c r="D514" s="958"/>
      <c r="E514" s="959"/>
    </row>
    <row r="515">
      <c r="A515" s="968"/>
      <c r="B515" s="968"/>
      <c r="D515" s="958"/>
      <c r="E515" s="959"/>
    </row>
    <row r="516">
      <c r="A516" s="968"/>
      <c r="B516" s="968"/>
      <c r="D516" s="958"/>
      <c r="E516" s="959"/>
    </row>
    <row r="517">
      <c r="A517" s="968"/>
      <c r="B517" s="968"/>
      <c r="D517" s="958"/>
      <c r="E517" s="959"/>
    </row>
    <row r="518">
      <c r="A518" s="968"/>
      <c r="B518" s="968"/>
      <c r="D518" s="958"/>
      <c r="E518" s="959"/>
    </row>
    <row r="519">
      <c r="A519" s="968"/>
      <c r="B519" s="968"/>
      <c r="D519" s="958"/>
      <c r="E519" s="959"/>
    </row>
    <row r="520">
      <c r="A520" s="968"/>
      <c r="B520" s="968"/>
      <c r="D520" s="958"/>
      <c r="E520" s="959"/>
    </row>
    <row r="521">
      <c r="A521" s="968"/>
      <c r="B521" s="968"/>
      <c r="D521" s="958"/>
      <c r="E521" s="959"/>
    </row>
    <row r="522">
      <c r="A522" s="968"/>
      <c r="B522" s="968"/>
      <c r="D522" s="958"/>
      <c r="E522" s="959"/>
    </row>
    <row r="523">
      <c r="A523" s="968"/>
      <c r="B523" s="968"/>
      <c r="D523" s="958"/>
      <c r="E523" s="959"/>
    </row>
    <row r="524">
      <c r="A524" s="968"/>
      <c r="B524" s="968"/>
      <c r="D524" s="958"/>
      <c r="E524" s="959"/>
    </row>
    <row r="525">
      <c r="A525" s="968"/>
      <c r="B525" s="968"/>
      <c r="D525" s="958"/>
      <c r="E525" s="959"/>
    </row>
    <row r="526">
      <c r="A526" s="968"/>
      <c r="B526" s="968"/>
      <c r="D526" s="958"/>
      <c r="E526" s="959"/>
    </row>
    <row r="527">
      <c r="A527" s="968"/>
      <c r="B527" s="968"/>
      <c r="D527" s="958"/>
      <c r="E527" s="959"/>
    </row>
    <row r="528">
      <c r="A528" s="968"/>
      <c r="B528" s="968"/>
      <c r="D528" s="958"/>
      <c r="E528" s="959"/>
    </row>
    <row r="529">
      <c r="A529" s="968"/>
      <c r="B529" s="968"/>
      <c r="D529" s="958"/>
      <c r="E529" s="959"/>
    </row>
    <row r="530">
      <c r="A530" s="968"/>
      <c r="B530" s="968"/>
      <c r="D530" s="958"/>
      <c r="E530" s="959"/>
    </row>
    <row r="531">
      <c r="A531" s="968"/>
      <c r="B531" s="968"/>
      <c r="D531" s="958"/>
      <c r="E531" s="959"/>
    </row>
    <row r="532">
      <c r="A532" s="968"/>
      <c r="B532" s="968"/>
      <c r="D532" s="958"/>
      <c r="E532" s="959"/>
    </row>
    <row r="533">
      <c r="A533" s="968"/>
      <c r="B533" s="968"/>
      <c r="D533" s="958"/>
      <c r="E533" s="959"/>
    </row>
    <row r="534">
      <c r="A534" s="968"/>
      <c r="B534" s="968"/>
      <c r="D534" s="958"/>
      <c r="E534" s="959"/>
    </row>
    <row r="535">
      <c r="A535" s="968"/>
      <c r="B535" s="968"/>
      <c r="D535" s="958"/>
      <c r="E535" s="959"/>
    </row>
    <row r="536">
      <c r="A536" s="968"/>
      <c r="B536" s="968"/>
      <c r="D536" s="958"/>
      <c r="E536" s="959"/>
    </row>
    <row r="537">
      <c r="A537" s="968"/>
      <c r="B537" s="968"/>
      <c r="D537" s="958"/>
      <c r="E537" s="959"/>
    </row>
    <row r="538">
      <c r="A538" s="968"/>
      <c r="B538" s="968"/>
      <c r="D538" s="958"/>
      <c r="E538" s="959"/>
    </row>
    <row r="539">
      <c r="A539" s="968"/>
      <c r="B539" s="968"/>
      <c r="D539" s="958"/>
      <c r="E539" s="959"/>
    </row>
    <row r="540">
      <c r="A540" s="968"/>
      <c r="B540" s="968"/>
      <c r="D540" s="958"/>
      <c r="E540" s="959"/>
    </row>
    <row r="541">
      <c r="A541" s="968"/>
      <c r="B541" s="968"/>
      <c r="D541" s="958"/>
      <c r="E541" s="959"/>
    </row>
    <row r="542">
      <c r="A542" s="968"/>
      <c r="B542" s="968"/>
      <c r="D542" s="958"/>
      <c r="E542" s="959"/>
    </row>
    <row r="543">
      <c r="A543" s="968"/>
      <c r="B543" s="968"/>
      <c r="D543" s="958"/>
      <c r="E543" s="959"/>
    </row>
    <row r="544">
      <c r="A544" s="968"/>
      <c r="B544" s="968"/>
      <c r="D544" s="958"/>
      <c r="E544" s="959"/>
    </row>
    <row r="545">
      <c r="A545" s="968"/>
      <c r="B545" s="968"/>
      <c r="D545" s="958"/>
      <c r="E545" s="959"/>
    </row>
    <row r="546">
      <c r="A546" s="968"/>
      <c r="B546" s="968"/>
      <c r="D546" s="958"/>
      <c r="E546" s="959"/>
    </row>
    <row r="547">
      <c r="A547" s="968"/>
      <c r="B547" s="968"/>
      <c r="D547" s="958"/>
      <c r="E547" s="959"/>
    </row>
    <row r="548">
      <c r="A548" s="968"/>
      <c r="B548" s="968"/>
      <c r="D548" s="958"/>
      <c r="E548" s="959"/>
    </row>
    <row r="549">
      <c r="A549" s="968"/>
      <c r="B549" s="968"/>
      <c r="D549" s="958"/>
      <c r="E549" s="959"/>
    </row>
    <row r="550">
      <c r="A550" s="968"/>
      <c r="B550" s="968"/>
      <c r="D550" s="958"/>
      <c r="E550" s="959"/>
    </row>
    <row r="551">
      <c r="A551" s="968"/>
      <c r="B551" s="968"/>
      <c r="D551" s="958"/>
      <c r="E551" s="959"/>
    </row>
    <row r="552">
      <c r="A552" s="968"/>
      <c r="B552" s="968"/>
      <c r="D552" s="958"/>
      <c r="E552" s="959"/>
    </row>
    <row r="553">
      <c r="A553" s="968"/>
      <c r="B553" s="968"/>
      <c r="D553" s="958"/>
      <c r="E553" s="959"/>
    </row>
    <row r="554">
      <c r="A554" s="968"/>
      <c r="B554" s="968"/>
      <c r="D554" s="958"/>
      <c r="E554" s="959"/>
    </row>
    <row r="555">
      <c r="A555" s="968"/>
      <c r="B555" s="968"/>
      <c r="D555" s="958"/>
      <c r="E555" s="959"/>
    </row>
    <row r="556">
      <c r="A556" s="968"/>
      <c r="B556" s="968"/>
      <c r="D556" s="958"/>
      <c r="E556" s="959"/>
    </row>
    <row r="557">
      <c r="A557" s="968"/>
      <c r="B557" s="968"/>
      <c r="D557" s="958"/>
      <c r="E557" s="959"/>
    </row>
    <row r="558">
      <c r="A558" s="968"/>
      <c r="B558" s="968"/>
      <c r="D558" s="958"/>
      <c r="E558" s="959"/>
    </row>
    <row r="559">
      <c r="A559" s="968"/>
      <c r="B559" s="968"/>
      <c r="D559" s="958"/>
      <c r="E559" s="959"/>
    </row>
    <row r="560">
      <c r="A560" s="968"/>
      <c r="B560" s="968"/>
      <c r="D560" s="958"/>
      <c r="E560" s="959"/>
    </row>
    <row r="561">
      <c r="A561" s="968"/>
      <c r="B561" s="968"/>
      <c r="D561" s="958"/>
      <c r="E561" s="959"/>
    </row>
    <row r="562">
      <c r="A562" s="968"/>
      <c r="B562" s="968"/>
      <c r="D562" s="958"/>
      <c r="E562" s="959"/>
    </row>
    <row r="563">
      <c r="A563" s="968"/>
      <c r="B563" s="968"/>
      <c r="D563" s="958"/>
      <c r="E563" s="959"/>
    </row>
    <row r="564">
      <c r="A564" s="968"/>
      <c r="B564" s="968"/>
      <c r="D564" s="958"/>
      <c r="E564" s="959"/>
    </row>
    <row r="565">
      <c r="A565" s="968"/>
      <c r="B565" s="968"/>
      <c r="D565" s="958"/>
      <c r="E565" s="959"/>
    </row>
    <row r="566">
      <c r="A566" s="968"/>
      <c r="B566" s="968"/>
      <c r="D566" s="958"/>
      <c r="E566" s="959"/>
    </row>
    <row r="567">
      <c r="A567" s="968"/>
      <c r="B567" s="968"/>
      <c r="D567" s="958"/>
      <c r="E567" s="959"/>
    </row>
    <row r="568">
      <c r="A568" s="968"/>
      <c r="B568" s="968"/>
      <c r="D568" s="958"/>
      <c r="E568" s="959"/>
    </row>
    <row r="569">
      <c r="A569" s="968"/>
      <c r="B569" s="968"/>
      <c r="D569" s="958"/>
      <c r="E569" s="959"/>
    </row>
    <row r="570">
      <c r="A570" s="968"/>
      <c r="B570" s="968"/>
      <c r="D570" s="958"/>
      <c r="E570" s="959"/>
    </row>
    <row r="571">
      <c r="A571" s="968"/>
      <c r="B571" s="968"/>
      <c r="D571" s="958"/>
      <c r="E571" s="959"/>
    </row>
    <row r="572">
      <c r="A572" s="968"/>
      <c r="B572" s="968"/>
      <c r="D572" s="958"/>
      <c r="E572" s="959"/>
    </row>
    <row r="573">
      <c r="A573" s="968"/>
      <c r="B573" s="968"/>
      <c r="D573" s="958"/>
      <c r="E573" s="959"/>
    </row>
    <row r="574">
      <c r="A574" s="968"/>
      <c r="B574" s="968"/>
      <c r="D574" s="958"/>
      <c r="E574" s="959"/>
    </row>
    <row r="575">
      <c r="A575" s="968"/>
      <c r="B575" s="968"/>
      <c r="D575" s="958"/>
      <c r="E575" s="959"/>
    </row>
    <row r="576">
      <c r="A576" s="968"/>
      <c r="B576" s="968"/>
      <c r="D576" s="958"/>
      <c r="E576" s="959"/>
    </row>
    <row r="577">
      <c r="A577" s="968"/>
      <c r="B577" s="968"/>
      <c r="D577" s="958"/>
      <c r="E577" s="959"/>
    </row>
    <row r="578">
      <c r="A578" s="968"/>
      <c r="B578" s="968"/>
      <c r="D578" s="958"/>
      <c r="E578" s="959"/>
    </row>
    <row r="579">
      <c r="A579" s="968"/>
      <c r="B579" s="968"/>
      <c r="D579" s="958"/>
      <c r="E579" s="959"/>
    </row>
    <row r="580">
      <c r="A580" s="968"/>
      <c r="B580" s="968"/>
      <c r="D580" s="958"/>
      <c r="E580" s="959"/>
    </row>
    <row r="581">
      <c r="A581" s="968"/>
      <c r="B581" s="968"/>
      <c r="D581" s="958"/>
      <c r="E581" s="959"/>
    </row>
    <row r="582">
      <c r="A582" s="968"/>
      <c r="B582" s="968"/>
      <c r="D582" s="958"/>
      <c r="E582" s="959"/>
    </row>
    <row r="583">
      <c r="A583" s="968"/>
      <c r="B583" s="968"/>
      <c r="D583" s="958"/>
      <c r="E583" s="959"/>
    </row>
    <row r="584">
      <c r="A584" s="968"/>
      <c r="B584" s="968"/>
      <c r="D584" s="958"/>
      <c r="E584" s="959"/>
    </row>
    <row r="585">
      <c r="A585" s="968"/>
      <c r="B585" s="968"/>
      <c r="D585" s="958"/>
      <c r="E585" s="959"/>
    </row>
    <row r="586">
      <c r="A586" s="968"/>
      <c r="B586" s="968"/>
      <c r="D586" s="958"/>
      <c r="E586" s="959"/>
    </row>
    <row r="587">
      <c r="A587" s="968"/>
      <c r="B587" s="968"/>
      <c r="D587" s="958"/>
      <c r="E587" s="959"/>
    </row>
    <row r="588">
      <c r="A588" s="968"/>
      <c r="B588" s="968"/>
      <c r="D588" s="958"/>
      <c r="E588" s="959"/>
    </row>
    <row r="589">
      <c r="A589" s="968"/>
      <c r="B589" s="968"/>
      <c r="D589" s="958"/>
      <c r="E589" s="959"/>
    </row>
    <row r="590">
      <c r="A590" s="968"/>
      <c r="B590" s="968"/>
      <c r="D590" s="958"/>
      <c r="E590" s="959"/>
    </row>
    <row r="591">
      <c r="A591" s="968"/>
      <c r="B591" s="968"/>
      <c r="D591" s="958"/>
      <c r="E591" s="959"/>
    </row>
    <row r="592">
      <c r="A592" s="968"/>
      <c r="B592" s="968"/>
      <c r="D592" s="958"/>
      <c r="E592" s="959"/>
    </row>
    <row r="593">
      <c r="A593" s="968"/>
      <c r="B593" s="968"/>
      <c r="D593" s="958"/>
      <c r="E593" s="959"/>
    </row>
    <row r="594">
      <c r="A594" s="968"/>
      <c r="B594" s="968"/>
      <c r="D594" s="958"/>
      <c r="E594" s="959"/>
    </row>
    <row r="595">
      <c r="A595" s="968"/>
      <c r="B595" s="968"/>
      <c r="D595" s="958"/>
      <c r="E595" s="959"/>
    </row>
    <row r="596">
      <c r="A596" s="968"/>
      <c r="B596" s="968"/>
      <c r="D596" s="958"/>
      <c r="E596" s="959"/>
    </row>
    <row r="597">
      <c r="A597" s="968"/>
      <c r="B597" s="968"/>
      <c r="D597" s="958"/>
      <c r="E597" s="959"/>
    </row>
    <row r="598">
      <c r="A598" s="968"/>
      <c r="B598" s="968"/>
      <c r="D598" s="958"/>
      <c r="E598" s="959"/>
    </row>
    <row r="599">
      <c r="A599" s="968"/>
      <c r="B599" s="968"/>
      <c r="D599" s="958"/>
      <c r="E599" s="959"/>
    </row>
    <row r="600">
      <c r="A600" s="968"/>
      <c r="B600" s="968"/>
      <c r="D600" s="958"/>
      <c r="E600" s="959"/>
    </row>
    <row r="601">
      <c r="A601" s="968"/>
      <c r="B601" s="968"/>
      <c r="D601" s="958"/>
      <c r="E601" s="959"/>
    </row>
    <row r="602">
      <c r="A602" s="968"/>
      <c r="B602" s="968"/>
      <c r="D602" s="958"/>
      <c r="E602" s="959"/>
    </row>
    <row r="603">
      <c r="A603" s="968"/>
      <c r="B603" s="968"/>
      <c r="D603" s="958"/>
      <c r="E603" s="959"/>
    </row>
    <row r="604">
      <c r="A604" s="968"/>
      <c r="B604" s="968"/>
      <c r="D604" s="958"/>
      <c r="E604" s="959"/>
    </row>
    <row r="605">
      <c r="A605" s="968"/>
      <c r="B605" s="968"/>
      <c r="D605" s="958"/>
      <c r="E605" s="959"/>
    </row>
    <row r="606">
      <c r="A606" s="968"/>
      <c r="B606" s="968"/>
      <c r="D606" s="958"/>
      <c r="E606" s="959"/>
    </row>
    <row r="607">
      <c r="A607" s="968"/>
      <c r="B607" s="968"/>
      <c r="D607" s="958"/>
      <c r="E607" s="959"/>
    </row>
    <row r="608">
      <c r="A608" s="968"/>
      <c r="B608" s="968"/>
      <c r="D608" s="958"/>
      <c r="E608" s="959"/>
    </row>
    <row r="609">
      <c r="A609" s="968"/>
      <c r="B609" s="968"/>
      <c r="D609" s="958"/>
      <c r="E609" s="959"/>
    </row>
    <row r="610">
      <c r="A610" s="968"/>
      <c r="B610" s="968"/>
      <c r="D610" s="958"/>
      <c r="E610" s="959"/>
    </row>
    <row r="611">
      <c r="A611" s="968"/>
      <c r="B611" s="968"/>
      <c r="D611" s="958"/>
      <c r="E611" s="959"/>
    </row>
    <row r="612">
      <c r="A612" s="968"/>
      <c r="B612" s="968"/>
      <c r="D612" s="958"/>
      <c r="E612" s="959"/>
    </row>
    <row r="613">
      <c r="A613" s="968"/>
      <c r="B613" s="968"/>
      <c r="D613" s="958"/>
      <c r="E613" s="959"/>
    </row>
    <row r="614">
      <c r="A614" s="968"/>
      <c r="B614" s="968"/>
      <c r="D614" s="958"/>
      <c r="E614" s="959"/>
    </row>
    <row r="615">
      <c r="A615" s="968"/>
      <c r="B615" s="968"/>
      <c r="D615" s="958"/>
      <c r="E615" s="959"/>
    </row>
    <row r="616">
      <c r="A616" s="968"/>
      <c r="B616" s="968"/>
      <c r="D616" s="958"/>
      <c r="E616" s="959"/>
    </row>
    <row r="617">
      <c r="A617" s="968"/>
      <c r="B617" s="968"/>
      <c r="D617" s="958"/>
      <c r="E617" s="959"/>
    </row>
    <row r="618">
      <c r="A618" s="968"/>
      <c r="B618" s="968"/>
      <c r="D618" s="958"/>
      <c r="E618" s="959"/>
    </row>
    <row r="619">
      <c r="A619" s="968"/>
      <c r="B619" s="968"/>
      <c r="D619" s="958"/>
      <c r="E619" s="959"/>
    </row>
    <row r="620">
      <c r="A620" s="968"/>
      <c r="B620" s="968"/>
      <c r="D620" s="958"/>
      <c r="E620" s="959"/>
    </row>
    <row r="621">
      <c r="A621" s="968"/>
      <c r="B621" s="968"/>
      <c r="D621" s="958"/>
      <c r="E621" s="959"/>
    </row>
    <row r="622">
      <c r="A622" s="968"/>
      <c r="B622" s="968"/>
      <c r="D622" s="958"/>
      <c r="E622" s="959"/>
    </row>
    <row r="623">
      <c r="A623" s="968"/>
      <c r="B623" s="968"/>
      <c r="D623" s="958"/>
      <c r="E623" s="959"/>
    </row>
    <row r="624">
      <c r="A624" s="968"/>
      <c r="B624" s="968"/>
      <c r="D624" s="958"/>
      <c r="E624" s="959"/>
    </row>
    <row r="625">
      <c r="A625" s="968"/>
      <c r="B625" s="968"/>
      <c r="D625" s="958"/>
      <c r="E625" s="959"/>
    </row>
    <row r="626">
      <c r="A626" s="968"/>
      <c r="B626" s="968"/>
      <c r="D626" s="958"/>
      <c r="E626" s="959"/>
    </row>
    <row r="627">
      <c r="A627" s="968"/>
      <c r="B627" s="968"/>
      <c r="D627" s="958"/>
      <c r="E627" s="959"/>
    </row>
    <row r="628">
      <c r="A628" s="968"/>
      <c r="B628" s="968"/>
      <c r="D628" s="958"/>
      <c r="E628" s="959"/>
    </row>
    <row r="629">
      <c r="A629" s="968"/>
      <c r="B629" s="968"/>
      <c r="D629" s="958"/>
      <c r="E629" s="959"/>
    </row>
    <row r="630">
      <c r="A630" s="968"/>
      <c r="B630" s="968"/>
      <c r="D630" s="958"/>
      <c r="E630" s="959"/>
    </row>
    <row r="631">
      <c r="A631" s="968"/>
      <c r="B631" s="968"/>
      <c r="D631" s="958"/>
      <c r="E631" s="959"/>
    </row>
    <row r="632">
      <c r="A632" s="968"/>
      <c r="B632" s="968"/>
      <c r="D632" s="958"/>
      <c r="E632" s="959"/>
    </row>
    <row r="633">
      <c r="A633" s="968"/>
      <c r="B633" s="968"/>
      <c r="D633" s="958"/>
      <c r="E633" s="959"/>
    </row>
    <row r="634">
      <c r="A634" s="968"/>
      <c r="B634" s="968"/>
      <c r="D634" s="958"/>
      <c r="E634" s="959"/>
    </row>
    <row r="635">
      <c r="A635" s="968"/>
      <c r="B635" s="968"/>
      <c r="D635" s="958"/>
      <c r="E635" s="959"/>
    </row>
    <row r="636">
      <c r="A636" s="968"/>
      <c r="B636" s="968"/>
      <c r="D636" s="958"/>
      <c r="E636" s="959"/>
    </row>
    <row r="637">
      <c r="A637" s="968"/>
      <c r="B637" s="968"/>
      <c r="D637" s="958"/>
      <c r="E637" s="959"/>
    </row>
    <row r="638">
      <c r="A638" s="968"/>
      <c r="B638" s="968"/>
      <c r="D638" s="958"/>
      <c r="E638" s="959"/>
    </row>
    <row r="639">
      <c r="A639" s="968"/>
      <c r="B639" s="968"/>
      <c r="D639" s="958"/>
      <c r="E639" s="959"/>
    </row>
    <row r="640">
      <c r="A640" s="968"/>
      <c r="B640" s="968"/>
      <c r="D640" s="958"/>
      <c r="E640" s="959"/>
    </row>
    <row r="641">
      <c r="A641" s="968"/>
      <c r="B641" s="968"/>
      <c r="D641" s="958"/>
      <c r="E641" s="959"/>
    </row>
    <row r="642">
      <c r="A642" s="968"/>
      <c r="B642" s="968"/>
      <c r="D642" s="958"/>
      <c r="E642" s="959"/>
    </row>
    <row r="643">
      <c r="A643" s="968"/>
      <c r="B643" s="968"/>
      <c r="D643" s="958"/>
      <c r="E643" s="959"/>
    </row>
    <row r="644">
      <c r="A644" s="968"/>
      <c r="B644" s="968"/>
      <c r="D644" s="958"/>
      <c r="E644" s="959"/>
    </row>
    <row r="645">
      <c r="A645" s="968"/>
      <c r="B645" s="968"/>
      <c r="D645" s="958"/>
      <c r="E645" s="959"/>
    </row>
    <row r="646">
      <c r="A646" s="968"/>
      <c r="B646" s="968"/>
      <c r="D646" s="958"/>
      <c r="E646" s="959"/>
    </row>
    <row r="647">
      <c r="A647" s="968"/>
      <c r="B647" s="968"/>
      <c r="D647" s="958"/>
      <c r="E647" s="959"/>
    </row>
    <row r="648">
      <c r="A648" s="968"/>
      <c r="B648" s="968"/>
      <c r="D648" s="958"/>
      <c r="E648" s="959"/>
    </row>
    <row r="649">
      <c r="A649" s="968"/>
      <c r="B649" s="968"/>
      <c r="D649" s="958"/>
      <c r="E649" s="959"/>
    </row>
    <row r="650">
      <c r="A650" s="968"/>
      <c r="B650" s="968"/>
      <c r="D650" s="958"/>
      <c r="E650" s="959"/>
    </row>
    <row r="651">
      <c r="A651" s="968"/>
      <c r="B651" s="968"/>
      <c r="D651" s="958"/>
      <c r="E651" s="959"/>
    </row>
    <row r="652">
      <c r="A652" s="968"/>
      <c r="B652" s="968"/>
      <c r="D652" s="958"/>
      <c r="E652" s="959"/>
    </row>
    <row r="653">
      <c r="A653" s="968"/>
      <c r="B653" s="968"/>
      <c r="D653" s="958"/>
      <c r="E653" s="959"/>
    </row>
    <row r="654">
      <c r="A654" s="968"/>
      <c r="B654" s="968"/>
      <c r="D654" s="958"/>
      <c r="E654" s="959"/>
    </row>
    <row r="655">
      <c r="A655" s="968"/>
      <c r="B655" s="968"/>
      <c r="D655" s="958"/>
      <c r="E655" s="959"/>
    </row>
    <row r="656">
      <c r="A656" s="968"/>
      <c r="B656" s="968"/>
      <c r="D656" s="958"/>
      <c r="E656" s="959"/>
    </row>
    <row r="657">
      <c r="A657" s="968"/>
      <c r="B657" s="968"/>
      <c r="D657" s="958"/>
      <c r="E657" s="959"/>
    </row>
    <row r="658">
      <c r="A658" s="968"/>
      <c r="B658" s="968"/>
      <c r="D658" s="958"/>
      <c r="E658" s="959"/>
    </row>
    <row r="659">
      <c r="A659" s="968"/>
      <c r="B659" s="968"/>
      <c r="D659" s="958"/>
      <c r="E659" s="959"/>
    </row>
    <row r="660">
      <c r="A660" s="968"/>
      <c r="B660" s="968"/>
      <c r="D660" s="958"/>
      <c r="E660" s="959"/>
    </row>
    <row r="661">
      <c r="A661" s="968"/>
      <c r="B661" s="968"/>
      <c r="D661" s="958"/>
      <c r="E661" s="959"/>
    </row>
    <row r="662">
      <c r="A662" s="968"/>
      <c r="B662" s="968"/>
      <c r="D662" s="958"/>
      <c r="E662" s="959"/>
    </row>
    <row r="663">
      <c r="A663" s="968"/>
      <c r="B663" s="968"/>
      <c r="D663" s="958"/>
      <c r="E663" s="959"/>
    </row>
    <row r="664">
      <c r="A664" s="968"/>
      <c r="B664" s="968"/>
      <c r="D664" s="958"/>
      <c r="E664" s="959"/>
    </row>
    <row r="665">
      <c r="A665" s="968"/>
      <c r="B665" s="968"/>
      <c r="D665" s="958"/>
      <c r="E665" s="959"/>
    </row>
    <row r="666">
      <c r="A666" s="968"/>
      <c r="B666" s="968"/>
      <c r="D666" s="958"/>
      <c r="E666" s="959"/>
    </row>
    <row r="667">
      <c r="A667" s="968"/>
      <c r="B667" s="968"/>
      <c r="D667" s="958"/>
      <c r="E667" s="959"/>
    </row>
    <row r="668">
      <c r="A668" s="968"/>
      <c r="B668" s="968"/>
      <c r="D668" s="958"/>
      <c r="E668" s="959"/>
    </row>
    <row r="669">
      <c r="A669" s="968"/>
      <c r="B669" s="968"/>
      <c r="D669" s="958"/>
      <c r="E669" s="959"/>
    </row>
    <row r="670">
      <c r="A670" s="968"/>
      <c r="B670" s="968"/>
      <c r="D670" s="958"/>
      <c r="E670" s="959"/>
    </row>
    <row r="671">
      <c r="A671" s="968"/>
      <c r="B671" s="968"/>
      <c r="D671" s="958"/>
      <c r="E671" s="959"/>
    </row>
    <row r="672">
      <c r="A672" s="968"/>
      <c r="B672" s="968"/>
      <c r="D672" s="958"/>
      <c r="E672" s="959"/>
    </row>
    <row r="673">
      <c r="A673" s="968"/>
      <c r="B673" s="968"/>
      <c r="D673" s="958"/>
      <c r="E673" s="959"/>
    </row>
    <row r="674">
      <c r="A674" s="968"/>
      <c r="B674" s="968"/>
      <c r="D674" s="958"/>
      <c r="E674" s="959"/>
    </row>
    <row r="675">
      <c r="A675" s="968"/>
      <c r="B675" s="968"/>
      <c r="D675" s="958"/>
      <c r="E675" s="959"/>
    </row>
    <row r="676">
      <c r="A676" s="968"/>
      <c r="B676" s="968"/>
      <c r="D676" s="958"/>
      <c r="E676" s="959"/>
    </row>
    <row r="677">
      <c r="A677" s="968"/>
      <c r="B677" s="968"/>
      <c r="D677" s="958"/>
      <c r="E677" s="959"/>
    </row>
    <row r="678">
      <c r="A678" s="968"/>
      <c r="B678" s="968"/>
      <c r="D678" s="958"/>
      <c r="E678" s="959"/>
    </row>
    <row r="679">
      <c r="A679" s="968"/>
      <c r="B679" s="968"/>
      <c r="D679" s="958"/>
      <c r="E679" s="959"/>
    </row>
    <row r="680">
      <c r="A680" s="968"/>
      <c r="B680" s="968"/>
      <c r="D680" s="958"/>
      <c r="E680" s="959"/>
    </row>
    <row r="681">
      <c r="A681" s="968"/>
      <c r="B681" s="968"/>
      <c r="D681" s="958"/>
      <c r="E681" s="959"/>
    </row>
    <row r="682">
      <c r="A682" s="968"/>
      <c r="B682" s="968"/>
      <c r="D682" s="958"/>
      <c r="E682" s="959"/>
    </row>
    <row r="683">
      <c r="A683" s="968"/>
      <c r="B683" s="968"/>
      <c r="D683" s="958"/>
      <c r="E683" s="959"/>
    </row>
    <row r="684">
      <c r="A684" s="968"/>
      <c r="B684" s="968"/>
      <c r="D684" s="958"/>
      <c r="E684" s="959"/>
    </row>
    <row r="685">
      <c r="A685" s="968"/>
      <c r="B685" s="968"/>
      <c r="D685" s="958"/>
      <c r="E685" s="959"/>
    </row>
    <row r="686">
      <c r="A686" s="968"/>
      <c r="B686" s="968"/>
      <c r="D686" s="958"/>
      <c r="E686" s="959"/>
    </row>
    <row r="687">
      <c r="A687" s="968"/>
      <c r="B687" s="968"/>
      <c r="D687" s="958"/>
      <c r="E687" s="959"/>
    </row>
    <row r="688">
      <c r="A688" s="968"/>
      <c r="B688" s="968"/>
      <c r="D688" s="958"/>
      <c r="E688" s="959"/>
    </row>
    <row r="689">
      <c r="A689" s="968"/>
      <c r="B689" s="968"/>
      <c r="D689" s="958"/>
      <c r="E689" s="959"/>
    </row>
    <row r="690">
      <c r="A690" s="968"/>
      <c r="B690" s="968"/>
      <c r="D690" s="958"/>
      <c r="E690" s="959"/>
    </row>
    <row r="691">
      <c r="A691" s="968"/>
      <c r="B691" s="968"/>
      <c r="D691" s="958"/>
      <c r="E691" s="959"/>
    </row>
    <row r="692">
      <c r="A692" s="968"/>
      <c r="B692" s="968"/>
      <c r="D692" s="958"/>
      <c r="E692" s="959"/>
    </row>
    <row r="693">
      <c r="A693" s="968"/>
      <c r="B693" s="968"/>
      <c r="D693" s="958"/>
      <c r="E693" s="959"/>
    </row>
    <row r="694">
      <c r="A694" s="968"/>
      <c r="B694" s="968"/>
      <c r="D694" s="958"/>
      <c r="E694" s="959"/>
    </row>
    <row r="695">
      <c r="A695" s="968"/>
      <c r="B695" s="968"/>
      <c r="D695" s="958"/>
      <c r="E695" s="959"/>
    </row>
    <row r="696">
      <c r="A696" s="968"/>
      <c r="B696" s="968"/>
      <c r="D696" s="958"/>
      <c r="E696" s="959"/>
    </row>
    <row r="697">
      <c r="A697" s="968"/>
      <c r="B697" s="968"/>
      <c r="D697" s="958"/>
      <c r="E697" s="959"/>
    </row>
    <row r="698">
      <c r="A698" s="968"/>
      <c r="B698" s="968"/>
      <c r="D698" s="958"/>
      <c r="E698" s="959"/>
    </row>
    <row r="699">
      <c r="A699" s="968"/>
      <c r="B699" s="968"/>
      <c r="D699" s="958"/>
      <c r="E699" s="959"/>
    </row>
    <row r="700">
      <c r="A700" s="968"/>
      <c r="B700" s="968"/>
      <c r="D700" s="958"/>
      <c r="E700" s="959"/>
    </row>
    <row r="701">
      <c r="A701" s="968"/>
      <c r="B701" s="968"/>
      <c r="D701" s="958"/>
      <c r="E701" s="959"/>
    </row>
    <row r="702">
      <c r="A702" s="968"/>
      <c r="B702" s="968"/>
      <c r="D702" s="958"/>
      <c r="E702" s="959"/>
    </row>
    <row r="703">
      <c r="A703" s="968"/>
      <c r="B703" s="968"/>
      <c r="D703" s="958"/>
      <c r="E703" s="959"/>
    </row>
    <row r="704">
      <c r="A704" s="968"/>
      <c r="B704" s="968"/>
      <c r="D704" s="958"/>
      <c r="E704" s="959"/>
    </row>
    <row r="705">
      <c r="A705" s="968"/>
      <c r="B705" s="968"/>
      <c r="D705" s="958"/>
      <c r="E705" s="959"/>
    </row>
    <row r="706">
      <c r="A706" s="968"/>
      <c r="B706" s="968"/>
      <c r="D706" s="958"/>
      <c r="E706" s="959"/>
    </row>
    <row r="707">
      <c r="A707" s="968"/>
      <c r="B707" s="968"/>
      <c r="D707" s="958"/>
      <c r="E707" s="959"/>
    </row>
    <row r="708">
      <c r="A708" s="968"/>
      <c r="B708" s="968"/>
      <c r="D708" s="958"/>
      <c r="E708" s="959"/>
    </row>
    <row r="709">
      <c r="A709" s="968"/>
      <c r="B709" s="968"/>
      <c r="D709" s="958"/>
      <c r="E709" s="959"/>
    </row>
    <row r="710">
      <c r="A710" s="968"/>
      <c r="B710" s="968"/>
      <c r="D710" s="958"/>
      <c r="E710" s="959"/>
    </row>
    <row r="711">
      <c r="A711" s="968"/>
      <c r="B711" s="968"/>
      <c r="D711" s="958"/>
      <c r="E711" s="959"/>
    </row>
    <row r="712">
      <c r="A712" s="968"/>
      <c r="B712" s="968"/>
      <c r="D712" s="958"/>
      <c r="E712" s="959"/>
    </row>
    <row r="713">
      <c r="A713" s="968"/>
      <c r="B713" s="968"/>
      <c r="D713" s="958"/>
      <c r="E713" s="959"/>
    </row>
    <row r="714">
      <c r="A714" s="968"/>
      <c r="B714" s="968"/>
      <c r="D714" s="958"/>
      <c r="E714" s="959"/>
    </row>
    <row r="715">
      <c r="A715" s="968"/>
      <c r="B715" s="968"/>
      <c r="D715" s="958"/>
      <c r="E715" s="959"/>
    </row>
    <row r="716">
      <c r="A716" s="968"/>
      <c r="B716" s="968"/>
      <c r="D716" s="958"/>
      <c r="E716" s="959"/>
    </row>
    <row r="717">
      <c r="A717" s="968"/>
      <c r="B717" s="968"/>
      <c r="D717" s="958"/>
      <c r="E717" s="959"/>
    </row>
    <row r="718">
      <c r="A718" s="968"/>
      <c r="B718" s="968"/>
      <c r="D718" s="958"/>
      <c r="E718" s="959"/>
    </row>
    <row r="719">
      <c r="A719" s="968"/>
      <c r="B719" s="968"/>
      <c r="D719" s="958"/>
      <c r="E719" s="959"/>
    </row>
    <row r="720">
      <c r="A720" s="968"/>
      <c r="B720" s="968"/>
      <c r="D720" s="958"/>
      <c r="E720" s="959"/>
    </row>
    <row r="721">
      <c r="A721" s="968"/>
      <c r="B721" s="968"/>
      <c r="D721" s="958"/>
      <c r="E721" s="959"/>
    </row>
    <row r="722">
      <c r="A722" s="968"/>
      <c r="B722" s="968"/>
      <c r="D722" s="958"/>
      <c r="E722" s="959"/>
    </row>
    <row r="723">
      <c r="A723" s="968"/>
      <c r="B723" s="968"/>
      <c r="D723" s="958"/>
      <c r="E723" s="959"/>
    </row>
    <row r="724">
      <c r="A724" s="968"/>
      <c r="B724" s="968"/>
      <c r="D724" s="958"/>
      <c r="E724" s="959"/>
    </row>
    <row r="725">
      <c r="A725" s="968"/>
      <c r="B725" s="968"/>
      <c r="D725" s="958"/>
      <c r="E725" s="959"/>
    </row>
    <row r="726">
      <c r="A726" s="968"/>
      <c r="B726" s="968"/>
      <c r="D726" s="958"/>
      <c r="E726" s="959"/>
    </row>
    <row r="727">
      <c r="A727" s="968"/>
      <c r="B727" s="968"/>
      <c r="D727" s="958"/>
      <c r="E727" s="959"/>
    </row>
    <row r="728">
      <c r="A728" s="968"/>
      <c r="B728" s="968"/>
      <c r="D728" s="958"/>
      <c r="E728" s="959"/>
    </row>
    <row r="729">
      <c r="A729" s="968"/>
      <c r="B729" s="968"/>
      <c r="D729" s="958"/>
      <c r="E729" s="959"/>
    </row>
    <row r="730">
      <c r="A730" s="968"/>
      <c r="B730" s="968"/>
      <c r="D730" s="958"/>
      <c r="E730" s="959"/>
    </row>
    <row r="731">
      <c r="A731" s="968"/>
      <c r="B731" s="968"/>
      <c r="D731" s="958"/>
      <c r="E731" s="959"/>
    </row>
    <row r="732">
      <c r="A732" s="968"/>
      <c r="B732" s="968"/>
      <c r="D732" s="958"/>
      <c r="E732" s="959"/>
    </row>
    <row r="733">
      <c r="A733" s="968"/>
      <c r="B733" s="968"/>
      <c r="D733" s="958"/>
      <c r="E733" s="959"/>
    </row>
    <row r="734">
      <c r="A734" s="968"/>
      <c r="B734" s="968"/>
      <c r="D734" s="958"/>
      <c r="E734" s="959"/>
    </row>
    <row r="735">
      <c r="A735" s="968"/>
      <c r="B735" s="968"/>
      <c r="D735" s="958"/>
      <c r="E735" s="959"/>
    </row>
    <row r="736">
      <c r="A736" s="968"/>
      <c r="B736" s="968"/>
      <c r="D736" s="958"/>
      <c r="E736" s="959"/>
    </row>
    <row r="737">
      <c r="A737" s="968"/>
      <c r="B737" s="968"/>
      <c r="D737" s="958"/>
      <c r="E737" s="959"/>
    </row>
    <row r="738">
      <c r="A738" s="968"/>
      <c r="B738" s="968"/>
      <c r="D738" s="958"/>
      <c r="E738" s="959"/>
    </row>
    <row r="739">
      <c r="A739" s="968"/>
      <c r="B739" s="968"/>
      <c r="D739" s="958"/>
      <c r="E739" s="959"/>
    </row>
    <row r="740">
      <c r="A740" s="968"/>
      <c r="B740" s="968"/>
      <c r="D740" s="958"/>
      <c r="E740" s="959"/>
    </row>
    <row r="741">
      <c r="A741" s="968"/>
      <c r="B741" s="968"/>
      <c r="D741" s="958"/>
      <c r="E741" s="959"/>
    </row>
    <row r="742">
      <c r="A742" s="968"/>
      <c r="B742" s="968"/>
      <c r="D742" s="958"/>
      <c r="E742" s="959"/>
    </row>
    <row r="743">
      <c r="A743" s="968"/>
      <c r="B743" s="968"/>
      <c r="D743" s="958"/>
      <c r="E743" s="959"/>
    </row>
    <row r="744">
      <c r="A744" s="968"/>
      <c r="B744" s="968"/>
      <c r="D744" s="958"/>
      <c r="E744" s="959"/>
    </row>
    <row r="745">
      <c r="A745" s="968"/>
      <c r="B745" s="968"/>
      <c r="D745" s="958"/>
      <c r="E745" s="959"/>
    </row>
    <row r="746">
      <c r="A746" s="968"/>
      <c r="B746" s="968"/>
      <c r="D746" s="958"/>
      <c r="E746" s="959"/>
    </row>
    <row r="747">
      <c r="A747" s="968"/>
      <c r="B747" s="968"/>
      <c r="D747" s="958"/>
      <c r="E747" s="959"/>
    </row>
    <row r="748">
      <c r="A748" s="968"/>
      <c r="B748" s="968"/>
      <c r="D748" s="958"/>
      <c r="E748" s="959"/>
    </row>
    <row r="749">
      <c r="A749" s="968"/>
      <c r="B749" s="968"/>
      <c r="D749" s="958"/>
      <c r="E749" s="959"/>
    </row>
    <row r="750">
      <c r="A750" s="968"/>
      <c r="B750" s="968"/>
      <c r="D750" s="958"/>
      <c r="E750" s="959"/>
    </row>
    <row r="751">
      <c r="A751" s="968"/>
      <c r="B751" s="968"/>
      <c r="D751" s="958"/>
      <c r="E751" s="959"/>
    </row>
    <row r="752">
      <c r="A752" s="968"/>
      <c r="B752" s="968"/>
      <c r="D752" s="958"/>
      <c r="E752" s="959"/>
    </row>
    <row r="753">
      <c r="A753" s="968"/>
      <c r="B753" s="968"/>
      <c r="D753" s="958"/>
      <c r="E753" s="959"/>
    </row>
    <row r="754">
      <c r="A754" s="968"/>
      <c r="B754" s="968"/>
      <c r="D754" s="958"/>
      <c r="E754" s="959"/>
    </row>
    <row r="755">
      <c r="A755" s="968"/>
      <c r="B755" s="968"/>
      <c r="D755" s="958"/>
      <c r="E755" s="959"/>
    </row>
    <row r="756">
      <c r="A756" s="968"/>
      <c r="B756" s="968"/>
      <c r="D756" s="958"/>
      <c r="E756" s="959"/>
    </row>
    <row r="757">
      <c r="A757" s="968"/>
      <c r="B757" s="968"/>
      <c r="D757" s="958"/>
      <c r="E757" s="959"/>
    </row>
    <row r="758">
      <c r="A758" s="968"/>
      <c r="B758" s="968"/>
      <c r="D758" s="958"/>
      <c r="E758" s="959"/>
    </row>
    <row r="759">
      <c r="A759" s="968"/>
      <c r="B759" s="968"/>
      <c r="D759" s="958"/>
      <c r="E759" s="959"/>
    </row>
    <row r="760">
      <c r="A760" s="968"/>
      <c r="B760" s="968"/>
      <c r="D760" s="958"/>
      <c r="E760" s="959"/>
    </row>
    <row r="761">
      <c r="A761" s="968"/>
      <c r="B761" s="968"/>
      <c r="D761" s="958"/>
      <c r="E761" s="959"/>
    </row>
    <row r="762">
      <c r="A762" s="968"/>
      <c r="B762" s="968"/>
      <c r="D762" s="958"/>
      <c r="E762" s="959"/>
    </row>
    <row r="763">
      <c r="A763" s="968"/>
      <c r="B763" s="968"/>
      <c r="D763" s="958"/>
      <c r="E763" s="959"/>
    </row>
    <row r="764">
      <c r="A764" s="968"/>
      <c r="B764" s="968"/>
      <c r="D764" s="958"/>
      <c r="E764" s="959"/>
    </row>
    <row r="765">
      <c r="A765" s="968"/>
      <c r="B765" s="968"/>
      <c r="D765" s="958"/>
      <c r="E765" s="959"/>
    </row>
    <row r="766">
      <c r="A766" s="968"/>
      <c r="B766" s="968"/>
      <c r="D766" s="958"/>
      <c r="E766" s="959"/>
    </row>
    <row r="767">
      <c r="A767" s="968"/>
      <c r="B767" s="968"/>
      <c r="D767" s="958"/>
      <c r="E767" s="959"/>
    </row>
    <row r="768">
      <c r="A768" s="968"/>
      <c r="B768" s="968"/>
      <c r="D768" s="958"/>
      <c r="E768" s="959"/>
    </row>
    <row r="769">
      <c r="A769" s="968"/>
      <c r="B769" s="968"/>
      <c r="D769" s="958"/>
      <c r="E769" s="959"/>
    </row>
    <row r="770">
      <c r="A770" s="968"/>
      <c r="B770" s="968"/>
      <c r="D770" s="958"/>
      <c r="E770" s="959"/>
    </row>
    <row r="771">
      <c r="A771" s="968"/>
      <c r="B771" s="968"/>
      <c r="D771" s="958"/>
      <c r="E771" s="959"/>
    </row>
    <row r="772">
      <c r="A772" s="968"/>
      <c r="B772" s="968"/>
      <c r="D772" s="958"/>
      <c r="E772" s="959"/>
    </row>
    <row r="773">
      <c r="A773" s="968"/>
      <c r="B773" s="968"/>
      <c r="D773" s="958"/>
      <c r="E773" s="959"/>
    </row>
    <row r="774">
      <c r="A774" s="968"/>
      <c r="B774" s="968"/>
      <c r="D774" s="958"/>
      <c r="E774" s="959"/>
    </row>
    <row r="775">
      <c r="A775" s="968"/>
      <c r="B775" s="968"/>
      <c r="D775" s="958"/>
      <c r="E775" s="959"/>
    </row>
    <row r="776">
      <c r="A776" s="968"/>
      <c r="B776" s="968"/>
      <c r="D776" s="958"/>
      <c r="E776" s="959"/>
    </row>
    <row r="777">
      <c r="A777" s="968"/>
      <c r="B777" s="968"/>
      <c r="D777" s="958"/>
      <c r="E777" s="959"/>
    </row>
    <row r="778">
      <c r="A778" s="968"/>
      <c r="B778" s="968"/>
      <c r="D778" s="958"/>
      <c r="E778" s="959"/>
    </row>
    <row r="779">
      <c r="A779" s="968"/>
      <c r="B779" s="968"/>
      <c r="D779" s="958"/>
      <c r="E779" s="959"/>
    </row>
    <row r="780">
      <c r="A780" s="968"/>
      <c r="B780" s="968"/>
      <c r="D780" s="958"/>
      <c r="E780" s="959"/>
    </row>
    <row r="781">
      <c r="A781" s="968"/>
      <c r="B781" s="968"/>
      <c r="D781" s="958"/>
      <c r="E781" s="959"/>
    </row>
    <row r="782">
      <c r="A782" s="968"/>
      <c r="B782" s="968"/>
      <c r="D782" s="958"/>
      <c r="E782" s="959"/>
    </row>
    <row r="783">
      <c r="A783" s="968"/>
      <c r="B783" s="968"/>
      <c r="D783" s="958"/>
      <c r="E783" s="959"/>
    </row>
    <row r="784">
      <c r="A784" s="968"/>
      <c r="B784" s="968"/>
      <c r="D784" s="958"/>
      <c r="E784" s="959"/>
    </row>
    <row r="785">
      <c r="A785" s="968"/>
      <c r="B785" s="968"/>
      <c r="D785" s="958"/>
      <c r="E785" s="959"/>
    </row>
    <row r="786">
      <c r="A786" s="968"/>
      <c r="B786" s="968"/>
      <c r="D786" s="958"/>
      <c r="E786" s="959"/>
    </row>
    <row r="787">
      <c r="A787" s="968"/>
      <c r="B787" s="968"/>
      <c r="D787" s="958"/>
      <c r="E787" s="959"/>
    </row>
    <row r="788">
      <c r="A788" s="968"/>
      <c r="B788" s="968"/>
      <c r="D788" s="958"/>
      <c r="E788" s="959"/>
    </row>
    <row r="789">
      <c r="A789" s="968"/>
      <c r="B789" s="968"/>
      <c r="D789" s="958"/>
      <c r="E789" s="959"/>
    </row>
    <row r="790">
      <c r="A790" s="968"/>
      <c r="B790" s="968"/>
      <c r="D790" s="958"/>
      <c r="E790" s="959"/>
    </row>
    <row r="791">
      <c r="A791" s="968"/>
      <c r="B791" s="968"/>
      <c r="D791" s="958"/>
      <c r="E791" s="959"/>
    </row>
    <row r="792">
      <c r="A792" s="968"/>
      <c r="B792" s="968"/>
      <c r="D792" s="958"/>
      <c r="E792" s="959"/>
    </row>
    <row r="793">
      <c r="A793" s="968"/>
      <c r="B793" s="968"/>
      <c r="D793" s="958"/>
      <c r="E793" s="959"/>
    </row>
    <row r="794">
      <c r="A794" s="968"/>
      <c r="B794" s="968"/>
      <c r="D794" s="958"/>
      <c r="E794" s="959"/>
    </row>
    <row r="795">
      <c r="A795" s="968"/>
      <c r="B795" s="968"/>
      <c r="D795" s="958"/>
      <c r="E795" s="959"/>
    </row>
    <row r="796">
      <c r="A796" s="968"/>
      <c r="B796" s="968"/>
      <c r="D796" s="958"/>
      <c r="E796" s="959"/>
    </row>
    <row r="797">
      <c r="A797" s="968"/>
      <c r="B797" s="968"/>
      <c r="D797" s="958"/>
      <c r="E797" s="959"/>
    </row>
    <row r="798">
      <c r="A798" s="968"/>
      <c r="B798" s="968"/>
      <c r="D798" s="958"/>
      <c r="E798" s="959"/>
    </row>
    <row r="799">
      <c r="A799" s="968"/>
      <c r="B799" s="968"/>
      <c r="D799" s="958"/>
      <c r="E799" s="959"/>
    </row>
    <row r="800">
      <c r="A800" s="968"/>
      <c r="B800" s="968"/>
      <c r="D800" s="958"/>
      <c r="E800" s="959"/>
    </row>
    <row r="801">
      <c r="A801" s="968"/>
      <c r="B801" s="968"/>
      <c r="D801" s="958"/>
      <c r="E801" s="959"/>
    </row>
    <row r="802">
      <c r="A802" s="968"/>
      <c r="B802" s="968"/>
      <c r="D802" s="958"/>
      <c r="E802" s="959"/>
    </row>
    <row r="803">
      <c r="A803" s="968"/>
      <c r="B803" s="968"/>
      <c r="D803" s="958"/>
      <c r="E803" s="959"/>
    </row>
    <row r="804">
      <c r="A804" s="968"/>
      <c r="B804" s="968"/>
      <c r="D804" s="958"/>
      <c r="E804" s="959"/>
    </row>
    <row r="805">
      <c r="A805" s="968"/>
      <c r="B805" s="968"/>
      <c r="D805" s="958"/>
      <c r="E805" s="959"/>
    </row>
    <row r="806">
      <c r="A806" s="968"/>
      <c r="B806" s="968"/>
      <c r="D806" s="958"/>
      <c r="E806" s="959"/>
    </row>
    <row r="807">
      <c r="A807" s="968"/>
      <c r="B807" s="968"/>
      <c r="D807" s="958"/>
      <c r="E807" s="959"/>
    </row>
    <row r="808">
      <c r="A808" s="968"/>
      <c r="B808" s="968"/>
      <c r="D808" s="958"/>
      <c r="E808" s="959"/>
    </row>
    <row r="809">
      <c r="A809" s="968"/>
      <c r="B809" s="968"/>
      <c r="D809" s="958"/>
      <c r="E809" s="959"/>
    </row>
    <row r="810">
      <c r="A810" s="968"/>
      <c r="B810" s="968"/>
      <c r="D810" s="958"/>
      <c r="E810" s="959"/>
    </row>
    <row r="811">
      <c r="A811" s="968"/>
      <c r="B811" s="968"/>
      <c r="D811" s="958"/>
      <c r="E811" s="959"/>
    </row>
    <row r="812">
      <c r="A812" s="968"/>
      <c r="B812" s="968"/>
      <c r="D812" s="958"/>
      <c r="E812" s="959"/>
    </row>
    <row r="813">
      <c r="A813" s="968"/>
      <c r="B813" s="968"/>
      <c r="D813" s="958"/>
      <c r="E813" s="959"/>
    </row>
    <row r="814">
      <c r="A814" s="968"/>
      <c r="B814" s="968"/>
      <c r="D814" s="958"/>
      <c r="E814" s="959"/>
    </row>
    <row r="815">
      <c r="A815" s="968"/>
      <c r="B815" s="968"/>
      <c r="D815" s="958"/>
      <c r="E815" s="959"/>
    </row>
    <row r="816">
      <c r="A816" s="968"/>
      <c r="B816" s="968"/>
      <c r="D816" s="958"/>
      <c r="E816" s="959"/>
    </row>
    <row r="817">
      <c r="A817" s="968"/>
      <c r="B817" s="968"/>
      <c r="D817" s="958"/>
      <c r="E817" s="959"/>
    </row>
    <row r="818">
      <c r="A818" s="968"/>
      <c r="B818" s="968"/>
      <c r="D818" s="958"/>
      <c r="E818" s="959"/>
    </row>
    <row r="819">
      <c r="A819" s="968"/>
      <c r="B819" s="968"/>
      <c r="D819" s="958"/>
      <c r="E819" s="959"/>
    </row>
    <row r="820">
      <c r="A820" s="968"/>
      <c r="B820" s="968"/>
      <c r="D820" s="958"/>
      <c r="E820" s="959"/>
    </row>
    <row r="821">
      <c r="A821" s="968"/>
      <c r="B821" s="968"/>
      <c r="D821" s="958"/>
      <c r="E821" s="959"/>
    </row>
    <row r="822">
      <c r="A822" s="968"/>
      <c r="B822" s="968"/>
      <c r="D822" s="958"/>
      <c r="E822" s="959"/>
    </row>
    <row r="823">
      <c r="A823" s="968"/>
      <c r="B823" s="968"/>
      <c r="D823" s="958"/>
      <c r="E823" s="959"/>
    </row>
    <row r="824">
      <c r="A824" s="968"/>
      <c r="B824" s="968"/>
      <c r="D824" s="958"/>
      <c r="E824" s="959"/>
    </row>
    <row r="825">
      <c r="A825" s="968"/>
      <c r="B825" s="968"/>
      <c r="D825" s="958"/>
      <c r="E825" s="959"/>
    </row>
    <row r="826">
      <c r="A826" s="968"/>
      <c r="B826" s="968"/>
      <c r="D826" s="958"/>
      <c r="E826" s="959"/>
    </row>
    <row r="827">
      <c r="A827" s="968"/>
      <c r="B827" s="968"/>
      <c r="D827" s="958"/>
      <c r="E827" s="959"/>
    </row>
    <row r="828">
      <c r="A828" s="968"/>
      <c r="B828" s="968"/>
      <c r="D828" s="958"/>
      <c r="E828" s="959"/>
    </row>
    <row r="829">
      <c r="A829" s="968"/>
      <c r="B829" s="968"/>
      <c r="D829" s="958"/>
      <c r="E829" s="959"/>
    </row>
    <row r="830">
      <c r="A830" s="968"/>
      <c r="B830" s="968"/>
      <c r="D830" s="958"/>
      <c r="E830" s="959"/>
    </row>
    <row r="831">
      <c r="A831" s="968"/>
      <c r="B831" s="968"/>
      <c r="D831" s="958"/>
      <c r="E831" s="959"/>
    </row>
    <row r="832">
      <c r="A832" s="968"/>
      <c r="B832" s="968"/>
      <c r="D832" s="958"/>
      <c r="E832" s="959"/>
    </row>
    <row r="833">
      <c r="A833" s="968"/>
      <c r="B833" s="968"/>
      <c r="D833" s="958"/>
      <c r="E833" s="959"/>
    </row>
    <row r="834">
      <c r="A834" s="968"/>
      <c r="B834" s="968"/>
      <c r="D834" s="958"/>
      <c r="E834" s="959"/>
    </row>
    <row r="835">
      <c r="A835" s="968"/>
      <c r="B835" s="968"/>
      <c r="D835" s="958"/>
      <c r="E835" s="959"/>
    </row>
    <row r="836">
      <c r="A836" s="968"/>
      <c r="B836" s="968"/>
      <c r="D836" s="958"/>
      <c r="E836" s="959"/>
    </row>
    <row r="837">
      <c r="A837" s="968"/>
      <c r="B837" s="968"/>
      <c r="D837" s="958"/>
      <c r="E837" s="959"/>
    </row>
    <row r="838">
      <c r="A838" s="968"/>
      <c r="B838" s="968"/>
      <c r="D838" s="958"/>
      <c r="E838" s="959"/>
    </row>
    <row r="839">
      <c r="A839" s="968"/>
      <c r="B839" s="968"/>
      <c r="D839" s="958"/>
      <c r="E839" s="959"/>
    </row>
    <row r="840">
      <c r="A840" s="968"/>
      <c r="B840" s="968"/>
      <c r="D840" s="958"/>
      <c r="E840" s="959"/>
    </row>
    <row r="841">
      <c r="A841" s="968"/>
      <c r="B841" s="968"/>
      <c r="D841" s="958"/>
      <c r="E841" s="959"/>
    </row>
    <row r="842">
      <c r="A842" s="968"/>
      <c r="B842" s="968"/>
      <c r="D842" s="958"/>
      <c r="E842" s="959"/>
    </row>
    <row r="843">
      <c r="A843" s="968"/>
      <c r="B843" s="968"/>
      <c r="D843" s="958"/>
      <c r="E843" s="959"/>
    </row>
    <row r="844">
      <c r="A844" s="968"/>
      <c r="B844" s="968"/>
      <c r="D844" s="958"/>
      <c r="E844" s="959"/>
    </row>
    <row r="845">
      <c r="A845" s="968"/>
      <c r="B845" s="968"/>
      <c r="D845" s="958"/>
      <c r="E845" s="959"/>
    </row>
    <row r="846">
      <c r="A846" s="968"/>
      <c r="B846" s="968"/>
      <c r="D846" s="958"/>
      <c r="E846" s="959"/>
    </row>
    <row r="847">
      <c r="A847" s="968"/>
      <c r="B847" s="968"/>
      <c r="D847" s="958"/>
      <c r="E847" s="959"/>
    </row>
    <row r="848">
      <c r="A848" s="968"/>
      <c r="B848" s="968"/>
      <c r="D848" s="958"/>
      <c r="E848" s="959"/>
    </row>
    <row r="849">
      <c r="A849" s="968"/>
      <c r="B849" s="968"/>
      <c r="D849" s="958"/>
      <c r="E849" s="959"/>
    </row>
    <row r="850">
      <c r="A850" s="968"/>
      <c r="B850" s="968"/>
      <c r="D850" s="958"/>
      <c r="E850" s="959"/>
    </row>
    <row r="851">
      <c r="A851" s="968"/>
      <c r="B851" s="968"/>
      <c r="D851" s="958"/>
      <c r="E851" s="959"/>
    </row>
    <row r="852">
      <c r="A852" s="968"/>
      <c r="B852" s="968"/>
      <c r="D852" s="958"/>
      <c r="E852" s="959"/>
    </row>
    <row r="853">
      <c r="A853" s="968"/>
      <c r="B853" s="968"/>
      <c r="D853" s="958"/>
      <c r="E853" s="959"/>
    </row>
    <row r="854">
      <c r="A854" s="968"/>
      <c r="B854" s="968"/>
      <c r="D854" s="958"/>
      <c r="E854" s="959"/>
    </row>
    <row r="855">
      <c r="A855" s="968"/>
      <c r="B855" s="968"/>
      <c r="D855" s="958"/>
      <c r="E855" s="959"/>
    </row>
    <row r="856">
      <c r="A856" s="968"/>
      <c r="B856" s="968"/>
      <c r="D856" s="958"/>
      <c r="E856" s="959"/>
    </row>
    <row r="857">
      <c r="A857" s="968"/>
      <c r="B857" s="968"/>
      <c r="D857" s="958"/>
      <c r="E857" s="959"/>
    </row>
    <row r="858">
      <c r="A858" s="968"/>
      <c r="B858" s="968"/>
      <c r="D858" s="958"/>
      <c r="E858" s="959"/>
    </row>
    <row r="859">
      <c r="A859" s="968"/>
      <c r="B859" s="968"/>
      <c r="D859" s="958"/>
      <c r="E859" s="959"/>
    </row>
    <row r="860">
      <c r="A860" s="968"/>
      <c r="B860" s="968"/>
      <c r="D860" s="958"/>
      <c r="E860" s="959"/>
    </row>
    <row r="861">
      <c r="A861" s="968"/>
      <c r="B861" s="968"/>
      <c r="D861" s="958"/>
      <c r="E861" s="959"/>
    </row>
    <row r="862">
      <c r="A862" s="968"/>
      <c r="B862" s="968"/>
      <c r="D862" s="958"/>
      <c r="E862" s="959"/>
    </row>
    <row r="863">
      <c r="A863" s="968"/>
      <c r="B863" s="968"/>
      <c r="D863" s="958"/>
      <c r="E863" s="959"/>
    </row>
    <row r="864">
      <c r="A864" s="968"/>
      <c r="B864" s="968"/>
      <c r="D864" s="958"/>
      <c r="E864" s="959"/>
    </row>
    <row r="865">
      <c r="A865" s="968"/>
      <c r="B865" s="968"/>
      <c r="D865" s="958"/>
      <c r="E865" s="959"/>
    </row>
    <row r="866">
      <c r="A866" s="968"/>
      <c r="B866" s="968"/>
      <c r="D866" s="958"/>
      <c r="E866" s="959"/>
    </row>
    <row r="867">
      <c r="A867" s="968"/>
      <c r="B867" s="968"/>
      <c r="D867" s="958"/>
      <c r="E867" s="959"/>
    </row>
    <row r="868">
      <c r="A868" s="968"/>
      <c r="B868" s="968"/>
      <c r="D868" s="958"/>
      <c r="E868" s="959"/>
    </row>
    <row r="869">
      <c r="A869" s="968"/>
      <c r="B869" s="968"/>
      <c r="D869" s="958"/>
      <c r="E869" s="959"/>
    </row>
    <row r="870">
      <c r="A870" s="968"/>
      <c r="B870" s="968"/>
      <c r="D870" s="958"/>
      <c r="E870" s="959"/>
    </row>
    <row r="871">
      <c r="A871" s="968"/>
      <c r="B871" s="968"/>
      <c r="D871" s="958"/>
      <c r="E871" s="959"/>
    </row>
    <row r="872">
      <c r="A872" s="968"/>
      <c r="B872" s="968"/>
      <c r="D872" s="958"/>
      <c r="E872" s="959"/>
    </row>
    <row r="873">
      <c r="A873" s="968"/>
      <c r="B873" s="968"/>
      <c r="D873" s="958"/>
      <c r="E873" s="959"/>
    </row>
    <row r="874">
      <c r="A874" s="968"/>
      <c r="B874" s="968"/>
      <c r="D874" s="958"/>
      <c r="E874" s="959"/>
    </row>
    <row r="875">
      <c r="A875" s="968"/>
      <c r="B875" s="968"/>
      <c r="D875" s="958"/>
      <c r="E875" s="959"/>
    </row>
    <row r="876">
      <c r="A876" s="968"/>
      <c r="B876" s="968"/>
      <c r="D876" s="958"/>
      <c r="E876" s="959"/>
    </row>
    <row r="877">
      <c r="A877" s="968"/>
      <c r="B877" s="968"/>
      <c r="D877" s="958"/>
      <c r="E877" s="959"/>
    </row>
    <row r="878">
      <c r="A878" s="968"/>
      <c r="B878" s="968"/>
      <c r="D878" s="958"/>
      <c r="E878" s="959"/>
    </row>
    <row r="879">
      <c r="A879" s="968"/>
      <c r="B879" s="968"/>
      <c r="D879" s="958"/>
      <c r="E879" s="959"/>
    </row>
    <row r="880">
      <c r="A880" s="968"/>
      <c r="B880" s="968"/>
      <c r="D880" s="958"/>
      <c r="E880" s="959"/>
    </row>
    <row r="881">
      <c r="A881" s="968"/>
      <c r="B881" s="968"/>
      <c r="D881" s="958"/>
      <c r="E881" s="959"/>
    </row>
    <row r="882">
      <c r="A882" s="968"/>
      <c r="B882" s="968"/>
      <c r="D882" s="958"/>
      <c r="E882" s="959"/>
    </row>
    <row r="883">
      <c r="A883" s="968"/>
      <c r="B883" s="968"/>
      <c r="D883" s="958"/>
      <c r="E883" s="959"/>
    </row>
    <row r="884">
      <c r="A884" s="968"/>
      <c r="B884" s="968"/>
      <c r="D884" s="958"/>
      <c r="E884" s="959"/>
    </row>
    <row r="885">
      <c r="A885" s="968"/>
      <c r="B885" s="968"/>
      <c r="D885" s="958"/>
      <c r="E885" s="959"/>
    </row>
    <row r="886">
      <c r="A886" s="968"/>
      <c r="B886" s="968"/>
      <c r="D886" s="958"/>
      <c r="E886" s="959"/>
    </row>
    <row r="887">
      <c r="A887" s="968"/>
      <c r="B887" s="968"/>
      <c r="D887" s="958"/>
      <c r="E887" s="959"/>
    </row>
    <row r="888">
      <c r="A888" s="968"/>
      <c r="B888" s="968"/>
      <c r="D888" s="958"/>
      <c r="E888" s="959"/>
    </row>
    <row r="889">
      <c r="A889" s="968"/>
      <c r="B889" s="968"/>
      <c r="D889" s="958"/>
      <c r="E889" s="959"/>
    </row>
    <row r="890">
      <c r="A890" s="968"/>
      <c r="B890" s="968"/>
      <c r="D890" s="958"/>
      <c r="E890" s="959"/>
    </row>
    <row r="891">
      <c r="A891" s="968"/>
      <c r="B891" s="968"/>
      <c r="D891" s="958"/>
      <c r="E891" s="959"/>
    </row>
    <row r="892">
      <c r="A892" s="968"/>
      <c r="B892" s="968"/>
      <c r="D892" s="958"/>
      <c r="E892" s="959"/>
    </row>
    <row r="893">
      <c r="A893" s="968"/>
      <c r="B893" s="968"/>
      <c r="D893" s="958"/>
      <c r="E893" s="959"/>
    </row>
    <row r="894">
      <c r="A894" s="968"/>
      <c r="B894" s="968"/>
      <c r="D894" s="958"/>
      <c r="E894" s="959"/>
    </row>
    <row r="895">
      <c r="A895" s="968"/>
      <c r="B895" s="968"/>
      <c r="D895" s="958"/>
      <c r="E895" s="959"/>
    </row>
    <row r="896">
      <c r="A896" s="968"/>
      <c r="B896" s="968"/>
      <c r="D896" s="958"/>
      <c r="E896" s="959"/>
    </row>
    <row r="897">
      <c r="A897" s="968"/>
      <c r="B897" s="968"/>
      <c r="D897" s="958"/>
      <c r="E897" s="959"/>
    </row>
    <row r="898">
      <c r="A898" s="968"/>
      <c r="B898" s="968"/>
      <c r="D898" s="958"/>
      <c r="E898" s="959"/>
    </row>
    <row r="899">
      <c r="A899" s="968"/>
      <c r="B899" s="968"/>
      <c r="D899" s="958"/>
      <c r="E899" s="959"/>
    </row>
    <row r="900">
      <c r="A900" s="968"/>
      <c r="B900" s="968"/>
      <c r="D900" s="958"/>
      <c r="E900" s="959"/>
    </row>
    <row r="901">
      <c r="A901" s="968"/>
      <c r="B901" s="968"/>
      <c r="D901" s="958"/>
      <c r="E901" s="959"/>
    </row>
    <row r="902">
      <c r="A902" s="968"/>
      <c r="B902" s="968"/>
      <c r="D902" s="958"/>
      <c r="E902" s="959"/>
    </row>
    <row r="903">
      <c r="A903" s="968"/>
      <c r="B903" s="968"/>
      <c r="D903" s="958"/>
      <c r="E903" s="959"/>
    </row>
    <row r="904">
      <c r="A904" s="968"/>
      <c r="B904" s="968"/>
      <c r="D904" s="958"/>
      <c r="E904" s="959"/>
    </row>
    <row r="905">
      <c r="A905" s="968"/>
      <c r="B905" s="968"/>
      <c r="D905" s="958"/>
      <c r="E905" s="959"/>
    </row>
    <row r="906">
      <c r="A906" s="968"/>
      <c r="B906" s="968"/>
      <c r="D906" s="958"/>
      <c r="E906" s="959"/>
    </row>
    <row r="907">
      <c r="A907" s="968"/>
      <c r="B907" s="968"/>
      <c r="D907" s="958"/>
      <c r="E907" s="959"/>
    </row>
    <row r="908">
      <c r="A908" s="968"/>
      <c r="B908" s="968"/>
      <c r="D908" s="958"/>
      <c r="E908" s="959"/>
    </row>
    <row r="909">
      <c r="A909" s="968"/>
      <c r="B909" s="968"/>
      <c r="D909" s="958"/>
      <c r="E909" s="959"/>
    </row>
    <row r="910">
      <c r="A910" s="968"/>
      <c r="B910" s="968"/>
      <c r="D910" s="958"/>
      <c r="E910" s="959"/>
    </row>
    <row r="911">
      <c r="A911" s="968"/>
      <c r="B911" s="968"/>
      <c r="D911" s="958"/>
      <c r="E911" s="959"/>
    </row>
    <row r="912">
      <c r="A912" s="968"/>
      <c r="B912" s="968"/>
      <c r="D912" s="958"/>
      <c r="E912" s="959"/>
    </row>
    <row r="913">
      <c r="A913" s="968"/>
      <c r="B913" s="968"/>
      <c r="D913" s="958"/>
      <c r="E913" s="959"/>
    </row>
    <row r="914">
      <c r="A914" s="968"/>
      <c r="B914" s="968"/>
      <c r="D914" s="958"/>
      <c r="E914" s="959"/>
    </row>
    <row r="915">
      <c r="A915" s="968"/>
      <c r="B915" s="968"/>
      <c r="D915" s="958"/>
      <c r="E915" s="959"/>
    </row>
    <row r="916">
      <c r="A916" s="968"/>
      <c r="B916" s="968"/>
      <c r="D916" s="958"/>
      <c r="E916" s="959"/>
    </row>
    <row r="917">
      <c r="A917" s="968"/>
      <c r="B917" s="968"/>
      <c r="D917" s="958"/>
      <c r="E917" s="959"/>
    </row>
    <row r="918">
      <c r="A918" s="968"/>
      <c r="B918" s="968"/>
      <c r="D918" s="958"/>
      <c r="E918" s="959"/>
    </row>
    <row r="919">
      <c r="A919" s="968"/>
      <c r="B919" s="968"/>
      <c r="D919" s="958"/>
      <c r="E919" s="959"/>
    </row>
    <row r="920">
      <c r="A920" s="968"/>
      <c r="B920" s="968"/>
      <c r="D920" s="958"/>
      <c r="E920" s="959"/>
    </row>
    <row r="921">
      <c r="A921" s="968"/>
      <c r="B921" s="968"/>
      <c r="D921" s="958"/>
      <c r="E921" s="959"/>
    </row>
    <row r="922">
      <c r="A922" s="968"/>
      <c r="B922" s="968"/>
      <c r="D922" s="958"/>
      <c r="E922" s="959"/>
    </row>
    <row r="923">
      <c r="A923" s="968"/>
      <c r="B923" s="968"/>
      <c r="D923" s="958"/>
      <c r="E923" s="959"/>
    </row>
    <row r="924">
      <c r="A924" s="968"/>
      <c r="B924" s="968"/>
      <c r="D924" s="958"/>
      <c r="E924" s="959"/>
    </row>
    <row r="925">
      <c r="A925" s="968"/>
      <c r="B925" s="968"/>
      <c r="D925" s="958"/>
      <c r="E925" s="959"/>
    </row>
    <row r="926">
      <c r="A926" s="968"/>
      <c r="B926" s="968"/>
      <c r="D926" s="958"/>
      <c r="E926" s="959"/>
    </row>
    <row r="927">
      <c r="A927" s="968"/>
      <c r="B927" s="968"/>
      <c r="D927" s="958"/>
      <c r="E927" s="959"/>
    </row>
    <row r="928">
      <c r="A928" s="968"/>
      <c r="B928" s="968"/>
      <c r="D928" s="958"/>
      <c r="E928" s="959"/>
    </row>
    <row r="929">
      <c r="A929" s="968"/>
      <c r="B929" s="968"/>
      <c r="D929" s="958"/>
      <c r="E929" s="959"/>
    </row>
    <row r="930">
      <c r="A930" s="968"/>
      <c r="B930" s="968"/>
      <c r="D930" s="958"/>
      <c r="E930" s="959"/>
    </row>
    <row r="931">
      <c r="A931" s="968"/>
      <c r="B931" s="968"/>
      <c r="D931" s="958"/>
      <c r="E931" s="959"/>
    </row>
    <row r="932">
      <c r="A932" s="968"/>
      <c r="B932" s="968"/>
      <c r="D932" s="958"/>
      <c r="E932" s="959"/>
    </row>
    <row r="933">
      <c r="A933" s="968"/>
      <c r="B933" s="968"/>
      <c r="D933" s="958"/>
      <c r="E933" s="959"/>
    </row>
    <row r="934">
      <c r="A934" s="968"/>
      <c r="B934" s="968"/>
      <c r="D934" s="958"/>
      <c r="E934" s="959"/>
    </row>
    <row r="935">
      <c r="A935" s="968"/>
      <c r="B935" s="968"/>
      <c r="D935" s="958"/>
      <c r="E935" s="959"/>
    </row>
    <row r="936">
      <c r="A936" s="968"/>
      <c r="B936" s="968"/>
      <c r="D936" s="958"/>
      <c r="E936" s="959"/>
    </row>
    <row r="937">
      <c r="A937" s="968"/>
      <c r="B937" s="968"/>
      <c r="D937" s="958"/>
      <c r="E937" s="959"/>
    </row>
    <row r="938">
      <c r="A938" s="968"/>
      <c r="B938" s="968"/>
      <c r="D938" s="958"/>
      <c r="E938" s="959"/>
    </row>
    <row r="939">
      <c r="A939" s="968"/>
      <c r="B939" s="968"/>
      <c r="D939" s="958"/>
      <c r="E939" s="959"/>
    </row>
    <row r="940">
      <c r="A940" s="968"/>
      <c r="B940" s="968"/>
      <c r="D940" s="958"/>
      <c r="E940" s="959"/>
    </row>
    <row r="941">
      <c r="A941" s="968"/>
      <c r="B941" s="968"/>
      <c r="D941" s="958"/>
      <c r="E941" s="959"/>
    </row>
    <row r="942">
      <c r="A942" s="968"/>
      <c r="B942" s="968"/>
      <c r="D942" s="958"/>
      <c r="E942" s="959"/>
    </row>
    <row r="943">
      <c r="A943" s="968"/>
      <c r="B943" s="968"/>
      <c r="D943" s="958"/>
      <c r="E943" s="959"/>
    </row>
    <row r="944">
      <c r="A944" s="968"/>
      <c r="B944" s="968"/>
      <c r="D944" s="958"/>
      <c r="E944" s="959"/>
    </row>
    <row r="945">
      <c r="A945" s="968"/>
      <c r="B945" s="968"/>
      <c r="D945" s="958"/>
      <c r="E945" s="959"/>
    </row>
    <row r="946">
      <c r="A946" s="968"/>
      <c r="B946" s="968"/>
      <c r="D946" s="958"/>
      <c r="E946" s="959"/>
    </row>
    <row r="947">
      <c r="A947" s="968"/>
      <c r="B947" s="968"/>
      <c r="D947" s="958"/>
      <c r="E947" s="959"/>
    </row>
    <row r="948">
      <c r="A948" s="968"/>
      <c r="B948" s="968"/>
      <c r="D948" s="958"/>
      <c r="E948" s="959"/>
    </row>
    <row r="949">
      <c r="A949" s="968"/>
      <c r="B949" s="968"/>
      <c r="D949" s="958"/>
      <c r="E949" s="959"/>
    </row>
    <row r="950">
      <c r="A950" s="968"/>
      <c r="B950" s="968"/>
      <c r="D950" s="958"/>
      <c r="E950" s="959"/>
    </row>
    <row r="951">
      <c r="A951" s="968"/>
      <c r="B951" s="968"/>
      <c r="D951" s="958"/>
      <c r="E951" s="959"/>
    </row>
    <row r="952">
      <c r="A952" s="968"/>
      <c r="B952" s="968"/>
      <c r="D952" s="958"/>
      <c r="E952" s="959"/>
    </row>
    <row r="953">
      <c r="A953" s="968"/>
      <c r="B953" s="968"/>
      <c r="D953" s="958"/>
      <c r="E953" s="959"/>
    </row>
    <row r="954">
      <c r="A954" s="968"/>
      <c r="B954" s="968"/>
      <c r="D954" s="958"/>
      <c r="E954" s="959"/>
    </row>
    <row r="955">
      <c r="A955" s="968"/>
      <c r="B955" s="968"/>
      <c r="D955" s="958"/>
      <c r="E955" s="959"/>
    </row>
    <row r="956">
      <c r="A956" s="968"/>
      <c r="B956" s="968"/>
      <c r="D956" s="958"/>
      <c r="E956" s="959"/>
    </row>
    <row r="957">
      <c r="A957" s="968"/>
      <c r="B957" s="968"/>
      <c r="D957" s="958"/>
      <c r="E957" s="959"/>
    </row>
    <row r="958">
      <c r="A958" s="968"/>
      <c r="B958" s="968"/>
      <c r="D958" s="958"/>
      <c r="E958" s="959"/>
    </row>
    <row r="959">
      <c r="A959" s="968"/>
      <c r="B959" s="968"/>
      <c r="D959" s="958"/>
      <c r="E959" s="959"/>
    </row>
    <row r="960">
      <c r="A960" s="968"/>
      <c r="B960" s="968"/>
      <c r="D960" s="958"/>
      <c r="E960" s="959"/>
    </row>
    <row r="961">
      <c r="A961" s="968"/>
      <c r="B961" s="968"/>
      <c r="D961" s="958"/>
      <c r="E961" s="959"/>
    </row>
    <row r="962">
      <c r="A962" s="968"/>
      <c r="B962" s="968"/>
      <c r="D962" s="958"/>
      <c r="E962" s="959"/>
    </row>
    <row r="963">
      <c r="A963" s="968"/>
      <c r="B963" s="968"/>
      <c r="D963" s="958"/>
      <c r="E963" s="959"/>
    </row>
    <row r="964">
      <c r="A964" s="968"/>
      <c r="B964" s="968"/>
      <c r="D964" s="958"/>
      <c r="E964" s="959"/>
    </row>
    <row r="965">
      <c r="A965" s="968"/>
      <c r="B965" s="968"/>
      <c r="D965" s="958"/>
      <c r="E965" s="959"/>
    </row>
    <row r="966">
      <c r="A966" s="968"/>
      <c r="B966" s="968"/>
      <c r="D966" s="958"/>
      <c r="E966" s="959"/>
    </row>
    <row r="967">
      <c r="A967" s="968"/>
      <c r="B967" s="968"/>
      <c r="D967" s="958"/>
      <c r="E967" s="959"/>
    </row>
    <row r="968">
      <c r="A968" s="968"/>
      <c r="B968" s="968"/>
      <c r="D968" s="958"/>
      <c r="E968" s="959"/>
    </row>
    <row r="969">
      <c r="A969" s="968"/>
      <c r="B969" s="968"/>
      <c r="D969" s="958"/>
      <c r="E969" s="959"/>
    </row>
    <row r="970">
      <c r="A970" s="968"/>
      <c r="B970" s="968"/>
      <c r="D970" s="958"/>
      <c r="E970" s="959"/>
    </row>
    <row r="971">
      <c r="A971" s="968"/>
      <c r="B971" s="968"/>
      <c r="D971" s="958"/>
      <c r="E971" s="959"/>
    </row>
    <row r="972">
      <c r="A972" s="968"/>
      <c r="B972" s="968"/>
      <c r="D972" s="958"/>
      <c r="E972" s="959"/>
    </row>
    <row r="973">
      <c r="A973" s="968"/>
      <c r="B973" s="968"/>
      <c r="D973" s="958"/>
      <c r="E973" s="959"/>
    </row>
    <row r="974">
      <c r="A974" s="968"/>
      <c r="B974" s="968"/>
      <c r="D974" s="958"/>
      <c r="E974" s="959"/>
    </row>
    <row r="975">
      <c r="A975" s="968"/>
      <c r="B975" s="968"/>
      <c r="D975" s="958"/>
      <c r="E975" s="959"/>
    </row>
    <row r="976">
      <c r="A976" s="968"/>
      <c r="B976" s="968"/>
      <c r="D976" s="958"/>
      <c r="E976" s="959"/>
    </row>
    <row r="977">
      <c r="A977" s="968"/>
      <c r="B977" s="968"/>
      <c r="D977" s="958"/>
      <c r="E977" s="959"/>
    </row>
    <row r="978">
      <c r="A978" s="968"/>
      <c r="B978" s="968"/>
      <c r="D978" s="958"/>
      <c r="E978" s="959"/>
    </row>
    <row r="979">
      <c r="A979" s="968"/>
      <c r="B979" s="968"/>
      <c r="D979" s="958"/>
      <c r="E979" s="959"/>
    </row>
    <row r="980">
      <c r="A980" s="968"/>
      <c r="B980" s="968"/>
      <c r="D980" s="958"/>
      <c r="E980" s="959"/>
    </row>
    <row r="981">
      <c r="A981" s="968"/>
      <c r="B981" s="968"/>
      <c r="D981" s="958"/>
      <c r="E981" s="959"/>
    </row>
    <row r="982">
      <c r="A982" s="968"/>
      <c r="B982" s="968"/>
      <c r="D982" s="958"/>
      <c r="E982" s="959"/>
    </row>
  </sheetData>
  <mergeCells count="22">
    <mergeCell ref="L1:M1"/>
    <mergeCell ref="L2:Q2"/>
    <mergeCell ref="L3:Q3"/>
    <mergeCell ref="L4:Q4"/>
    <mergeCell ref="L5:Q5"/>
    <mergeCell ref="L6:Q6"/>
    <mergeCell ref="L7:Q7"/>
    <mergeCell ref="L15:O15"/>
    <mergeCell ref="L16:O16"/>
    <mergeCell ref="L17:N17"/>
    <mergeCell ref="L18:N18"/>
    <mergeCell ref="L19:N19"/>
    <mergeCell ref="L20:Q20"/>
    <mergeCell ref="L21:Q21"/>
    <mergeCell ref="L22:Q22"/>
    <mergeCell ref="L8:Q8"/>
    <mergeCell ref="L9:Q9"/>
    <mergeCell ref="L10:Q10"/>
    <mergeCell ref="L11:Q11"/>
    <mergeCell ref="L12:Q12"/>
    <mergeCell ref="L13:Q13"/>
    <mergeCell ref="L14:Q14"/>
  </mergeCells>
  <hyperlinks>
    <hyperlink r:id="rId1" ref="K15"/>
    <hyperlink r:id="rId2" ref="K16"/>
    <hyperlink r:id="rId3" ref="K17"/>
    <hyperlink r:id="rId4" ref="K18"/>
    <hyperlink r:id="rId5" ref="K19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3" max="3" width="13.22"/>
    <col customWidth="1" min="6" max="6" width="9.78"/>
    <col customWidth="1" min="8" max="8" width="10.78"/>
  </cols>
  <sheetData>
    <row r="1">
      <c r="A1" s="195"/>
      <c r="B1" s="1094"/>
      <c r="C1" s="1095">
        <v>44405.85787869213</v>
      </c>
      <c r="D1" s="1096"/>
      <c r="E1" s="1097"/>
      <c r="F1" s="1097"/>
      <c r="G1" s="1097"/>
      <c r="H1" s="1097"/>
      <c r="I1" s="1098"/>
      <c r="J1" s="1099"/>
      <c r="K1" s="1096"/>
      <c r="L1" s="1098"/>
      <c r="M1" s="1100"/>
      <c r="N1" s="1096"/>
      <c r="O1" s="1098"/>
      <c r="P1" s="1096"/>
      <c r="Q1" s="1101">
        <v>44412.47606122685</v>
      </c>
    </row>
    <row r="2">
      <c r="A2" s="195"/>
      <c r="B2" s="1094"/>
      <c r="C2" s="1102">
        <v>2.0</v>
      </c>
      <c r="D2" s="1096"/>
      <c r="E2" s="1097"/>
      <c r="F2" s="1097"/>
      <c r="G2" s="1097"/>
      <c r="H2" s="1097"/>
      <c r="I2" s="1098"/>
      <c r="J2" s="1099"/>
      <c r="K2" s="1096"/>
      <c r="L2" s="1098"/>
      <c r="M2" s="1100"/>
      <c r="N2" s="1096"/>
      <c r="O2" s="1098"/>
      <c r="P2" s="1096"/>
      <c r="Q2" s="1096"/>
    </row>
    <row r="3">
      <c r="A3" s="195"/>
      <c r="J3" s="200"/>
    </row>
    <row r="4">
      <c r="A4" s="195"/>
      <c r="J4" s="200"/>
    </row>
    <row r="5">
      <c r="A5" s="195"/>
      <c r="H5" s="809"/>
      <c r="J5" s="200"/>
    </row>
    <row r="6">
      <c r="A6" s="195"/>
      <c r="H6" s="809"/>
      <c r="J6" s="200"/>
    </row>
    <row r="7">
      <c r="A7" s="195"/>
      <c r="H7" s="809"/>
      <c r="J7" s="200"/>
    </row>
    <row r="8">
      <c r="A8" s="195"/>
      <c r="J8" s="200"/>
    </row>
    <row r="9">
      <c r="A9" s="195"/>
      <c r="J9" s="200"/>
    </row>
    <row r="10">
      <c r="A10" s="195"/>
      <c r="J10" s="200"/>
    </row>
    <row r="11">
      <c r="A11" s="195"/>
      <c r="J11" s="200"/>
    </row>
    <row r="12">
      <c r="A12" s="195"/>
      <c r="J12" s="200"/>
    </row>
    <row r="13">
      <c r="A13" s="195"/>
      <c r="J13" s="200"/>
    </row>
    <row r="14">
      <c r="A14" s="195"/>
      <c r="J14" s="200"/>
    </row>
    <row r="15">
      <c r="A15" s="195"/>
      <c r="J15" s="200"/>
    </row>
    <row r="16">
      <c r="A16" s="195"/>
      <c r="J16" s="200"/>
    </row>
    <row r="17">
      <c r="A17" s="195"/>
      <c r="J17" s="200"/>
    </row>
    <row r="18">
      <c r="A18" s="195"/>
      <c r="B18" s="151"/>
      <c r="C18" s="1103" t="s">
        <v>928</v>
      </c>
      <c r="E18" s="1104" t="s">
        <v>929</v>
      </c>
      <c r="F18" s="1105"/>
      <c r="G18" s="1106"/>
      <c r="H18" s="1106"/>
      <c r="I18" s="1107"/>
      <c r="J18" s="1108"/>
      <c r="K18" s="1109"/>
      <c r="L18" s="1110"/>
      <c r="M18" s="1111"/>
      <c r="N18" s="1112"/>
      <c r="O18" s="1110"/>
      <c r="P18" s="1112"/>
      <c r="Q18" s="1109"/>
    </row>
    <row r="19" ht="15.75" customHeight="1">
      <c r="A19" s="195"/>
      <c r="B19" s="153" t="s">
        <v>44</v>
      </c>
      <c r="C19" s="156" t="s">
        <v>32</v>
      </c>
      <c r="D19" s="1113" t="s">
        <v>3</v>
      </c>
      <c r="E19" s="1114" t="s">
        <v>930</v>
      </c>
      <c r="F19" s="1114" t="s">
        <v>931</v>
      </c>
      <c r="G19" s="1114" t="s">
        <v>932</v>
      </c>
      <c r="H19" s="1114" t="s">
        <v>933</v>
      </c>
      <c r="I19" s="1115" t="s">
        <v>934</v>
      </c>
      <c r="J19" s="156" t="s">
        <v>935</v>
      </c>
      <c r="K19" s="1113" t="s">
        <v>936</v>
      </c>
      <c r="L19" s="1115" t="s">
        <v>937</v>
      </c>
      <c r="M19" s="1116" t="s">
        <v>938</v>
      </c>
      <c r="N19" s="1117" t="s">
        <v>939</v>
      </c>
      <c r="O19" s="1118" t="s">
        <v>940</v>
      </c>
      <c r="P19" s="1113" t="s">
        <v>941</v>
      </c>
      <c r="Q19" s="1113" t="s">
        <v>942</v>
      </c>
    </row>
    <row r="20">
      <c r="A20" s="195"/>
      <c r="B20" s="1119">
        <v>44127.6599334375</v>
      </c>
      <c r="C20" s="1099">
        <v>3.741069113380791</v>
      </c>
      <c r="D20" s="1096">
        <v>48538.72567570587</v>
      </c>
      <c r="E20" s="1097">
        <v>40993.9619519863</v>
      </c>
      <c r="F20" s="1097">
        <v>34335.33927161405</v>
      </c>
      <c r="G20" s="1097">
        <v>39107.321647439094</v>
      </c>
      <c r="H20" s="1097">
        <v>4771.982375825042</v>
      </c>
      <c r="I20" s="1098">
        <v>0.13898165787952962</v>
      </c>
      <c r="J20" s="1099">
        <v>0.6989061099999999</v>
      </c>
      <c r="K20" s="1096">
        <v>9067.999258561598</v>
      </c>
      <c r="L20" s="1098">
        <v>0.3569978709818104</v>
      </c>
      <c r="M20" s="1120">
        <v>39.2160736872501</v>
      </c>
      <c r="N20" s="1121">
        <v>16332.710369265924</v>
      </c>
      <c r="O20" s="1122">
        <v>0.6430021290181896</v>
      </c>
      <c r="P20" s="1096">
        <v>12974.56</v>
      </c>
      <c r="Q20" s="1096">
        <v>416.48</v>
      </c>
    </row>
    <row r="21">
      <c r="A21" s="195"/>
      <c r="B21" s="1119">
        <v>44128.44114890046</v>
      </c>
      <c r="C21" s="1099">
        <v>3.7213579780908113</v>
      </c>
      <c r="D21" s="1096">
        <v>48043.51298232777</v>
      </c>
      <c r="E21" s="1097">
        <v>40519.48535432486</v>
      </c>
      <c r="F21" s="1097">
        <v>34335.33927161405</v>
      </c>
      <c r="G21" s="1097">
        <v>38620.84979157926</v>
      </c>
      <c r="H21" s="1097">
        <v>4285.51051996521</v>
      </c>
      <c r="I21" s="1098">
        <v>0.12481340248494811</v>
      </c>
      <c r="J21" s="1099">
        <v>0.69533311</v>
      </c>
      <c r="K21" s="1096">
        <v>8976.8964700531</v>
      </c>
      <c r="L21" s="1098">
        <v>0.35763586858291607</v>
      </c>
      <c r="M21" s="1100">
        <v>39.4532736872501</v>
      </c>
      <c r="N21" s="1123">
        <v>16123.763890505372</v>
      </c>
      <c r="O21" s="1098">
        <v>0.6423641314170839</v>
      </c>
      <c r="P21" s="1096">
        <v>12910.21</v>
      </c>
      <c r="Q21" s="1096">
        <v>408.68</v>
      </c>
    </row>
    <row r="22">
      <c r="A22" s="195"/>
      <c r="B22" s="1119">
        <v>44129.46897755787</v>
      </c>
      <c r="C22" s="1099">
        <v>3.709569289364155</v>
      </c>
      <c r="D22" s="1096">
        <v>48145.090170327414</v>
      </c>
      <c r="E22" s="1097">
        <v>40585.952446618496</v>
      </c>
      <c r="F22" s="1097">
        <v>34335.33927161405</v>
      </c>
      <c r="G22" s="1097">
        <v>38688.00560801369</v>
      </c>
      <c r="H22" s="1097">
        <v>4352.666336399641</v>
      </c>
      <c r="I22" s="1098">
        <v>0.12676928286531036</v>
      </c>
      <c r="J22" s="1099">
        <v>0.69084811</v>
      </c>
      <c r="K22" s="1096">
        <v>8966.2550974082</v>
      </c>
      <c r="L22" s="1098">
        <v>0.3566868916091043</v>
      </c>
      <c r="M22" s="1100">
        <v>39.65413414759307</v>
      </c>
      <c r="N22" s="1123">
        <v>16171.35244672993</v>
      </c>
      <c r="O22" s="1098">
        <v>0.6433131083908956</v>
      </c>
      <c r="P22" s="1096">
        <v>12978.62</v>
      </c>
      <c r="Q22" s="1096">
        <v>407.81</v>
      </c>
    </row>
    <row r="23">
      <c r="A23" s="195"/>
      <c r="B23" s="1119">
        <v>44130.481565497685</v>
      </c>
      <c r="C23" s="1099">
        <v>3.6727467233940563</v>
      </c>
      <c r="D23" s="1096">
        <v>47977.347539967195</v>
      </c>
      <c r="E23" s="1097">
        <v>40605.15322450001</v>
      </c>
      <c r="F23" s="1097">
        <v>34335.33927161405</v>
      </c>
      <c r="G23" s="1097">
        <v>38717.121533332014</v>
      </c>
      <c r="H23" s="1097">
        <v>4381.782261717963</v>
      </c>
      <c r="I23" s="1098">
        <v>0.12761726998109205</v>
      </c>
      <c r="J23" s="1099">
        <v>0.68800911</v>
      </c>
      <c r="K23" s="1096">
        <v>8987.511164567699</v>
      </c>
      <c r="L23" s="1098">
        <v>0.35804716450897645</v>
      </c>
      <c r="M23" s="1100">
        <v>39.806234147593074</v>
      </c>
      <c r="N23" s="1123">
        <v>16113.961645287152</v>
      </c>
      <c r="O23" s="1098">
        <v>0.6419528354910236</v>
      </c>
      <c r="P23" s="1096">
        <v>13063.069999999998</v>
      </c>
      <c r="Q23" s="1096">
        <v>404.81</v>
      </c>
    </row>
    <row r="24">
      <c r="A24" s="195"/>
      <c r="B24" s="1119">
        <v>44131.79052645834</v>
      </c>
      <c r="C24" s="1099">
        <v>3.5605231592530835</v>
      </c>
      <c r="D24" s="1096">
        <v>48753.49590978903</v>
      </c>
      <c r="E24" s="1097">
        <v>41220.568272220466</v>
      </c>
      <c r="F24" s="1097">
        <v>34335.33927161405</v>
      </c>
      <c r="G24" s="1097">
        <v>39271.29599327486</v>
      </c>
      <c r="H24" s="1097">
        <v>4935.956721660812</v>
      </c>
      <c r="I24" s="1098">
        <v>0.1437573306794583</v>
      </c>
      <c r="J24" s="1099">
        <v>0.6753701099999999</v>
      </c>
      <c r="K24" s="1096">
        <v>9247.7010885069</v>
      </c>
      <c r="L24" s="1098">
        <v>0.36010150385649886</v>
      </c>
      <c r="M24" s="1100">
        <v>40.18073414759307</v>
      </c>
      <c r="N24" s="1123">
        <v>16433.116651682616</v>
      </c>
      <c r="O24" s="1098">
        <v>0.6398984961435011</v>
      </c>
      <c r="P24" s="1096">
        <v>13692.79</v>
      </c>
      <c r="Q24" s="1096">
        <v>408.98</v>
      </c>
    </row>
    <row r="25">
      <c r="A25" s="189"/>
      <c r="B25" s="1119">
        <v>44132.572236527776</v>
      </c>
      <c r="C25" s="1099">
        <v>3.529211432882376</v>
      </c>
      <c r="D25" s="1096">
        <v>46653.1047287584</v>
      </c>
      <c r="E25" s="1097">
        <v>39791.82361363446</v>
      </c>
      <c r="F25" s="1097">
        <v>34335.33927161405</v>
      </c>
      <c r="G25" s="1097">
        <v>37926.11764436406</v>
      </c>
      <c r="H25" s="1097">
        <v>3590.7783727500064</v>
      </c>
      <c r="I25" s="1098">
        <v>0.10457966773954669</v>
      </c>
      <c r="J25" s="1099">
        <v>0.6656251099999999</v>
      </c>
      <c r="K25" s="1096">
        <v>8798.984860354298</v>
      </c>
      <c r="L25" s="1098">
        <v>0.3581501623046272</v>
      </c>
      <c r="M25" s="1100">
        <v>40.69073414759307</v>
      </c>
      <c r="N25" s="1123">
        <v>15768.88020421674</v>
      </c>
      <c r="O25" s="1098">
        <v>0.6418498376953728</v>
      </c>
      <c r="P25" s="1096">
        <v>13219.13</v>
      </c>
      <c r="Q25" s="1096">
        <v>387.53</v>
      </c>
    </row>
    <row r="26">
      <c r="A26" s="189"/>
      <c r="B26" s="1119">
        <v>44133.715062800926</v>
      </c>
      <c r="C26" s="1099">
        <v>3.5166188514471473</v>
      </c>
      <c r="D26" s="1096">
        <v>47243.17197124235</v>
      </c>
      <c r="E26" s="1097">
        <v>40526.570629732356</v>
      </c>
      <c r="F26" s="1097">
        <v>34335.33927161405</v>
      </c>
      <c r="G26" s="1097">
        <v>38647.26891680436</v>
      </c>
      <c r="H26" s="1097">
        <v>4311.9296451903065</v>
      </c>
      <c r="I26" s="1098">
        <v>0.12558284661410335</v>
      </c>
      <c r="J26" s="1099">
        <v>0.83622049</v>
      </c>
      <c r="K26" s="1096">
        <v>11234.0034799874</v>
      </c>
      <c r="L26" s="1098">
        <v>0.400613944036028</v>
      </c>
      <c r="M26" s="1100">
        <v>43.009121602202256</v>
      </c>
      <c r="N26" s="1123">
        <v>16807.96472214064</v>
      </c>
      <c r="O26" s="1098">
        <v>0.5993860559639721</v>
      </c>
      <c r="P26" s="1096">
        <v>13434.26</v>
      </c>
      <c r="Q26" s="1096">
        <v>390.8</v>
      </c>
    </row>
    <row r="27">
      <c r="A27" s="189"/>
      <c r="B27" s="1119">
        <v>44134.94867596065</v>
      </c>
      <c r="C27" s="1099">
        <v>3.4356485535903287</v>
      </c>
      <c r="D27" s="1096">
        <v>46461.06558936934</v>
      </c>
      <c r="E27" s="1097">
        <v>39800.57987743698</v>
      </c>
      <c r="F27" s="1097">
        <v>34335.33927161405</v>
      </c>
      <c r="G27" s="1097">
        <v>37971.68636375058</v>
      </c>
      <c r="H27" s="1097">
        <v>3636.3470921365297</v>
      </c>
      <c r="I27" s="1098">
        <v>0.10590683445329448</v>
      </c>
      <c r="J27" s="1099">
        <v>0.82376749</v>
      </c>
      <c r="K27" s="1096">
        <v>11139.997233792701</v>
      </c>
      <c r="L27" s="1098">
        <v>0.4007343028543149</v>
      </c>
      <c r="M27" s="1100">
        <v>43.60072160220226</v>
      </c>
      <c r="N27" s="1123">
        <v>16658.96370976944</v>
      </c>
      <c r="O27" s="1098">
        <v>0.5992656971456852</v>
      </c>
      <c r="P27" s="1096">
        <v>13523.230000000001</v>
      </c>
      <c r="Q27" s="1096">
        <v>382.08</v>
      </c>
    </row>
    <row r="28">
      <c r="A28" s="189"/>
      <c r="B28" s="1119">
        <v>44135.945873275465</v>
      </c>
      <c r="C28" s="1099">
        <v>3.4154062674577554</v>
      </c>
      <c r="D28" s="1096">
        <v>47169.56118673092</v>
      </c>
      <c r="E28" s="1097">
        <v>40393.56592240811</v>
      </c>
      <c r="F28" s="1097">
        <v>34335.33927161405</v>
      </c>
      <c r="G28" s="1097">
        <v>38533.519069972914</v>
      </c>
      <c r="H28" s="1097">
        <v>4198.179798358862</v>
      </c>
      <c r="I28" s="1098">
        <v>0.12226993783718369</v>
      </c>
      <c r="J28" s="1099">
        <v>0.82288949</v>
      </c>
      <c r="K28" s="1096">
        <v>11364.778626281799</v>
      </c>
      <c r="L28" s="1098">
        <v>0.4033294101717844</v>
      </c>
      <c r="M28" s="1100">
        <v>43.50082160220226</v>
      </c>
      <c r="N28" s="1123">
        <v>16812.632541035153</v>
      </c>
      <c r="O28" s="1098">
        <v>0.5966705898282155</v>
      </c>
      <c r="P28" s="1096">
        <v>13810.819999999998</v>
      </c>
      <c r="Q28" s="1096">
        <v>386.49000000000007</v>
      </c>
    </row>
    <row r="29">
      <c r="A29" s="189"/>
      <c r="B29" s="1119">
        <v>44136.47240478009</v>
      </c>
      <c r="C29" s="1099">
        <v>3.451954941162459</v>
      </c>
      <c r="D29" s="1096">
        <v>47218.014416833044</v>
      </c>
      <c r="E29" s="1097">
        <v>40448.35106216994</v>
      </c>
      <c r="F29" s="1097">
        <v>34335.33927161405</v>
      </c>
      <c r="G29" s="1097">
        <v>38594.95623991074</v>
      </c>
      <c r="H29" s="1097">
        <v>4259.6169682966865</v>
      </c>
      <c r="I29" s="1098">
        <v>0.12405926542913838</v>
      </c>
      <c r="J29" s="1099">
        <v>0.82346949</v>
      </c>
      <c r="K29" s="1096">
        <v>11263.9344699987</v>
      </c>
      <c r="L29" s="1098">
        <v>0.40151532819999386</v>
      </c>
      <c r="M29" s="1100">
        <v>43.51222160220226</v>
      </c>
      <c r="N29" s="1123">
        <v>16789.625827425763</v>
      </c>
      <c r="O29" s="1098">
        <v>0.5984846718000062</v>
      </c>
      <c r="P29" s="1096">
        <v>13678.63</v>
      </c>
      <c r="Q29" s="1096">
        <v>385.86</v>
      </c>
    </row>
    <row r="30">
      <c r="A30" s="189"/>
      <c r="B30" s="1119">
        <v>44137.73976787037</v>
      </c>
      <c r="C30" s="1099">
        <v>3.4617980951355483</v>
      </c>
      <c r="D30" s="1096">
        <v>46723.99274398735</v>
      </c>
      <c r="E30" s="1097">
        <v>40177.040186467</v>
      </c>
      <c r="F30" s="1097">
        <v>34335.33927161405</v>
      </c>
      <c r="G30" s="1097">
        <v>38363.3627791102</v>
      </c>
      <c r="H30" s="1097">
        <v>4028.0235074961456</v>
      </c>
      <c r="I30" s="1098">
        <v>0.11731421890524964</v>
      </c>
      <c r="J30" s="1099">
        <v>0.82865149</v>
      </c>
      <c r="K30" s="1096">
        <v>11184.3340200747</v>
      </c>
      <c r="L30" s="1098">
        <v>0.40152780627945894</v>
      </c>
      <c r="M30" s="1100">
        <v>43.35642160220226</v>
      </c>
      <c r="N30" s="1123">
        <v>16670.11054183075</v>
      </c>
      <c r="O30" s="1098">
        <v>0.5984721937205411</v>
      </c>
      <c r="P30" s="1096">
        <v>13497.03</v>
      </c>
      <c r="Q30" s="1096">
        <v>384.49</v>
      </c>
    </row>
    <row r="31">
      <c r="A31" s="189"/>
      <c r="B31" s="1119">
        <v>44138.44853693287</v>
      </c>
      <c r="C31" s="1099">
        <v>3.4058486827045416</v>
      </c>
      <c r="D31" s="1096">
        <v>46071.119481865295</v>
      </c>
      <c r="E31" s="1097">
        <v>39400.62860284115</v>
      </c>
      <c r="F31" s="1097">
        <v>34335.33927161405</v>
      </c>
      <c r="G31" s="1097">
        <v>37620.54618762195</v>
      </c>
      <c r="H31" s="1097">
        <v>3285.2069160078972</v>
      </c>
      <c r="I31" s="1098">
        <v>0.09568004818650114</v>
      </c>
      <c r="J31" s="1099">
        <v>0.8202314900000001</v>
      </c>
      <c r="K31" s="1096">
        <v>11095.3205791194</v>
      </c>
      <c r="L31" s="1098">
        <v>0.4005164973069404</v>
      </c>
      <c r="M31" s="1100">
        <v>43.82312160220226</v>
      </c>
      <c r="N31" s="1123">
        <v>16607.210162370568</v>
      </c>
      <c r="O31" s="1098">
        <v>0.5994835026930596</v>
      </c>
      <c r="P31" s="1096">
        <v>13527.06</v>
      </c>
      <c r="Q31" s="1096">
        <v>378.96</v>
      </c>
    </row>
    <row r="32">
      <c r="A32" s="189"/>
      <c r="B32" s="1119">
        <v>44139.94407427083</v>
      </c>
      <c r="C32" s="1099">
        <v>3.7036227001445594</v>
      </c>
      <c r="D32" s="1096">
        <v>51920.901452191574</v>
      </c>
      <c r="E32" s="1097">
        <v>44276.73530777421</v>
      </c>
      <c r="F32" s="1097">
        <v>35835.33927161405</v>
      </c>
      <c r="G32" s="1097">
        <v>42471.85659043341</v>
      </c>
      <c r="H32" s="1097">
        <v>6636.5173188193585</v>
      </c>
      <c r="I32" s="1098">
        <v>0.18519476733617218</v>
      </c>
      <c r="J32" s="1099">
        <v>0.90882624</v>
      </c>
      <c r="K32" s="1096">
        <v>12740.789617248001</v>
      </c>
      <c r="L32" s="1098">
        <v>0.4140065312807039</v>
      </c>
      <c r="M32" s="1100">
        <v>44.965912063364996</v>
      </c>
      <c r="N32" s="1123">
        <v>18033.57903301253</v>
      </c>
      <c r="O32" s="1098">
        <v>0.585993468719296</v>
      </c>
      <c r="P32" s="1096">
        <v>14018.95</v>
      </c>
      <c r="Q32" s="1096">
        <v>401.05</v>
      </c>
    </row>
    <row r="33">
      <c r="A33" s="189"/>
      <c r="B33" s="1119">
        <v>44140.49154296296</v>
      </c>
      <c r="C33" s="1099">
        <v>3.580376253242255</v>
      </c>
      <c r="D33" s="1096">
        <v>51680.22495217468</v>
      </c>
      <c r="E33" s="1097">
        <v>43959.10775829523</v>
      </c>
      <c r="F33" s="1097">
        <v>35835.33927161405</v>
      </c>
      <c r="G33" s="1097">
        <v>42117.77124973683</v>
      </c>
      <c r="H33" s="1097">
        <v>6282.431978122775</v>
      </c>
      <c r="I33" s="1098">
        <v>0.1753138690973473</v>
      </c>
      <c r="J33" s="1099">
        <v>0.89848924</v>
      </c>
      <c r="K33" s="1096">
        <v>12969.063236932</v>
      </c>
      <c r="L33" s="1098">
        <v>0.4265580498788391</v>
      </c>
      <c r="M33" s="1100">
        <v>43.334871087018584</v>
      </c>
      <c r="N33" s="1123">
        <v>17434.918684440185</v>
      </c>
      <c r="O33" s="1098">
        <v>0.5734419501211608</v>
      </c>
      <c r="P33" s="1096">
        <v>14434.3</v>
      </c>
      <c r="Q33" s="1096">
        <v>402.33</v>
      </c>
    </row>
    <row r="34">
      <c r="A34" s="1124"/>
      <c r="B34" s="1119">
        <v>44143.862070358795</v>
      </c>
      <c r="C34" s="1099">
        <v>3.5464472030856653</v>
      </c>
      <c r="D34" s="1096">
        <v>54505.205206335464</v>
      </c>
      <c r="E34" s="1097">
        <v>45901.630685065735</v>
      </c>
      <c r="F34" s="1097">
        <v>35835.33927161405</v>
      </c>
      <c r="G34" s="1097">
        <v>44031.71860851534</v>
      </c>
      <c r="H34" s="1097">
        <v>8196.379336901286</v>
      </c>
      <c r="I34" s="1098">
        <v>0.2287233636823362</v>
      </c>
      <c r="J34" s="1099">
        <v>0.9189012400000001</v>
      </c>
      <c r="K34" s="1096">
        <v>14122.556401510401</v>
      </c>
      <c r="L34" s="1098">
        <v>0.45306721695337454</v>
      </c>
      <c r="M34" s="1100">
        <v>37.86606753331368</v>
      </c>
      <c r="N34" s="1123">
        <v>17048.439585523818</v>
      </c>
      <c r="O34" s="1098">
        <v>0.5469327830466254</v>
      </c>
      <c r="P34" s="1096">
        <v>15368.96</v>
      </c>
      <c r="Q34" s="1096">
        <v>450.23</v>
      </c>
    </row>
    <row r="35">
      <c r="A35" s="195"/>
      <c r="B35" s="1119">
        <v>44146.50717753472</v>
      </c>
      <c r="C35" s="1099">
        <v>3.6024437642848155</v>
      </c>
      <c r="D35" s="1096">
        <v>55732.362768558734</v>
      </c>
      <c r="E35" s="1097">
        <v>47306.39090164713</v>
      </c>
      <c r="F35" s="1097">
        <v>35835.33927161405</v>
      </c>
      <c r="G35" s="1097">
        <v>45448.60335916713</v>
      </c>
      <c r="H35" s="1097">
        <v>9613.264087553078</v>
      </c>
      <c r="I35" s="1098">
        <v>0.2682621201013144</v>
      </c>
      <c r="J35" s="1099">
        <v>0.9184772400000001</v>
      </c>
      <c r="K35" s="1096">
        <v>14209.495021640401</v>
      </c>
      <c r="L35" s="1098">
        <v>0.5042712346800506</v>
      </c>
      <c r="M35" s="1100">
        <v>30.298418674053888</v>
      </c>
      <c r="N35" s="1123">
        <v>13968.782945485806</v>
      </c>
      <c r="O35" s="1098">
        <v>0.4957287653199493</v>
      </c>
      <c r="P35" s="1096">
        <v>15470.71</v>
      </c>
      <c r="Q35" s="1096">
        <v>461.04</v>
      </c>
    </row>
    <row r="36">
      <c r="A36" s="195"/>
      <c r="B36" s="1119">
        <v>44147.01290210648</v>
      </c>
      <c r="C36" s="1099">
        <v>3.597522730618956</v>
      </c>
      <c r="D36" s="1096">
        <v>56675.87675135332</v>
      </c>
      <c r="E36" s="1097">
        <v>48117.2622495289</v>
      </c>
      <c r="F36" s="1097">
        <v>35835.33927161405</v>
      </c>
      <c r="G36" s="1097">
        <v>46233.0709135033</v>
      </c>
      <c r="H36" s="1097">
        <v>10397.731641889251</v>
      </c>
      <c r="I36" s="1098">
        <v>0.2901530124517481</v>
      </c>
      <c r="J36" s="1099">
        <v>0.92106724</v>
      </c>
      <c r="K36" s="1096">
        <v>14510.622248373598</v>
      </c>
      <c r="L36" s="1098">
        <v>0.5081314682969166</v>
      </c>
      <c r="M36" s="1100">
        <v>30.218588674053887</v>
      </c>
      <c r="N36" s="1123">
        <v>14046.204387473728</v>
      </c>
      <c r="O36" s="1098">
        <v>0.4918685317030834</v>
      </c>
      <c r="P36" s="1096">
        <v>15754.14</v>
      </c>
      <c r="Q36" s="1096">
        <v>464.82</v>
      </c>
    </row>
    <row r="37">
      <c r="A37" s="195"/>
      <c r="B37" s="1119">
        <v>44148.64010495371</v>
      </c>
      <c r="C37" s="1099">
        <v>3.624022955904431</v>
      </c>
      <c r="D37" s="1096">
        <v>58906.101293075626</v>
      </c>
      <c r="E37" s="1097">
        <v>49815.74707140318</v>
      </c>
      <c r="F37" s="1097">
        <v>35835.33927161405</v>
      </c>
      <c r="G37" s="1097">
        <v>47901.30374870238</v>
      </c>
      <c r="H37" s="1097">
        <v>12065.964477088331</v>
      </c>
      <c r="I37" s="1098">
        <v>0.336705741380996</v>
      </c>
      <c r="J37" s="1099">
        <v>0.88134348</v>
      </c>
      <c r="K37" s="1096">
        <v>14325.6565807032</v>
      </c>
      <c r="L37" s="1098">
        <v>0.48136001509193577</v>
      </c>
      <c r="M37" s="1100">
        <v>32.737630670267286</v>
      </c>
      <c r="N37" s="1123">
        <v>15435.138108417621</v>
      </c>
      <c r="O37" s="1098">
        <v>0.5186399849080643</v>
      </c>
      <c r="P37" s="1096">
        <v>16254.34</v>
      </c>
      <c r="Q37" s="1096">
        <v>471.48</v>
      </c>
    </row>
    <row r="38">
      <c r="A38" s="195"/>
      <c r="B38" s="1119">
        <v>44151.01119197917</v>
      </c>
      <c r="C38" s="1099">
        <v>3.601531386703027</v>
      </c>
      <c r="D38" s="1096">
        <v>57530.57424868322</v>
      </c>
      <c r="E38" s="1097">
        <v>48558.07910498997</v>
      </c>
      <c r="F38" s="1097">
        <v>35835.33927161405</v>
      </c>
      <c r="G38" s="1097">
        <v>46723.45909303477</v>
      </c>
      <c r="H38" s="1097">
        <v>10888.119821420718</v>
      </c>
      <c r="I38" s="1098">
        <v>0.3038374979205355</v>
      </c>
      <c r="J38" s="1099">
        <v>0.88134348</v>
      </c>
      <c r="K38" s="1096">
        <v>14078.510242041599</v>
      </c>
      <c r="L38" s="1098">
        <v>0.44936850999109</v>
      </c>
      <c r="M38" s="1100">
        <v>38.50419206437901</v>
      </c>
      <c r="N38" s="1123">
        <v>17251.03317060373</v>
      </c>
      <c r="O38" s="1098">
        <v>0.5506314900089101</v>
      </c>
      <c r="P38" s="1096">
        <v>15973.92</v>
      </c>
      <c r="Q38" s="1096">
        <v>448.03</v>
      </c>
      <c r="R38" s="1125"/>
    </row>
    <row r="39">
      <c r="A39" s="195"/>
      <c r="B39" s="1119">
        <v>44155.94541946759</v>
      </c>
      <c r="C39" s="1099">
        <v>3.350401610934285</v>
      </c>
      <c r="D39" s="1096">
        <v>62212.23384877826</v>
      </c>
      <c r="E39" s="1097">
        <v>52454.122148899936</v>
      </c>
      <c r="F39" s="1097">
        <v>35835.33927161405</v>
      </c>
      <c r="G39" s="1097">
        <v>50306.53268503274</v>
      </c>
      <c r="H39" s="1097">
        <v>14471.193413418689</v>
      </c>
      <c r="I39" s="1098">
        <v>0.4038246520769411</v>
      </c>
      <c r="J39" s="1099">
        <v>0.85123092</v>
      </c>
      <c r="K39" s="1096">
        <v>15806.1579488028</v>
      </c>
      <c r="L39" s="1098">
        <v>0.44225673367370155</v>
      </c>
      <c r="M39" s="1100">
        <v>39.27497558829545</v>
      </c>
      <c r="N39" s="1123">
        <v>19933.621110083473</v>
      </c>
      <c r="O39" s="1098">
        <v>0.5577432663262986</v>
      </c>
      <c r="P39" s="1096">
        <v>18568.59</v>
      </c>
      <c r="Q39" s="1096">
        <v>507.54</v>
      </c>
      <c r="R39" s="21"/>
    </row>
    <row r="40">
      <c r="A40" s="195"/>
      <c r="B40" s="1119">
        <v>44156.43971590278</v>
      </c>
      <c r="C40" s="1099">
        <v>3.423543570514667</v>
      </c>
      <c r="D40" s="1096">
        <v>63901.091216934656</v>
      </c>
      <c r="E40" s="1097">
        <v>53894.75806903439</v>
      </c>
      <c r="F40" s="1097">
        <v>35835.33927161405</v>
      </c>
      <c r="G40" s="1097">
        <v>51744.77326925999</v>
      </c>
      <c r="H40" s="1097">
        <v>15909.433997645938</v>
      </c>
      <c r="I40" s="1098">
        <v>0.4439593518861462</v>
      </c>
      <c r="J40" s="1099">
        <v>0.85123092</v>
      </c>
      <c r="K40" s="1096">
        <v>15888.386855674798</v>
      </c>
      <c r="L40" s="1098">
        <v>0.4276909943147724</v>
      </c>
      <c r="M40" s="1100">
        <v>41.274355344295444</v>
      </c>
      <c r="N40" s="1123">
        <v>21260.833181400027</v>
      </c>
      <c r="O40" s="1098">
        <v>0.5723090056852276</v>
      </c>
      <c r="P40" s="1096">
        <v>18665.19</v>
      </c>
      <c r="Q40" s="1096">
        <v>515.11</v>
      </c>
    </row>
    <row r="41">
      <c r="A41" s="195"/>
      <c r="B41" s="1119">
        <v>44157.93321209491</v>
      </c>
      <c r="C41" s="1099">
        <v>3.5425714177888055</v>
      </c>
      <c r="D41" s="1096">
        <v>65693.19639147636</v>
      </c>
      <c r="E41" s="1097">
        <v>55413.00839419503</v>
      </c>
      <c r="F41" s="1097">
        <v>35835.33927161405</v>
      </c>
      <c r="G41" s="1097">
        <v>53311.549753315885</v>
      </c>
      <c r="H41" s="1097">
        <v>17476.210481701833</v>
      </c>
      <c r="I41" s="1098">
        <v>0.48768089927210817</v>
      </c>
      <c r="J41" s="1099">
        <v>0.95728526</v>
      </c>
      <c r="K41" s="1096">
        <v>17751.8308514718</v>
      </c>
      <c r="L41" s="1098">
        <v>0.4405181099346449</v>
      </c>
      <c r="M41" s="1100">
        <v>39.703074542227085</v>
      </c>
      <c r="N41" s="1123">
        <v>22545.78790954907</v>
      </c>
      <c r="O41" s="1098">
        <v>0.5594818900653551</v>
      </c>
      <c r="P41" s="1096">
        <v>18543.93</v>
      </c>
      <c r="Q41" s="1096">
        <v>567.86</v>
      </c>
    </row>
    <row r="42">
      <c r="A42" s="195"/>
      <c r="B42" s="1119">
        <v>44160.942891412036</v>
      </c>
      <c r="C42" s="1099">
        <v>3.5216655386930813</v>
      </c>
      <c r="D42" s="1096">
        <v>66403.43368127974</v>
      </c>
      <c r="E42" s="1097">
        <v>55700.59907601605</v>
      </c>
      <c r="F42" s="1097">
        <v>35835.33927161405</v>
      </c>
      <c r="G42" s="1097">
        <v>53516.76120052805</v>
      </c>
      <c r="H42" s="1097">
        <v>17681.421928914002</v>
      </c>
      <c r="I42" s="1098">
        <v>0.493407409788913</v>
      </c>
      <c r="J42" s="1099">
        <v>0.95728526</v>
      </c>
      <c r="K42" s="1096">
        <v>18050.2741041294</v>
      </c>
      <c r="L42" s="1098">
        <v>0.47930042856440075</v>
      </c>
      <c r="M42" s="1100">
        <v>33.763236753810176</v>
      </c>
      <c r="N42" s="1123">
        <v>19609.35027424541</v>
      </c>
      <c r="O42" s="1098">
        <v>0.5206995714355993</v>
      </c>
      <c r="P42" s="1096">
        <v>18855.69</v>
      </c>
      <c r="Q42" s="1096">
        <v>580.79</v>
      </c>
    </row>
    <row r="43">
      <c r="A43" s="195"/>
      <c r="B43" s="1119">
        <v>44163.89615479167</v>
      </c>
      <c r="C43" s="1099">
        <v>3.5448294903994535</v>
      </c>
      <c r="D43" s="1096">
        <v>62977.61796791121</v>
      </c>
      <c r="E43" s="1097">
        <v>52640.32800118794</v>
      </c>
      <c r="F43" s="1097">
        <v>35835.33927161405</v>
      </c>
      <c r="G43" s="1097">
        <v>49341.42041311951</v>
      </c>
      <c r="H43" s="1097">
        <v>13506.081141505456</v>
      </c>
      <c r="I43" s="1098">
        <v>0.37689279398573783</v>
      </c>
      <c r="J43" s="1099">
        <v>0.95728526</v>
      </c>
      <c r="K43" s="1096">
        <v>17007.177793423</v>
      </c>
      <c r="L43" s="1098">
        <v>0.5292028091690828</v>
      </c>
      <c r="M43" s="1100">
        <v>27.738378223649796</v>
      </c>
      <c r="N43" s="1123">
        <v>15130.17578587202</v>
      </c>
      <c r="O43" s="1098">
        <v>0.47079719083091726</v>
      </c>
      <c r="P43" s="1096">
        <v>17766.05</v>
      </c>
      <c r="Q43" s="1096">
        <v>545.46</v>
      </c>
    </row>
    <row r="44">
      <c r="A44" s="195"/>
      <c r="B44" s="1119">
        <v>44165.91757024305</v>
      </c>
      <c r="C44" s="1099">
        <v>3.4830927753185477</v>
      </c>
      <c r="D44" s="1096">
        <v>67467.54188884802</v>
      </c>
      <c r="E44" s="1097">
        <v>56581.30957422866</v>
      </c>
      <c r="F44" s="1097">
        <v>35835.33927161405</v>
      </c>
      <c r="G44" s="1097">
        <v>53007.63304616406</v>
      </c>
      <c r="H44" s="1097">
        <v>17172.29377455001</v>
      </c>
      <c r="I44" s="1098">
        <v>0.47919997755267674</v>
      </c>
      <c r="J44" s="1099">
        <v>0.95728526</v>
      </c>
      <c r="K44" s="1096">
        <v>18542.6250590526</v>
      </c>
      <c r="L44" s="1098">
        <v>0.6324945465447408</v>
      </c>
      <c r="M44" s="1100">
        <v>17.848733440088818</v>
      </c>
      <c r="N44" s="1123">
        <v>10774.030966440812</v>
      </c>
      <c r="O44" s="1098">
        <v>0.36750545345525915</v>
      </c>
      <c r="P44" s="1096">
        <v>19370.01</v>
      </c>
      <c r="Q44" s="1096">
        <v>603.63</v>
      </c>
    </row>
    <row r="45">
      <c r="A45" s="1126"/>
      <c r="B45" s="1119">
        <v>44166.49029372685</v>
      </c>
      <c r="C45" s="1099">
        <v>3.5492913638363195</v>
      </c>
      <c r="D45" s="1096">
        <v>69966.36431829169</v>
      </c>
      <c r="E45" s="1097">
        <v>58450.93693872021</v>
      </c>
      <c r="F45" s="1097">
        <v>35835.33927161405</v>
      </c>
      <c r="G45" s="1097">
        <v>54839.357116416024</v>
      </c>
      <c r="H45" s="1097">
        <v>19004.017844801972</v>
      </c>
      <c r="I45" s="1098">
        <v>0.5303149971808825</v>
      </c>
      <c r="J45" s="1099">
        <v>0.95728526</v>
      </c>
      <c r="K45" s="1096">
        <v>18870.7441547702</v>
      </c>
      <c r="L45" s="1098">
        <v>0.6179206708267853</v>
      </c>
      <c r="M45" s="1100">
        <v>18.71669291051431</v>
      </c>
      <c r="N45" s="1123">
        <v>11668.360694272831</v>
      </c>
      <c r="O45" s="1098">
        <v>0.38207932917321474</v>
      </c>
      <c r="P45" s="1096">
        <v>19712.77</v>
      </c>
      <c r="Q45" s="1096">
        <v>623.42</v>
      </c>
    </row>
    <row r="46">
      <c r="A46" s="1126"/>
      <c r="B46" s="1127">
        <v>44167.0</v>
      </c>
      <c r="C46" s="1099">
        <v>3.576258466673864</v>
      </c>
      <c r="D46" s="1096">
        <v>68570.35730055734</v>
      </c>
      <c r="E46" s="1097">
        <v>56606.556801654595</v>
      </c>
      <c r="F46" s="1097">
        <v>35835.33927161405</v>
      </c>
      <c r="G46" s="1097">
        <v>53195.56759408507</v>
      </c>
      <c r="H46" s="1097">
        <v>17360.22832247102</v>
      </c>
      <c r="I46" s="1098">
        <v>0.4844443690316177</v>
      </c>
      <c r="J46" s="1099">
        <v>0.9170853400000001</v>
      </c>
      <c r="K46" s="1096">
        <v>17583.9833795318</v>
      </c>
      <c r="L46" s="1098">
        <v>0.6111512038896368</v>
      </c>
      <c r="M46" s="1100">
        <v>18.696390349543332</v>
      </c>
      <c r="N46" s="1123">
        <v>11187.919985166729</v>
      </c>
      <c r="O46" s="1098">
        <v>0.3888487961103631</v>
      </c>
      <c r="P46" s="1096">
        <v>19173.77</v>
      </c>
      <c r="Q46" s="1096">
        <v>598.4</v>
      </c>
    </row>
    <row r="47">
      <c r="A47" s="1126"/>
      <c r="B47" s="1119">
        <v>44168.71684594908</v>
      </c>
      <c r="C47" s="1099">
        <v>3.604223451008443</v>
      </c>
      <c r="D47" s="1096">
        <v>69802.887448977</v>
      </c>
      <c r="E47" s="1097">
        <v>57467.97332141825</v>
      </c>
      <c r="F47" s="1097">
        <v>35835.33927161405</v>
      </c>
      <c r="G47" s="1097">
        <v>54070.5338534469</v>
      </c>
      <c r="H47" s="1097">
        <v>18235.194581832846</v>
      </c>
      <c r="I47" s="1098">
        <v>0.5088606652672977</v>
      </c>
      <c r="J47" s="1099">
        <v>0.9170853400000001</v>
      </c>
      <c r="K47" s="1096">
        <v>17761.164267219803</v>
      </c>
      <c r="L47" s="1098">
        <v>0.58372613018536</v>
      </c>
      <c r="M47" s="1100">
        <v>20.703614449212623</v>
      </c>
      <c r="N47" s="1123">
        <v>12666.057247739298</v>
      </c>
      <c r="O47" s="1098">
        <v>0.41627386981464004</v>
      </c>
      <c r="P47" s="1096">
        <v>19366.97</v>
      </c>
      <c r="Q47" s="1096">
        <v>611.78</v>
      </c>
    </row>
    <row r="48">
      <c r="A48" s="1126"/>
      <c r="B48" s="1119">
        <v>44169.68373020833</v>
      </c>
      <c r="C48" s="1099">
        <v>3.5979389678961975</v>
      </c>
      <c r="D48" s="1096">
        <v>68350.19049068278</v>
      </c>
      <c r="E48" s="1097">
        <v>56255.82658826875</v>
      </c>
      <c r="F48" s="1097">
        <v>35835.33927161405</v>
      </c>
      <c r="G48" s="1097">
        <v>52917.81025306597</v>
      </c>
      <c r="H48" s="1097">
        <v>17082.470981451916</v>
      </c>
      <c r="I48" s="1098">
        <v>0.4766934352700076</v>
      </c>
      <c r="J48" s="1099">
        <v>0.9170853400000001</v>
      </c>
      <c r="K48" s="1096">
        <v>17421.9068873936</v>
      </c>
      <c r="L48" s="1098">
        <v>0.5873335839773417</v>
      </c>
      <c r="M48" s="1100">
        <v>20.703614449212623</v>
      </c>
      <c r="N48" s="1123">
        <v>12240.80500695247</v>
      </c>
      <c r="O48" s="1098">
        <v>0.41266641602265824</v>
      </c>
      <c r="P48" s="1096">
        <v>18997.04</v>
      </c>
      <c r="Q48" s="1096">
        <v>591.24</v>
      </c>
    </row>
    <row r="49">
      <c r="A49" s="1126"/>
      <c r="B49" s="1119">
        <v>44170.96709236111</v>
      </c>
      <c r="C49" s="1099">
        <v>3.572428364695587</v>
      </c>
      <c r="D49" s="1096">
        <v>67890.82160979505</v>
      </c>
      <c r="E49" s="1097">
        <v>56001.422769251665</v>
      </c>
      <c r="F49" s="1097">
        <v>35835.33927161405</v>
      </c>
      <c r="G49" s="1097">
        <v>52677.47732886344</v>
      </c>
      <c r="H49" s="1097">
        <v>16842.138057249387</v>
      </c>
      <c r="I49" s="1098">
        <v>0.46998684537613433</v>
      </c>
      <c r="J49" s="1099">
        <v>0.9170853400000001</v>
      </c>
      <c r="K49" s="1096">
        <v>17428.3906807474</v>
      </c>
      <c r="L49" s="1098">
        <v>0.6119234170736397</v>
      </c>
      <c r="M49" s="1100">
        <v>18.67649396690134</v>
      </c>
      <c r="N49" s="1123">
        <v>11052.935894551882</v>
      </c>
      <c r="O49" s="1098">
        <v>0.3880765829263603</v>
      </c>
      <c r="P49" s="1096">
        <v>19004.11</v>
      </c>
      <c r="Q49" s="1096">
        <v>591.81</v>
      </c>
    </row>
    <row r="50">
      <c r="A50" s="1126"/>
      <c r="B50" s="1119">
        <v>44171.0</v>
      </c>
      <c r="C50" s="1099">
        <v>3.5025221935710404</v>
      </c>
      <c r="D50" s="1096">
        <v>67537.62937408713</v>
      </c>
      <c r="E50" s="1097">
        <v>55659.175606810306</v>
      </c>
      <c r="F50" s="1097">
        <v>35835.33927161405</v>
      </c>
      <c r="G50" s="1097">
        <v>52328.65907953855</v>
      </c>
      <c r="H50" s="1097">
        <v>16493.319807924498</v>
      </c>
      <c r="I50" s="1098">
        <v>0.46025292750581587</v>
      </c>
      <c r="J50" s="1099">
        <v>0.9170853400000001</v>
      </c>
      <c r="K50" s="1096">
        <v>17683.7622645238</v>
      </c>
      <c r="L50" s="1098">
        <v>0.6141507075709993</v>
      </c>
      <c r="M50" s="1100">
        <v>18.67649396690134</v>
      </c>
      <c r="N50" s="1123">
        <v>11110.0859660906</v>
      </c>
      <c r="O50" s="1098">
        <v>0.38584929242900073</v>
      </c>
      <c r="P50" s="1096">
        <v>19282.57</v>
      </c>
      <c r="Q50" s="1096">
        <v>594.87</v>
      </c>
    </row>
    <row r="51">
      <c r="A51" s="1126"/>
      <c r="B51" s="1119">
        <v>44173.55546861111</v>
      </c>
      <c r="C51" s="1099">
        <v>3.4638054958809263</v>
      </c>
      <c r="D51" s="1096">
        <v>65254.70101301069</v>
      </c>
      <c r="E51" s="1097">
        <v>53846.48442205206</v>
      </c>
      <c r="F51" s="1097">
        <v>35835.33927161405</v>
      </c>
      <c r="G51" s="1097">
        <v>50583.269593459365</v>
      </c>
      <c r="H51" s="1097">
        <v>14747.930321845313</v>
      </c>
      <c r="I51" s="1098">
        <v>0.41154711024397833</v>
      </c>
      <c r="J51" s="1099">
        <v>1.00793525</v>
      </c>
      <c r="K51" s="1096">
        <v>18988.512333455</v>
      </c>
      <c r="L51" s="1098">
        <v>0.7036656245409292</v>
      </c>
      <c r="M51" s="1100">
        <v>13.867377648095665</v>
      </c>
      <c r="N51" s="1123">
        <v>7996.623320774365</v>
      </c>
      <c r="O51" s="1098">
        <v>0.2963343754590709</v>
      </c>
      <c r="P51" s="1096">
        <v>18839.02</v>
      </c>
      <c r="Q51" s="1096">
        <v>576.65</v>
      </c>
    </row>
    <row r="52">
      <c r="A52" s="1126"/>
      <c r="B52" s="1119">
        <v>44174.97205123842</v>
      </c>
      <c r="C52" s="1099">
        <v>3.5272957951859727</v>
      </c>
      <c r="D52" s="1096">
        <v>65572.6757432129</v>
      </c>
      <c r="E52" s="1097">
        <v>54265.39997737498</v>
      </c>
      <c r="F52" s="1097">
        <v>35835.33927161405</v>
      </c>
      <c r="G52" s="1097">
        <v>51067.11074355228</v>
      </c>
      <c r="H52" s="1097">
        <v>15231.771471938227</v>
      </c>
      <c r="I52" s="1098">
        <v>0.4250488981418307</v>
      </c>
      <c r="J52" s="1099">
        <v>1.00793525</v>
      </c>
      <c r="K52" s="1096">
        <v>18737.586852967503</v>
      </c>
      <c r="L52" s="1098">
        <v>0.7633354194615853</v>
      </c>
      <c r="M52" s="1100">
        <v>10.070907644475817</v>
      </c>
      <c r="N52" s="1123">
        <v>5809.403074715875</v>
      </c>
      <c r="O52" s="1098">
        <v>0.2366645805384146</v>
      </c>
      <c r="P52" s="1096">
        <v>18590.07</v>
      </c>
      <c r="Q52" s="1096">
        <v>576.85</v>
      </c>
    </row>
    <row r="53">
      <c r="A53" s="1126"/>
      <c r="B53" s="1128">
        <v>44178.833294027776</v>
      </c>
      <c r="C53" s="1129">
        <v>3.451813571767909</v>
      </c>
      <c r="D53" s="1130">
        <v>66232.70845236829</v>
      </c>
      <c r="E53" s="1131">
        <v>54679.177764439635</v>
      </c>
      <c r="F53" s="1131">
        <v>35835.33927161405</v>
      </c>
      <c r="G53" s="1131">
        <v>51418.88997235984</v>
      </c>
      <c r="H53" s="1131">
        <v>15583.550700745785</v>
      </c>
      <c r="I53" s="1122">
        <v>0.43486544337225946</v>
      </c>
      <c r="J53" s="1129">
        <v>1.00793525</v>
      </c>
      <c r="K53" s="1130">
        <v>19340.05998995</v>
      </c>
      <c r="L53" s="1122">
        <v>0.7520024297240426</v>
      </c>
      <c r="M53" s="1120">
        <v>10.782974851254561</v>
      </c>
      <c r="N53" s="1121">
        <v>6378.0217947685605</v>
      </c>
      <c r="O53" s="1122">
        <v>0.24799757027595737</v>
      </c>
      <c r="P53" s="1130">
        <v>19187.8</v>
      </c>
      <c r="Q53" s="1130">
        <v>591.49</v>
      </c>
    </row>
    <row r="54">
      <c r="A54" s="1126"/>
      <c r="B54" s="1119">
        <v>44179.91644501158</v>
      </c>
      <c r="C54" s="1099">
        <v>3.51097299011669</v>
      </c>
      <c r="D54" s="1096">
        <v>67329.36727578935</v>
      </c>
      <c r="E54" s="1097">
        <v>55447.25160479724</v>
      </c>
      <c r="F54" s="1097">
        <v>35835.33927161405</v>
      </c>
      <c r="G54" s="1097">
        <v>52202.33395975311</v>
      </c>
      <c r="H54" s="1097">
        <v>16366.994688139057</v>
      </c>
      <c r="I54" s="1098">
        <v>0.45672777266277226</v>
      </c>
      <c r="J54" s="1099">
        <v>1.00793525</v>
      </c>
      <c r="K54" s="1096">
        <v>19329.01301961</v>
      </c>
      <c r="L54" s="1098">
        <v>0.7246994855517044</v>
      </c>
      <c r="M54" s="1100">
        <v>12.519608032630877</v>
      </c>
      <c r="N54" s="1123">
        <v>7342.75011113801</v>
      </c>
      <c r="O54" s="1098">
        <v>0.27530051444829556</v>
      </c>
      <c r="P54" s="1096">
        <v>19176.84</v>
      </c>
      <c r="Q54" s="1096">
        <v>586.5</v>
      </c>
    </row>
    <row r="55">
      <c r="A55" s="1126"/>
      <c r="B55" s="1119">
        <v>44180.8956090625</v>
      </c>
      <c r="C55" s="1099">
        <v>3.552172784289021</v>
      </c>
      <c r="D55" s="1096">
        <v>69265.4511203324</v>
      </c>
      <c r="E55" s="1097">
        <v>56984.70176184918</v>
      </c>
      <c r="F55" s="1097">
        <v>35835.33927161405</v>
      </c>
      <c r="G55" s="1097">
        <v>53702.56813752277</v>
      </c>
      <c r="H55" s="1097">
        <v>17867.22886590872</v>
      </c>
      <c r="I55" s="1098">
        <v>0.49859242940283083</v>
      </c>
      <c r="J55" s="1099">
        <v>1.00793525</v>
      </c>
      <c r="K55" s="1096">
        <v>19654.193089965</v>
      </c>
      <c r="L55" s="1098">
        <v>0.7261398503610645</v>
      </c>
      <c r="M55" s="1100">
        <v>12.519608032630877</v>
      </c>
      <c r="N55" s="1123">
        <v>7412.484327879764</v>
      </c>
      <c r="O55" s="1098">
        <v>0.27386014963893557</v>
      </c>
      <c r="P55" s="1096">
        <v>19499.46</v>
      </c>
      <c r="Q55" s="1096">
        <v>592.07</v>
      </c>
    </row>
    <row r="56">
      <c r="A56" s="1126"/>
      <c r="B56" s="1119">
        <v>44182.37695012732</v>
      </c>
      <c r="C56" s="1099">
        <v>3.306381832944315</v>
      </c>
      <c r="D56" s="1096">
        <v>74089.4041126162</v>
      </c>
      <c r="E56" s="1097">
        <v>60542.13276467513</v>
      </c>
      <c r="F56" s="1097">
        <v>35835.33927161405</v>
      </c>
      <c r="G56" s="1097">
        <v>56906.425017931724</v>
      </c>
      <c r="H56" s="1097">
        <v>21071.085746317673</v>
      </c>
      <c r="I56" s="1098">
        <v>0.5879973839959857</v>
      </c>
      <c r="J56" s="1099">
        <v>1.00793525</v>
      </c>
      <c r="K56" s="1096">
        <v>22585.813082</v>
      </c>
      <c r="L56" s="1098">
        <v>0.6812600059623981</v>
      </c>
      <c r="M56" s="1100">
        <v>16.33032046723125</v>
      </c>
      <c r="N56" s="1123">
        <v>10567.18707114067</v>
      </c>
      <c r="O56" s="1098">
        <v>0.3187399940376018</v>
      </c>
      <c r="P56" s="1096">
        <v>22408.0</v>
      </c>
      <c r="Q56" s="1096">
        <v>647.09</v>
      </c>
    </row>
    <row r="57">
      <c r="A57" s="1126"/>
      <c r="B57" s="1119">
        <v>44184.89210165509</v>
      </c>
      <c r="C57" s="1099">
        <v>3.2873366936533714</v>
      </c>
      <c r="D57" s="1096">
        <v>78347.0954198408</v>
      </c>
      <c r="E57" s="1097">
        <v>63909.67150855311</v>
      </c>
      <c r="F57" s="1097">
        <v>37835.33927161405</v>
      </c>
      <c r="G57" s="1097">
        <v>60183.92980061668</v>
      </c>
      <c r="H57" s="1097">
        <v>22348.590529002628</v>
      </c>
      <c r="I57" s="1098">
        <v>0.5906803258341508</v>
      </c>
      <c r="J57" s="1099">
        <v>1.00793525</v>
      </c>
      <c r="K57" s="1096">
        <v>24022.12081325</v>
      </c>
      <c r="L57" s="1098">
        <v>0.7842655702180727</v>
      </c>
      <c r="M57" s="1100">
        <v>9.984080756550387</v>
      </c>
      <c r="N57" s="1123">
        <v>6607.963848722874</v>
      </c>
      <c r="O57" s="1098">
        <v>0.21573442978192725</v>
      </c>
      <c r="P57" s="1096">
        <v>23833.0</v>
      </c>
      <c r="Q57" s="1096">
        <v>661.85</v>
      </c>
    </row>
    <row r="58">
      <c r="A58" s="1126"/>
      <c r="B58" s="1119">
        <v>44185.82788164352</v>
      </c>
      <c r="C58" s="1099">
        <v>3.4587079134704632</v>
      </c>
      <c r="D58" s="1096">
        <v>82102.80844996186</v>
      </c>
      <c r="E58" s="1097">
        <v>66981.37203934812</v>
      </c>
      <c r="F58" s="1097">
        <v>37835.33927161405</v>
      </c>
      <c r="G58" s="1097">
        <v>63229.86096567112</v>
      </c>
      <c r="H58" s="1097">
        <v>25394.521694057068</v>
      </c>
      <c r="I58" s="1098">
        <v>0.6711852512211857</v>
      </c>
      <c r="J58" s="1099">
        <v>1.00793525</v>
      </c>
      <c r="K58" s="1096">
        <v>23926.3669645</v>
      </c>
      <c r="L58" s="1098">
        <v>0.7873374054085404</v>
      </c>
      <c r="M58" s="1100">
        <v>9.984080756550387</v>
      </c>
      <c r="N58" s="1123">
        <v>6462.5956329075</v>
      </c>
      <c r="O58" s="1098">
        <v>0.21266259459145956</v>
      </c>
      <c r="P58" s="1096">
        <v>23738.0</v>
      </c>
      <c r="Q58" s="1096">
        <v>647.29</v>
      </c>
    </row>
    <row r="59">
      <c r="A59" s="1126"/>
      <c r="B59" s="1119">
        <v>44186.69929457176</v>
      </c>
      <c r="C59" s="1099">
        <v>3.379454538660341</v>
      </c>
      <c r="D59" s="1096">
        <v>77950.49838873943</v>
      </c>
      <c r="E59" s="1097">
        <v>63767.43460816279</v>
      </c>
      <c r="F59" s="1097">
        <v>37835.33927161405</v>
      </c>
      <c r="G59" s="1097">
        <v>60183.93459600023</v>
      </c>
      <c r="H59" s="1097">
        <v>22348.59532438618</v>
      </c>
      <c r="I59" s="1098">
        <v>0.5906804525776568</v>
      </c>
      <c r="J59" s="1099">
        <v>1.00793525</v>
      </c>
      <c r="K59" s="1096">
        <v>23249.0344765</v>
      </c>
      <c r="L59" s="1098">
        <v>0.8261695945323683</v>
      </c>
      <c r="M59" s="1100">
        <v>7.970862799550386</v>
      </c>
      <c r="N59" s="1123">
        <v>4891.718500084073</v>
      </c>
      <c r="O59" s="1098">
        <v>0.17383040546763168</v>
      </c>
      <c r="P59" s="1096">
        <v>23066.0</v>
      </c>
      <c r="Q59" s="1096">
        <v>613.7</v>
      </c>
    </row>
    <row r="60">
      <c r="A60" s="1126"/>
      <c r="B60" s="1119">
        <v>44187.41241954861</v>
      </c>
      <c r="C60" s="1099">
        <v>3.498419270689731</v>
      </c>
      <c r="D60" s="1096">
        <v>79200.71386914482</v>
      </c>
      <c r="E60" s="1097">
        <v>64821.19612502152</v>
      </c>
      <c r="F60" s="1097">
        <v>37835.33927161405</v>
      </c>
      <c r="G60" s="1097">
        <v>61353.598495175145</v>
      </c>
      <c r="H60" s="1097">
        <v>23518.259223561094</v>
      </c>
      <c r="I60" s="1098">
        <v>0.6215950398839335</v>
      </c>
      <c r="J60" s="1099">
        <v>1.00793525</v>
      </c>
      <c r="K60" s="1096">
        <v>22818.64612475</v>
      </c>
      <c r="L60" s="1098">
        <v>0.7604840638179916</v>
      </c>
      <c r="M60" s="1100">
        <v>12.054710009550387</v>
      </c>
      <c r="N60" s="1123">
        <v>7186.777013493749</v>
      </c>
      <c r="O60" s="1098">
        <v>0.23951593618200842</v>
      </c>
      <c r="P60" s="1096">
        <v>22639.0</v>
      </c>
      <c r="Q60" s="1096">
        <v>596.18</v>
      </c>
    </row>
    <row r="61">
      <c r="A61" s="1126"/>
      <c r="B61" s="1119">
        <v>44189.733925625</v>
      </c>
      <c r="C61" s="1099">
        <v>3.6210697265262275</v>
      </c>
      <c r="D61" s="1096">
        <v>84638.88378782404</v>
      </c>
      <c r="E61" s="1097">
        <v>69467.21721553266</v>
      </c>
      <c r="F61" s="1097">
        <v>37835.33927161405</v>
      </c>
      <c r="G61" s="1097">
        <v>66056.03382888161</v>
      </c>
      <c r="H61" s="1097">
        <v>28220.69455726756</v>
      </c>
      <c r="I61" s="1098">
        <v>0.7458818950895499</v>
      </c>
      <c r="J61" s="1099">
        <v>1.00793525</v>
      </c>
      <c r="K61" s="1096">
        <v>23559.4785335</v>
      </c>
      <c r="L61" s="1098">
        <v>0.7342350361757605</v>
      </c>
      <c r="M61" s="1100">
        <v>14.406238745554141</v>
      </c>
      <c r="N61" s="1123">
        <v>8527.628963043318</v>
      </c>
      <c r="O61" s="1098">
        <v>0.2657649638242395</v>
      </c>
      <c r="P61" s="1096">
        <v>23374.0</v>
      </c>
      <c r="Q61" s="1096">
        <v>591.94</v>
      </c>
    </row>
    <row r="62">
      <c r="A62" s="1126"/>
      <c r="B62" s="1119">
        <v>44190.98044260417</v>
      </c>
      <c r="C62" s="1099">
        <v>3.434770824972322</v>
      </c>
      <c r="D62" s="1096">
        <v>83351.58360960333</v>
      </c>
      <c r="E62" s="1097">
        <v>68365.50676170785</v>
      </c>
      <c r="F62" s="1097">
        <v>37835.33927161405</v>
      </c>
      <c r="G62" s="1097">
        <v>64833.21907596383</v>
      </c>
      <c r="H62" s="1097">
        <v>26997.87980434978</v>
      </c>
      <c r="I62" s="1098">
        <v>0.713562513885132</v>
      </c>
      <c r="J62" s="1099">
        <v>1.00793525</v>
      </c>
      <c r="K62" s="1096">
        <v>24459.56471175</v>
      </c>
      <c r="L62" s="1098">
        <v>0.7749156066697062</v>
      </c>
      <c r="M62" s="1100">
        <v>11.51867104915394</v>
      </c>
      <c r="N62" s="1123">
        <v>7104.601116407659</v>
      </c>
      <c r="O62" s="1098">
        <v>0.22508439333029384</v>
      </c>
      <c r="P62" s="1096">
        <v>24267.0</v>
      </c>
      <c r="Q62" s="1096">
        <v>616.79</v>
      </c>
    </row>
    <row r="63">
      <c r="A63" s="1126"/>
      <c r="B63" s="1119">
        <v>44191.48551180556</v>
      </c>
      <c r="C63" s="1099">
        <v>3.349525202768915</v>
      </c>
      <c r="D63" s="1096">
        <v>83322.78894407953</v>
      </c>
      <c r="E63" s="1097">
        <v>68340.36271209417</v>
      </c>
      <c r="F63" s="1097">
        <v>37835.33927161405</v>
      </c>
      <c r="G63" s="1097">
        <v>64719.51028570468</v>
      </c>
      <c r="H63" s="1097">
        <v>26884.17101409063</v>
      </c>
      <c r="I63" s="1098">
        <v>0.7105571545452076</v>
      </c>
      <c r="J63" s="1099">
        <v>1.00793525</v>
      </c>
      <c r="K63" s="1096">
        <v>25073.397279</v>
      </c>
      <c r="L63" s="1098">
        <v>0.7804862420783925</v>
      </c>
      <c r="M63" s="1100">
        <v>11.308462653153942</v>
      </c>
      <c r="N63" s="1123">
        <v>7051.957310506798</v>
      </c>
      <c r="O63" s="1098">
        <v>0.21951375792160752</v>
      </c>
      <c r="P63" s="1096">
        <v>24876.0</v>
      </c>
      <c r="Q63" s="1096">
        <v>623.6</v>
      </c>
    </row>
    <row r="64">
      <c r="A64" s="1126"/>
      <c r="B64" s="1119">
        <v>44192.67785247685</v>
      </c>
      <c r="C64" s="1099">
        <v>3.246668097661823</v>
      </c>
      <c r="D64" s="1096">
        <v>89150.259293696</v>
      </c>
      <c r="E64" s="1097">
        <v>72576.01865513239</v>
      </c>
      <c r="F64" s="1097">
        <v>37835.33927161405</v>
      </c>
      <c r="G64" s="1097">
        <v>68786.68618412063</v>
      </c>
      <c r="H64" s="1097">
        <v>30951.346912506575</v>
      </c>
      <c r="I64" s="1098">
        <v>0.8180539016793702</v>
      </c>
      <c r="J64" s="1099">
        <v>1.0528158300000001</v>
      </c>
      <c r="K64" s="1096">
        <v>28909.269875970003</v>
      </c>
      <c r="L64" s="1098">
        <v>0.6718263979527909</v>
      </c>
      <c r="M64" s="1100">
        <v>20.303064382650295</v>
      </c>
      <c r="N64" s="1123">
        <v>14121.593400708585</v>
      </c>
      <c r="O64" s="1098">
        <v>0.32817360204720913</v>
      </c>
      <c r="P64" s="1096">
        <v>27459.0</v>
      </c>
      <c r="Q64" s="1096">
        <v>695.54</v>
      </c>
    </row>
    <row r="65">
      <c r="A65" s="1126"/>
      <c r="B65" s="1119">
        <v>44193.69827030093</v>
      </c>
      <c r="C65" s="1099">
        <v>3.398156692670796</v>
      </c>
      <c r="D65" s="1096">
        <v>91896.35143989633</v>
      </c>
      <c r="E65" s="1097">
        <v>75167.226041878</v>
      </c>
      <c r="F65" s="1097">
        <v>37835.33927161405</v>
      </c>
      <c r="G65" s="1097">
        <v>71379.32161253913</v>
      </c>
      <c r="H65" s="1097">
        <v>33543.98234092508</v>
      </c>
      <c r="I65" s="1098">
        <v>0.8865780771811775</v>
      </c>
      <c r="J65" s="1099">
        <v>1.0528158300000001</v>
      </c>
      <c r="K65" s="1096">
        <v>28471.298490690002</v>
      </c>
      <c r="L65" s="1098">
        <v>0.6565222506716211</v>
      </c>
      <c r="M65" s="1100">
        <v>20.303064382650295</v>
      </c>
      <c r="N65" s="1123">
        <v>14895.546214975215</v>
      </c>
      <c r="O65" s="1098">
        <v>0.34347774932837893</v>
      </c>
      <c r="P65" s="1096">
        <v>27043.0</v>
      </c>
      <c r="Q65" s="1096">
        <v>733.66</v>
      </c>
    </row>
    <row r="66">
      <c r="A66" s="1126"/>
      <c r="B66" s="1119">
        <v>44194.06791997685</v>
      </c>
      <c r="C66" s="1099">
        <v>3.4291648554260377</v>
      </c>
      <c r="D66" s="1096">
        <v>92333.69289720149</v>
      </c>
      <c r="E66" s="1097">
        <v>75510.21011648135</v>
      </c>
      <c r="F66" s="1097">
        <v>37835.33927161405</v>
      </c>
      <c r="G66" s="1097">
        <v>71739.43002904726</v>
      </c>
      <c r="H66" s="1097">
        <v>33904.09075743321</v>
      </c>
      <c r="I66" s="1098">
        <v>0.8960958566815268</v>
      </c>
      <c r="J66" s="1099">
        <v>1.0528158300000001</v>
      </c>
      <c r="K66" s="1096">
        <v>28348.119038580004</v>
      </c>
      <c r="L66" s="1098">
        <v>0.6557963323860098</v>
      </c>
      <c r="M66" s="1100">
        <v>20.303064382650295</v>
      </c>
      <c r="N66" s="1123">
        <v>14878.897702181443</v>
      </c>
      <c r="O66" s="1098">
        <v>0.3442036676139902</v>
      </c>
      <c r="P66" s="1096">
        <v>26926.0</v>
      </c>
      <c r="Q66" s="1096">
        <v>732.84</v>
      </c>
    </row>
    <row r="67">
      <c r="A67" s="1126"/>
      <c r="B67" s="1119">
        <v>44195.66960175926</v>
      </c>
      <c r="C67" s="1099">
        <v>3.248372467535501</v>
      </c>
      <c r="D67" s="1096">
        <v>90951.18071852649</v>
      </c>
      <c r="E67" s="1097">
        <v>74062.89225980942</v>
      </c>
      <c r="F67" s="1097">
        <v>37835.33927161405</v>
      </c>
      <c r="G67" s="1097">
        <v>70237.37012507266</v>
      </c>
      <c r="H67" s="1097">
        <v>32402.030853458607</v>
      </c>
      <c r="I67" s="1098">
        <v>0.8563959376933147</v>
      </c>
      <c r="J67" s="1099">
        <v>1.0528158300000001</v>
      </c>
      <c r="K67" s="1096">
        <v>29477.79042417</v>
      </c>
      <c r="L67" s="1098">
        <v>0.6685222416748888</v>
      </c>
      <c r="M67" s="1100">
        <v>20.012001790128874</v>
      </c>
      <c r="N67" s="1123">
        <v>14616.165747456425</v>
      </c>
      <c r="O67" s="1098">
        <v>0.33147775832511106</v>
      </c>
      <c r="P67" s="1096">
        <v>27999.0</v>
      </c>
      <c r="Q67" s="1096">
        <v>730.37</v>
      </c>
    </row>
    <row r="68">
      <c r="A68" s="1126"/>
      <c r="B68" s="1119">
        <v>44196.44594689815</v>
      </c>
      <c r="C68" s="1099">
        <v>3.2383111353944716</v>
      </c>
      <c r="D68" s="1096">
        <v>93671.38790242048</v>
      </c>
      <c r="E68" s="1097">
        <v>76213.65257150888</v>
      </c>
      <c r="F68" s="1097">
        <v>37835.33927161405</v>
      </c>
      <c r="G68" s="1097">
        <v>72313.62907146069</v>
      </c>
      <c r="H68" s="1097">
        <v>34478.289799846636</v>
      </c>
      <c r="I68" s="1098">
        <v>0.9112721192304455</v>
      </c>
      <c r="J68" s="1099">
        <v>1.0528158300000001</v>
      </c>
      <c r="K68" s="1096">
        <v>30453.750698580003</v>
      </c>
      <c r="L68" s="1098">
        <v>0.6827644951861993</v>
      </c>
      <c r="M68" s="1100">
        <v>19.001750900128876</v>
      </c>
      <c r="N68" s="1123">
        <v>14149.843825289969</v>
      </c>
      <c r="O68" s="1098">
        <v>0.31723550481380075</v>
      </c>
      <c r="P68" s="1096">
        <v>28926.0</v>
      </c>
      <c r="Q68" s="1096">
        <v>744.66</v>
      </c>
    </row>
    <row r="69">
      <c r="A69" s="1126"/>
      <c r="B69" s="1119">
        <v>44197.91152347223</v>
      </c>
      <c r="C69" s="1099">
        <v>3.1269743359581446</v>
      </c>
      <c r="D69" s="1096">
        <v>91463.99932677572</v>
      </c>
      <c r="E69" s="1097">
        <v>75366.3354452632</v>
      </c>
      <c r="F69" s="1097">
        <v>37835.33927161405</v>
      </c>
      <c r="G69" s="1097">
        <v>71380.68637436008</v>
      </c>
      <c r="H69" s="1097">
        <v>33545.34710274603</v>
      </c>
      <c r="I69" s="1098">
        <v>0.8866141482683471</v>
      </c>
      <c r="J69" s="1099">
        <v>1.0891110800000001</v>
      </c>
      <c r="K69" s="1096">
        <v>31856.499090000005</v>
      </c>
      <c r="L69" s="1098">
        <v>0.632730259469322</v>
      </c>
      <c r="M69" s="1100">
        <v>25.373133465948854</v>
      </c>
      <c r="N69" s="1123">
        <v>18491.178475979545</v>
      </c>
      <c r="O69" s="1098">
        <v>0.36726974053067796</v>
      </c>
      <c r="P69" s="1096">
        <v>29250.0</v>
      </c>
      <c r="Q69" s="1096">
        <v>728.77</v>
      </c>
    </row>
    <row r="70">
      <c r="A70" s="1126"/>
      <c r="B70" s="1119">
        <v>44199.92813461805</v>
      </c>
      <c r="C70" s="1099">
        <v>3.12336129649432</v>
      </c>
      <c r="D70" s="1096">
        <v>105810.11064133808</v>
      </c>
      <c r="E70" s="1097">
        <v>86432.7771578873</v>
      </c>
      <c r="F70" s="1097">
        <v>37835.33927161405</v>
      </c>
      <c r="G70" s="1097">
        <v>82076.66017179243</v>
      </c>
      <c r="H70" s="1097">
        <v>44241.32090017838</v>
      </c>
      <c r="I70" s="1098">
        <v>1.1693121233188046</v>
      </c>
      <c r="J70" s="1099">
        <v>1.0891110800000001</v>
      </c>
      <c r="K70" s="1096">
        <v>36895.81605716</v>
      </c>
      <c r="L70" s="1098">
        <v>0.6103346176183565</v>
      </c>
      <c r="M70" s="1100">
        <v>24.713290665010206</v>
      </c>
      <c r="N70" s="1123">
        <v>23555.96726316778</v>
      </c>
      <c r="O70" s="1098">
        <v>0.3896653823816434</v>
      </c>
      <c r="P70" s="1096">
        <v>33877.0</v>
      </c>
      <c r="Q70" s="1096">
        <v>953.17</v>
      </c>
    </row>
    <row r="71">
      <c r="A71" s="1126"/>
      <c r="B71" s="1119">
        <v>44200.79782327546</v>
      </c>
      <c r="C71" s="1099">
        <v>3.436499263543953</v>
      </c>
      <c r="D71" s="1096">
        <v>106809.8336102096</v>
      </c>
      <c r="E71" s="1097">
        <v>87173.67681831944</v>
      </c>
      <c r="F71" s="1097">
        <v>37835.33927161405</v>
      </c>
      <c r="G71" s="1097">
        <v>82952.52901689793</v>
      </c>
      <c r="H71" s="1097">
        <v>45117.189745283875</v>
      </c>
      <c r="I71" s="1098">
        <v>1.1924616142964795</v>
      </c>
      <c r="J71" s="1099">
        <v>1.0891110800000001</v>
      </c>
      <c r="K71" s="1096">
        <v>33850.661477480004</v>
      </c>
      <c r="L71" s="1098">
        <v>0.5755583300925788</v>
      </c>
      <c r="M71" s="1100">
        <v>24.908147677272307</v>
      </c>
      <c r="N71" s="1123">
        <v>24962.94560216231</v>
      </c>
      <c r="O71" s="1098">
        <v>0.4244416699074211</v>
      </c>
      <c r="P71" s="1096">
        <v>31081.0</v>
      </c>
      <c r="Q71" s="1096">
        <v>1002.2</v>
      </c>
    </row>
    <row r="72">
      <c r="A72" s="1126"/>
      <c r="B72" s="1119">
        <v>44201.438813333334</v>
      </c>
      <c r="C72" s="1099">
        <v>3.560333684513529</v>
      </c>
      <c r="D72" s="1096">
        <v>111904.84803794473</v>
      </c>
      <c r="E72" s="1097">
        <v>91119.61998775473</v>
      </c>
      <c r="F72" s="1097">
        <v>37835.33927161405</v>
      </c>
      <c r="G72" s="1097">
        <v>86878.56192798277</v>
      </c>
      <c r="H72" s="1097">
        <v>49043.222656368715</v>
      </c>
      <c r="I72" s="1098">
        <v>1.296227907573261</v>
      </c>
      <c r="J72" s="1099">
        <v>1.0891110800000001</v>
      </c>
      <c r="K72" s="1096">
        <v>34231.850355480005</v>
      </c>
      <c r="L72" s="1098">
        <v>0.5709348301389444</v>
      </c>
      <c r="M72" s="1100">
        <v>24.82096957717886</v>
      </c>
      <c r="N72" s="1123">
        <v>25725.693918267032</v>
      </c>
      <c r="O72" s="1098">
        <v>0.4290651698610556</v>
      </c>
      <c r="P72" s="1096">
        <v>31431.0</v>
      </c>
      <c r="Q72" s="1096">
        <v>1036.45</v>
      </c>
    </row>
    <row r="73">
      <c r="A73" s="1126"/>
      <c r="B73" s="1119">
        <v>44202.906798310185</v>
      </c>
      <c r="C73" s="1099">
        <v>3.432242662548594</v>
      </c>
      <c r="D73" s="1096">
        <v>122036.8201095778</v>
      </c>
      <c r="E73" s="1097">
        <v>99106.00688109064</v>
      </c>
      <c r="F73" s="1097">
        <v>37835.33927161405</v>
      </c>
      <c r="G73" s="1097">
        <v>94826.30629840009</v>
      </c>
      <c r="H73" s="1097">
        <v>56990.967026786035</v>
      </c>
      <c r="I73" s="1098">
        <v>1.5062893084599214</v>
      </c>
      <c r="J73" s="1099">
        <v>1.0726210800000002</v>
      </c>
      <c r="K73" s="1096">
        <v>38138.11512048001</v>
      </c>
      <c r="L73" s="1098">
        <v>0.5515357840920446</v>
      </c>
      <c r="M73" s="1100">
        <v>26.002486466134112</v>
      </c>
      <c r="N73" s="1123">
        <v>31010.8253843762</v>
      </c>
      <c r="O73" s="1098">
        <v>0.4484642159079555</v>
      </c>
      <c r="P73" s="1096">
        <v>35556.0</v>
      </c>
      <c r="Q73" s="1096">
        <v>1192.61</v>
      </c>
    </row>
    <row r="74">
      <c r="A74" s="1126"/>
      <c r="B74" s="1119">
        <v>44203.26178443287</v>
      </c>
      <c r="C74" s="1099">
        <v>3.341738095074462</v>
      </c>
      <c r="D74" s="1096">
        <v>124994.37170816517</v>
      </c>
      <c r="E74" s="1097">
        <v>101448.48509027052</v>
      </c>
      <c r="F74" s="1097">
        <v>37835.33927161405</v>
      </c>
      <c r="G74" s="1097">
        <v>97060.88287534514</v>
      </c>
      <c r="H74" s="1097">
        <v>59225.54360373109</v>
      </c>
      <c r="I74" s="1098">
        <v>1.5653498751143755</v>
      </c>
      <c r="J74" s="1099">
        <v>1.0726210800000002</v>
      </c>
      <c r="K74" s="1096">
        <v>40120.31887632001</v>
      </c>
      <c r="L74" s="1098">
        <v>0.5600465951156702</v>
      </c>
      <c r="M74" s="1100">
        <v>26.02335630355848</v>
      </c>
      <c r="N74" s="1123">
        <v>31517.147052802706</v>
      </c>
      <c r="O74" s="1098">
        <v>0.43995340488432977</v>
      </c>
      <c r="P74" s="1096">
        <v>37404.0</v>
      </c>
      <c r="Q74" s="1096">
        <v>1211.11</v>
      </c>
    </row>
    <row r="75">
      <c r="A75" s="1126"/>
      <c r="B75" s="1119">
        <v>44204.720452037036</v>
      </c>
      <c r="C75" s="1099">
        <v>3.0680628647564805</v>
      </c>
      <c r="D75" s="1096">
        <v>125805.91776933949</v>
      </c>
      <c r="E75" s="1097">
        <v>102654.31539188708</v>
      </c>
      <c r="F75" s="1097">
        <v>37835.33927161405</v>
      </c>
      <c r="G75" s="1097">
        <v>98226.28756127661</v>
      </c>
      <c r="H75" s="1097">
        <v>60390.948289662556</v>
      </c>
      <c r="I75" s="1098">
        <v>1.5961518900656677</v>
      </c>
      <c r="J75" s="1099">
        <v>1.0690992841709201</v>
      </c>
      <c r="K75" s="1096">
        <v>43838.41614742858</v>
      </c>
      <c r="L75" s="1098">
        <v>0.581901829656066</v>
      </c>
      <c r="M75" s="1100">
        <v>25.750094427838334</v>
      </c>
      <c r="N75" s="1123">
        <v>31498.03050602041</v>
      </c>
      <c r="O75" s="1098">
        <v>0.41809817034393393</v>
      </c>
      <c r="P75" s="1096">
        <v>41005.0</v>
      </c>
      <c r="Q75" s="1096">
        <v>1223.22</v>
      </c>
    </row>
    <row r="76">
      <c r="A76" s="1126"/>
      <c r="B76" s="1119">
        <v>44205.417844606476</v>
      </c>
      <c r="C76" s="1099">
        <v>3.0631232574916014</v>
      </c>
      <c r="D76" s="1096">
        <v>123538.82409789378</v>
      </c>
      <c r="E76" s="1097">
        <v>101055.49938790542</v>
      </c>
      <c r="F76" s="1097">
        <v>37835.33927161405</v>
      </c>
      <c r="G76" s="1097">
        <v>96677.13055911571</v>
      </c>
      <c r="H76" s="1097">
        <v>58841.79128750166</v>
      </c>
      <c r="I76" s="1098">
        <v>1.555207179855995</v>
      </c>
      <c r="J76" s="1099">
        <v>1.0697337166553136</v>
      </c>
      <c r="K76" s="1096">
        <v>43143.43052642545</v>
      </c>
      <c r="L76" s="1098">
        <v>0.5884188441411526</v>
      </c>
      <c r="M76" s="1100">
        <v>24.820715781891913</v>
      </c>
      <c r="N76" s="1123">
        <v>30177.522661939824</v>
      </c>
      <c r="O76" s="1098">
        <v>0.41158115585884747</v>
      </c>
      <c r="P76" s="1096">
        <v>40331.0</v>
      </c>
      <c r="Q76" s="1096">
        <v>1215.82</v>
      </c>
    </row>
    <row r="77">
      <c r="A77" s="1126"/>
      <c r="B77" s="1119">
        <v>44206.51624703704</v>
      </c>
      <c r="C77" s="1099">
        <v>3.1972323912565517</v>
      </c>
      <c r="D77" s="1096">
        <v>129232.13325458982</v>
      </c>
      <c r="E77" s="1097">
        <v>105710.09455211538</v>
      </c>
      <c r="F77" s="1097">
        <v>37835.33927161405</v>
      </c>
      <c r="G77" s="1097">
        <v>101260.65129425144</v>
      </c>
      <c r="H77" s="1097">
        <v>63425.31202263739</v>
      </c>
      <c r="I77" s="1098">
        <v>1.6763510845592497</v>
      </c>
      <c r="J77" s="1099">
        <v>1.0746663862655637</v>
      </c>
      <c r="K77" s="1096">
        <v>43438.015332854084</v>
      </c>
      <c r="L77" s="1098">
        <v>0.5769838948820718</v>
      </c>
      <c r="M77" s="1100">
        <v>24.171815195609554</v>
      </c>
      <c r="N77" s="1123">
        <v>31846.608238367542</v>
      </c>
      <c r="O77" s="1098">
        <v>0.4230161051179282</v>
      </c>
      <c r="P77" s="1096">
        <v>40420.0</v>
      </c>
      <c r="Q77" s="1096">
        <v>1317.51</v>
      </c>
    </row>
    <row r="78">
      <c r="A78" s="1126"/>
      <c r="B78" s="1119">
        <v>44207.78695175926</v>
      </c>
      <c r="C78" s="1099">
        <v>3.1432347694717593</v>
      </c>
      <c r="D78" s="1096">
        <v>103072.95456051793</v>
      </c>
      <c r="E78" s="1097">
        <v>84700.74733295549</v>
      </c>
      <c r="F78" s="1097">
        <v>37835.33927161405</v>
      </c>
      <c r="G78" s="1097">
        <v>81169.62744685377</v>
      </c>
      <c r="H78" s="1097">
        <v>43334.28817523972</v>
      </c>
      <c r="I78" s="1098">
        <v>1.145338961127045</v>
      </c>
      <c r="J78" s="1099">
        <v>1.07693213</v>
      </c>
      <c r="K78" s="1096">
        <v>35314.758406960005</v>
      </c>
      <c r="L78" s="1098">
        <v>0.6375157641806332</v>
      </c>
      <c r="M78" s="1100">
        <v>20.2117561421171</v>
      </c>
      <c r="N78" s="1123">
        <v>20079.571256947656</v>
      </c>
      <c r="O78" s="1098">
        <v>0.36248423581936695</v>
      </c>
      <c r="P78" s="1096">
        <v>32792.0</v>
      </c>
      <c r="Q78" s="1096">
        <v>993.46</v>
      </c>
    </row>
    <row r="79">
      <c r="A79" s="1126"/>
      <c r="B79" s="1119">
        <v>44208.50826165509</v>
      </c>
      <c r="C79" s="1099">
        <v>3.211067811348066</v>
      </c>
      <c r="D79" s="1096">
        <v>113010.32055258383</v>
      </c>
      <c r="E79" s="1097">
        <v>93043.90090162156</v>
      </c>
      <c r="F79" s="1097">
        <v>37835.33927161405</v>
      </c>
      <c r="G79" s="1097">
        <v>89236.11908473076</v>
      </c>
      <c r="H79" s="1097">
        <v>51400.77981311671</v>
      </c>
      <c r="I79" s="1098">
        <v>1.3585388899018047</v>
      </c>
      <c r="J79" s="1099">
        <v>1.0739321300000002</v>
      </c>
      <c r="K79" s="1096">
        <v>37795.967383220006</v>
      </c>
      <c r="L79" s="1098">
        <v>0.6161498095406849</v>
      </c>
      <c r="M79" s="1100">
        <v>21.660246602053892</v>
      </c>
      <c r="N79" s="1123">
        <v>23546.204273694722</v>
      </c>
      <c r="O79" s="1098">
        <v>0.3838501904593152</v>
      </c>
      <c r="P79" s="1096">
        <v>35194.0</v>
      </c>
      <c r="Q79" s="1096">
        <v>1087.07</v>
      </c>
    </row>
    <row r="80">
      <c r="A80" s="1126"/>
      <c r="B80" s="1119">
        <v>44209.67738408565</v>
      </c>
      <c r="C80" s="1099">
        <v>3.3495686930584037</v>
      </c>
      <c r="D80" s="1096">
        <v>114930.40099621995</v>
      </c>
      <c r="E80" s="1097">
        <v>94484.63369379145</v>
      </c>
      <c r="F80" s="1097">
        <v>37835.33927161405</v>
      </c>
      <c r="G80" s="1097">
        <v>90762.03031354996</v>
      </c>
      <c r="H80" s="1097">
        <v>52926.691041935905</v>
      </c>
      <c r="I80" s="1098">
        <v>1.398869206959752</v>
      </c>
      <c r="J80" s="1099">
        <v>1.07293213</v>
      </c>
      <c r="K80" s="1096">
        <v>36814.447244560004</v>
      </c>
      <c r="L80" s="1098">
        <v>0.6219080018325701</v>
      </c>
      <c r="M80" s="1100">
        <v>21.1431671732254</v>
      </c>
      <c r="N80" s="1123">
        <v>22381.52247456121</v>
      </c>
      <c r="O80" s="1098">
        <v>0.37809199816742983</v>
      </c>
      <c r="P80" s="1096">
        <v>34312.0</v>
      </c>
      <c r="Q80" s="1096">
        <v>1058.57</v>
      </c>
    </row>
    <row r="81">
      <c r="A81" s="1126"/>
      <c r="B81" s="1119">
        <v>44210.38599229167</v>
      </c>
      <c r="C81" s="1099">
        <v>3.198917937930167</v>
      </c>
      <c r="D81" s="1096">
        <v>122889.63150352529</v>
      </c>
      <c r="E81" s="1097">
        <v>101089.00575653122</v>
      </c>
      <c r="F81" s="1097">
        <v>37835.33927161405</v>
      </c>
      <c r="G81" s="1097">
        <v>96948.02830001657</v>
      </c>
      <c r="H81" s="1097">
        <v>59112.689028402514</v>
      </c>
      <c r="I81" s="1098">
        <v>1.56236709294561</v>
      </c>
      <c r="J81" s="1099">
        <v>1.07093213</v>
      </c>
      <c r="K81" s="1096">
        <v>41140.928706080005</v>
      </c>
      <c r="L81" s="1098">
        <v>0.626803120395045</v>
      </c>
      <c r="M81" s="1100">
        <v>21.254336286264575</v>
      </c>
      <c r="N81" s="1123">
        <v>24495.1974831942</v>
      </c>
      <c r="O81" s="1098">
        <v>0.373196879604955</v>
      </c>
      <c r="P81" s="1096">
        <v>38416.0</v>
      </c>
      <c r="Q81" s="1096">
        <v>1152.48</v>
      </c>
    </row>
    <row r="82">
      <c r="A82" s="1126"/>
      <c r="B82" s="1119">
        <v>44211.63569420139</v>
      </c>
      <c r="C82" s="1099">
        <v>3.4618339996702634</v>
      </c>
      <c r="D82" s="1096">
        <v>130383.05392958113</v>
      </c>
      <c r="E82" s="1097">
        <v>107496.86935776101</v>
      </c>
      <c r="F82" s="1097">
        <v>37835.33927161405</v>
      </c>
      <c r="G82" s="1097">
        <v>103404.72166374813</v>
      </c>
      <c r="H82" s="1097">
        <v>65569.38239213408</v>
      </c>
      <c r="I82" s="1098">
        <v>1.7330195434860944</v>
      </c>
      <c r="J82" s="1099">
        <v>1.07593213</v>
      </c>
      <c r="K82" s="1096">
        <v>40522.83181219</v>
      </c>
      <c r="L82" s="1098">
        <v>0.6206998510711822</v>
      </c>
      <c r="M82" s="1100">
        <v>20.315260387080713</v>
      </c>
      <c r="N82" s="1123">
        <v>24762.880343624296</v>
      </c>
      <c r="O82" s="1098">
        <v>0.37930014892881786</v>
      </c>
      <c r="P82" s="1096">
        <v>37663.0</v>
      </c>
      <c r="Q82" s="1096">
        <v>1218.93</v>
      </c>
    </row>
    <row r="83">
      <c r="A83" s="1126"/>
      <c r="B83" s="1119">
        <v>44212.31198039352</v>
      </c>
      <c r="C83" s="1099">
        <v>3.653877347623935</v>
      </c>
      <c r="D83" s="1096">
        <v>131017.08005375144</v>
      </c>
      <c r="E83" s="1097">
        <v>108461.69518686889</v>
      </c>
      <c r="F83" s="1097">
        <v>37835.33927161405</v>
      </c>
      <c r="G83" s="1097">
        <v>104500.11894326529</v>
      </c>
      <c r="H83" s="1097">
        <v>66664.77967165124</v>
      </c>
      <c r="I83" s="1098">
        <v>1.7619712405134018</v>
      </c>
      <c r="J83" s="1099">
        <v>1.07593213</v>
      </c>
      <c r="K83" s="1096">
        <v>38579.698385409996</v>
      </c>
      <c r="L83" s="1098">
        <v>0.6158452517661557</v>
      </c>
      <c r="M83" s="1100">
        <v>20.679911217318192</v>
      </c>
      <c r="N83" s="1123">
        <v>24065.419482705354</v>
      </c>
      <c r="O83" s="1098">
        <v>0.38415474823384427</v>
      </c>
      <c r="P83" s="1096">
        <v>35857.0</v>
      </c>
      <c r="Q83" s="1096">
        <v>1163.71</v>
      </c>
    </row>
    <row r="84">
      <c r="A84" s="1126"/>
      <c r="B84" s="1119">
        <v>44213.37266060185</v>
      </c>
      <c r="C84" s="1099">
        <v>3.866910393305272</v>
      </c>
      <c r="D84" s="1096">
        <v>134823.69777298163</v>
      </c>
      <c r="E84" s="1097">
        <v>111614.50159236338</v>
      </c>
      <c r="F84" s="1097">
        <v>37835.33927161405</v>
      </c>
      <c r="G84" s="1097">
        <v>107649.57833637178</v>
      </c>
      <c r="H84" s="1097">
        <v>69814.23906475773</v>
      </c>
      <c r="I84" s="1098">
        <v>1.845212449756882</v>
      </c>
      <c r="J84" s="1099">
        <v>1.07993213</v>
      </c>
      <c r="K84" s="1096">
        <v>37652.91364458</v>
      </c>
      <c r="L84" s="1098">
        <v>0.5827292758230287</v>
      </c>
      <c r="M84" s="1100">
        <v>22.676261918849672</v>
      </c>
      <c r="N84" s="1123">
        <v>26961.848658893072</v>
      </c>
      <c r="O84" s="1098">
        <v>0.4172707241769712</v>
      </c>
      <c r="P84" s="1096">
        <v>34866.0</v>
      </c>
      <c r="Q84" s="1096">
        <v>1188.99</v>
      </c>
    </row>
    <row r="85">
      <c r="A85" s="1126"/>
      <c r="B85" s="1119">
        <v>44214.38459070602</v>
      </c>
      <c r="C85" s="1099">
        <v>3.9547313002638043</v>
      </c>
      <c r="D85" s="1096">
        <v>142805.34725252597</v>
      </c>
      <c r="E85" s="1097">
        <v>118337.42469779382</v>
      </c>
      <c r="F85" s="1097">
        <v>37835.33927161405</v>
      </c>
      <c r="G85" s="1097">
        <v>114227.03117683218</v>
      </c>
      <c r="H85" s="1097">
        <v>76391.69190521813</v>
      </c>
      <c r="I85" s="1098">
        <v>2.019056611513749</v>
      </c>
      <c r="J85" s="1099">
        <v>1.07893213</v>
      </c>
      <c r="K85" s="1096">
        <v>38960.2392143</v>
      </c>
      <c r="L85" s="1098">
        <v>0.5647210113460195</v>
      </c>
      <c r="M85" s="1100">
        <v>24.598827602296886</v>
      </c>
      <c r="N85" s="1123">
        <v>30030.002748608014</v>
      </c>
      <c r="O85" s="1098">
        <v>0.4352789886539806</v>
      </c>
      <c r="P85" s="1096">
        <v>36110.0</v>
      </c>
      <c r="Q85" s="1096">
        <v>1220.79</v>
      </c>
    </row>
    <row r="86">
      <c r="A86" s="1126"/>
      <c r="B86" s="1119">
        <v>44215.45564162037</v>
      </c>
      <c r="C86" s="1099">
        <v>4.153396758962788</v>
      </c>
      <c r="D86" s="1096">
        <v>154365.14394361095</v>
      </c>
      <c r="E86" s="1097">
        <v>127500.97370663963</v>
      </c>
      <c r="F86" s="1097">
        <v>37835.33927161405</v>
      </c>
      <c r="G86" s="1097">
        <v>123255.56249835092</v>
      </c>
      <c r="H86" s="1097">
        <v>85420.22322673687</v>
      </c>
      <c r="I86" s="1098">
        <v>2.257683553820366</v>
      </c>
      <c r="J86" s="1099">
        <v>1.08493213</v>
      </c>
      <c r="K86" s="1096">
        <v>40322.587543580004</v>
      </c>
      <c r="L86" s="1098">
        <v>0.5094173644266012</v>
      </c>
      <c r="M86" s="1100">
        <v>28.267166492667734</v>
      </c>
      <c r="N86" s="1123">
        <v>38831.73729763737</v>
      </c>
      <c r="O86" s="1098">
        <v>0.4905826355733989</v>
      </c>
      <c r="P86" s="1096">
        <v>37166.0</v>
      </c>
      <c r="Q86" s="1096">
        <v>1373.74</v>
      </c>
    </row>
    <row r="87">
      <c r="A87" s="1126"/>
      <c r="B87" s="1119">
        <v>44216.36743240741</v>
      </c>
      <c r="C87" s="1099">
        <v>4.340552838675566</v>
      </c>
      <c r="D87" s="1096">
        <v>155048.8879503299</v>
      </c>
      <c r="E87" s="1097">
        <v>127560.16682299755</v>
      </c>
      <c r="F87" s="1097">
        <v>37835.33927161405</v>
      </c>
      <c r="G87" s="1097">
        <v>123441.24230935209</v>
      </c>
      <c r="H87" s="1097">
        <v>85605.90303773804</v>
      </c>
      <c r="I87" s="1098">
        <v>2.262591130032864</v>
      </c>
      <c r="J87" s="1099">
        <v>1.08793213</v>
      </c>
      <c r="K87" s="1096">
        <v>38862.02361573</v>
      </c>
      <c r="L87" s="1098">
        <v>0.47983093368688934</v>
      </c>
      <c r="M87" s="1100">
        <v>30.689977184748038</v>
      </c>
      <c r="N87" s="1123">
        <v>42129.05238081917</v>
      </c>
      <c r="O87" s="1098">
        <v>0.5201690663131107</v>
      </c>
      <c r="P87" s="1096">
        <v>35721.0</v>
      </c>
      <c r="Q87" s="1096">
        <v>1372.73</v>
      </c>
    </row>
    <row r="88">
      <c r="A88" s="1126"/>
      <c r="B88" s="1119">
        <v>44217.504261504626</v>
      </c>
      <c r="C88" s="1099">
        <v>4.438663192948925</v>
      </c>
      <c r="D88" s="1096">
        <v>145965.4391001254</v>
      </c>
      <c r="E88" s="1097">
        <v>120230.06990740754</v>
      </c>
      <c r="F88" s="1097">
        <v>37835.33927161405</v>
      </c>
      <c r="G88" s="1097">
        <v>116468.9257123865</v>
      </c>
      <c r="H88" s="1097">
        <v>78633.58644077244</v>
      </c>
      <c r="I88" s="1098">
        <v>2.0783105941319593</v>
      </c>
      <c r="J88" s="1099">
        <v>1.08793213</v>
      </c>
      <c r="K88" s="1096">
        <v>35776.64809505</v>
      </c>
      <c r="L88" s="1098">
        <v>0.48571130176842836</v>
      </c>
      <c r="M88" s="1100">
        <v>30.235624576961623</v>
      </c>
      <c r="N88" s="1123">
        <v>37881.60931998368</v>
      </c>
      <c r="O88" s="1098">
        <v>0.5142886982315718</v>
      </c>
      <c r="P88" s="1096">
        <v>32885.0</v>
      </c>
      <c r="Q88" s="1096">
        <v>1252.88</v>
      </c>
    </row>
    <row r="89">
      <c r="A89" s="1126"/>
      <c r="B89" s="1119">
        <v>44218.53705961806</v>
      </c>
      <c r="C89" s="1099">
        <v>4.583796901044758</v>
      </c>
      <c r="D89" s="1096">
        <v>145278.85898171258</v>
      </c>
      <c r="E89" s="1097">
        <v>119261.22777138253</v>
      </c>
      <c r="F89" s="1097">
        <v>37835.33927161405</v>
      </c>
      <c r="G89" s="1097">
        <v>115682.40620063577</v>
      </c>
      <c r="H89" s="1097">
        <v>77847.06692902172</v>
      </c>
      <c r="I89" s="1098">
        <v>2.0575226343332</v>
      </c>
      <c r="J89" s="1099">
        <v>1.0859321300000002</v>
      </c>
      <c r="K89" s="1096">
        <v>34417.532928220004</v>
      </c>
      <c r="L89" s="1098">
        <v>0.48369223182912174</v>
      </c>
      <c r="M89" s="1100">
        <v>30.497342948555612</v>
      </c>
      <c r="N89" s="1123">
        <v>36738.31920954803</v>
      </c>
      <c r="O89" s="1098">
        <v>0.5163077681708783</v>
      </c>
      <c r="P89" s="1096">
        <v>31694.0</v>
      </c>
      <c r="Q89" s="1096">
        <v>1204.64</v>
      </c>
    </row>
    <row r="90">
      <c r="A90" s="1126"/>
      <c r="B90" s="1119">
        <v>44219.778735671294</v>
      </c>
      <c r="C90" s="1099">
        <v>4.726145552371483</v>
      </c>
      <c r="D90" s="1096">
        <v>152205.5175141236</v>
      </c>
      <c r="E90" s="1097">
        <v>125020.72829688285</v>
      </c>
      <c r="F90" s="1097">
        <v>37835.33927161405</v>
      </c>
      <c r="G90" s="1097">
        <v>121382.071712558</v>
      </c>
      <c r="H90" s="1097">
        <v>83546.73244094395</v>
      </c>
      <c r="I90" s="1098">
        <v>2.2081665989876518</v>
      </c>
      <c r="J90" s="1099">
        <v>1.08693213</v>
      </c>
      <c r="K90" s="1096">
        <v>35004.649246650006</v>
      </c>
      <c r="L90" s="1098">
        <v>0.4755272793321512</v>
      </c>
      <c r="M90" s="1100">
        <v>30.9730803986822</v>
      </c>
      <c r="N90" s="1123">
        <v>38607.634986153374</v>
      </c>
      <c r="O90" s="1098">
        <v>0.5244727206678487</v>
      </c>
      <c r="P90" s="1096">
        <v>32205.0</v>
      </c>
      <c r="Q90" s="1096">
        <v>1246.49</v>
      </c>
    </row>
    <row r="91">
      <c r="A91" s="1126"/>
      <c r="B91" s="1119">
        <v>44220.35262326389</v>
      </c>
      <c r="C91" s="1099">
        <v>4.768893580825835</v>
      </c>
      <c r="D91" s="1096">
        <v>155737.7576690293</v>
      </c>
      <c r="E91" s="1097">
        <v>127920.8014120722</v>
      </c>
      <c r="F91" s="1097">
        <v>37835.33927161405</v>
      </c>
      <c r="G91" s="1097">
        <v>124216.14001928159</v>
      </c>
      <c r="H91" s="1097">
        <v>86380.80074766754</v>
      </c>
      <c r="I91" s="1098">
        <v>2.2830719219286797</v>
      </c>
      <c r="J91" s="1099">
        <v>1.09093213</v>
      </c>
      <c r="K91" s="1096">
        <v>35626.57056941</v>
      </c>
      <c r="L91" s="1098">
        <v>0.4847350418383909</v>
      </c>
      <c r="M91" s="1100">
        <v>28.70515790993224</v>
      </c>
      <c r="N91" s="1123">
        <v>37870.427778994504</v>
      </c>
      <c r="O91" s="1098">
        <v>0.5152649581616091</v>
      </c>
      <c r="P91" s="1096">
        <v>32657.0</v>
      </c>
      <c r="Q91" s="1096">
        <v>1319.29</v>
      </c>
    </row>
    <row r="92">
      <c r="A92" s="1126"/>
      <c r="B92" s="1119">
        <v>44221.786277824074</v>
      </c>
      <c r="C92" s="1099">
        <v>4.829214540305024</v>
      </c>
      <c r="D92" s="1096">
        <v>163512.37512018782</v>
      </c>
      <c r="E92" s="1097">
        <v>134633.6721691638</v>
      </c>
      <c r="F92" s="1097">
        <v>37835.33927161405</v>
      </c>
      <c r="G92" s="1097">
        <v>130829.99079426825</v>
      </c>
      <c r="H92" s="1097">
        <v>92994.6515226542</v>
      </c>
      <c r="I92" s="1098">
        <v>2.4578780926228774</v>
      </c>
      <c r="J92" s="1099">
        <v>1.0929321300000001</v>
      </c>
      <c r="K92" s="1096">
        <v>37005.58898967</v>
      </c>
      <c r="L92" s="1098">
        <v>0.47082329939993733</v>
      </c>
      <c r="M92" s="1100">
        <v>29.765144647568484</v>
      </c>
      <c r="N92" s="1123">
        <v>41592.02722183334</v>
      </c>
      <c r="O92" s="1098">
        <v>0.5291767006000627</v>
      </c>
      <c r="P92" s="1096">
        <v>33859.0</v>
      </c>
      <c r="Q92" s="1096">
        <v>1397.34</v>
      </c>
    </row>
    <row r="93">
      <c r="A93" s="1126"/>
      <c r="B93" s="1119">
        <v>44222.62997469907</v>
      </c>
      <c r="C93" s="1099">
        <v>4.8119890499042155</v>
      </c>
      <c r="D93" s="1096">
        <v>153146.36350225157</v>
      </c>
      <c r="E93" s="1097">
        <v>126343.58449428508</v>
      </c>
      <c r="F93" s="1097">
        <v>37835.33927161405</v>
      </c>
      <c r="G93" s="1097">
        <v>122771.10840757744</v>
      </c>
      <c r="H93" s="1097">
        <v>84935.76913596339</v>
      </c>
      <c r="I93" s="1098">
        <v>2.244879278766939</v>
      </c>
      <c r="J93" s="1099">
        <v>1.0929321300000001</v>
      </c>
      <c r="K93" s="1096">
        <v>34783.65796938</v>
      </c>
      <c r="L93" s="1098">
        <v>0.4502355268445867</v>
      </c>
      <c r="M93" s="1100">
        <v>32.86258873679098</v>
      </c>
      <c r="N93" s="1123">
        <v>42472.92418697814</v>
      </c>
      <c r="O93" s="1098">
        <v>0.5497644731554133</v>
      </c>
      <c r="P93" s="1096">
        <v>31826.0</v>
      </c>
      <c r="Q93" s="1096">
        <v>1292.44</v>
      </c>
    </row>
    <row r="94">
      <c r="A94" s="1126"/>
      <c r="B94" s="1119">
        <v>44223.47242962963</v>
      </c>
      <c r="C94" s="1099">
        <v>4.847461563030849</v>
      </c>
      <c r="D94" s="1096">
        <v>152021.24207821043</v>
      </c>
      <c r="E94" s="1097">
        <v>125142.06771120439</v>
      </c>
      <c r="F94" s="1097">
        <v>37835.33927161405</v>
      </c>
      <c r="G94" s="1097">
        <v>121634.26292551753</v>
      </c>
      <c r="H94" s="1097">
        <v>83798.92365390348</v>
      </c>
      <c r="I94" s="1098">
        <v>2.2148320926191243</v>
      </c>
      <c r="J94" s="1099">
        <v>1.12981897</v>
      </c>
      <c r="K94" s="1096">
        <v>35432.252718170006</v>
      </c>
      <c r="L94" s="1098">
        <v>0.3937202234192093</v>
      </c>
      <c r="M94" s="1100">
        <v>42.73647199732777</v>
      </c>
      <c r="N94" s="1123">
        <v>54561.22643426839</v>
      </c>
      <c r="O94" s="1098">
        <v>0.6062797765807906</v>
      </c>
      <c r="P94" s="1096">
        <v>31361.0</v>
      </c>
      <c r="Q94" s="1096">
        <v>1276.69</v>
      </c>
    </row>
    <row r="95">
      <c r="A95" s="1126"/>
      <c r="B95" s="1119">
        <v>44224.62432510417</v>
      </c>
      <c r="C95" s="1099">
        <v>4.90432061237146</v>
      </c>
      <c r="D95" s="1096">
        <v>155785.74425197943</v>
      </c>
      <c r="E95" s="1097">
        <v>128650.13830372815</v>
      </c>
      <c r="F95" s="1097">
        <v>37835.33927161405</v>
      </c>
      <c r="G95" s="1097">
        <v>125090.68950375</v>
      </c>
      <c r="H95" s="1097">
        <v>87255.35023213596</v>
      </c>
      <c r="I95" s="1098">
        <v>2.306186541786854</v>
      </c>
      <c r="J95" s="1099">
        <v>1.12981897</v>
      </c>
      <c r="K95" s="1096">
        <v>35888.69958205</v>
      </c>
      <c r="L95" s="1098">
        <v>0.3815760786413236</v>
      </c>
      <c r="M95" s="1100">
        <v>43.581153907536184</v>
      </c>
      <c r="N95" s="1123">
        <v>58165.15125115409</v>
      </c>
      <c r="O95" s="1098">
        <v>0.6184239213586764</v>
      </c>
      <c r="P95" s="1096">
        <v>31765.0</v>
      </c>
      <c r="Q95" s="1096">
        <v>1334.64</v>
      </c>
    </row>
    <row r="96">
      <c r="A96" s="1126"/>
      <c r="B96" s="1119">
        <v>44225.432443125</v>
      </c>
      <c r="C96" s="1099">
        <v>4.4883730084062705</v>
      </c>
      <c r="D96" s="1096">
        <v>161720.56786588632</v>
      </c>
      <c r="E96" s="1097">
        <v>133524.60862707812</v>
      </c>
      <c r="F96" s="1097">
        <v>37835.33927161405</v>
      </c>
      <c r="G96" s="1097">
        <v>129554.35759382912</v>
      </c>
      <c r="H96" s="1097">
        <v>91719.01832221507</v>
      </c>
      <c r="I96" s="1098">
        <v>2.424162703122031</v>
      </c>
      <c r="J96" s="1099">
        <v>1.12981897</v>
      </c>
      <c r="K96" s="1096">
        <v>40708.50730807</v>
      </c>
      <c r="L96" s="1098">
        <v>0.4082180205179989</v>
      </c>
      <c r="M96" s="1100">
        <v>43.15526208878525</v>
      </c>
      <c r="N96" s="1123">
        <v>59013.95780117205</v>
      </c>
      <c r="O96" s="1098">
        <v>0.5917819794820011</v>
      </c>
      <c r="P96" s="1096">
        <v>36031.0</v>
      </c>
      <c r="Q96" s="1096">
        <v>1367.48</v>
      </c>
    </row>
    <row r="97">
      <c r="A97" s="1126"/>
      <c r="B97" s="1119">
        <v>44226.92276032407</v>
      </c>
      <c r="C97" s="1099">
        <v>4.825197175346956</v>
      </c>
      <c r="D97" s="1096">
        <v>165050.69457991797</v>
      </c>
      <c r="E97" s="1097">
        <v>135983.70679562792</v>
      </c>
      <c r="F97" s="1097">
        <v>37835.33927161405</v>
      </c>
      <c r="G97" s="1097">
        <v>132264.53462950606</v>
      </c>
      <c r="H97" s="1097">
        <v>94429.19535789201</v>
      </c>
      <c r="I97" s="1098">
        <v>2.495793540530968</v>
      </c>
      <c r="J97" s="1099">
        <v>1.12781897</v>
      </c>
      <c r="K97" s="1096">
        <v>38578.17568782</v>
      </c>
      <c r="L97" s="1098">
        <v>0.4008154450489248</v>
      </c>
      <c r="M97" s="1100">
        <v>42.163980061202125</v>
      </c>
      <c r="N97" s="1123">
        <v>57671.04864811104</v>
      </c>
      <c r="O97" s="1098">
        <v>0.5991845549510753</v>
      </c>
      <c r="P97" s="1096">
        <v>34206.0</v>
      </c>
      <c r="Q97" s="1096">
        <v>1367.78</v>
      </c>
    </row>
    <row r="98">
      <c r="A98" s="1126"/>
      <c r="B98" s="1119">
        <v>44227.33339515046</v>
      </c>
      <c r="C98" s="1099">
        <v>4.8957810839201</v>
      </c>
      <c r="D98" s="1096">
        <v>164796.88706583448</v>
      </c>
      <c r="E98" s="1097">
        <v>135456.47102990132</v>
      </c>
      <c r="F98" s="1097">
        <v>37835.33927161405</v>
      </c>
      <c r="G98" s="1097">
        <v>131830.8717049797</v>
      </c>
      <c r="H98" s="1097">
        <v>93995.53243336566</v>
      </c>
      <c r="I98" s="1098">
        <v>2.4843316920878196</v>
      </c>
      <c r="J98" s="1099">
        <v>1.12781897</v>
      </c>
      <c r="K98" s="1096">
        <v>37963.51434917</v>
      </c>
      <c r="L98" s="1098">
        <v>0.38266507365307506</v>
      </c>
      <c r="M98" s="1100">
        <v>45.52425352961287</v>
      </c>
      <c r="N98" s="1123">
        <v>61244.68875845878</v>
      </c>
      <c r="O98" s="1098">
        <v>0.6173349263469249</v>
      </c>
      <c r="P98" s="1096">
        <v>33661.0</v>
      </c>
      <c r="Q98" s="1096">
        <v>1345.32</v>
      </c>
    </row>
    <row r="99">
      <c r="A99" s="1126"/>
      <c r="B99" s="1119">
        <v>44231.894856597224</v>
      </c>
      <c r="C99" s="1099">
        <v>5.139722530472538</v>
      </c>
      <c r="D99" s="1096">
        <v>192991.4412967133</v>
      </c>
      <c r="E99" s="1097">
        <v>161289.6327287587</v>
      </c>
      <c r="F99" s="1097">
        <v>37835.33927161405</v>
      </c>
      <c r="G99" s="1097">
        <v>158281.0433709987</v>
      </c>
      <c r="H99" s="1097">
        <v>120445.70409938465</v>
      </c>
      <c r="I99" s="1098">
        <v>3.1834181064090257</v>
      </c>
      <c r="J99" s="1099">
        <v>1.12781897</v>
      </c>
      <c r="K99" s="1096">
        <v>42348.47450453</v>
      </c>
      <c r="L99" s="1098">
        <v>0.3513034381476144</v>
      </c>
      <c r="M99" s="1100">
        <v>47.091769498923796</v>
      </c>
      <c r="N99" s="1123">
        <v>78198.2378414379</v>
      </c>
      <c r="O99" s="1098">
        <v>0.6486965618523856</v>
      </c>
      <c r="P99" s="1096">
        <v>37549.0</v>
      </c>
      <c r="Q99" s="1096">
        <v>1660.55</v>
      </c>
    </row>
    <row r="100">
      <c r="A100" s="1126"/>
      <c r="B100" s="1119">
        <v>44232.99950337963</v>
      </c>
      <c r="C100" s="1099">
        <v>5.393295768530506</v>
      </c>
      <c r="D100" s="1096">
        <v>204071.5252896573</v>
      </c>
      <c r="E100" s="1097">
        <v>169446.56645569144</v>
      </c>
      <c r="F100" s="1097">
        <v>37835.33927161405</v>
      </c>
      <c r="G100" s="1097">
        <v>169446.56645569144</v>
      </c>
      <c r="H100" s="1097">
        <v>131611.22718407738</v>
      </c>
      <c r="I100" s="1098">
        <v>3.478526417835472</v>
      </c>
      <c r="J100" s="1099">
        <v>1.12357897</v>
      </c>
      <c r="K100" s="1096">
        <v>42513.981066860004</v>
      </c>
      <c r="L100" s="1098">
        <v>0.34498230718651424</v>
      </c>
      <c r="M100" s="1100">
        <v>47.3097234832527</v>
      </c>
      <c r="N100" s="1123">
        <v>80721.26949883025</v>
      </c>
      <c r="O100" s="1098">
        <v>0.6550176928134859</v>
      </c>
      <c r="P100" s="1096">
        <v>37838.0</v>
      </c>
      <c r="Q100" s="1096">
        <v>1706.23</v>
      </c>
    </row>
    <row r="101">
      <c r="A101" s="1126"/>
      <c r="B101" s="1119">
        <v>44233.82424453704</v>
      </c>
      <c r="C101" s="1099">
        <v>5.030955323824066</v>
      </c>
      <c r="D101" s="1096">
        <v>203024.20209292017</v>
      </c>
      <c r="E101" s="1097">
        <v>168501.78666083943</v>
      </c>
      <c r="F101" s="1097">
        <v>37835.33927161405</v>
      </c>
      <c r="G101" s="1097">
        <v>168501.78666083943</v>
      </c>
      <c r="H101" s="1097">
        <v>130666.44738922537</v>
      </c>
      <c r="I101" s="1098">
        <v>3.4535555886308074</v>
      </c>
      <c r="J101" s="1099">
        <v>1.13257897</v>
      </c>
      <c r="K101" s="1096">
        <v>45705.22433435</v>
      </c>
      <c r="L101" s="1098">
        <v>0.36135855107529846</v>
      </c>
      <c r="M101" s="1100">
        <v>47.60683526090564</v>
      </c>
      <c r="N101" s="1123">
        <v>80776.42166058904</v>
      </c>
      <c r="O101" s="1098">
        <v>0.6386414489247015</v>
      </c>
      <c r="P101" s="1096">
        <v>40355.0</v>
      </c>
      <c r="Q101" s="1096">
        <v>1696.74</v>
      </c>
    </row>
    <row r="102">
      <c r="A102" s="1126"/>
      <c r="B102" s="1119">
        <v>44235.63629510417</v>
      </c>
      <c r="C102" s="1099">
        <v>4.768337857105552</v>
      </c>
      <c r="D102" s="1096">
        <v>206898.17961980987</v>
      </c>
      <c r="E102" s="1097">
        <v>171865.2013836554</v>
      </c>
      <c r="F102" s="1097">
        <v>37835.33927161405</v>
      </c>
      <c r="G102" s="1097">
        <v>171865.2013836554</v>
      </c>
      <c r="H102" s="1097">
        <v>134029.86211204133</v>
      </c>
      <c r="I102" s="1098">
        <v>3.5424517050015507</v>
      </c>
      <c r="J102" s="1099">
        <v>1.13257897</v>
      </c>
      <c r="K102" s="1096">
        <v>49142.601508299995</v>
      </c>
      <c r="L102" s="1098">
        <v>0.37857908696300197</v>
      </c>
      <c r="M102" s="1100">
        <v>47.679951062037794</v>
      </c>
      <c r="N102" s="1123">
        <v>80665.41800626616</v>
      </c>
      <c r="O102" s="1098">
        <v>0.6214209130369981</v>
      </c>
      <c r="P102" s="1096">
        <v>43390.0</v>
      </c>
      <c r="Q102" s="1096">
        <v>1691.81</v>
      </c>
    </row>
    <row r="103">
      <c r="A103" s="1126"/>
      <c r="B103" s="1119">
        <v>44236.35996598379</v>
      </c>
      <c r="C103" s="1099">
        <v>4.646121808374825</v>
      </c>
      <c r="D103" s="1096">
        <v>221350.53519459342</v>
      </c>
      <c r="E103" s="1097">
        <v>183243.0441223031</v>
      </c>
      <c r="F103" s="1097">
        <v>37835.33927161405</v>
      </c>
      <c r="G103" s="1097">
        <v>183243.0441223031</v>
      </c>
      <c r="H103" s="1097">
        <v>145407.70485068904</v>
      </c>
      <c r="I103" s="1098">
        <v>3.8431716921270245</v>
      </c>
      <c r="J103" s="1099">
        <v>1.13257897</v>
      </c>
      <c r="K103" s="1096">
        <v>53958.32728874</v>
      </c>
      <c r="L103" s="1098">
        <v>0.3894744840952811</v>
      </c>
      <c r="M103" s="1100">
        <v>48.27358193747345</v>
      </c>
      <c r="N103" s="1123">
        <v>84583.03932756349</v>
      </c>
      <c r="O103" s="1098">
        <v>0.6105255159047189</v>
      </c>
      <c r="P103" s="1096">
        <v>47642.0</v>
      </c>
      <c r="Q103" s="1096">
        <v>1752.16</v>
      </c>
    </row>
    <row r="104">
      <c r="A104" s="1126"/>
      <c r="B104" s="1119">
        <v>44238.56105081018</v>
      </c>
      <c r="C104" s="1099">
        <v>4.921509531249259</v>
      </c>
      <c r="D104" s="1096">
        <v>227767.46110621572</v>
      </c>
      <c r="E104" s="1097">
        <v>187775.27465528424</v>
      </c>
      <c r="F104" s="1097">
        <v>37835.33927161405</v>
      </c>
      <c r="G104" s="1097">
        <v>187775.27465528424</v>
      </c>
      <c r="H104" s="1097">
        <v>149939.9353836702</v>
      </c>
      <c r="I104" s="1098">
        <v>3.962959980542915</v>
      </c>
      <c r="J104" s="1099">
        <v>1.12113252</v>
      </c>
      <c r="K104" s="1096">
        <v>51886.0130256</v>
      </c>
      <c r="L104" s="1098">
        <v>0.3741594702756874</v>
      </c>
      <c r="M104" s="1100">
        <v>48.81022741875175</v>
      </c>
      <c r="N104" s="1123">
        <v>86787.51296418573</v>
      </c>
      <c r="O104" s="1098">
        <v>0.6258405297243126</v>
      </c>
      <c r="P104" s="1096">
        <v>46280.0</v>
      </c>
      <c r="Q104" s="1096">
        <v>1778.06</v>
      </c>
    </row>
    <row r="105">
      <c r="A105" s="1126"/>
      <c r="B105" s="1119">
        <v>44239.744179305555</v>
      </c>
      <c r="C105" s="1099">
        <v>5.157049712335614</v>
      </c>
      <c r="D105" s="1096">
        <v>240921.8914111829</v>
      </c>
      <c r="E105" s="1097">
        <v>199227.14448694946</v>
      </c>
      <c r="F105" s="1097">
        <v>37835.33927161405</v>
      </c>
      <c r="G105" s="1097">
        <v>199227.14448694946</v>
      </c>
      <c r="H105" s="1097">
        <v>161391.8052153354</v>
      </c>
      <c r="I105" s="1098">
        <v>4.2656365271823935</v>
      </c>
      <c r="J105" s="1099">
        <v>1.70462017</v>
      </c>
      <c r="K105" s="1096">
        <v>79634.74048189001</v>
      </c>
      <c r="L105" s="1098">
        <v>0.5586312632049575</v>
      </c>
      <c r="M105" s="1100">
        <v>35.64529422008245</v>
      </c>
      <c r="N105" s="1123">
        <v>62918.57818669413</v>
      </c>
      <c r="O105" s="1098">
        <v>0.4413687367950425</v>
      </c>
      <c r="P105" s="1096">
        <v>46717.0</v>
      </c>
      <c r="Q105" s="1096">
        <v>1765.13</v>
      </c>
    </row>
    <row r="106">
      <c r="A106" s="1126"/>
      <c r="B106" s="1119">
        <v>44240.97811880787</v>
      </c>
      <c r="C106" s="1099">
        <v>5.013753748138733</v>
      </c>
      <c r="D106" s="1096">
        <v>235325.54592263955</v>
      </c>
      <c r="E106" s="1097">
        <v>194157.6138966724</v>
      </c>
      <c r="F106" s="1097">
        <v>37835.33927161405</v>
      </c>
      <c r="G106" s="1097">
        <v>194157.6138966724</v>
      </c>
      <c r="H106" s="1097">
        <v>156322.27462505834</v>
      </c>
      <c r="I106" s="1098">
        <v>4.131647228080734</v>
      </c>
      <c r="J106" s="1099">
        <v>1.64792808</v>
      </c>
      <c r="K106" s="1096">
        <v>77347.15236288</v>
      </c>
      <c r="L106" s="1098">
        <v>0.5596231592484626</v>
      </c>
      <c r="M106" s="1100">
        <v>33.6382764536927</v>
      </c>
      <c r="N106" s="1123">
        <v>60865.77018084064</v>
      </c>
      <c r="O106" s="1098">
        <v>0.44037684075153744</v>
      </c>
      <c r="P106" s="1096">
        <v>46936.0</v>
      </c>
      <c r="Q106" s="1096">
        <v>1809.42</v>
      </c>
    </row>
    <row r="107">
      <c r="A107" s="1126"/>
      <c r="B107" s="1119">
        <v>44241.75457780092</v>
      </c>
      <c r="C107" s="1099">
        <v>4.863604949136972</v>
      </c>
      <c r="D107" s="1096">
        <v>237830.28201279795</v>
      </c>
      <c r="E107" s="1097">
        <v>195526.64616520455</v>
      </c>
      <c r="F107" s="1097">
        <v>37835.33927161405</v>
      </c>
      <c r="G107" s="1097">
        <v>195526.64616520455</v>
      </c>
      <c r="H107" s="1097">
        <v>157691.3068935905</v>
      </c>
      <c r="I107" s="1098">
        <v>4.167831184532243</v>
      </c>
      <c r="J107" s="1099">
        <v>1.64792808</v>
      </c>
      <c r="K107" s="1096">
        <v>80583.683112</v>
      </c>
      <c r="L107" s="1098">
        <v>0.5702108820956684</v>
      </c>
      <c r="M107" s="1100">
        <v>33.74046740802066</v>
      </c>
      <c r="N107" s="1123">
        <v>60738.91461857064</v>
      </c>
      <c r="O107" s="1098">
        <v>0.4297891179043315</v>
      </c>
      <c r="P107" s="1096">
        <v>48900.0</v>
      </c>
      <c r="Q107" s="1096">
        <v>1800.18</v>
      </c>
    </row>
    <row r="108">
      <c r="A108" s="1126"/>
      <c r="B108" s="1119">
        <v>44242.262516585644</v>
      </c>
      <c r="C108" s="1099">
        <v>4.877571789774538</v>
      </c>
      <c r="D108" s="1096">
        <v>228850.79080443154</v>
      </c>
      <c r="E108" s="1097">
        <v>188523.02724657566</v>
      </c>
      <c r="F108" s="1097">
        <v>37835.33927161405</v>
      </c>
      <c r="G108" s="1097">
        <v>188523.02724657566</v>
      </c>
      <c r="H108" s="1097">
        <v>150687.6879749616</v>
      </c>
      <c r="I108" s="1098">
        <v>3.982723318355836</v>
      </c>
      <c r="J108" s="1099">
        <v>1.64792808</v>
      </c>
      <c r="K108" s="1096">
        <v>77319.13758552</v>
      </c>
      <c r="L108" s="1098">
        <v>0.5710134721576945</v>
      </c>
      <c r="M108" s="1100">
        <v>33.72682804385866</v>
      </c>
      <c r="N108" s="1123">
        <v>58087.71593993777</v>
      </c>
      <c r="O108" s="1098">
        <v>0.42898652784230545</v>
      </c>
      <c r="P108" s="1096">
        <v>46919.0</v>
      </c>
      <c r="Q108" s="1096">
        <v>1722.3</v>
      </c>
    </row>
    <row r="109">
      <c r="A109" s="1126"/>
      <c r="B109" s="1119">
        <v>44243.908130752316</v>
      </c>
      <c r="C109" s="1099">
        <v>4.877571789774538</v>
      </c>
      <c r="D109" s="1096">
        <v>228850.79080443154</v>
      </c>
      <c r="E109" s="1097">
        <v>188523.02724657566</v>
      </c>
      <c r="F109" s="1097">
        <v>37835.33927161405</v>
      </c>
      <c r="G109" s="1097">
        <v>188523.02724657566</v>
      </c>
      <c r="H109" s="1097">
        <v>150687.6879749616</v>
      </c>
      <c r="I109" s="1098">
        <v>3.982723318355836</v>
      </c>
      <c r="J109" s="1099">
        <v>1.64792808</v>
      </c>
      <c r="K109" s="1096">
        <v>77319.13758552</v>
      </c>
      <c r="L109" s="1098">
        <v>0.5710134721576945</v>
      </c>
      <c r="M109" s="1100">
        <v>33.72682804385866</v>
      </c>
      <c r="N109" s="1123">
        <v>58087.71593993777</v>
      </c>
      <c r="O109" s="1098">
        <v>0.42898652784230545</v>
      </c>
      <c r="P109" s="1096">
        <v>46919.0</v>
      </c>
      <c r="Q109" s="1096">
        <v>1722.3</v>
      </c>
    </row>
    <row r="110">
      <c r="A110" s="1126"/>
      <c r="B110" s="1119">
        <v>44244.93297847222</v>
      </c>
      <c r="C110" s="1099">
        <v>5.110978518787366</v>
      </c>
      <c r="D110" s="1096">
        <v>266900.40922959504</v>
      </c>
      <c r="E110" s="1097">
        <v>221627.36151017656</v>
      </c>
      <c r="F110" s="1097">
        <v>37835.33927161405</v>
      </c>
      <c r="G110" s="1097">
        <v>221627.36151017656</v>
      </c>
      <c r="H110" s="1097">
        <v>183792.02223856252</v>
      </c>
      <c r="I110" s="1098">
        <v>4.8576813576098266</v>
      </c>
      <c r="J110" s="1099">
        <v>1.64792808</v>
      </c>
      <c r="K110" s="1096">
        <v>86056.45226568</v>
      </c>
      <c r="L110" s="1098">
        <v>0.5731130207953324</v>
      </c>
      <c r="M110" s="1100">
        <v>35.02218859878723</v>
      </c>
      <c r="N110" s="1123">
        <v>64099.71090481632</v>
      </c>
      <c r="O110" s="1098">
        <v>0.42688697920466745</v>
      </c>
      <c r="P110" s="1096">
        <v>52221.0</v>
      </c>
      <c r="Q110" s="1096">
        <v>1830.26</v>
      </c>
    </row>
    <row r="111">
      <c r="A111" s="1126"/>
      <c r="B111" s="1119">
        <v>44245.81319862268</v>
      </c>
      <c r="C111" s="1099">
        <v>5.2705763824220915</v>
      </c>
      <c r="D111" s="1096">
        <v>273959.2897819179</v>
      </c>
      <c r="E111" s="1097">
        <v>226408.14965970578</v>
      </c>
      <c r="F111" s="1097">
        <v>37835.33927161405</v>
      </c>
      <c r="G111" s="1097">
        <v>226408.14965970578</v>
      </c>
      <c r="H111" s="1097">
        <v>188572.81038809172</v>
      </c>
      <c r="I111" s="1098">
        <v>4.984039102553215</v>
      </c>
      <c r="J111" s="1099">
        <v>1.64792808</v>
      </c>
      <c r="K111" s="1096">
        <v>85657.65367032</v>
      </c>
      <c r="L111" s="1098">
        <v>0.559643688287709</v>
      </c>
      <c r="M111" s="1100">
        <v>35.17809776484918</v>
      </c>
      <c r="N111" s="1123">
        <v>67399.82819354044</v>
      </c>
      <c r="O111" s="1098">
        <v>0.4403563117122909</v>
      </c>
      <c r="P111" s="1096">
        <v>51979.0</v>
      </c>
      <c r="Q111" s="1096">
        <v>1915.96</v>
      </c>
    </row>
    <row r="112">
      <c r="A112" s="1126"/>
      <c r="B112" s="1119">
        <v>44246.76536315972</v>
      </c>
      <c r="C112" s="1099">
        <v>5.263189205150204</v>
      </c>
      <c r="D112" s="1096">
        <v>287059.6024380973</v>
      </c>
      <c r="E112" s="1097">
        <v>236532.98606865533</v>
      </c>
      <c r="F112" s="1097">
        <v>37835.33927161405</v>
      </c>
      <c r="G112" s="1097">
        <v>236532.98606865533</v>
      </c>
      <c r="H112" s="1097">
        <v>198697.6467970413</v>
      </c>
      <c r="I112" s="1098">
        <v>5.251641735537816</v>
      </c>
      <c r="J112" s="1099">
        <v>1.64792808</v>
      </c>
      <c r="K112" s="1096">
        <v>89879.64541128</v>
      </c>
      <c r="L112" s="1098">
        <v>0.5768194947016816</v>
      </c>
      <c r="M112" s="1100">
        <v>33.615099927437505</v>
      </c>
      <c r="N112" s="1123">
        <v>65939.71616866069</v>
      </c>
      <c r="O112" s="1098">
        <v>0.42318050529831847</v>
      </c>
      <c r="P112" s="1096">
        <v>54541.0</v>
      </c>
      <c r="Q112" s="1096">
        <v>1961.61</v>
      </c>
    </row>
    <row r="113">
      <c r="A113" s="1126"/>
      <c r="B113" s="1127">
        <v>44247.0</v>
      </c>
      <c r="C113" s="1099">
        <v>5.169068421488351</v>
      </c>
      <c r="D113" s="1096">
        <v>293510.04310895153</v>
      </c>
      <c r="E113" s="1097">
        <v>242207.03902567964</v>
      </c>
      <c r="F113" s="1097">
        <v>37835.33927161405</v>
      </c>
      <c r="G113" s="1097">
        <v>242207.03902567964</v>
      </c>
      <c r="H113" s="1097">
        <v>204371.6997540656</v>
      </c>
      <c r="I113" s="1098">
        <v>5.401608752254414</v>
      </c>
      <c r="J113" s="1099">
        <v>1.64792808</v>
      </c>
      <c r="K113" s="1096">
        <v>93572.65223856</v>
      </c>
      <c r="L113" s="1098">
        <v>0.6335737863144016</v>
      </c>
      <c r="M113" s="1100">
        <v>27.70273421498384</v>
      </c>
      <c r="N113" s="1123">
        <v>54117.568316313074</v>
      </c>
      <c r="O113" s="1098">
        <v>0.3664262136855984</v>
      </c>
      <c r="P113" s="1096">
        <v>56782.0</v>
      </c>
      <c r="Q113" s="1096">
        <v>1953.51</v>
      </c>
    </row>
    <row r="114">
      <c r="A114" s="1126"/>
      <c r="B114" s="1119">
        <v>44248.98269887731</v>
      </c>
      <c r="C114" s="1099">
        <v>5.382689629286773</v>
      </c>
      <c r="D114" s="1096">
        <v>310107.51492246956</v>
      </c>
      <c r="E114" s="1097">
        <v>255823.09001111245</v>
      </c>
      <c r="F114" s="1097">
        <v>37835.33927161405</v>
      </c>
      <c r="G114" s="1097">
        <v>255823.09001111245</v>
      </c>
      <c r="H114" s="1097">
        <v>217987.7507394984</v>
      </c>
      <c r="I114" s="1098">
        <v>5.761485292218421</v>
      </c>
      <c r="J114" s="1099">
        <v>1.64792808</v>
      </c>
      <c r="K114" s="1096">
        <v>94940.43254496</v>
      </c>
      <c r="L114" s="1098">
        <v>0.6379131743646976</v>
      </c>
      <c r="M114" s="1100">
        <v>27.854937941983835</v>
      </c>
      <c r="N114" s="1123">
        <v>53889.27714007961</v>
      </c>
      <c r="O114" s="1098">
        <v>0.36208682563530237</v>
      </c>
      <c r="P114" s="1096">
        <v>57612.0</v>
      </c>
      <c r="Q114" s="1096">
        <v>1934.64</v>
      </c>
    </row>
    <row r="115">
      <c r="A115" s="1126"/>
      <c r="B115" s="1119">
        <v>44249.76584127315</v>
      </c>
      <c r="C115" s="1099">
        <v>5.296976502096038</v>
      </c>
      <c r="D115" s="1096">
        <v>279505.55908610165</v>
      </c>
      <c r="E115" s="1097">
        <v>229851.7013554534</v>
      </c>
      <c r="F115" s="1097">
        <v>37835.33927161405</v>
      </c>
      <c r="G115" s="1097">
        <v>229851.7013554534</v>
      </c>
      <c r="H115" s="1097">
        <v>192016.36208383937</v>
      </c>
      <c r="I115" s="1098">
        <v>5.075053264499192</v>
      </c>
      <c r="J115" s="1099">
        <v>1.94452008</v>
      </c>
      <c r="K115" s="1096">
        <v>102606.49106136</v>
      </c>
      <c r="L115" s="1098">
        <v>0.6828315183836386</v>
      </c>
      <c r="M115" s="1100">
        <v>27.744937941983835</v>
      </c>
      <c r="N115" s="1123">
        <v>47659.69949798099</v>
      </c>
      <c r="O115" s="1098">
        <v>0.3171684816163613</v>
      </c>
      <c r="P115" s="1096">
        <v>52767.0</v>
      </c>
      <c r="Q115" s="1096">
        <v>1717.78</v>
      </c>
    </row>
    <row r="116">
      <c r="A116" s="1126"/>
      <c r="B116" s="1119">
        <v>44250.661076793986</v>
      </c>
      <c r="C116" s="1099">
        <v>5.296976502096038</v>
      </c>
      <c r="D116" s="1096">
        <v>279505.55908610165</v>
      </c>
      <c r="E116" s="1097">
        <v>229851.7013554534</v>
      </c>
      <c r="F116" s="1097">
        <v>37835.33927161405</v>
      </c>
      <c r="G116" s="1097">
        <v>229851.7013554534</v>
      </c>
      <c r="H116" s="1097">
        <v>192016.36208383937</v>
      </c>
      <c r="I116" s="1098">
        <v>5.075053264499192</v>
      </c>
      <c r="J116" s="1099">
        <v>1.94452008</v>
      </c>
      <c r="K116" s="1096">
        <v>102606.49106136</v>
      </c>
      <c r="L116" s="1098">
        <v>0.6828315183836386</v>
      </c>
      <c r="M116" s="1100">
        <v>27.744937941983835</v>
      </c>
      <c r="N116" s="1123">
        <v>47659.69949798099</v>
      </c>
      <c r="O116" s="1098">
        <v>0.3171684816163613</v>
      </c>
      <c r="P116" s="1096">
        <v>52767.0</v>
      </c>
      <c r="Q116" s="1096">
        <v>1717.78</v>
      </c>
    </row>
    <row r="117">
      <c r="A117" s="1126"/>
      <c r="B117" s="1119">
        <v>44251.97881231482</v>
      </c>
      <c r="C117" s="1099">
        <v>5.503930129875244</v>
      </c>
      <c r="D117" s="1096">
        <v>267177.280294534</v>
      </c>
      <c r="E117" s="1097">
        <v>219601.3082518924</v>
      </c>
      <c r="F117" s="1097">
        <v>37835.33927161405</v>
      </c>
      <c r="G117" s="1097">
        <v>219601.3082518924</v>
      </c>
      <c r="H117" s="1097">
        <v>181765.96898027835</v>
      </c>
      <c r="I117" s="1098">
        <v>4.804132128310217</v>
      </c>
      <c r="J117" s="1099">
        <v>2.1410950800000004</v>
      </c>
      <c r="K117" s="1096">
        <v>103935.17846844002</v>
      </c>
      <c r="L117" s="1098">
        <v>0.7039523399202163</v>
      </c>
      <c r="M117" s="1100">
        <v>27.77902220423718</v>
      </c>
      <c r="N117" s="1123">
        <v>43710.01364814516</v>
      </c>
      <c r="O117" s="1098">
        <v>0.29604766007978367</v>
      </c>
      <c r="P117" s="1096">
        <v>48543.0</v>
      </c>
      <c r="Q117" s="1096">
        <v>1573.49</v>
      </c>
    </row>
    <row r="118">
      <c r="A118" s="1126"/>
      <c r="B118" s="1119">
        <v>44253.459910983795</v>
      </c>
      <c r="C118" s="1099">
        <v>5.708853867802863</v>
      </c>
      <c r="D118" s="1096">
        <v>262304.70866393816</v>
      </c>
      <c r="E118" s="1097">
        <v>215914.56213417207</v>
      </c>
      <c r="F118" s="1097">
        <v>37835.33927161405</v>
      </c>
      <c r="G118" s="1097">
        <v>215914.56213417207</v>
      </c>
      <c r="H118" s="1097">
        <v>178079.22286255803</v>
      </c>
      <c r="I118" s="1098">
        <v>4.706690260767977</v>
      </c>
      <c r="J118" s="1099">
        <v>2.1410950800000004</v>
      </c>
      <c r="K118" s="1096">
        <v>98376.89564076002</v>
      </c>
      <c r="L118" s="1098">
        <v>0.7046500785168617</v>
      </c>
      <c r="M118" s="1100">
        <v>28.14902220423718</v>
      </c>
      <c r="N118" s="1123">
        <v>41234.09517587683</v>
      </c>
      <c r="O118" s="1098">
        <v>0.2953499214831382</v>
      </c>
      <c r="P118" s="1096">
        <v>45947.0</v>
      </c>
      <c r="Q118" s="1096">
        <v>1464.85</v>
      </c>
    </row>
    <row r="119">
      <c r="A119" s="1126"/>
      <c r="B119" s="1119">
        <v>44254.6376140162</v>
      </c>
      <c r="C119" s="1099">
        <v>5.711844438777365</v>
      </c>
      <c r="D119" s="1096">
        <v>271855.23606360867</v>
      </c>
      <c r="E119" s="1097">
        <v>225195.17884323635</v>
      </c>
      <c r="F119" s="1097">
        <v>37835.33927161405</v>
      </c>
      <c r="G119" s="1097">
        <v>225195.17884323635</v>
      </c>
      <c r="H119" s="1097">
        <v>187359.83957162232</v>
      </c>
      <c r="I119" s="1098">
        <v>4.951979899706859</v>
      </c>
      <c r="J119" s="1099">
        <v>2.1410950800000004</v>
      </c>
      <c r="K119" s="1096">
        <v>101905.42033260001</v>
      </c>
      <c r="L119" s="1098">
        <v>0.7084760492337548</v>
      </c>
      <c r="M119" s="1100">
        <v>28.14516553323718</v>
      </c>
      <c r="N119" s="1123">
        <v>41932.07486969341</v>
      </c>
      <c r="O119" s="1098">
        <v>0.29152395076624515</v>
      </c>
      <c r="P119" s="1096">
        <v>47595.0</v>
      </c>
      <c r="Q119" s="1096">
        <v>1489.85</v>
      </c>
    </row>
    <row r="120">
      <c r="A120" s="1126"/>
      <c r="B120" s="1119">
        <v>44255.39042011574</v>
      </c>
      <c r="C120" s="1099">
        <v>5.540881743914385</v>
      </c>
      <c r="D120" s="1096">
        <v>249467.11875625735</v>
      </c>
      <c r="E120" s="1097">
        <v>206253.78203546905</v>
      </c>
      <c r="F120" s="1097">
        <v>37835.33927161405</v>
      </c>
      <c r="G120" s="1097">
        <v>206253.78203546905</v>
      </c>
      <c r="H120" s="1097">
        <v>168418.44276385498</v>
      </c>
      <c r="I120" s="1098">
        <v>4.451352783037176</v>
      </c>
      <c r="J120" s="1099">
        <v>2.1410950800000004</v>
      </c>
      <c r="K120" s="1096">
        <v>96398.52378684001</v>
      </c>
      <c r="L120" s="1098">
        <v>0.7156921956617835</v>
      </c>
      <c r="M120" s="1100">
        <v>28.12523106194922</v>
      </c>
      <c r="N120" s="1123">
        <v>38294.18960470758</v>
      </c>
      <c r="O120" s="1098">
        <v>0.28430780433821645</v>
      </c>
      <c r="P120" s="1096">
        <v>45023.0</v>
      </c>
      <c r="Q120" s="1096">
        <v>1361.56</v>
      </c>
    </row>
    <row r="121">
      <c r="A121" s="1126"/>
      <c r="B121" s="1119">
        <v>44256.83499527778</v>
      </c>
      <c r="C121" s="1099">
        <v>5.633265172406195</v>
      </c>
      <c r="D121" s="1096">
        <v>273861.18635652715</v>
      </c>
      <c r="E121" s="1097">
        <v>227347.3158279692</v>
      </c>
      <c r="F121" s="1097">
        <v>37835.33927161405</v>
      </c>
      <c r="G121" s="1097">
        <v>227347.3158279692</v>
      </c>
      <c r="H121" s="1097">
        <v>189511.97655635513</v>
      </c>
      <c r="I121" s="1098">
        <v>5.008861561829219</v>
      </c>
      <c r="J121" s="1099">
        <v>2.1410950800000004</v>
      </c>
      <c r="K121" s="1096">
        <v>104089.33731420002</v>
      </c>
      <c r="L121" s="1098">
        <v>0.7091262342733471</v>
      </c>
      <c r="M121" s="1100">
        <v>27.99627908681941</v>
      </c>
      <c r="N121" s="1123">
        <v>42696.00538414481</v>
      </c>
      <c r="O121" s="1098">
        <v>0.29087376572665286</v>
      </c>
      <c r="P121" s="1096">
        <v>48615.0</v>
      </c>
      <c r="Q121" s="1096">
        <v>1525.06</v>
      </c>
    </row>
    <row r="122">
      <c r="A122" s="1126"/>
      <c r="B122" s="1119">
        <v>44257.716237256944</v>
      </c>
      <c r="C122" s="1099">
        <v>5.772593129568822</v>
      </c>
      <c r="D122" s="1096">
        <v>280767.38463596837</v>
      </c>
      <c r="E122" s="1097">
        <v>233195.44465519168</v>
      </c>
      <c r="F122" s="1097">
        <v>37835.33927161405</v>
      </c>
      <c r="G122" s="1097">
        <v>233195.44465519168</v>
      </c>
      <c r="H122" s="1097">
        <v>195360.10538357764</v>
      </c>
      <c r="I122" s="1098">
        <v>5.163429458927741</v>
      </c>
      <c r="J122" s="1099">
        <v>2.1410950800000004</v>
      </c>
      <c r="K122" s="1096">
        <v>104138.58250104001</v>
      </c>
      <c r="L122" s="1098">
        <v>0.7002486519366568</v>
      </c>
      <c r="M122" s="1100">
        <v>28.590665867819407</v>
      </c>
      <c r="N122" s="1123">
        <v>44577.99440778667</v>
      </c>
      <c r="O122" s="1098">
        <v>0.2997513480633433</v>
      </c>
      <c r="P122" s="1096">
        <v>48638.0</v>
      </c>
      <c r="Q122" s="1096">
        <v>1559.18</v>
      </c>
    </row>
    <row r="123">
      <c r="A123" s="1126"/>
      <c r="B123" s="1119">
        <v>44258.62597068287</v>
      </c>
      <c r="C123" s="1099">
        <v>5.683626167219007</v>
      </c>
      <c r="D123" s="1096">
        <v>298924.63463871647</v>
      </c>
      <c r="E123" s="1097">
        <v>246265.83819943236</v>
      </c>
      <c r="F123" s="1097">
        <v>37835.33927161405</v>
      </c>
      <c r="G123" s="1097">
        <v>246265.83819943236</v>
      </c>
      <c r="H123" s="1097">
        <v>208430.49892781832</v>
      </c>
      <c r="I123" s="1098">
        <v>5.508884099902686</v>
      </c>
      <c r="J123" s="1099">
        <v>2.1410950800000004</v>
      </c>
      <c r="K123" s="1096">
        <v>112608.75463752002</v>
      </c>
      <c r="L123" s="1098">
        <v>0.7430452290516187</v>
      </c>
      <c r="M123" s="1100">
        <v>23.57181548323951</v>
      </c>
      <c r="N123" s="1123">
        <v>38941.582050931</v>
      </c>
      <c r="O123" s="1098">
        <v>0.2569547709483813</v>
      </c>
      <c r="P123" s="1096">
        <v>52594.0</v>
      </c>
      <c r="Q123" s="1096">
        <v>1652.04</v>
      </c>
    </row>
    <row r="124">
      <c r="A124" s="1126"/>
      <c r="B124" s="1119">
        <v>44261.39021686342</v>
      </c>
      <c r="C124" s="1099">
        <v>6.605418751750586</v>
      </c>
      <c r="D124" s="1096">
        <v>323830.65430457244</v>
      </c>
      <c r="E124" s="1097">
        <v>271760.1382845226</v>
      </c>
      <c r="F124" s="1097">
        <v>37835.33927161405</v>
      </c>
      <c r="G124" s="1097">
        <v>271760.1382845226</v>
      </c>
      <c r="H124" s="1097">
        <v>233924.79901290854</v>
      </c>
      <c r="I124" s="1098">
        <v>6.182706525600275</v>
      </c>
      <c r="J124" s="1099">
        <v>2.1410950800000004</v>
      </c>
      <c r="K124" s="1096">
        <v>104967.18629700002</v>
      </c>
      <c r="L124" s="1098">
        <v>0.816824708757192</v>
      </c>
      <c r="M124" s="1100">
        <v>14.752565527802599</v>
      </c>
      <c r="N124" s="1123">
        <v>23539.193556161827</v>
      </c>
      <c r="O124" s="1098">
        <v>0.18317529124280793</v>
      </c>
      <c r="P124" s="1096">
        <v>49025.0</v>
      </c>
      <c r="Q124" s="1096">
        <v>1595.6</v>
      </c>
    </row>
    <row r="125">
      <c r="A125" s="1126"/>
      <c r="B125" s="1119">
        <v>44262.82316895833</v>
      </c>
      <c r="C125" s="1099">
        <v>6.494657279409997</v>
      </c>
      <c r="D125" s="1096">
        <v>329551.89967182203</v>
      </c>
      <c r="E125" s="1097">
        <v>276594.4642155129</v>
      </c>
      <c r="F125" s="1097">
        <v>37835.33927161405</v>
      </c>
      <c r="G125" s="1097">
        <v>276594.4642155129</v>
      </c>
      <c r="H125" s="1097">
        <v>238759.12494389887</v>
      </c>
      <c r="I125" s="1098">
        <v>6.310479291063945</v>
      </c>
      <c r="J125" s="1099">
        <v>2.1410950800000004</v>
      </c>
      <c r="K125" s="1096">
        <v>108643.44654936001</v>
      </c>
      <c r="L125" s="1098">
        <v>0.8021132101068125</v>
      </c>
      <c r="M125" s="1100">
        <v>16.069665952262593</v>
      </c>
      <c r="N125" s="1123">
        <v>26803.077931757347</v>
      </c>
      <c r="O125" s="1098">
        <v>0.19788678989318748</v>
      </c>
      <c r="P125" s="1096">
        <v>50742.0</v>
      </c>
      <c r="Q125" s="1096">
        <v>1667.93</v>
      </c>
    </row>
    <row r="126">
      <c r="A126" s="1126"/>
      <c r="B126" s="1119">
        <v>44264.767411249995</v>
      </c>
      <c r="C126" s="1099">
        <v>6.4577687196145925</v>
      </c>
      <c r="D126" s="1096">
        <v>349881.9092287186</v>
      </c>
      <c r="E126" s="1097">
        <v>294280.520552837</v>
      </c>
      <c r="F126" s="1097">
        <v>37835.33927161405</v>
      </c>
      <c r="G126" s="1097">
        <v>294280.520552837</v>
      </c>
      <c r="H126" s="1097">
        <v>256445.18128122296</v>
      </c>
      <c r="I126" s="1098">
        <v>6.777927361513601</v>
      </c>
      <c r="J126" s="1099">
        <v>2.1410950800000004</v>
      </c>
      <c r="K126" s="1096">
        <v>116004.53143440002</v>
      </c>
      <c r="L126" s="1098">
        <v>0.7212767091694545</v>
      </c>
      <c r="M126" s="1100">
        <v>24.41448741936495</v>
      </c>
      <c r="N126" s="1123">
        <v>44827.684495570174</v>
      </c>
      <c r="O126" s="1098">
        <v>0.2787232908305455</v>
      </c>
      <c r="P126" s="1096">
        <v>54180.0</v>
      </c>
      <c r="Q126" s="1096">
        <v>1836.11</v>
      </c>
    </row>
    <row r="127">
      <c r="A127" s="1126"/>
      <c r="B127" s="1119">
        <v>44266.95417372685</v>
      </c>
      <c r="C127" s="1099">
        <v>6.384548921335129</v>
      </c>
      <c r="D127" s="1096">
        <v>369518.53792011325</v>
      </c>
      <c r="E127" s="1097">
        <v>308207.714628532</v>
      </c>
      <c r="F127" s="1097">
        <v>37835.33927161405</v>
      </c>
      <c r="G127" s="1097">
        <v>308207.714628532</v>
      </c>
      <c r="H127" s="1097">
        <v>270372.37535691797</v>
      </c>
      <c r="I127" s="1098">
        <v>7.146027511897183</v>
      </c>
      <c r="J127" s="1099">
        <v>2.1410950800000004</v>
      </c>
      <c r="K127" s="1096">
        <v>123920.15994516002</v>
      </c>
      <c r="L127" s="1098">
        <v>0.7528871181680625</v>
      </c>
      <c r="M127" s="1100">
        <v>22.16579179336495</v>
      </c>
      <c r="N127" s="1123">
        <v>40673.119651235014</v>
      </c>
      <c r="O127" s="1098">
        <v>0.2471128818319375</v>
      </c>
      <c r="P127" s="1096">
        <v>57877.0</v>
      </c>
      <c r="Q127" s="1096">
        <v>1834.95</v>
      </c>
    </row>
    <row r="128">
      <c r="A128" s="1126"/>
      <c r="B128" s="1119">
        <v>44267.490551469906</v>
      </c>
      <c r="C128" s="1099">
        <v>6.574642985309971</v>
      </c>
      <c r="D128" s="1096">
        <v>370836.1629434236</v>
      </c>
      <c r="E128" s="1097">
        <v>311066.0835639707</v>
      </c>
      <c r="F128" s="1097">
        <v>37835.33927161405</v>
      </c>
      <c r="G128" s="1097">
        <v>311066.0835639707</v>
      </c>
      <c r="H128" s="1097">
        <v>273230.74429235666</v>
      </c>
      <c r="I128" s="1098">
        <v>7.221575108151545</v>
      </c>
      <c r="J128" s="1099">
        <v>2.1410950800000004</v>
      </c>
      <c r="K128" s="1096">
        <v>120766.32689232002</v>
      </c>
      <c r="L128" s="1098">
        <v>0.7507033147498089</v>
      </c>
      <c r="M128" s="1100">
        <v>22.603683312459573</v>
      </c>
      <c r="N128" s="1123">
        <v>40104.5851171314</v>
      </c>
      <c r="O128" s="1098">
        <v>0.2492966852501911</v>
      </c>
      <c r="P128" s="1096">
        <v>56404.0</v>
      </c>
      <c r="Q128" s="1096">
        <v>1774.25</v>
      </c>
    </row>
    <row r="129">
      <c r="A129" s="1126"/>
      <c r="B129" s="1119">
        <v>44268.96002362268</v>
      </c>
      <c r="C129" s="1099">
        <v>6.647724303063314</v>
      </c>
      <c r="D129" s="1096">
        <v>404327.8875609169</v>
      </c>
      <c r="E129" s="1097">
        <v>338256.1557127706</v>
      </c>
      <c r="F129" s="1097">
        <v>37835.33927161405</v>
      </c>
      <c r="G129" s="1097">
        <v>338256.1557127706</v>
      </c>
      <c r="H129" s="1097">
        <v>300420.81644115655</v>
      </c>
      <c r="I129" s="1098">
        <v>7.9402173265708536</v>
      </c>
      <c r="J129" s="1099">
        <v>2.13991196</v>
      </c>
      <c r="K129" s="1096">
        <v>130153.72523112</v>
      </c>
      <c r="L129" s="1098">
        <v>0.7606174506042566</v>
      </c>
      <c r="M129" s="1100">
        <v>21.43930779016365</v>
      </c>
      <c r="N129" s="1123">
        <v>40962.15585696457</v>
      </c>
      <c r="O129" s="1098">
        <v>0.23938254939574347</v>
      </c>
      <c r="P129" s="1096">
        <v>60822.0</v>
      </c>
      <c r="Q129" s="1096">
        <v>1910.61</v>
      </c>
    </row>
    <row r="130">
      <c r="A130" s="1126"/>
      <c r="B130" s="1119">
        <v>44269.73125482639</v>
      </c>
      <c r="C130" s="1099">
        <v>6.643551275008728</v>
      </c>
      <c r="D130" s="1096">
        <v>399616.25274305</v>
      </c>
      <c r="E130" s="1097">
        <v>333772.0160564385</v>
      </c>
      <c r="F130" s="1097">
        <v>37835.33927161405</v>
      </c>
      <c r="G130" s="1097">
        <v>333772.0160564385</v>
      </c>
      <c r="H130" s="1097">
        <v>295936.67678482446</v>
      </c>
      <c r="I130" s="1098">
        <v>7.821700095255941</v>
      </c>
      <c r="J130" s="1099">
        <v>2.13991196</v>
      </c>
      <c r="K130" s="1096">
        <v>128717.84430596001</v>
      </c>
      <c r="L130" s="1098">
        <v>0.7622648223843677</v>
      </c>
      <c r="M130" s="1100">
        <v>21.431559390163653</v>
      </c>
      <c r="N130" s="1123">
        <v>40144.52547168505</v>
      </c>
      <c r="O130" s="1098">
        <v>0.23773517761563243</v>
      </c>
      <c r="P130" s="1096">
        <v>60151.0</v>
      </c>
      <c r="Q130" s="1096">
        <v>1873.15</v>
      </c>
    </row>
    <row r="131">
      <c r="A131" s="1126"/>
      <c r="B131" s="1119">
        <v>44271.82502107639</v>
      </c>
      <c r="C131" s="1099">
        <v>6.987197670221286</v>
      </c>
      <c r="D131" s="1096">
        <v>388613.9600223675</v>
      </c>
      <c r="E131" s="1097">
        <v>326413.92636205757</v>
      </c>
      <c r="F131" s="1097">
        <v>37835.33927161405</v>
      </c>
      <c r="G131" s="1097">
        <v>326413.92636205757</v>
      </c>
      <c r="H131" s="1097">
        <v>288578.5870904435</v>
      </c>
      <c r="I131" s="1098">
        <v>7.627223454209898</v>
      </c>
      <c r="J131" s="1099">
        <v>2.13991196</v>
      </c>
      <c r="K131" s="1096">
        <v>119017.62339128001</v>
      </c>
      <c r="L131" s="1098">
        <v>0.7578495141352432</v>
      </c>
      <c r="M131" s="1100">
        <v>21.305177353012677</v>
      </c>
      <c r="N131" s="1123">
        <v>38028.88936803351</v>
      </c>
      <c r="O131" s="1098">
        <v>0.2421504858647569</v>
      </c>
      <c r="P131" s="1096">
        <v>55618.0</v>
      </c>
      <c r="Q131" s="1096">
        <v>1784.96</v>
      </c>
    </row>
    <row r="132">
      <c r="A132" s="1126"/>
      <c r="B132" s="1119">
        <v>44274.366981238425</v>
      </c>
      <c r="C132" s="1099">
        <v>7.395726021311215</v>
      </c>
      <c r="D132" s="1096">
        <v>430830.6236454635</v>
      </c>
      <c r="E132" s="1097">
        <v>361059.3443604135</v>
      </c>
      <c r="F132" s="1097">
        <v>37835.33927161405</v>
      </c>
      <c r="G132" s="1097">
        <v>361059.3443604135</v>
      </c>
      <c r="H132" s="1097">
        <v>323224.00508879946</v>
      </c>
      <c r="I132" s="1098">
        <v>8.542912824659092</v>
      </c>
      <c r="J132" s="1099">
        <v>2.13991196</v>
      </c>
      <c r="K132" s="1096">
        <v>124658.43131784</v>
      </c>
      <c r="L132" s="1098">
        <v>0.6942324476979073</v>
      </c>
      <c r="M132" s="1100">
        <v>30.448215082095036</v>
      </c>
      <c r="N132" s="1123">
        <v>54904.52591818459</v>
      </c>
      <c r="O132" s="1098">
        <v>0.3057675523020927</v>
      </c>
      <c r="P132" s="1096">
        <v>58254.0</v>
      </c>
      <c r="Q132" s="1096">
        <v>1803.21</v>
      </c>
    </row>
    <row r="133">
      <c r="A133" s="1126"/>
      <c r="B133" s="1119">
        <v>44275.864227743055</v>
      </c>
      <c r="C133" s="1099">
        <v>7.3985210724884665</v>
      </c>
      <c r="D133" s="1096">
        <v>440974.0514835301</v>
      </c>
      <c r="E133" s="1097">
        <v>369127.0133485946</v>
      </c>
      <c r="F133" s="1097">
        <v>37835.33927161405</v>
      </c>
      <c r="G133" s="1097">
        <v>369127.0133485946</v>
      </c>
      <c r="H133" s="1097">
        <v>331291.67407698056</v>
      </c>
      <c r="I133" s="1098">
        <v>8.756143871175274</v>
      </c>
      <c r="J133" s="1099">
        <v>2.13991196</v>
      </c>
      <c r="K133" s="1096">
        <v>127545.17255188001</v>
      </c>
      <c r="L133" s="1098">
        <v>0.6682039911690338</v>
      </c>
      <c r="M133" s="1100">
        <v>34.098638941000004</v>
      </c>
      <c r="N133" s="1123">
        <v>63332.425064287534</v>
      </c>
      <c r="O133" s="1098">
        <v>0.33179600883096616</v>
      </c>
      <c r="P133" s="1096">
        <v>59603.0</v>
      </c>
      <c r="Q133" s="1096">
        <v>1857.33</v>
      </c>
    </row>
    <row r="134">
      <c r="A134" s="1126"/>
      <c r="B134" s="1119">
        <v>44277.0</v>
      </c>
      <c r="C134" s="1099">
        <v>7.925668371837375</v>
      </c>
      <c r="D134" s="1096">
        <v>432844.5267911546</v>
      </c>
      <c r="E134" s="1097">
        <v>363415.67185385915</v>
      </c>
      <c r="F134" s="1097">
        <v>37835.33927161405</v>
      </c>
      <c r="G134" s="1097">
        <v>363415.67185385915</v>
      </c>
      <c r="H134" s="1097">
        <v>325580.3325822451</v>
      </c>
      <c r="I134" s="1098">
        <v>8.605191306597101</v>
      </c>
      <c r="J134" s="1099">
        <v>2.13991196</v>
      </c>
      <c r="K134" s="1096">
        <v>116867.01187148</v>
      </c>
      <c r="L134" s="1098">
        <v>0.6225012836437355</v>
      </c>
      <c r="M134" s="1100">
        <v>41.902392010785974</v>
      </c>
      <c r="N134" s="1123">
        <v>70870.77267960264</v>
      </c>
      <c r="O134" s="1098">
        <v>0.3774987163562645</v>
      </c>
      <c r="P134" s="1096">
        <v>54613.0</v>
      </c>
      <c r="Q134" s="1096">
        <v>1691.33</v>
      </c>
    </row>
    <row r="135">
      <c r="A135" s="1126"/>
      <c r="B135" s="1119">
        <v>44279.0</v>
      </c>
      <c r="C135" s="1099">
        <v>7.484311239763105</v>
      </c>
      <c r="D135" s="1096">
        <v>396735.85450860247</v>
      </c>
      <c r="E135" s="1097">
        <v>335843.49826188985</v>
      </c>
      <c r="F135" s="1097">
        <v>37835.33927161405</v>
      </c>
      <c r="G135" s="1097">
        <v>335843.49826188985</v>
      </c>
      <c r="H135" s="1097">
        <v>298008.1589902758</v>
      </c>
      <c r="I135" s="1098">
        <v>7.876450026017245</v>
      </c>
      <c r="J135" s="1099">
        <v>2.13991196</v>
      </c>
      <c r="K135" s="1096">
        <v>113434.59308764001</v>
      </c>
      <c r="L135" s="1098">
        <v>0.6181522066585161</v>
      </c>
      <c r="M135" s="1100">
        <v>43.85680490796757</v>
      </c>
      <c r="N135" s="1123">
        <v>70071.33290560704</v>
      </c>
      <c r="O135" s="1098">
        <v>0.3818477933414839</v>
      </c>
      <c r="P135" s="1096">
        <v>53009.0</v>
      </c>
      <c r="Q135" s="1096">
        <v>1597.73</v>
      </c>
    </row>
    <row r="136">
      <c r="A136" s="1126"/>
      <c r="B136" s="1119">
        <v>44280.743538055554</v>
      </c>
      <c r="C136" s="1099">
        <v>7.495949862454705</v>
      </c>
      <c r="D136" s="1096">
        <v>385044.45658471086</v>
      </c>
      <c r="E136" s="1097">
        <v>327280.66694463487</v>
      </c>
      <c r="F136" s="1097">
        <v>37835.33927161405</v>
      </c>
      <c r="G136" s="1097">
        <v>327280.66694463487</v>
      </c>
      <c r="H136" s="1097">
        <v>289445.32767302083</v>
      </c>
      <c r="I136" s="1098">
        <v>7.6501316823178875</v>
      </c>
      <c r="J136" s="1099">
        <v>2.13991196</v>
      </c>
      <c r="K136" s="1096">
        <v>109920.85764932001</v>
      </c>
      <c r="L136" s="1098">
        <v>0.6116711548120005</v>
      </c>
      <c r="M136" s="1100">
        <v>43.85680490796757</v>
      </c>
      <c r="N136" s="1123">
        <v>69784.94796955801</v>
      </c>
      <c r="O136" s="1098">
        <v>0.3883288451879995</v>
      </c>
      <c r="P136" s="1096">
        <v>51367.0</v>
      </c>
      <c r="Q136" s="1096">
        <v>1591.2</v>
      </c>
    </row>
    <row r="137">
      <c r="A137" s="1126"/>
      <c r="B137" s="1119">
        <v>44281.5033774537</v>
      </c>
      <c r="C137" s="1099">
        <v>7.668729404088426</v>
      </c>
      <c r="D137" s="1096">
        <v>409579.16874295875</v>
      </c>
      <c r="E137" s="1097">
        <v>347577.4915109038</v>
      </c>
      <c r="F137" s="1097">
        <v>37835.33927161405</v>
      </c>
      <c r="G137" s="1097">
        <v>347577.4915109038</v>
      </c>
      <c r="H137" s="1097">
        <v>309742.1522392898</v>
      </c>
      <c r="I137" s="1098">
        <v>8.186583183930207</v>
      </c>
      <c r="J137" s="1099">
        <v>2.13991196</v>
      </c>
      <c r="K137" s="1096">
        <v>114290.55787164</v>
      </c>
      <c r="L137" s="1098">
        <v>0.6273535321085556</v>
      </c>
      <c r="M137" s="1100">
        <v>41.77819443380561</v>
      </c>
      <c r="N137" s="1123">
        <v>67888.3126091011</v>
      </c>
      <c r="O137" s="1098">
        <v>0.37264646789144446</v>
      </c>
      <c r="P137" s="1096">
        <v>53409.0</v>
      </c>
      <c r="Q137" s="1096">
        <v>1624.97</v>
      </c>
    </row>
    <row r="138">
      <c r="A138" s="1126"/>
      <c r="B138" s="1119">
        <v>44282.640644872685</v>
      </c>
      <c r="C138" s="1099">
        <v>7.871727053091034</v>
      </c>
      <c r="D138" s="1096">
        <v>429670.349465921</v>
      </c>
      <c r="E138" s="1097">
        <v>364012.2741160887</v>
      </c>
      <c r="F138" s="1097">
        <v>37835.33927161405</v>
      </c>
      <c r="G138" s="1097">
        <v>364012.2741160887</v>
      </c>
      <c r="H138" s="1097">
        <v>326176.93484447466</v>
      </c>
      <c r="I138" s="1098">
        <v>8.620959693341213</v>
      </c>
      <c r="J138" s="1099">
        <v>2.45875156</v>
      </c>
      <c r="K138" s="1096">
        <v>134208.49515104</v>
      </c>
      <c r="L138" s="1098">
        <v>0.6393945690065771</v>
      </c>
      <c r="M138" s="1100">
        <v>45.0790260918056</v>
      </c>
      <c r="N138" s="1123">
        <v>75690.84033996802</v>
      </c>
      <c r="O138" s="1098">
        <v>0.36060543099342296</v>
      </c>
      <c r="P138" s="1096">
        <v>54584.0</v>
      </c>
      <c r="Q138" s="1096">
        <v>1679.07</v>
      </c>
    </row>
    <row r="139">
      <c r="A139" s="1126"/>
      <c r="B139" s="1119">
        <v>44283.910741562504</v>
      </c>
      <c r="C139" s="1099">
        <v>7.954567390403327</v>
      </c>
      <c r="D139" s="1096">
        <v>437334.16055698454</v>
      </c>
      <c r="E139" s="1097">
        <v>370953.29568406875</v>
      </c>
      <c r="F139" s="1097">
        <v>37835.33927161405</v>
      </c>
      <c r="G139" s="1097">
        <v>370953.29568406875</v>
      </c>
      <c r="H139" s="1097">
        <v>333117.9564124547</v>
      </c>
      <c r="I139" s="1098">
        <v>8.8044130917144</v>
      </c>
      <c r="J139" s="1099">
        <v>2.45875156</v>
      </c>
      <c r="K139" s="1096">
        <v>135179.70201724</v>
      </c>
      <c r="L139" s="1098">
        <v>0.6481947138450193</v>
      </c>
      <c r="M139" s="1100">
        <v>43.9955408828056</v>
      </c>
      <c r="N139" s="1123">
        <v>73368.28384239311</v>
      </c>
      <c r="O139" s="1098">
        <v>0.3518052861549808</v>
      </c>
      <c r="P139" s="1096">
        <v>54979.0</v>
      </c>
      <c r="Q139" s="1096">
        <v>1667.63</v>
      </c>
    </row>
    <row r="140">
      <c r="A140" s="1126"/>
      <c r="B140" s="1119">
        <v>44284.64888378472</v>
      </c>
      <c r="C140" s="1099">
        <v>7.879348219240889</v>
      </c>
      <c r="D140" s="1096">
        <v>456371.84885843226</v>
      </c>
      <c r="E140" s="1097">
        <v>387167.53344883956</v>
      </c>
      <c r="F140" s="1097">
        <v>37835.33927161405</v>
      </c>
      <c r="G140" s="1097">
        <v>387167.53344883956</v>
      </c>
      <c r="H140" s="1097">
        <v>349332.1941772255</v>
      </c>
      <c r="I140" s="1098">
        <v>9.232960531143219</v>
      </c>
      <c r="J140" s="1099">
        <v>2.45875156</v>
      </c>
      <c r="K140" s="1096">
        <v>142410.8903552</v>
      </c>
      <c r="L140" s="1098">
        <v>0.6456936423019991</v>
      </c>
      <c r="M140" s="1100">
        <v>43.99554088280561</v>
      </c>
      <c r="N140" s="1123">
        <v>78143.99980522167</v>
      </c>
      <c r="O140" s="1098">
        <v>0.35430635769800095</v>
      </c>
      <c r="P140" s="1096">
        <v>57920.0</v>
      </c>
      <c r="Q140" s="1096">
        <v>1776.18</v>
      </c>
    </row>
    <row r="141">
      <c r="A141" s="1126"/>
      <c r="B141" s="1119">
        <v>44285.68289909722</v>
      </c>
      <c r="C141" s="1099">
        <v>8.298436308651253</v>
      </c>
      <c r="D141" s="1096">
        <v>490595.25613115344</v>
      </c>
      <c r="E141" s="1097">
        <v>417950.74468522036</v>
      </c>
      <c r="F141" s="1097">
        <v>37835.33927161405</v>
      </c>
      <c r="G141" s="1097">
        <v>417950.74468522036</v>
      </c>
      <c r="H141" s="1097">
        <v>380115.4054136063</v>
      </c>
      <c r="I141" s="1098">
        <v>10.046570553651351</v>
      </c>
      <c r="J141" s="1099">
        <v>2.45875156</v>
      </c>
      <c r="K141" s="1096">
        <v>145358.93347564</v>
      </c>
      <c r="L141" s="1098">
        <v>0.6330352698565953</v>
      </c>
      <c r="M141" s="1100">
        <v>45.71350048062564</v>
      </c>
      <c r="N141" s="1123">
        <v>84263.23830093244</v>
      </c>
      <c r="O141" s="1098">
        <v>0.3669647301434048</v>
      </c>
      <c r="P141" s="1096">
        <v>59119.0</v>
      </c>
      <c r="Q141" s="1096">
        <v>1843.29</v>
      </c>
    </row>
    <row r="142">
      <c r="A142" s="1126"/>
      <c r="B142" s="1119">
        <v>44287.519932696756</v>
      </c>
      <c r="C142" s="1099">
        <v>8.677363489960017</v>
      </c>
      <c r="D142" s="1096">
        <v>511009.93592374545</v>
      </c>
      <c r="E142" s="1097">
        <v>435221.84320243465</v>
      </c>
      <c r="F142" s="1097">
        <v>37835.33927161405</v>
      </c>
      <c r="G142" s="1097">
        <v>435221.84320243465</v>
      </c>
      <c r="H142" s="1097">
        <v>397386.5039308206</v>
      </c>
      <c r="I142" s="1098">
        <v>10.503051157491791</v>
      </c>
      <c r="J142" s="1099">
        <v>2.42761516</v>
      </c>
      <c r="K142" s="1096">
        <v>142962.25677240003</v>
      </c>
      <c r="L142" s="1098">
        <v>0.5866740046263762</v>
      </c>
      <c r="M142" s="1100">
        <v>51.86824946633004</v>
      </c>
      <c r="N142" s="1123">
        <v>100720.36022619299</v>
      </c>
      <c r="O142" s="1098">
        <v>0.41332599537362374</v>
      </c>
      <c r="P142" s="1096">
        <v>58890.0</v>
      </c>
      <c r="Q142" s="1096">
        <v>1941.85</v>
      </c>
    </row>
    <row r="143">
      <c r="A143" s="1126"/>
      <c r="B143" s="1119">
        <v>44289.56817331018</v>
      </c>
      <c r="C143" s="1099">
        <v>9.267819436657087</v>
      </c>
      <c r="D143" s="1096">
        <v>550350.9216070077</v>
      </c>
      <c r="E143" s="1097">
        <v>468006.34591230954</v>
      </c>
      <c r="F143" s="1097">
        <v>37835.33927161405</v>
      </c>
      <c r="G143" s="1097">
        <v>468006.34591230954</v>
      </c>
      <c r="H143" s="1097">
        <v>430171.0066406955</v>
      </c>
      <c r="I143" s="1098">
        <v>11.369555947485084</v>
      </c>
      <c r="J143" s="1099">
        <v>2.42761516</v>
      </c>
      <c r="K143" s="1096">
        <v>144159.07104628</v>
      </c>
      <c r="L143" s="1098">
        <v>0.5569143730675528</v>
      </c>
      <c r="M143" s="1100">
        <v>54.586622096438504</v>
      </c>
      <c r="N143" s="1123">
        <v>114694.13515171078</v>
      </c>
      <c r="O143" s="1098">
        <v>0.4430856269324472</v>
      </c>
      <c r="P143" s="1096">
        <v>59383.0</v>
      </c>
      <c r="Q143" s="1096">
        <v>2101.14</v>
      </c>
    </row>
    <row r="144">
      <c r="A144" s="1126"/>
      <c r="B144" s="1119">
        <v>44290.82877986111</v>
      </c>
      <c r="C144" s="1099">
        <v>9.44162604150845</v>
      </c>
      <c r="D144" s="1096">
        <v>550106.8996824482</v>
      </c>
      <c r="E144" s="1097">
        <v>467804.24547861906</v>
      </c>
      <c r="F144" s="1097">
        <v>37835.33927161405</v>
      </c>
      <c r="G144" s="1097">
        <v>467804.24547861906</v>
      </c>
      <c r="H144" s="1097">
        <v>429968.906207005</v>
      </c>
      <c r="I144" s="1098">
        <v>11.364214369014237</v>
      </c>
      <c r="J144" s="1099">
        <v>2.42761516</v>
      </c>
      <c r="K144" s="1096">
        <v>141442.56968224002</v>
      </c>
      <c r="L144" s="1098">
        <v>0.5276433567854419</v>
      </c>
      <c r="M144" s="1100">
        <v>60.83391891472236</v>
      </c>
      <c r="N144" s="1123">
        <v>126622.15218585971</v>
      </c>
      <c r="O144" s="1098">
        <v>0.47235664321455795</v>
      </c>
      <c r="P144" s="1096">
        <v>58264.0</v>
      </c>
      <c r="Q144" s="1096">
        <v>2081.44</v>
      </c>
    </row>
    <row r="145">
      <c r="A145" s="1126"/>
      <c r="B145" s="1119">
        <v>44291.96973722222</v>
      </c>
      <c r="C145" s="1099">
        <v>9.341976456222282</v>
      </c>
      <c r="D145" s="1096">
        <v>549625.8428253818</v>
      </c>
      <c r="E145" s="1097">
        <v>465314.50530797563</v>
      </c>
      <c r="F145" s="1097">
        <v>37835.33927161405</v>
      </c>
      <c r="G145" s="1097">
        <v>465314.50530797563</v>
      </c>
      <c r="H145" s="1097">
        <v>427479.1660363616</v>
      </c>
      <c r="I145" s="1098">
        <v>11.298409747763982</v>
      </c>
      <c r="J145" s="1099">
        <v>2.42761516</v>
      </c>
      <c r="K145" s="1096">
        <v>142826.31032344</v>
      </c>
      <c r="L145" s="1098">
        <v>0.5313142529019557</v>
      </c>
      <c r="M145" s="1100">
        <v>59.606427786722364</v>
      </c>
      <c r="N145" s="1123">
        <v>125990.70247707293</v>
      </c>
      <c r="O145" s="1098">
        <v>0.4686857470980442</v>
      </c>
      <c r="P145" s="1096">
        <v>58834.0</v>
      </c>
      <c r="Q145" s="1096">
        <v>2113.71</v>
      </c>
    </row>
    <row r="146">
      <c r="A146" s="1126"/>
      <c r="B146" s="1119">
        <v>44292.98165430556</v>
      </c>
      <c r="C146" s="1099">
        <v>9.554857032433802</v>
      </c>
      <c r="D146" s="1096">
        <v>556236.0021431338</v>
      </c>
      <c r="E146" s="1097">
        <v>468436.4208720996</v>
      </c>
      <c r="F146" s="1097">
        <v>37835.33927161405</v>
      </c>
      <c r="G146" s="1097">
        <v>468436.4208720996</v>
      </c>
      <c r="H146" s="1097">
        <v>430601.08160048554</v>
      </c>
      <c r="I146" s="1098">
        <v>11.380922964883887</v>
      </c>
      <c r="J146" s="1099">
        <v>2.42761516</v>
      </c>
      <c r="K146" s="1096">
        <v>141323.6165394</v>
      </c>
      <c r="L146" s="1098">
        <v>0.49800071822108727</v>
      </c>
      <c r="M146" s="1100">
        <v>67.31194945924702</v>
      </c>
      <c r="N146" s="1123">
        <v>142458.33671605578</v>
      </c>
      <c r="O146" s="1098">
        <v>0.5019992817789126</v>
      </c>
      <c r="P146" s="1096">
        <v>58215.0</v>
      </c>
      <c r="Q146" s="1096">
        <v>2116.39</v>
      </c>
    </row>
    <row r="147">
      <c r="A147" s="1126"/>
      <c r="B147" s="1119">
        <v>44293.958892650466</v>
      </c>
      <c r="C147" s="1099">
        <v>9.678060561294044</v>
      </c>
      <c r="D147" s="1096">
        <v>542706.9240351248</v>
      </c>
      <c r="E147" s="1097">
        <v>457210.9370366532</v>
      </c>
      <c r="F147" s="1097">
        <v>37835.33927161405</v>
      </c>
      <c r="G147" s="1097">
        <v>457210.9370366532</v>
      </c>
      <c r="H147" s="1097">
        <v>419375.5977650392</v>
      </c>
      <c r="I147" s="1098">
        <v>11.084229871824503</v>
      </c>
      <c r="J147" s="1099">
        <v>2.42761516</v>
      </c>
      <c r="K147" s="1096">
        <v>136130.94771216</v>
      </c>
      <c r="L147" s="1098">
        <v>0.5320213847287792</v>
      </c>
      <c r="M147" s="1100">
        <v>60.168332527154334</v>
      </c>
      <c r="N147" s="1123">
        <v>119744.00697891621</v>
      </c>
      <c r="O147" s="1098">
        <v>0.4679786152712208</v>
      </c>
      <c r="P147" s="1096">
        <v>56076.0</v>
      </c>
      <c r="Q147" s="1096">
        <v>1990.15</v>
      </c>
    </row>
    <row r="148">
      <c r="A148" s="1126"/>
      <c r="B148" s="1119">
        <v>44297.01287604167</v>
      </c>
      <c r="C148" s="1099">
        <v>10.079910506448615</v>
      </c>
      <c r="D148" s="1096">
        <v>598031.0104370898</v>
      </c>
      <c r="E148" s="1097">
        <v>502503.6985674763</v>
      </c>
      <c r="F148" s="1097">
        <v>37835.33927161405</v>
      </c>
      <c r="G148" s="1097">
        <v>502503.6985674763</v>
      </c>
      <c r="H148" s="1097">
        <v>464668.35929586226</v>
      </c>
      <c r="I148" s="1098">
        <v>12.281331904019149</v>
      </c>
      <c r="J148" s="1099">
        <v>2.42761516</v>
      </c>
      <c r="K148" s="1096">
        <v>144027.97982764003</v>
      </c>
      <c r="L148" s="1098">
        <v>0.5281201074644913</v>
      </c>
      <c r="M148" s="1100">
        <v>60.71955916020702</v>
      </c>
      <c r="N148" s="1123">
        <v>128690.24807532596</v>
      </c>
      <c r="O148" s="1098">
        <v>0.4718798925355087</v>
      </c>
      <c r="P148" s="1096">
        <v>59329.0</v>
      </c>
      <c r="Q148" s="1096">
        <v>2119.42</v>
      </c>
    </row>
    <row r="149">
      <c r="A149" s="1126"/>
      <c r="B149" s="1119">
        <v>44298.26963541667</v>
      </c>
      <c r="C149" s="1099">
        <v>10.201967630559698</v>
      </c>
      <c r="D149" s="1096">
        <v>616953.7904904672</v>
      </c>
      <c r="E149" s="1097">
        <v>518912.8815607885</v>
      </c>
      <c r="F149" s="1097">
        <v>37835.33927161405</v>
      </c>
      <c r="G149" s="1097">
        <v>518912.8815607885</v>
      </c>
      <c r="H149" s="1097">
        <v>481077.54228917445</v>
      </c>
      <c r="I149" s="1098">
        <v>12.715031807580557</v>
      </c>
      <c r="J149" s="1099">
        <v>2.7982324800000002</v>
      </c>
      <c r="K149" s="1096">
        <v>169220.31099552</v>
      </c>
      <c r="L149" s="1098">
        <v>0.5448232594357204</v>
      </c>
      <c r="M149" s="1100">
        <v>65.47628627358841</v>
      </c>
      <c r="N149" s="1123">
        <v>141376.3973219321</v>
      </c>
      <c r="O149" s="1098">
        <v>0.45517674056427954</v>
      </c>
      <c r="P149" s="1096">
        <v>60474.0</v>
      </c>
      <c r="Q149" s="1096">
        <v>2159.2</v>
      </c>
    </row>
    <row r="150">
      <c r="A150" s="1126"/>
      <c r="B150" s="1119">
        <v>44299.4743749537</v>
      </c>
      <c r="C150" s="1099">
        <v>9.961308884880838</v>
      </c>
      <c r="D150" s="1096">
        <v>624185.5760355182</v>
      </c>
      <c r="E150" s="1097">
        <v>525937.1865039385</v>
      </c>
      <c r="F150" s="1097">
        <v>37835.33927161405</v>
      </c>
      <c r="G150" s="1097">
        <v>525937.1865039385</v>
      </c>
      <c r="H150" s="1097">
        <v>488101.8472323245</v>
      </c>
      <c r="I150" s="1098">
        <v>12.900686411936649</v>
      </c>
      <c r="J150" s="1099">
        <v>2.7982324800000002</v>
      </c>
      <c r="K150" s="1096">
        <v>175340.04542928003</v>
      </c>
      <c r="L150" s="1098">
        <v>0.5708094163823662</v>
      </c>
      <c r="M150" s="1100">
        <v>59.861000678084814</v>
      </c>
      <c r="N150" s="1123">
        <v>131837.867893414</v>
      </c>
      <c r="O150" s="1098">
        <v>0.42919058361763385</v>
      </c>
      <c r="P150" s="1096">
        <v>62661.0</v>
      </c>
      <c r="Q150" s="1096">
        <v>2202.4</v>
      </c>
    </row>
    <row r="151">
      <c r="A151" s="1126"/>
      <c r="B151" s="1119">
        <v>44300.96353511574</v>
      </c>
      <c r="C151" s="1099">
        <v>9.87211535708099</v>
      </c>
      <c r="D151" s="1096">
        <v>618991.5050043351</v>
      </c>
      <c r="E151" s="1097">
        <v>516716.38990497607</v>
      </c>
      <c r="F151" s="1097">
        <v>37835.33927161405</v>
      </c>
      <c r="G151" s="1097">
        <v>516716.38990497607</v>
      </c>
      <c r="H151" s="1097">
        <v>478881.050633362</v>
      </c>
      <c r="I151" s="1098">
        <v>12.656977837453736</v>
      </c>
      <c r="J151" s="1099">
        <v>2.7982324800000002</v>
      </c>
      <c r="K151" s="1096">
        <v>175451.97472848</v>
      </c>
      <c r="L151" s="1098">
        <v>0.5751017435983635</v>
      </c>
      <c r="M151" s="1100">
        <v>54.53447927230701</v>
      </c>
      <c r="N151" s="1123">
        <v>129627.91188548102</v>
      </c>
      <c r="O151" s="1098">
        <v>0.4248982564016366</v>
      </c>
      <c r="P151" s="1096">
        <v>62701.0</v>
      </c>
      <c r="Q151" s="1096">
        <v>2376.99</v>
      </c>
    </row>
    <row r="152">
      <c r="A152" s="1132"/>
      <c r="B152" s="1133">
        <v>44301.957501770834</v>
      </c>
      <c r="C152" s="1134">
        <v>9.969343875236214</v>
      </c>
      <c r="D152" s="1135">
        <v>631278.7928677076</v>
      </c>
      <c r="E152" s="1136">
        <v>527537.8005019996</v>
      </c>
      <c r="F152" s="1136">
        <v>37835.33927161405</v>
      </c>
      <c r="G152" s="1136">
        <v>527537.8005019996</v>
      </c>
      <c r="H152" s="1136">
        <v>489702.4612303855</v>
      </c>
      <c r="I152" s="1137">
        <v>12.942991146845209</v>
      </c>
      <c r="J152" s="1134">
        <v>2.7982324800000002</v>
      </c>
      <c r="K152" s="1135">
        <v>177189.67709856</v>
      </c>
      <c r="L152" s="1137">
        <v>0.5659658157548818</v>
      </c>
      <c r="M152" s="1138">
        <v>54.53447927230701</v>
      </c>
      <c r="N152" s="1139">
        <v>135885.19803718556</v>
      </c>
      <c r="O152" s="1137">
        <v>0.4340341842451182</v>
      </c>
      <c r="P152" s="1135">
        <v>63322.0</v>
      </c>
      <c r="Q152" s="1135">
        <v>2491.73</v>
      </c>
      <c r="R152" s="1140"/>
    </row>
    <row r="153">
      <c r="A153" s="1126"/>
      <c r="B153" s="1119">
        <v>44302.389619305555</v>
      </c>
      <c r="C153" s="1099">
        <v>9.941977446856674</v>
      </c>
      <c r="D153" s="1096">
        <v>610685.9646731712</v>
      </c>
      <c r="E153" s="1097">
        <v>510500.65794119646</v>
      </c>
      <c r="F153" s="1097">
        <v>37835.33927161405</v>
      </c>
      <c r="G153" s="1097">
        <v>510500.65794119646</v>
      </c>
      <c r="H153" s="1097">
        <v>472665.3186695824</v>
      </c>
      <c r="I153" s="1098">
        <v>12.492694073030274</v>
      </c>
      <c r="J153" s="1099">
        <v>3.0356870500000004</v>
      </c>
      <c r="K153" s="1096">
        <v>186467.07704625002</v>
      </c>
      <c r="L153" s="1098">
        <v>0.5860859926180733</v>
      </c>
      <c r="M153" s="1100">
        <v>54.50405945037004</v>
      </c>
      <c r="N153" s="1123">
        <v>131689.43820041706</v>
      </c>
      <c r="O153" s="1098">
        <v>0.4139140073819268</v>
      </c>
      <c r="P153" s="1096">
        <v>61425.0</v>
      </c>
      <c r="Q153" s="1096">
        <v>2416.14</v>
      </c>
    </row>
    <row r="154">
      <c r="A154" s="1126"/>
      <c r="B154" s="1119">
        <v>44303.78052363426</v>
      </c>
      <c r="C154" s="1099">
        <v>9.894927597692293</v>
      </c>
      <c r="D154" s="1096">
        <v>599889.8805376929</v>
      </c>
      <c r="E154" s="1097">
        <v>500663.54658803466</v>
      </c>
      <c r="F154" s="1097">
        <v>37835.33927161405</v>
      </c>
      <c r="G154" s="1097">
        <v>500663.54658803466</v>
      </c>
      <c r="H154" s="1097">
        <v>462828.2073164206</v>
      </c>
      <c r="I154" s="1098">
        <v>12.232696104397228</v>
      </c>
      <c r="J154" s="1099">
        <v>3.0356870500000004</v>
      </c>
      <c r="K154" s="1096">
        <v>184041.56309330004</v>
      </c>
      <c r="L154" s="1098">
        <v>0.5031912085102197</v>
      </c>
      <c r="M154" s="1100">
        <v>77.09977254986994</v>
      </c>
      <c r="N154" s="1123">
        <v>181707.2019500825</v>
      </c>
      <c r="O154" s="1098">
        <v>0.49680879148978035</v>
      </c>
      <c r="P154" s="1096">
        <v>60626.0</v>
      </c>
      <c r="Q154" s="1096">
        <v>2356.78</v>
      </c>
    </row>
    <row r="155">
      <c r="A155" s="1126"/>
      <c r="B155" s="1119">
        <v>44304.40154179398</v>
      </c>
      <c r="C155" s="1099">
        <v>9.951562721953502</v>
      </c>
      <c r="D155" s="1096">
        <v>559526.6140418357</v>
      </c>
      <c r="E155" s="1097">
        <v>466977.08072766813</v>
      </c>
      <c r="F155" s="1097">
        <v>37835.33927161405</v>
      </c>
      <c r="G155" s="1097">
        <v>466977.08072766813</v>
      </c>
      <c r="H155" s="1097">
        <v>429141.7414560541</v>
      </c>
      <c r="I155" s="1098">
        <v>11.342352142670425</v>
      </c>
      <c r="J155" s="1099">
        <v>3.0356870500000004</v>
      </c>
      <c r="K155" s="1096">
        <v>170681.50438625002</v>
      </c>
      <c r="L155" s="1098">
        <v>0.5001360515065428</v>
      </c>
      <c r="M155" s="1100">
        <v>77.09977254986994</v>
      </c>
      <c r="N155" s="1123">
        <v>170588.64375066574</v>
      </c>
      <c r="O155" s="1098">
        <v>0.4998639484934571</v>
      </c>
      <c r="P155" s="1096">
        <v>56225.0</v>
      </c>
      <c r="Q155" s="1096">
        <v>2212.57</v>
      </c>
    </row>
    <row r="156">
      <c r="A156" s="1126"/>
      <c r="B156" s="1119">
        <v>44305.99400278935</v>
      </c>
      <c r="C156" s="1099">
        <v>10.183164131892342</v>
      </c>
      <c r="D156" s="1096">
        <v>572792.7992548123</v>
      </c>
      <c r="E156" s="1097">
        <v>475859.2598833291</v>
      </c>
      <c r="F156" s="1097">
        <v>37835.33927161405</v>
      </c>
      <c r="G156" s="1097">
        <v>475859.2598833291</v>
      </c>
      <c r="H156" s="1097">
        <v>438023.92061171506</v>
      </c>
      <c r="I156" s="1098">
        <v>11.577110950881371</v>
      </c>
      <c r="J156" s="1099">
        <v>3.0356870500000004</v>
      </c>
      <c r="K156" s="1096">
        <v>170754.36087545002</v>
      </c>
      <c r="L156" s="1098">
        <v>0.490572630037534</v>
      </c>
      <c r="M156" s="1100">
        <v>80.08905097346349</v>
      </c>
      <c r="N156" s="1123">
        <v>177317.15885524816</v>
      </c>
      <c r="O156" s="1098">
        <v>0.509427369962466</v>
      </c>
      <c r="P156" s="1096">
        <v>56249.0</v>
      </c>
      <c r="Q156" s="1096">
        <v>2214.0</v>
      </c>
    </row>
    <row r="157">
      <c r="A157" s="1126"/>
      <c r="B157" s="1119">
        <v>44307.877102847226</v>
      </c>
      <c r="C157" s="1099">
        <v>10.537168186465033</v>
      </c>
      <c r="D157" s="1096">
        <v>583558.91133462</v>
      </c>
      <c r="E157" s="1097">
        <v>485131.22330485005</v>
      </c>
      <c r="F157" s="1097">
        <v>37835.33927161405</v>
      </c>
      <c r="G157" s="1097">
        <v>485131.22330485005</v>
      </c>
      <c r="H157" s="1097">
        <v>447295.884033236</v>
      </c>
      <c r="I157" s="1098">
        <v>11.822171880689849</v>
      </c>
      <c r="J157" s="1099">
        <v>3.2813570500000004</v>
      </c>
      <c r="K157" s="1096">
        <v>181724.83478605002</v>
      </c>
      <c r="L157" s="1098">
        <v>0.48556206430891447</v>
      </c>
      <c r="M157" s="1100">
        <v>79.84035475085601</v>
      </c>
      <c r="N157" s="1123">
        <v>192531.82186749924</v>
      </c>
      <c r="O157" s="1098">
        <v>0.5144379356910854</v>
      </c>
      <c r="P157" s="1096">
        <v>55381.0</v>
      </c>
      <c r="Q157" s="1096">
        <v>2411.46</v>
      </c>
    </row>
    <row r="158">
      <c r="A158" s="1126"/>
      <c r="B158" s="1119">
        <v>44308.93862508102</v>
      </c>
      <c r="C158" s="1099">
        <v>11.019129532188652</v>
      </c>
      <c r="D158" s="1096">
        <v>577137.9283779128</v>
      </c>
      <c r="E158" s="1097">
        <v>480334.8754376355</v>
      </c>
      <c r="F158" s="1097">
        <v>37835.33927161405</v>
      </c>
      <c r="G158" s="1097">
        <v>480334.8754376355</v>
      </c>
      <c r="H158" s="1097">
        <v>442499.5361660215</v>
      </c>
      <c r="I158" s="1098">
        <v>11.695402887480029</v>
      </c>
      <c r="J158" s="1099">
        <v>3.2813570500000004</v>
      </c>
      <c r="K158" s="1096">
        <v>171864.35685080002</v>
      </c>
      <c r="L158" s="1098">
        <v>0.4596898338875217</v>
      </c>
      <c r="M158" s="1100">
        <v>81.37557002303743</v>
      </c>
      <c r="N158" s="1123">
        <v>202005.90126948786</v>
      </c>
      <c r="O158" s="1098">
        <v>0.5403101661124782</v>
      </c>
      <c r="P158" s="1096">
        <v>52376.0</v>
      </c>
      <c r="Q158" s="1096">
        <v>2482.39</v>
      </c>
    </row>
    <row r="159">
      <c r="A159" s="1126"/>
      <c r="B159" s="1119">
        <v>44309.79212107639</v>
      </c>
      <c r="C159" s="1099">
        <v>10.918689700101574</v>
      </c>
      <c r="D159" s="1096">
        <v>544471.3805852651</v>
      </c>
      <c r="E159" s="1097">
        <v>450636.16130259214</v>
      </c>
      <c r="F159" s="1097">
        <v>37835.33927161405</v>
      </c>
      <c r="G159" s="1097">
        <v>450636.16130259214</v>
      </c>
      <c r="H159" s="1097">
        <v>412800.8220309781</v>
      </c>
      <c r="I159" s="1098">
        <v>10.910456466837651</v>
      </c>
      <c r="J159" s="1099">
        <v>3.2813570500000004</v>
      </c>
      <c r="K159" s="1096">
        <v>163628.15065530004</v>
      </c>
      <c r="L159" s="1098">
        <v>0.46423229842925956</v>
      </c>
      <c r="M159" s="1100">
        <v>81.05026904236378</v>
      </c>
      <c r="N159" s="1123">
        <v>188842.26385256508</v>
      </c>
      <c r="O159" s="1098">
        <v>0.5357677015707405</v>
      </c>
      <c r="P159" s="1096">
        <v>49866.0</v>
      </c>
      <c r="Q159" s="1096">
        <v>2329.94</v>
      </c>
    </row>
    <row r="160">
      <c r="A160" s="1126"/>
      <c r="B160" s="1119">
        <v>44311.95136209491</v>
      </c>
      <c r="C160" s="1099">
        <v>11.394339834873236</v>
      </c>
      <c r="D160" s="1096">
        <v>565979.6482778233</v>
      </c>
      <c r="E160" s="1097">
        <v>467862.98795973</v>
      </c>
      <c r="F160" s="1097">
        <v>37835.33927161405</v>
      </c>
      <c r="G160" s="1097">
        <v>467862.98795973</v>
      </c>
      <c r="H160" s="1097">
        <v>430027.64868811594</v>
      </c>
      <c r="I160" s="1098">
        <v>11.365766951394672</v>
      </c>
      <c r="J160" s="1099">
        <v>3.3686367060831053</v>
      </c>
      <c r="K160" s="1096">
        <v>167326.92246456002</v>
      </c>
      <c r="L160" s="1098">
        <v>0.4498766019124143</v>
      </c>
      <c r="M160" s="1100">
        <v>88.94965723667289</v>
      </c>
      <c r="N160" s="1123">
        <v>204612.6755346634</v>
      </c>
      <c r="O160" s="1098">
        <v>0.5501233980875858</v>
      </c>
      <c r="P160" s="1096">
        <v>49672.0</v>
      </c>
      <c r="Q160" s="1096">
        <v>2300.32</v>
      </c>
    </row>
    <row r="161">
      <c r="A161" s="1126"/>
      <c r="B161" s="1119">
        <v>44312.95184780093</v>
      </c>
      <c r="C161" s="1099">
        <v>11.093776450360723</v>
      </c>
      <c r="D161" s="1096">
        <v>597177.9863229177</v>
      </c>
      <c r="E161" s="1097">
        <v>494039.1466639141</v>
      </c>
      <c r="F161" s="1097">
        <v>37835.33927161405</v>
      </c>
      <c r="G161" s="1097">
        <v>494039.1466639141</v>
      </c>
      <c r="H161" s="1097">
        <v>456203.80739230005</v>
      </c>
      <c r="I161" s="1098">
        <v>12.057611116350337</v>
      </c>
      <c r="J161" s="1099">
        <v>3.3704675104595987</v>
      </c>
      <c r="K161" s="1096">
        <v>181432.2660880402</v>
      </c>
      <c r="L161" s="1098">
        <v>0.4825515441509323</v>
      </c>
      <c r="M161" s="1100">
        <v>78.32529776960826</v>
      </c>
      <c r="N161" s="1123">
        <v>194552.99038290762</v>
      </c>
      <c r="O161" s="1098">
        <v>0.5174484558490676</v>
      </c>
      <c r="P161" s="1096">
        <v>53830.0</v>
      </c>
      <c r="Q161" s="1096">
        <v>2483.91</v>
      </c>
    </row>
    <row r="162">
      <c r="A162" s="1126"/>
      <c r="B162" s="1119">
        <v>44313.7866280787</v>
      </c>
      <c r="C162" s="1099">
        <v>11.569407473275342</v>
      </c>
      <c r="D162" s="1096">
        <v>634489.4446493663</v>
      </c>
      <c r="E162" s="1097">
        <v>526662.5669984401</v>
      </c>
      <c r="F162" s="1097">
        <v>37835.33927161405</v>
      </c>
      <c r="G162" s="1097">
        <v>526662.5669984401</v>
      </c>
      <c r="H162" s="1097">
        <v>488827.22772682604</v>
      </c>
      <c r="I162" s="1098">
        <v>12.919858448145817</v>
      </c>
      <c r="J162" s="1099">
        <v>3.5181205929764072</v>
      </c>
      <c r="K162" s="1096">
        <v>192940.76956001212</v>
      </c>
      <c r="L162" s="1098">
        <v>0.4765736717346707</v>
      </c>
      <c r="M162" s="1100">
        <v>79.92345913471732</v>
      </c>
      <c r="N162" s="1123">
        <v>211909.0595497895</v>
      </c>
      <c r="O162" s="1098">
        <v>0.5234263282653293</v>
      </c>
      <c r="P162" s="1096">
        <v>54842.0</v>
      </c>
      <c r="Q162" s="1096">
        <v>2651.4</v>
      </c>
    </row>
    <row r="163">
      <c r="A163" s="1126"/>
      <c r="B163" s="1119">
        <v>44314.99444293982</v>
      </c>
      <c r="C163" s="1099">
        <v>11.90889997973426</v>
      </c>
      <c r="D163" s="1096">
        <v>653322.2528882215</v>
      </c>
      <c r="E163" s="1097">
        <v>538722.9083832388</v>
      </c>
      <c r="F163" s="1097">
        <v>37835.33927161405</v>
      </c>
      <c r="G163" s="1097">
        <v>538722.9083832388</v>
      </c>
      <c r="H163" s="1097">
        <v>500887.5691116248</v>
      </c>
      <c r="I163" s="1098">
        <v>13.238617090647196</v>
      </c>
      <c r="J163" s="1099">
        <v>3.563275059923442</v>
      </c>
      <c r="K163" s="1096">
        <v>195481.26978740003</v>
      </c>
      <c r="L163" s="1098">
        <v>0.4731005357069331</v>
      </c>
      <c r="M163" s="1100">
        <v>79.59031319903856</v>
      </c>
      <c r="N163" s="1123">
        <v>217710.54682151807</v>
      </c>
      <c r="O163" s="1098">
        <v>0.5268994642930668</v>
      </c>
      <c r="P163" s="1096">
        <v>54860.0</v>
      </c>
      <c r="Q163" s="1096">
        <v>2735.39</v>
      </c>
    </row>
    <row r="164">
      <c r="A164" s="1126"/>
      <c r="B164" s="1119">
        <v>44315.878229050926</v>
      </c>
      <c r="C164" s="1099">
        <v>12.360666757612305</v>
      </c>
      <c r="D164" s="1096">
        <v>654410.7801482683</v>
      </c>
      <c r="E164" s="1097">
        <v>539777.9566381718</v>
      </c>
      <c r="F164" s="1097">
        <v>37835.33927161405</v>
      </c>
      <c r="G164" s="1097">
        <v>539777.9566381718</v>
      </c>
      <c r="H164" s="1097">
        <v>501942.61736655777</v>
      </c>
      <c r="I164" s="1098">
        <v>13.266502350175568</v>
      </c>
      <c r="J164" s="1099">
        <v>3.5632750599234413</v>
      </c>
      <c r="K164" s="1096">
        <v>188650.47149752674</v>
      </c>
      <c r="L164" s="1098">
        <v>0.47314792959723867</v>
      </c>
      <c r="M164" s="1100">
        <v>77.07717070403856</v>
      </c>
      <c r="N164" s="1123">
        <v>210063.03794995855</v>
      </c>
      <c r="O164" s="1098">
        <v>0.5268520704027613</v>
      </c>
      <c r="P164" s="1096">
        <v>52943.0</v>
      </c>
      <c r="Q164" s="1096">
        <v>2725.36</v>
      </c>
    </row>
    <row r="165">
      <c r="A165" s="1126"/>
      <c r="B165" s="1119">
        <v>44316.373990555556</v>
      </c>
      <c r="C165" s="1099">
        <v>12.542143206614746</v>
      </c>
      <c r="D165" s="1096">
        <v>680248.221097164</v>
      </c>
      <c r="E165" s="1097">
        <v>561561.9199329687</v>
      </c>
      <c r="F165" s="1097">
        <v>37835.33927161405</v>
      </c>
      <c r="G165" s="1097">
        <v>561561.9199329687</v>
      </c>
      <c r="H165" s="1097">
        <v>523726.58066135464</v>
      </c>
      <c r="I165" s="1098">
        <v>13.842259399383272</v>
      </c>
      <c r="J165" s="1099">
        <v>3.5919729186501836</v>
      </c>
      <c r="K165" s="1096">
        <v>194817.83518883</v>
      </c>
      <c r="L165" s="1098">
        <v>0.47748626895499585</v>
      </c>
      <c r="M165" s="1100">
        <v>76.87624682300898</v>
      </c>
      <c r="N165" s="1123">
        <v>213189.36387722738</v>
      </c>
      <c r="O165" s="1098">
        <v>0.5225137310450042</v>
      </c>
      <c r="P165" s="1096">
        <v>54237.0</v>
      </c>
      <c r="Q165" s="1096">
        <v>2773.15</v>
      </c>
    </row>
    <row r="166">
      <c r="A166" s="1126"/>
      <c r="B166" s="1119">
        <v>44319.937969108796</v>
      </c>
      <c r="C166" s="1099">
        <v>12.727878335612928</v>
      </c>
      <c r="D166" s="1096">
        <v>729294.7007522852</v>
      </c>
      <c r="E166" s="1097">
        <v>604637.8603332922</v>
      </c>
      <c r="F166" s="1097">
        <v>37835.33927161405</v>
      </c>
      <c r="G166" s="1097">
        <v>604637.8603332922</v>
      </c>
      <c r="H166" s="1097">
        <v>566802.5210616781</v>
      </c>
      <c r="I166" s="1098">
        <v>14.980770146996447</v>
      </c>
      <c r="J166" s="1099">
        <v>3.6140097115231455</v>
      </c>
      <c r="K166" s="1096">
        <v>207079.1424605647</v>
      </c>
      <c r="L166" s="1098">
        <v>0.4627402229274499</v>
      </c>
      <c r="M166" s="1100">
        <v>73.20876724738955</v>
      </c>
      <c r="N166" s="1123">
        <v>240427.10878016942</v>
      </c>
      <c r="O166" s="1098">
        <v>0.5372597770725501</v>
      </c>
      <c r="P166" s="1096">
        <v>57299.0</v>
      </c>
      <c r="Q166" s="1096">
        <v>3284.13</v>
      </c>
    </row>
    <row r="167">
      <c r="A167" s="1126"/>
      <c r="B167" s="1119">
        <v>44320.806545127314</v>
      </c>
      <c r="C167" s="1099">
        <v>13.030676973689012</v>
      </c>
      <c r="D167" s="1096">
        <v>698613.684590389</v>
      </c>
      <c r="E167" s="1097">
        <v>581272.4384423194</v>
      </c>
      <c r="F167" s="1097">
        <v>37835.33927161405</v>
      </c>
      <c r="G167" s="1097">
        <v>581272.4384423194</v>
      </c>
      <c r="H167" s="1097">
        <v>543437.0991707053</v>
      </c>
      <c r="I167" s="1098">
        <v>14.363214646218827</v>
      </c>
      <c r="J167" s="1099">
        <v>3.800792976137215</v>
      </c>
      <c r="K167" s="1096">
        <v>203771.9138296445</v>
      </c>
      <c r="L167" s="1098">
        <v>0.47065571136075507</v>
      </c>
      <c r="M167" s="1100">
        <v>70.40468276840114</v>
      </c>
      <c r="N167" s="1123">
        <v>229181.3233476994</v>
      </c>
      <c r="O167" s="1098">
        <v>0.5293442886392449</v>
      </c>
      <c r="P167" s="1096">
        <v>53613.0</v>
      </c>
      <c r="Q167" s="1096">
        <v>3255.2</v>
      </c>
    </row>
    <row r="168">
      <c r="A168" s="1126"/>
      <c r="B168" s="1119">
        <v>44321.9019680787</v>
      </c>
      <c r="C168" s="1099">
        <v>12.774882728860545</v>
      </c>
      <c r="D168" s="1096">
        <v>733891.4630075806</v>
      </c>
      <c r="E168" s="1097">
        <v>611597.5106441986</v>
      </c>
      <c r="F168" s="1097">
        <v>37835.33927161405</v>
      </c>
      <c r="G168" s="1097">
        <v>611597.5106441986</v>
      </c>
      <c r="H168" s="1097">
        <v>573762.1713725845</v>
      </c>
      <c r="I168" s="1098">
        <v>15.164715908945196</v>
      </c>
      <c r="J168" s="1099">
        <v>3.7339520113897793</v>
      </c>
      <c r="K168" s="1096">
        <v>214508.07515032004</v>
      </c>
      <c r="L168" s="1098">
        <v>0.4754634910282437</v>
      </c>
      <c r="M168" s="1100">
        <v>68.73377792662724</v>
      </c>
      <c r="N168" s="1123">
        <v>236647.64805026053</v>
      </c>
      <c r="O168" s="1098">
        <v>0.5245365089717563</v>
      </c>
      <c r="P168" s="1096">
        <v>57448.0</v>
      </c>
      <c r="Q168" s="1096">
        <v>3442.96</v>
      </c>
    </row>
    <row r="169">
      <c r="A169" s="1126"/>
      <c r="B169" s="1119">
        <v>44322.76255299769</v>
      </c>
      <c r="C169" s="1099">
        <v>12.87293874730839</v>
      </c>
      <c r="D169" s="1096">
        <v>735752.814102411</v>
      </c>
      <c r="E169" s="1097">
        <v>610640.7224173208</v>
      </c>
      <c r="F169" s="1097">
        <v>37835.33927161405</v>
      </c>
      <c r="G169" s="1097">
        <v>610640.7224173208</v>
      </c>
      <c r="H169" s="1097">
        <v>572805.3831457067</v>
      </c>
      <c r="I169" s="1098">
        <v>15.13942769307883</v>
      </c>
      <c r="J169" s="1099">
        <v>3.743747191959584</v>
      </c>
      <c r="K169" s="1096">
        <v>213973.87075645002</v>
      </c>
      <c r="L169" s="1098">
        <v>0.47521758485389387</v>
      </c>
      <c r="M169" s="1100">
        <v>66.68769679427012</v>
      </c>
      <c r="N169" s="1123">
        <v>236291.1816662976</v>
      </c>
      <c r="O169" s="1098">
        <v>0.5247824151461062</v>
      </c>
      <c r="P169" s="1096">
        <v>57155.0</v>
      </c>
      <c r="Q169" s="1096">
        <v>3543.25</v>
      </c>
    </row>
    <row r="170">
      <c r="A170" s="1126"/>
      <c r="B170" s="1119">
        <v>44324.20642184028</v>
      </c>
      <c r="C170" s="1099">
        <v>13.263484737254913</v>
      </c>
      <c r="D170" s="1096">
        <v>764639.8951027457</v>
      </c>
      <c r="E170" s="1097">
        <v>628636.1226069338</v>
      </c>
      <c r="F170" s="1097">
        <v>37835.33927161405</v>
      </c>
      <c r="G170" s="1097">
        <v>628636.1226069338</v>
      </c>
      <c r="H170" s="1097">
        <v>590800.7833353197</v>
      </c>
      <c r="I170" s="1098">
        <v>15.615051819518579</v>
      </c>
      <c r="J170" s="1099">
        <v>4.010341995897659</v>
      </c>
      <c r="K170" s="1096">
        <v>231196.21606350003</v>
      </c>
      <c r="L170" s="1098">
        <v>0.4708128827870505</v>
      </c>
      <c r="M170" s="1100">
        <v>73.28790556192347</v>
      </c>
      <c r="N170" s="1123">
        <v>259861.32402524576</v>
      </c>
      <c r="O170" s="1098">
        <v>0.5291871172129495</v>
      </c>
      <c r="P170" s="1096">
        <v>57650.0</v>
      </c>
      <c r="Q170" s="1096">
        <v>3545.76</v>
      </c>
    </row>
    <row r="171">
      <c r="A171" s="1126"/>
      <c r="B171" s="1119">
        <v>44325.94330614583</v>
      </c>
      <c r="C171" s="1099">
        <v>13.874493057779246</v>
      </c>
      <c r="D171" s="1096">
        <v>804359.860531694</v>
      </c>
      <c r="E171" s="1097">
        <v>661313.83710599</v>
      </c>
      <c r="F171" s="1097">
        <v>37835.33927161405</v>
      </c>
      <c r="G171" s="1097">
        <v>661313.83710599</v>
      </c>
      <c r="H171" s="1097">
        <v>623478.497834376</v>
      </c>
      <c r="I171" s="1098">
        <v>16.478734163278414</v>
      </c>
      <c r="J171" s="1099">
        <v>4.126547108749785</v>
      </c>
      <c r="K171" s="1096">
        <v>239232.44208266</v>
      </c>
      <c r="L171" s="1098">
        <v>0.4655712277668822</v>
      </c>
      <c r="M171" s="1100">
        <v>70.25190435201688</v>
      </c>
      <c r="N171" s="1123">
        <v>274614.694112034</v>
      </c>
      <c r="O171" s="1098">
        <v>0.5344287722331178</v>
      </c>
      <c r="P171" s="1096">
        <v>57974.0</v>
      </c>
      <c r="Q171" s="1096">
        <v>3909.0</v>
      </c>
    </row>
    <row r="172">
      <c r="A172" s="1126"/>
      <c r="B172" s="1119">
        <v>44327.503226076384</v>
      </c>
      <c r="C172" s="1099">
        <v>14.053400938810745</v>
      </c>
      <c r="D172" s="1096">
        <v>782760.3788908196</v>
      </c>
      <c r="E172" s="1097">
        <v>643477.1221862664</v>
      </c>
      <c r="F172" s="1097">
        <v>37835.33927161405</v>
      </c>
      <c r="G172" s="1097">
        <v>643477.1221862664</v>
      </c>
      <c r="H172" s="1097">
        <v>605641.7829146523</v>
      </c>
      <c r="I172" s="1098">
        <v>16.00730413877998</v>
      </c>
      <c r="J172" s="1099">
        <v>4.229920735837448</v>
      </c>
      <c r="K172" s="1096">
        <v>235602.35506541</v>
      </c>
      <c r="L172" s="1098">
        <v>0.46654056979925845</v>
      </c>
      <c r="M172" s="1100">
        <v>68.14483349777262</v>
      </c>
      <c r="N172" s="1123">
        <v>269396.28881840955</v>
      </c>
      <c r="O172" s="1098">
        <v>0.5334594302007415</v>
      </c>
      <c r="P172" s="1096">
        <v>55699.0</v>
      </c>
      <c r="Q172" s="1096">
        <v>3953.29</v>
      </c>
    </row>
    <row r="173">
      <c r="A173" s="1126"/>
      <c r="B173" s="1141">
        <v>44328.45209229167</v>
      </c>
      <c r="C173" s="1142">
        <v>18.187934302019407</v>
      </c>
      <c r="D173" s="1143">
        <v>1032892.789011682</v>
      </c>
      <c r="E173" s="1144">
        <v>851486.3322833405</v>
      </c>
      <c r="F173" s="1144">
        <v>37835.33927161405</v>
      </c>
      <c r="G173" s="1144">
        <v>851486.3322833405</v>
      </c>
      <c r="H173" s="1144">
        <v>813650.9930117264</v>
      </c>
      <c r="I173" s="1145">
        <v>21.50505344145725</v>
      </c>
      <c r="J173" s="1142">
        <v>4.3178427493126526</v>
      </c>
      <c r="K173" s="1143">
        <v>245210.28973346553</v>
      </c>
      <c r="L173" s="1145">
        <v>0.4848282413082917</v>
      </c>
      <c r="M173" s="1100">
        <v>60.95571905971672</v>
      </c>
      <c r="N173" s="1123">
        <v>260557.0497923309</v>
      </c>
      <c r="O173" s="1098">
        <v>0.5151717586917083</v>
      </c>
      <c r="P173" s="1096">
        <v>56790.0</v>
      </c>
      <c r="Q173" s="1096">
        <v>4274.53</v>
      </c>
    </row>
    <row r="174">
      <c r="A174" s="1126"/>
      <c r="B174" s="1119">
        <v>44329.6403683449</v>
      </c>
      <c r="C174" s="1099">
        <v>17.53579238765177</v>
      </c>
      <c r="D174" s="1096">
        <v>881541.8191196423</v>
      </c>
      <c r="E174" s="1097">
        <v>729173.3190633361</v>
      </c>
      <c r="F174" s="1097">
        <v>37835.33927161405</v>
      </c>
      <c r="G174" s="1097">
        <v>729173.3190633361</v>
      </c>
      <c r="H174" s="1097">
        <v>691337.979791722</v>
      </c>
      <c r="I174" s="1098">
        <v>18.27228176358387</v>
      </c>
      <c r="J174" s="1099">
        <v>4.409474681301363</v>
      </c>
      <c r="K174" s="1096">
        <v>221668.70170370082</v>
      </c>
      <c r="L174" s="1098">
        <v>0.48880138684762703</v>
      </c>
      <c r="M174" s="1100">
        <v>60.438802430113846</v>
      </c>
      <c r="N174" s="1123">
        <v>231825.71886921197</v>
      </c>
      <c r="O174" s="1098">
        <v>0.5111986131523729</v>
      </c>
      <c r="P174" s="1096">
        <v>50271.0</v>
      </c>
      <c r="Q174" s="1096">
        <v>3835.71</v>
      </c>
    </row>
    <row r="175">
      <c r="A175" s="1126"/>
      <c r="B175" s="1119">
        <v>44330.72020052084</v>
      </c>
      <c r="C175" s="1099">
        <v>17.34880459004691</v>
      </c>
      <c r="D175" s="1096">
        <v>883626.6641848593</v>
      </c>
      <c r="E175" s="1097">
        <v>728216.0726672191</v>
      </c>
      <c r="F175" s="1097">
        <v>37835.33927161405</v>
      </c>
      <c r="G175" s="1097">
        <v>728216.0726672191</v>
      </c>
      <c r="H175" s="1097">
        <v>690380.733395605</v>
      </c>
      <c r="I175" s="1098">
        <v>18.2469814381594</v>
      </c>
      <c r="J175" s="1099">
        <v>4.2391873706922825</v>
      </c>
      <c r="K175" s="1096">
        <v>215914.53035147002</v>
      </c>
      <c r="L175" s="1098">
        <v>0.48631509819134977</v>
      </c>
      <c r="M175" s="1100">
        <v>55.67492246380108</v>
      </c>
      <c r="N175" s="1123">
        <v>228066.19563149012</v>
      </c>
      <c r="O175" s="1098">
        <v>0.5136849018086502</v>
      </c>
      <c r="P175" s="1096">
        <v>50933.0</v>
      </c>
      <c r="Q175" s="1096">
        <v>4096.39</v>
      </c>
    </row>
    <row r="176">
      <c r="A176" s="1126"/>
      <c r="B176" s="1119">
        <v>44331.38609159722</v>
      </c>
      <c r="C176" s="1099">
        <v>18.552701954085762</v>
      </c>
      <c r="D176" s="1096">
        <v>910325.4267811261</v>
      </c>
      <c r="E176" s="1097">
        <v>749492.0535411566</v>
      </c>
      <c r="F176" s="1097">
        <v>37835.33927161405</v>
      </c>
      <c r="G176" s="1097">
        <v>749492.0535411566</v>
      </c>
      <c r="H176" s="1097">
        <v>711656.7142695425</v>
      </c>
      <c r="I176" s="1098">
        <v>18.809312351097713</v>
      </c>
      <c r="J176" s="1099">
        <v>4.5749430095284005</v>
      </c>
      <c r="K176" s="1096">
        <v>224478.72864853003</v>
      </c>
      <c r="L176" s="1098">
        <v>0.47182474217257775</v>
      </c>
      <c r="M176" s="1100">
        <v>63.4829714239148</v>
      </c>
      <c r="N176" s="1123">
        <v>251288.45476556738</v>
      </c>
      <c r="O176" s="1098">
        <v>0.5281752578274223</v>
      </c>
      <c r="P176" s="1096">
        <v>49067.0</v>
      </c>
      <c r="Q176" s="1096">
        <v>3958.36</v>
      </c>
    </row>
    <row r="177">
      <c r="A177" s="1126"/>
      <c r="B177" s="1119">
        <v>44332.23251262731</v>
      </c>
      <c r="C177" s="1099">
        <v>17.7511076661672</v>
      </c>
      <c r="D177" s="1096">
        <v>850473.3193937368</v>
      </c>
      <c r="E177" s="1097">
        <v>701079.9972752737</v>
      </c>
      <c r="F177" s="1097">
        <v>37835.33927161405</v>
      </c>
      <c r="G177" s="1097">
        <v>701079.9972752737</v>
      </c>
      <c r="H177" s="1097">
        <v>663244.6580036596</v>
      </c>
      <c r="I177" s="1098">
        <v>17.529766371125383</v>
      </c>
      <c r="J177" s="1099">
        <v>4.470126274248811</v>
      </c>
      <c r="K177" s="1096">
        <v>214168.21992553477</v>
      </c>
      <c r="L177" s="1098">
        <v>0.47128924994455146</v>
      </c>
      <c r="M177" s="1100">
        <v>63.27571053530561</v>
      </c>
      <c r="N177" s="1123">
        <v>240262.3022022929</v>
      </c>
      <c r="O177" s="1098">
        <v>0.5287107500554487</v>
      </c>
      <c r="P177" s="1096">
        <v>47911.0</v>
      </c>
      <c r="Q177" s="1096">
        <v>3797.07</v>
      </c>
    </row>
    <row r="178">
      <c r="A178" s="1126"/>
      <c r="B178" s="1119">
        <v>44333.40044199074</v>
      </c>
      <c r="C178" s="1099">
        <v>17.78273865962273</v>
      </c>
      <c r="D178" s="1096">
        <v>788486.6321676718</v>
      </c>
      <c r="E178" s="1097">
        <v>653480.080263816</v>
      </c>
      <c r="F178" s="1097">
        <v>37835.33927161405</v>
      </c>
      <c r="G178" s="1097">
        <v>653480.080263816</v>
      </c>
      <c r="H178" s="1097">
        <v>615644.740992202</v>
      </c>
      <c r="I178" s="1098">
        <v>16.271685488864883</v>
      </c>
      <c r="J178" s="1099">
        <v>4.821257490766802</v>
      </c>
      <c r="K178" s="1096">
        <v>213774.55714060002</v>
      </c>
      <c r="L178" s="1098">
        <v>0.4958763551416756</v>
      </c>
      <c r="M178" s="1100">
        <v>63.92510098727429</v>
      </c>
      <c r="N178" s="1123">
        <v>217330.00133249565</v>
      </c>
      <c r="O178" s="1098">
        <v>0.5041236448583245</v>
      </c>
      <c r="P178" s="1096">
        <v>44340.0</v>
      </c>
      <c r="Q178" s="1096">
        <v>3399.76</v>
      </c>
    </row>
    <row r="179">
      <c r="A179" s="1126"/>
      <c r="B179" s="1119">
        <v>44334.57509706018</v>
      </c>
      <c r="C179" s="1099">
        <v>16.860451565208486</v>
      </c>
      <c r="D179" s="1096">
        <v>768482.5218906376</v>
      </c>
      <c r="E179" s="1097">
        <v>629198.3315104502</v>
      </c>
      <c r="F179" s="1097">
        <v>37835.33927161405</v>
      </c>
      <c r="G179" s="1097">
        <v>629198.3315104502</v>
      </c>
      <c r="H179" s="1097">
        <v>591362.9922388361</v>
      </c>
      <c r="I179" s="1098">
        <v>15.629911178898983</v>
      </c>
      <c r="J179" s="1099">
        <v>4.402889370821918</v>
      </c>
      <c r="K179" s="1096">
        <v>200679.2946326922</v>
      </c>
      <c r="L179" s="1098">
        <v>0.47054472631951105</v>
      </c>
      <c r="M179" s="1100">
        <v>64.10705467502694</v>
      </c>
      <c r="N179" s="1123">
        <v>225803.63761130066</v>
      </c>
      <c r="O179" s="1098">
        <v>0.529455273680489</v>
      </c>
      <c r="P179" s="1096">
        <v>45579.0</v>
      </c>
      <c r="Q179" s="1096">
        <v>3522.29</v>
      </c>
    </row>
    <row r="180">
      <c r="A180" s="1126"/>
      <c r="B180" s="1119">
        <v>44335.709698692124</v>
      </c>
      <c r="C180" s="1099">
        <v>17.79469576850661</v>
      </c>
      <c r="D180" s="1096">
        <v>675290.9097190574</v>
      </c>
      <c r="E180" s="1097">
        <v>555479.2231097023</v>
      </c>
      <c r="F180" s="1097">
        <v>37835.33927161405</v>
      </c>
      <c r="G180" s="1097">
        <v>555479.2231097023</v>
      </c>
      <c r="H180" s="1097">
        <v>517643.8838380883</v>
      </c>
      <c r="I180" s="1098">
        <v>13.681491795857912</v>
      </c>
      <c r="J180" s="1099">
        <v>4.864150617841577</v>
      </c>
      <c r="K180" s="1096">
        <v>184589.65179647002</v>
      </c>
      <c r="L180" s="1098">
        <v>0.47965540164325304</v>
      </c>
      <c r="M180" s="1100">
        <v>75.98348768531265</v>
      </c>
      <c r="N180" s="1123">
        <v>200248.4031156267</v>
      </c>
      <c r="O180" s="1098">
        <v>0.520344598356747</v>
      </c>
      <c r="P180" s="1096">
        <v>37949.0</v>
      </c>
      <c r="Q180" s="1096">
        <v>2635.42</v>
      </c>
    </row>
    <row r="181">
      <c r="A181" s="1126"/>
      <c r="B181" s="1119">
        <v>44336.67259717593</v>
      </c>
      <c r="C181" s="1099">
        <v>17.190048537438834</v>
      </c>
      <c r="D181" s="1096">
        <v>722343.0295917173</v>
      </c>
      <c r="E181" s="1097">
        <v>591354.8597364334</v>
      </c>
      <c r="F181" s="1097">
        <v>37835.33927161405</v>
      </c>
      <c r="G181" s="1097">
        <v>591354.8597364334</v>
      </c>
      <c r="H181" s="1097">
        <v>553519.5204648193</v>
      </c>
      <c r="I181" s="1098">
        <v>14.629696234284783</v>
      </c>
      <c r="J181" s="1099">
        <v>4.793896228775851</v>
      </c>
      <c r="K181" s="1096">
        <v>201444.31342939002</v>
      </c>
      <c r="L181" s="1098">
        <v>0.48517666682092825</v>
      </c>
      <c r="M181" s="1100">
        <v>72.75453311446716</v>
      </c>
      <c r="N181" s="1123">
        <v>213753.54583563568</v>
      </c>
      <c r="O181" s="1098">
        <v>0.5148233331790718</v>
      </c>
      <c r="P181" s="1096">
        <v>42021.0</v>
      </c>
      <c r="Q181" s="1096">
        <v>2938.01</v>
      </c>
    </row>
    <row r="182">
      <c r="A182" s="1126"/>
      <c r="B182" s="1119">
        <v>44337.82799791667</v>
      </c>
      <c r="C182" s="1099">
        <v>17.21172317567774</v>
      </c>
      <c r="D182" s="1096">
        <v>640895.7241695364</v>
      </c>
      <c r="E182" s="1097">
        <v>526713.1526220902</v>
      </c>
      <c r="F182" s="1097">
        <v>37835.33927161405</v>
      </c>
      <c r="G182" s="1097">
        <v>526713.1526220902</v>
      </c>
      <c r="H182" s="1097">
        <v>488877.81335047615</v>
      </c>
      <c r="I182" s="1098">
        <v>12.921195442200158</v>
      </c>
      <c r="J182" s="1099">
        <v>4.7268765565914705</v>
      </c>
      <c r="K182" s="1096">
        <v>176009.97546123998</v>
      </c>
      <c r="L182" s="1098">
        <v>0.5006302280960226</v>
      </c>
      <c r="M182" s="1100">
        <v>70.88826056840723</v>
      </c>
      <c r="N182" s="1123">
        <v>175566.82830195714</v>
      </c>
      <c r="O182" s="1098">
        <v>0.49936977190397724</v>
      </c>
      <c r="P182" s="1096">
        <v>37236.0</v>
      </c>
      <c r="Q182" s="1096">
        <v>2476.67</v>
      </c>
    </row>
    <row r="183">
      <c r="A183" s="1126"/>
      <c r="B183" s="1119">
        <v>44338.29290674768</v>
      </c>
      <c r="C183" s="1099">
        <v>16.78043222637345</v>
      </c>
      <c r="D183" s="1096">
        <v>611109.7808200683</v>
      </c>
      <c r="E183" s="1097">
        <v>501734.92356856616</v>
      </c>
      <c r="F183" s="1097">
        <v>37835.33927161405</v>
      </c>
      <c r="G183" s="1097">
        <v>501734.92356856616</v>
      </c>
      <c r="H183" s="1097">
        <v>463899.5842969521</v>
      </c>
      <c r="I183" s="1098">
        <v>12.261012937314733</v>
      </c>
      <c r="J183" s="1099">
        <v>4.7268765565914705</v>
      </c>
      <c r="K183" s="1096">
        <v>172143.39043794817</v>
      </c>
      <c r="L183" s="1098">
        <v>0.5174689611183472</v>
      </c>
      <c r="M183" s="1100">
        <v>70.88826056840723</v>
      </c>
      <c r="N183" s="1123">
        <v>160520.7949963127</v>
      </c>
      <c r="O183" s="1098">
        <v>0.48253103888165283</v>
      </c>
      <c r="P183" s="1096">
        <v>36418.0</v>
      </c>
      <c r="Q183" s="1096">
        <v>2264.42</v>
      </c>
    </row>
    <row r="184">
      <c r="A184" s="1126"/>
      <c r="B184" s="1146">
        <v>44339.87285509259</v>
      </c>
      <c r="C184" s="1147">
        <v>16.229898919612292</v>
      </c>
      <c r="D184" s="1148">
        <v>532713.9722384342</v>
      </c>
      <c r="E184" s="1149">
        <v>437330.85628787277</v>
      </c>
      <c r="F184" s="1149">
        <v>37835.33927161405</v>
      </c>
      <c r="G184" s="1149">
        <v>437330.85628787277</v>
      </c>
      <c r="H184" s="1149">
        <v>399495.51701625873</v>
      </c>
      <c r="I184" s="1150">
        <v>10.558793041297772</v>
      </c>
      <c r="J184" s="1147">
        <v>4.463726563585595</v>
      </c>
      <c r="K184" s="1148">
        <v>146512.89699657</v>
      </c>
      <c r="L184" s="1150">
        <v>0.46784640153444496</v>
      </c>
      <c r="M184" s="1151">
        <v>87.24348357991323</v>
      </c>
      <c r="N184" s="1152">
        <v>166651.62989951446</v>
      </c>
      <c r="O184" s="1150">
        <v>0.5321535984655552</v>
      </c>
      <c r="P184" s="1148">
        <v>32823.0</v>
      </c>
      <c r="Q184" s="1148">
        <v>1910.19</v>
      </c>
    </row>
    <row r="185">
      <c r="A185" s="1126"/>
      <c r="B185" s="1119">
        <v>44340.500030243056</v>
      </c>
      <c r="C185" s="1099">
        <v>16.491771913457757</v>
      </c>
      <c r="D185" s="1096">
        <v>601042.627385968</v>
      </c>
      <c r="E185" s="1097">
        <v>492130.96566949296</v>
      </c>
      <c r="F185" s="1097">
        <v>37835.33927161405</v>
      </c>
      <c r="G185" s="1097">
        <v>492130.96566949296</v>
      </c>
      <c r="H185" s="1097">
        <v>454295.6263978789</v>
      </c>
      <c r="I185" s="1098">
        <v>12.00717728831664</v>
      </c>
      <c r="J185" s="1099">
        <v>4.597734220539169</v>
      </c>
      <c r="K185" s="1096">
        <v>167564.42366755003</v>
      </c>
      <c r="L185" s="1098">
        <v>0.46373710781732036</v>
      </c>
      <c r="M185" s="1100">
        <v>85.75434775124656</v>
      </c>
      <c r="N185" s="1123">
        <v>193770.5241787167</v>
      </c>
      <c r="O185" s="1098">
        <v>0.5362628921826796</v>
      </c>
      <c r="P185" s="1096">
        <v>36445.0</v>
      </c>
      <c r="Q185" s="1096">
        <v>2259.6</v>
      </c>
    </row>
    <row r="186">
      <c r="A186" s="1126"/>
      <c r="B186" s="1119">
        <v>44341.50750363426</v>
      </c>
      <c r="C186" s="1099">
        <v>16.997705683570278</v>
      </c>
      <c r="D186" s="1096">
        <v>644434.0155811999</v>
      </c>
      <c r="E186" s="1097">
        <v>525841.02302693</v>
      </c>
      <c r="F186" s="1097">
        <v>37835.33927161405</v>
      </c>
      <c r="G186" s="1097">
        <v>525841.02302693</v>
      </c>
      <c r="H186" s="1097">
        <v>488005.683755316</v>
      </c>
      <c r="I186" s="1098">
        <v>12.89814478078282</v>
      </c>
      <c r="J186" s="1099">
        <v>4.745587205699101</v>
      </c>
      <c r="K186" s="1096">
        <v>179919.44772967</v>
      </c>
      <c r="L186" s="1098">
        <v>0.45795837514240095</v>
      </c>
      <c r="M186" s="1100">
        <v>83.22656650135448</v>
      </c>
      <c r="N186" s="1123">
        <v>212953.4802383457</v>
      </c>
      <c r="O186" s="1098">
        <v>0.5420416248575991</v>
      </c>
      <c r="P186" s="1096">
        <v>37913.0</v>
      </c>
      <c r="Q186" s="1096">
        <v>2558.72</v>
      </c>
    </row>
    <row r="187">
      <c r="A187" s="1126"/>
      <c r="B187" s="1119">
        <v>44342.48161131944</v>
      </c>
      <c r="C187" s="1099">
        <v>17.481230874415438</v>
      </c>
      <c r="D187" s="1096">
        <v>703567.0990025981</v>
      </c>
      <c r="E187" s="1097">
        <v>574608.0588420354</v>
      </c>
      <c r="F187" s="1097">
        <v>37835.33927161405</v>
      </c>
      <c r="G187" s="1097">
        <v>574608.0588420354</v>
      </c>
      <c r="H187" s="1097">
        <v>536772.7195704213</v>
      </c>
      <c r="I187" s="1098">
        <v>14.18707298266874</v>
      </c>
      <c r="J187" s="1099">
        <v>4.875272092447387</v>
      </c>
      <c r="K187" s="1096">
        <v>196215.07590473</v>
      </c>
      <c r="L187" s="1098">
        <v>0.4550311741456444</v>
      </c>
      <c r="M187" s="1100">
        <v>82.21949877520387</v>
      </c>
      <c r="N187" s="1123">
        <v>234997.30481432445</v>
      </c>
      <c r="O187" s="1098">
        <v>0.5449688258543555</v>
      </c>
      <c r="P187" s="1096">
        <v>40247.0</v>
      </c>
      <c r="Q187" s="1096">
        <v>2858.17</v>
      </c>
    </row>
    <row r="188">
      <c r="A188" s="1126"/>
      <c r="B188" s="1119">
        <v>44343.524367499995</v>
      </c>
      <c r="C188" s="1099">
        <v>17.5012053911885</v>
      </c>
      <c r="D188" s="1096">
        <v>690265.0418338656</v>
      </c>
      <c r="E188" s="1097">
        <v>565673.9606539946</v>
      </c>
      <c r="F188" s="1097">
        <v>37835.33927161405</v>
      </c>
      <c r="G188" s="1097">
        <v>565673.9606539946</v>
      </c>
      <c r="H188" s="1097">
        <v>527838.6213823805</v>
      </c>
      <c r="I188" s="1098">
        <v>13.950941937988414</v>
      </c>
      <c r="J188" s="1099">
        <v>4.863444252411574</v>
      </c>
      <c r="K188" s="1096">
        <v>191819.10475936488</v>
      </c>
      <c r="L188" s="1098">
        <v>0.4555352649159746</v>
      </c>
      <c r="M188" s="1100">
        <v>81.86667216732579</v>
      </c>
      <c r="N188" s="1123">
        <v>229265.97807115252</v>
      </c>
      <c r="O188" s="1098">
        <v>0.5444647350840253</v>
      </c>
      <c r="P188" s="1096">
        <v>39441.0</v>
      </c>
      <c r="Q188" s="1096">
        <v>2800.48</v>
      </c>
    </row>
    <row r="189">
      <c r="A189" s="1126"/>
      <c r="B189" s="1119">
        <v>44344.353754317126</v>
      </c>
      <c r="C189" s="1099">
        <v>17.63632757797768</v>
      </c>
      <c r="D189" s="1096">
        <v>649334.3087659823</v>
      </c>
      <c r="E189" s="1097">
        <v>533357.818613201</v>
      </c>
      <c r="F189" s="1097">
        <v>37835.33927161405</v>
      </c>
      <c r="G189" s="1097">
        <v>533357.818613201</v>
      </c>
      <c r="H189" s="1097">
        <v>495522.479341587</v>
      </c>
      <c r="I189" s="1098">
        <v>13.096816068816185</v>
      </c>
      <c r="J189" s="1099">
        <v>4.841957299924494</v>
      </c>
      <c r="K189" s="1096">
        <v>178271.18386862002</v>
      </c>
      <c r="L189" s="1098">
        <v>0.4533993752803753</v>
      </c>
      <c r="M189" s="1100">
        <v>84.29365738399383</v>
      </c>
      <c r="N189" s="1123">
        <v>214916.79473937835</v>
      </c>
      <c r="O189" s="1098">
        <v>0.5466006247196248</v>
      </c>
      <c r="P189" s="1096">
        <v>36818.0</v>
      </c>
      <c r="Q189" s="1096">
        <v>2549.62</v>
      </c>
    </row>
    <row r="190">
      <c r="A190" s="1126"/>
      <c r="B190" s="1119">
        <v>44345.981259583335</v>
      </c>
      <c r="C190" s="1099">
        <v>17.629837008101628</v>
      </c>
      <c r="D190" s="1096">
        <v>606607.4317747608</v>
      </c>
      <c r="E190" s="1097">
        <v>497514.0003686279</v>
      </c>
      <c r="F190" s="1097">
        <v>37835.33927161405</v>
      </c>
      <c r="G190" s="1097">
        <v>497514.0003686279</v>
      </c>
      <c r="H190" s="1097">
        <v>459678.66109701386</v>
      </c>
      <c r="I190" s="1098">
        <v>12.14945260030713</v>
      </c>
      <c r="J190" s="1099">
        <v>4.719899271899145</v>
      </c>
      <c r="K190" s="1096">
        <v>162402.29414750577</v>
      </c>
      <c r="L190" s="1098">
        <v>0.5478531732391566</v>
      </c>
      <c r="M190" s="1100">
        <v>59.39698892017207</v>
      </c>
      <c r="N190" s="1123">
        <v>134031.6813779251</v>
      </c>
      <c r="O190" s="1098">
        <v>0.45214682676084345</v>
      </c>
      <c r="P190" s="1096">
        <v>34408.0</v>
      </c>
      <c r="Q190" s="1096">
        <v>2256.54</v>
      </c>
    </row>
    <row r="191">
      <c r="A191" s="1126"/>
      <c r="B191" s="1119">
        <v>44347.81173592593</v>
      </c>
      <c r="C191" s="1099">
        <v>17.854597870429707</v>
      </c>
      <c r="D191" s="1096">
        <v>662102.0528291449</v>
      </c>
      <c r="E191" s="1097">
        <v>541494.2442143922</v>
      </c>
      <c r="F191" s="1097">
        <v>37835.33927161405</v>
      </c>
      <c r="G191" s="1097">
        <v>541494.2442143922</v>
      </c>
      <c r="H191" s="1097">
        <v>503658.9049427781</v>
      </c>
      <c r="I191" s="1098">
        <v>13.311864374390533</v>
      </c>
      <c r="J191" s="1099">
        <v>4.752399945770624</v>
      </c>
      <c r="K191" s="1096">
        <v>176233.24718901207</v>
      </c>
      <c r="L191" s="1098">
        <v>0.5392641900960704</v>
      </c>
      <c r="M191" s="1100">
        <v>57.32459341255242</v>
      </c>
      <c r="N191" s="1123">
        <v>150569.92354927844</v>
      </c>
      <c r="O191" s="1098">
        <v>0.4607358099039295</v>
      </c>
      <c r="P191" s="1096">
        <v>37083.0</v>
      </c>
      <c r="Q191" s="1096">
        <v>2626.62</v>
      </c>
    </row>
    <row r="192">
      <c r="A192" s="1126"/>
      <c r="B192" s="1119">
        <v>44348.502651284725</v>
      </c>
      <c r="C192" s="1099">
        <v>17.667025747038323</v>
      </c>
      <c r="D192" s="1096">
        <v>640906.6930253092</v>
      </c>
      <c r="E192" s="1097">
        <v>523933.31555416854</v>
      </c>
      <c r="F192" s="1097">
        <v>37835.33927161405</v>
      </c>
      <c r="G192" s="1097">
        <v>523933.31555416854</v>
      </c>
      <c r="H192" s="1097">
        <v>486097.9762825545</v>
      </c>
      <c r="I192" s="1098">
        <v>12.847723468076559</v>
      </c>
      <c r="J192" s="1099">
        <v>4.85888536894099</v>
      </c>
      <c r="K192" s="1096">
        <v>176265.7845290723</v>
      </c>
      <c r="L192" s="1098">
        <v>0.5580220265351109</v>
      </c>
      <c r="M192" s="1100">
        <v>54.07854343251018</v>
      </c>
      <c r="N192" s="1123">
        <v>139610.24929623693</v>
      </c>
      <c r="O192" s="1098">
        <v>0.44197797346488904</v>
      </c>
      <c r="P192" s="1096">
        <v>36277.0</v>
      </c>
      <c r="Q192" s="1096">
        <v>2581.62</v>
      </c>
    </row>
    <row r="193">
      <c r="A193" s="1126"/>
      <c r="B193" s="1119">
        <v>44349.91928663194</v>
      </c>
      <c r="C193" s="1099">
        <v>17.50343334544755</v>
      </c>
      <c r="D193" s="1096">
        <v>663047.5585588986</v>
      </c>
      <c r="E193" s="1097">
        <v>543009.0126758193</v>
      </c>
      <c r="F193" s="1097">
        <v>37835.33927161405</v>
      </c>
      <c r="G193" s="1097">
        <v>543009.0126758193</v>
      </c>
      <c r="H193" s="1097">
        <v>505173.6734042053</v>
      </c>
      <c r="I193" s="1098">
        <v>13.351900184577218</v>
      </c>
      <c r="J193" s="1099">
        <v>3.9165041378946817</v>
      </c>
      <c r="K193" s="1096">
        <v>148361.09324758843</v>
      </c>
      <c r="L193" s="1098">
        <v>0.4992961190439871</v>
      </c>
      <c r="M193" s="1100">
        <v>53.895424163313514</v>
      </c>
      <c r="N193" s="1123">
        <v>148779.3963113102</v>
      </c>
      <c r="O193" s="1098">
        <v>0.500703880956013</v>
      </c>
      <c r="P193" s="1096">
        <v>37881.0</v>
      </c>
      <c r="Q193" s="1096">
        <v>2760.52</v>
      </c>
    </row>
    <row r="194">
      <c r="A194" s="1126"/>
      <c r="B194" s="1119">
        <v>44350.69261334491</v>
      </c>
      <c r="C194" s="1099">
        <v>17.397341610348146</v>
      </c>
      <c r="D194" s="1096">
        <v>668979.9769427173</v>
      </c>
      <c r="E194" s="1097">
        <v>551060.7955077776</v>
      </c>
      <c r="F194" s="1097">
        <v>37835.33927161405</v>
      </c>
      <c r="G194" s="1097">
        <v>551060.7955077776</v>
      </c>
      <c r="H194" s="1097">
        <v>513225.45623616356</v>
      </c>
      <c r="I194" s="1098">
        <v>13.564711354953033</v>
      </c>
      <c r="J194" s="1099">
        <v>3.916504137894681</v>
      </c>
      <c r="K194" s="1096">
        <v>150601.33361446418</v>
      </c>
      <c r="L194" s="1098">
        <v>0.5012840137944012</v>
      </c>
      <c r="M194" s="1100">
        <v>53.89542416331351</v>
      </c>
      <c r="N194" s="1123">
        <v>149829.8181282532</v>
      </c>
      <c r="O194" s="1098">
        <v>0.49871598620559876</v>
      </c>
      <c r="P194" s="1096">
        <v>38453.0</v>
      </c>
      <c r="Q194" s="1096">
        <v>2780.01</v>
      </c>
    </row>
    <row r="195">
      <c r="A195" s="1126"/>
      <c r="B195" s="1119">
        <v>44351.736391956016</v>
      </c>
      <c r="C195" s="1099">
        <v>17.79230157342568</v>
      </c>
      <c r="D195" s="1096">
        <v>656375.7973452467</v>
      </c>
      <c r="E195" s="1097">
        <v>539249.0760873854</v>
      </c>
      <c r="F195" s="1097">
        <v>37835.33927161405</v>
      </c>
      <c r="G195" s="1097">
        <v>539249.0760873854</v>
      </c>
      <c r="H195" s="1097">
        <v>501413.7368157714</v>
      </c>
      <c r="I195" s="1098">
        <v>13.252523869713436</v>
      </c>
      <c r="J195" s="1099">
        <v>3.9165041378946808</v>
      </c>
      <c r="K195" s="1096">
        <v>144483.75415107267</v>
      </c>
      <c r="L195" s="1098">
        <v>0.5023592837054224</v>
      </c>
      <c r="M195" s="1100">
        <v>53.8888556658135</v>
      </c>
      <c r="N195" s="1123">
        <v>143126.64509417402</v>
      </c>
      <c r="O195" s="1098">
        <v>0.4976407162945777</v>
      </c>
      <c r="P195" s="1096">
        <v>36891.0</v>
      </c>
      <c r="Q195" s="1096">
        <v>2655.96</v>
      </c>
    </row>
    <row r="196">
      <c r="A196" s="1126"/>
      <c r="B196" s="1119">
        <v>44352.4250804051</v>
      </c>
      <c r="C196" s="1099">
        <v>17.771652400562342</v>
      </c>
      <c r="D196" s="1096">
        <v>668462.933394752</v>
      </c>
      <c r="E196" s="1097">
        <v>549481.720572987</v>
      </c>
      <c r="F196" s="1097">
        <v>37835.33927161405</v>
      </c>
      <c r="G196" s="1097">
        <v>549481.720572987</v>
      </c>
      <c r="H196" s="1097">
        <v>511646.38130137295</v>
      </c>
      <c r="I196" s="1098">
        <v>13.522975904308474</v>
      </c>
      <c r="J196" s="1099">
        <v>3.9457914606263627</v>
      </c>
      <c r="K196" s="1096">
        <v>148417.0</v>
      </c>
      <c r="L196" s="1098">
        <v>0.4992794713778718</v>
      </c>
      <c r="M196" s="1100">
        <v>53.36815025107366</v>
      </c>
      <c r="N196" s="1123">
        <v>148845.37209475198</v>
      </c>
      <c r="O196" s="1098">
        <v>0.5007205286221282</v>
      </c>
      <c r="P196" s="1096">
        <v>37614.0</v>
      </c>
      <c r="Q196" s="1096">
        <v>2789.03</v>
      </c>
    </row>
    <row r="197">
      <c r="A197" s="1126"/>
      <c r="B197" s="1119">
        <v>44353.37970020833</v>
      </c>
      <c r="C197" s="1099">
        <v>18.225243743464596</v>
      </c>
      <c r="D197" s="1096">
        <v>655069.935871348</v>
      </c>
      <c r="E197" s="1097">
        <v>538428.3759131746</v>
      </c>
      <c r="F197" s="1097">
        <v>37835.33927161405</v>
      </c>
      <c r="G197" s="1097">
        <v>538428.3759131746</v>
      </c>
      <c r="H197" s="1097">
        <v>500593.03664156055</v>
      </c>
      <c r="I197" s="1098">
        <v>13.230832504180299</v>
      </c>
      <c r="J197" s="1099">
        <v>3.9457914606263627</v>
      </c>
      <c r="K197" s="1096">
        <v>141823.58246929335</v>
      </c>
      <c r="L197" s="1098">
        <v>0.49856640743187214</v>
      </c>
      <c r="M197" s="1100">
        <v>53.36815025107366</v>
      </c>
      <c r="N197" s="1123">
        <v>142639.18990205458</v>
      </c>
      <c r="O197" s="1098">
        <v>0.5014335925681279</v>
      </c>
      <c r="P197" s="1096">
        <v>35943.0</v>
      </c>
      <c r="Q197" s="1096">
        <v>2672.74</v>
      </c>
    </row>
    <row r="198">
      <c r="A198" s="1126"/>
      <c r="B198" s="1119">
        <v>44354.50177724537</v>
      </c>
      <c r="C198" s="1099">
        <v>18.2462330046629</v>
      </c>
      <c r="D198" s="1096">
        <v>664071.6502047062</v>
      </c>
      <c r="E198" s="1097">
        <v>545471.1356743975</v>
      </c>
      <c r="F198" s="1097">
        <v>37835.33927161405</v>
      </c>
      <c r="G198" s="1097">
        <v>545471.1356743975</v>
      </c>
      <c r="H198" s="1097">
        <v>507635.7964027834</v>
      </c>
      <c r="I198" s="1098">
        <v>13.416974875222989</v>
      </c>
      <c r="J198" s="1099">
        <v>3.9895758645413926</v>
      </c>
      <c r="K198" s="1096">
        <v>145200.613589984</v>
      </c>
      <c r="L198" s="1098">
        <v>0.4948043651403992</v>
      </c>
      <c r="M198" s="1100">
        <v>53.15275279916037</v>
      </c>
      <c r="N198" s="1123">
        <v>148249.93741472217</v>
      </c>
      <c r="O198" s="1098">
        <v>0.5051956348596006</v>
      </c>
      <c r="P198" s="1096">
        <v>36395.0</v>
      </c>
      <c r="Q198" s="1096">
        <v>2789.13</v>
      </c>
    </row>
    <row r="199">
      <c r="A199" s="1126"/>
      <c r="B199" s="1119">
        <v>44355.62835085648</v>
      </c>
      <c r="C199" s="1099">
        <v>19.2076039038758</v>
      </c>
      <c r="D199" s="1096">
        <v>637692.4496086766</v>
      </c>
      <c r="E199" s="1097">
        <v>523560.8672118466</v>
      </c>
      <c r="F199" s="1097">
        <v>37835.33927161405</v>
      </c>
      <c r="G199" s="1097">
        <v>523560.8672118466</v>
      </c>
      <c r="H199" s="1097">
        <v>485725.52794023254</v>
      </c>
      <c r="I199" s="1098">
        <v>12.8378795404287</v>
      </c>
      <c r="J199" s="1099">
        <v>3.989575864541393</v>
      </c>
      <c r="K199" s="1096">
        <v>132453.91870277424</v>
      </c>
      <c r="L199" s="1098">
        <v>0.49557596095291256</v>
      </c>
      <c r="M199" s="1100">
        <v>53.152752799160375</v>
      </c>
      <c r="N199" s="1123">
        <v>134818.76830990234</v>
      </c>
      <c r="O199" s="1098">
        <v>0.5044240390470873</v>
      </c>
      <c r="P199" s="1096">
        <v>33200.0</v>
      </c>
      <c r="Q199" s="1096">
        <v>2536.44</v>
      </c>
    </row>
    <row r="200">
      <c r="A200" s="1126"/>
      <c r="B200" s="1119">
        <v>44356.61909342592</v>
      </c>
      <c r="C200" s="1099">
        <v>18.412656037405622</v>
      </c>
      <c r="D200" s="1096">
        <v>649211.8392228849</v>
      </c>
      <c r="E200" s="1097">
        <v>532438.7746336584</v>
      </c>
      <c r="F200" s="1097">
        <v>37835.33927161405</v>
      </c>
      <c r="G200" s="1097">
        <v>532438.7746336584</v>
      </c>
      <c r="H200" s="1097">
        <v>494603.4353620443</v>
      </c>
      <c r="I200" s="1098">
        <v>13.072525445361087</v>
      </c>
      <c r="J200" s="1099">
        <v>3.9895758645413926</v>
      </c>
      <c r="K200" s="1096">
        <v>140668.45540786497</v>
      </c>
      <c r="L200" s="1098">
        <v>0.5074037717555885</v>
      </c>
      <c r="M200" s="1100">
        <v>53.15009929556038</v>
      </c>
      <c r="N200" s="1123">
        <v>136563.33362901988</v>
      </c>
      <c r="O200" s="1098">
        <v>0.49259622824441157</v>
      </c>
      <c r="P200" s="1096">
        <v>35259.0</v>
      </c>
      <c r="Q200" s="1096">
        <v>2569.39</v>
      </c>
    </row>
    <row r="201">
      <c r="A201" s="1126"/>
      <c r="B201" s="1119">
        <v>44357.452302777776</v>
      </c>
      <c r="C201" s="1099">
        <v>17.68125523752496</v>
      </c>
      <c r="D201" s="1096">
        <v>653817.4561731981</v>
      </c>
      <c r="E201" s="1097">
        <v>537686.9717731341</v>
      </c>
      <c r="F201" s="1097">
        <v>37835.33927161405</v>
      </c>
      <c r="G201" s="1097">
        <v>537686.9717731341</v>
      </c>
      <c r="H201" s="1097">
        <v>499851.63250152004</v>
      </c>
      <c r="I201" s="1098">
        <v>13.211236957944594</v>
      </c>
      <c r="J201" s="1099">
        <v>3.776434636811077</v>
      </c>
      <c r="K201" s="1096">
        <v>139645.0</v>
      </c>
      <c r="L201" s="1098">
        <v>0.49951529658088856</v>
      </c>
      <c r="M201" s="1100">
        <v>54.79274279070236</v>
      </c>
      <c r="N201" s="1123">
        <v>139916.00835319803</v>
      </c>
      <c r="O201" s="1098">
        <v>0.5004847034191113</v>
      </c>
      <c r="P201" s="1096">
        <v>36978.0</v>
      </c>
      <c r="Q201" s="1096">
        <v>2553.55</v>
      </c>
    </row>
    <row r="202">
      <c r="A202" s="1126"/>
      <c r="B202" s="1119">
        <v>44358.60237230324</v>
      </c>
      <c r="C202" s="1099">
        <v>17.596991747001862</v>
      </c>
      <c r="D202" s="1096">
        <v>656737.3289898565</v>
      </c>
      <c r="E202" s="1097">
        <v>541353.8541047652</v>
      </c>
      <c r="F202" s="1097">
        <v>37835.33927161405</v>
      </c>
      <c r="G202" s="1097">
        <v>541353.8541047652</v>
      </c>
      <c r="H202" s="1097">
        <v>503518.5148331512</v>
      </c>
      <c r="I202" s="1098">
        <v>13.308153819329322</v>
      </c>
      <c r="J202" s="1099">
        <v>3.7228504059376757</v>
      </c>
      <c r="K202" s="1096">
        <v>138940.5</v>
      </c>
      <c r="L202" s="1098">
        <v>0.49954119878514813</v>
      </c>
      <c r="M202" s="1100">
        <v>56.42604534079889</v>
      </c>
      <c r="N202" s="1123">
        <v>139195.71846985657</v>
      </c>
      <c r="O202" s="1098">
        <v>0.500458801214852</v>
      </c>
      <c r="P202" s="1096">
        <v>37321.0</v>
      </c>
      <c r="Q202" s="1096">
        <v>2466.87</v>
      </c>
    </row>
    <row r="203">
      <c r="A203" s="1126"/>
      <c r="B203" s="1119">
        <v>44360.87866577547</v>
      </c>
      <c r="C203" s="1099">
        <v>17.58422148932134</v>
      </c>
      <c r="D203" s="1096">
        <v>660815.043568696</v>
      </c>
      <c r="E203" s="1097">
        <v>545708.7296995985</v>
      </c>
      <c r="F203" s="1097">
        <v>37835.33927161405</v>
      </c>
      <c r="G203" s="1097">
        <v>545708.7296995985</v>
      </c>
      <c r="H203" s="1097">
        <v>507873.3904279845</v>
      </c>
      <c r="I203" s="1098">
        <v>13.423254560558844</v>
      </c>
      <c r="J203" s="1099">
        <v>3.6949175093134645</v>
      </c>
      <c r="K203" s="1096">
        <v>138855.0</v>
      </c>
      <c r="L203" s="1098">
        <v>0.49954524871399847</v>
      </c>
      <c r="M203" s="1100">
        <v>56.92810432633236</v>
      </c>
      <c r="N203" s="1123">
        <v>139107.80788869597</v>
      </c>
      <c r="O203" s="1098">
        <v>0.5004547512860016</v>
      </c>
      <c r="P203" s="1096">
        <v>37580.0</v>
      </c>
      <c r="Q203" s="1096">
        <v>2443.57</v>
      </c>
    </row>
    <row r="204">
      <c r="A204" s="1126"/>
      <c r="B204" s="1119">
        <v>44361.87896418982</v>
      </c>
      <c r="C204" s="1099">
        <v>17.058685420510685</v>
      </c>
      <c r="D204" s="1096">
        <v>681170.3675264121</v>
      </c>
      <c r="E204" s="1097">
        <v>561861.9216953604</v>
      </c>
      <c r="F204" s="1097">
        <v>37835.33927161405</v>
      </c>
      <c r="G204" s="1097">
        <v>561861.9216953604</v>
      </c>
      <c r="H204" s="1097">
        <v>524026.5824237464</v>
      </c>
      <c r="I204" s="1098">
        <v>13.850188540978596</v>
      </c>
      <c r="J204" s="1099">
        <v>3.694917509313464</v>
      </c>
      <c r="K204" s="1096">
        <v>147541.75106439594</v>
      </c>
      <c r="L204" s="1098">
        <v>0.5045767302681142</v>
      </c>
      <c r="M204" s="1100">
        <v>56.85448015542234</v>
      </c>
      <c r="N204" s="1123">
        <v>144865.21543601612</v>
      </c>
      <c r="O204" s="1098">
        <v>0.49542326973188566</v>
      </c>
      <c r="P204" s="1096">
        <v>39931.0</v>
      </c>
      <c r="Q204" s="1096">
        <v>2548.0</v>
      </c>
    </row>
    <row r="205">
      <c r="A205" s="1126"/>
      <c r="B205" s="1119">
        <v>44362.33931822916</v>
      </c>
      <c r="C205" s="1099">
        <v>17.101881315013443</v>
      </c>
      <c r="D205" s="1096">
        <v>694285.0757456007</v>
      </c>
      <c r="E205" s="1097">
        <v>572519.680782705</v>
      </c>
      <c r="F205" s="1097">
        <v>37835.33927161405</v>
      </c>
      <c r="G205" s="1097">
        <v>572519.680782705</v>
      </c>
      <c r="H205" s="1097">
        <v>534684.3415110909</v>
      </c>
      <c r="I205" s="1098">
        <v>14.131876489138227</v>
      </c>
      <c r="J205" s="1099">
        <v>3.7107668054289724</v>
      </c>
      <c r="K205" s="1096">
        <v>150646.0</v>
      </c>
      <c r="L205" s="1098">
        <v>0.49955657313797136</v>
      </c>
      <c r="M205" s="1100">
        <v>57.220968958436295</v>
      </c>
      <c r="N205" s="1123">
        <v>150913.43911160072</v>
      </c>
      <c r="O205" s="1098">
        <v>0.5004434268620286</v>
      </c>
      <c r="P205" s="1096">
        <v>40597.0</v>
      </c>
      <c r="Q205" s="1096">
        <v>2637.38</v>
      </c>
    </row>
    <row r="206">
      <c r="A206" s="1126"/>
      <c r="B206" s="1119">
        <v>44363.85835333333</v>
      </c>
      <c r="C206" s="1099">
        <v>17.249273726206393</v>
      </c>
      <c r="D206" s="1096">
        <v>669306.3191242605</v>
      </c>
      <c r="E206" s="1097">
        <v>546629.4843834805</v>
      </c>
      <c r="F206" s="1097">
        <v>37835.33927161405</v>
      </c>
      <c r="G206" s="1097">
        <v>546629.4843834805</v>
      </c>
      <c r="H206" s="1097">
        <v>508794.14511186647</v>
      </c>
      <c r="I206" s="1098">
        <v>13.447590398471439</v>
      </c>
      <c r="J206" s="1099">
        <v>3.600845317251688</v>
      </c>
      <c r="K206" s="1096">
        <v>139720.0</v>
      </c>
      <c r="L206" s="1098">
        <v>0.4995625894320469</v>
      </c>
      <c r="M206" s="1100">
        <v>58.00730830553547</v>
      </c>
      <c r="N206" s="1123">
        <v>139964.6740642604</v>
      </c>
      <c r="O206" s="1098">
        <v>0.500437410567953</v>
      </c>
      <c r="P206" s="1096">
        <v>38802.0</v>
      </c>
      <c r="Q206" s="1096">
        <v>2412.88</v>
      </c>
    </row>
    <row r="207">
      <c r="A207" s="1126"/>
      <c r="B207" s="1119">
        <v>44364.51053461806</v>
      </c>
      <c r="C207" s="1099">
        <v>17.070413038992534</v>
      </c>
      <c r="D207" s="1096">
        <v>675766.4409745975</v>
      </c>
      <c r="E207" s="1097">
        <v>565457.4319166278</v>
      </c>
      <c r="F207" s="1097">
        <v>37835.33927161405</v>
      </c>
      <c r="G207" s="1097">
        <v>565457.4319166278</v>
      </c>
      <c r="H207" s="1097">
        <v>527622.0926450137</v>
      </c>
      <c r="I207" s="1098">
        <v>13.94521901488173</v>
      </c>
      <c r="J207" s="1099">
        <v>3.600845317251688</v>
      </c>
      <c r="K207" s="1096">
        <v>142546.66357404258</v>
      </c>
      <c r="L207" s="1098">
        <v>0.5004216813502567</v>
      </c>
      <c r="M207" s="1100">
        <v>58.007308305535474</v>
      </c>
      <c r="N207" s="1123">
        <v>142306.4291005549</v>
      </c>
      <c r="O207" s="1098">
        <v>0.49957831864974317</v>
      </c>
      <c r="P207" s="1096">
        <v>39587.0</v>
      </c>
      <c r="Q207" s="1096">
        <v>2453.25</v>
      </c>
    </row>
    <row r="208">
      <c r="A208" s="1126"/>
      <c r="B208" s="1119">
        <v>44368.350849027775</v>
      </c>
      <c r="C208" s="1099">
        <v>18.41757767002992</v>
      </c>
      <c r="D208" s="1096">
        <v>638113.8135335266</v>
      </c>
      <c r="E208" s="1097">
        <v>536430.3672172915</v>
      </c>
      <c r="F208" s="1097">
        <v>37835.33927161405</v>
      </c>
      <c r="G208" s="1097">
        <v>536430.3672172915</v>
      </c>
      <c r="H208" s="1097">
        <v>498595.02794567746</v>
      </c>
      <c r="I208" s="1098">
        <v>13.178024501547107</v>
      </c>
      <c r="J208" s="1099">
        <v>3.592273501313245</v>
      </c>
      <c r="K208" s="1096">
        <v>124461.5</v>
      </c>
      <c r="L208" s="1098">
        <v>0.499573028849501</v>
      </c>
      <c r="M208" s="1100">
        <v>58.119669928408406</v>
      </c>
      <c r="N208" s="1123">
        <v>124674.24755352673</v>
      </c>
      <c r="O208" s="1098">
        <v>0.5004269711504991</v>
      </c>
      <c r="P208" s="1096">
        <v>34647.0</v>
      </c>
      <c r="Q208" s="1096">
        <v>2145.13</v>
      </c>
    </row>
    <row r="209">
      <c r="A209" s="1126"/>
      <c r="B209" s="1119">
        <v>44370.388635717594</v>
      </c>
      <c r="C209" s="1099">
        <v>18.461602970242453</v>
      </c>
      <c r="D209" s="1096">
        <v>629706.8157119998</v>
      </c>
      <c r="E209" s="1097">
        <v>528020.3065519043</v>
      </c>
      <c r="F209" s="1097">
        <v>37835.33927161405</v>
      </c>
      <c r="G209" s="1097">
        <v>528020.3065519043</v>
      </c>
      <c r="H209" s="1097">
        <v>490184.96728029026</v>
      </c>
      <c r="I209" s="1098">
        <v>12.9557439345615</v>
      </c>
      <c r="J209" s="1099">
        <v>2.9317775367205137</v>
      </c>
      <c r="K209" s="1096">
        <v>100000.0</v>
      </c>
      <c r="L209" s="1098">
        <v>0.4994986700379683</v>
      </c>
      <c r="M209" s="1100">
        <v>49.50653572991957</v>
      </c>
      <c r="N209" s="1123">
        <v>100200.7332519999</v>
      </c>
      <c r="O209" s="1098">
        <v>0.5005013299620318</v>
      </c>
      <c r="P209" s="1096">
        <v>34109.0</v>
      </c>
      <c r="Q209" s="1096">
        <v>2023.99</v>
      </c>
    </row>
    <row r="210">
      <c r="A210" s="1126"/>
      <c r="B210" s="1119">
        <v>44376.5696656713</v>
      </c>
      <c r="C210" s="1099">
        <v>18.00509322665017</v>
      </c>
      <c r="D210" s="1096">
        <v>643123.9249627175</v>
      </c>
      <c r="E210" s="1097">
        <v>540260.827358865</v>
      </c>
      <c r="F210" s="1097">
        <v>37835.33927161405</v>
      </c>
      <c r="G210" s="1097">
        <v>540260.827358865</v>
      </c>
      <c r="H210" s="1097">
        <v>502425.4880872509</v>
      </c>
      <c r="I210" s="1098">
        <v>13.279264776256293</v>
      </c>
      <c r="J210" s="1099">
        <v>2.941260052857427</v>
      </c>
      <c r="K210" s="1096">
        <v>105058.86782801444</v>
      </c>
      <c r="L210" s="1098">
        <v>0.49940135813968745</v>
      </c>
      <c r="M210" s="1100">
        <v>48.17222211611524</v>
      </c>
      <c r="N210" s="1123">
        <v>105310.73993470302</v>
      </c>
      <c r="O210" s="1098">
        <v>0.5005986418603124</v>
      </c>
      <c r="P210" s="1096">
        <v>35719.0</v>
      </c>
      <c r="Q210" s="1096">
        <v>2186.13</v>
      </c>
    </row>
    <row r="211">
      <c r="A211" s="1126"/>
      <c r="B211" s="1119">
        <v>44377.59709321759</v>
      </c>
      <c r="C211" s="1099">
        <v>18.391880768905967</v>
      </c>
      <c r="D211" s="1096">
        <v>645040.04232707</v>
      </c>
      <c r="E211" s="1097">
        <v>542450.1313981125</v>
      </c>
      <c r="F211" s="1097">
        <v>37835.33927161405</v>
      </c>
      <c r="G211" s="1097">
        <v>542450.1313981125</v>
      </c>
      <c r="H211" s="1097">
        <v>504614.7921264985</v>
      </c>
      <c r="I211" s="1098">
        <v>13.337128775400872</v>
      </c>
      <c r="J211" s="1099">
        <v>2.255773408025609</v>
      </c>
      <c r="K211" s="1096">
        <v>79114.48496627416</v>
      </c>
      <c r="L211" s="1098">
        <v>0.497312226267663</v>
      </c>
      <c r="M211" s="1100">
        <v>36.91753153298026</v>
      </c>
      <c r="N211" s="1123">
        <v>79969.64928079586</v>
      </c>
      <c r="O211" s="1098">
        <v>0.5026877737323371</v>
      </c>
      <c r="P211" s="1096">
        <v>35072.0</v>
      </c>
      <c r="Q211" s="1096">
        <v>2166.17</v>
      </c>
    </row>
    <row r="212">
      <c r="A212" s="1126"/>
      <c r="B212" s="1119">
        <v>44378.58901574074</v>
      </c>
      <c r="C212" s="1099">
        <v>18.923676283910062</v>
      </c>
      <c r="D212" s="1096">
        <v>641966.7942553649</v>
      </c>
      <c r="E212" s="1097">
        <v>540819.7445178656</v>
      </c>
      <c r="F212" s="1097">
        <v>37835.33927161405</v>
      </c>
      <c r="G212" s="1097">
        <v>540819.7445178656</v>
      </c>
      <c r="H212" s="1097">
        <v>502984.40524625155</v>
      </c>
      <c r="I212" s="1098">
        <v>13.294037133786597</v>
      </c>
      <c r="J212" s="1099">
        <v>2.255773408025609</v>
      </c>
      <c r="K212" s="1096">
        <v>76524.85709386076</v>
      </c>
      <c r="L212" s="1098">
        <v>0.4899810094642185</v>
      </c>
      <c r="M212" s="1100">
        <v>36.91753153298026</v>
      </c>
      <c r="N212" s="1123">
        <v>79654.37356150421</v>
      </c>
      <c r="O212" s="1098">
        <v>0.5100189905357814</v>
      </c>
      <c r="P212" s="1096">
        <v>33924.0</v>
      </c>
      <c r="Q212" s="1096">
        <v>2157.63</v>
      </c>
    </row>
    <row r="213">
      <c r="A213" s="1126"/>
      <c r="B213" s="1119">
        <v>44380.4433492824</v>
      </c>
      <c r="C213" s="1099">
        <v>18.669343192978243</v>
      </c>
      <c r="D213" s="1096">
        <v>645007.1379742053</v>
      </c>
      <c r="E213" s="1097">
        <v>543651.2737795265</v>
      </c>
      <c r="F213" s="1097">
        <v>37835.33927161405</v>
      </c>
      <c r="G213" s="1097">
        <v>543651.2737795265</v>
      </c>
      <c r="H213" s="1097">
        <v>505815.93450791243</v>
      </c>
      <c r="I213" s="1098">
        <v>13.368875348962462</v>
      </c>
      <c r="J213" s="1099">
        <v>2.2864916495412313</v>
      </c>
      <c r="K213" s="1096">
        <v>78996.0</v>
      </c>
      <c r="L213" s="1098">
        <v>0.4989678449914761</v>
      </c>
      <c r="M213" s="1100">
        <v>36.09487496664813</v>
      </c>
      <c r="N213" s="1123">
        <v>79322.81912420526</v>
      </c>
      <c r="O213" s="1098">
        <v>0.5010321550085238</v>
      </c>
      <c r="P213" s="1096">
        <v>34549.0</v>
      </c>
      <c r="Q213" s="1096">
        <v>2197.62</v>
      </c>
    </row>
    <row r="214">
      <c r="A214" s="1126"/>
      <c r="B214" s="1119">
        <v>44382.789782430555</v>
      </c>
      <c r="C214" s="1099">
        <v>19.070546222964285</v>
      </c>
      <c r="D214" s="1096">
        <v>643936.0637646121</v>
      </c>
      <c r="E214" s="1097">
        <v>542614.2516820028</v>
      </c>
      <c r="F214" s="1097">
        <v>37835.33927161405</v>
      </c>
      <c r="G214" s="1097">
        <v>542614.2516820028</v>
      </c>
      <c r="H214" s="1097">
        <v>504778.91241038876</v>
      </c>
      <c r="I214" s="1098">
        <v>13.341466526483586</v>
      </c>
      <c r="J214" s="1099">
        <v>2.3178789314695254</v>
      </c>
      <c r="K214" s="1096">
        <v>78265.5</v>
      </c>
      <c r="L214" s="1098">
        <v>0.49894471647282984</v>
      </c>
      <c r="M214" s="1100">
        <v>35.30541773730546</v>
      </c>
      <c r="N214" s="1123">
        <v>78596.56791261205</v>
      </c>
      <c r="O214" s="1098">
        <v>0.5010552835271701</v>
      </c>
      <c r="P214" s="1096">
        <v>33766.0</v>
      </c>
      <c r="Q214" s="1096">
        <v>2226.19</v>
      </c>
    </row>
    <row r="215">
      <c r="A215" s="1126"/>
      <c r="B215" s="1119">
        <v>44383.58336118056</v>
      </c>
      <c r="C215" s="1099">
        <v>19.159279621452548</v>
      </c>
      <c r="D215" s="1096">
        <v>650285.1096317209</v>
      </c>
      <c r="E215" s="1097">
        <v>549162.4317896944</v>
      </c>
      <c r="F215" s="1097">
        <v>37835.33927161405</v>
      </c>
      <c r="G215" s="1097">
        <v>549162.4317896944</v>
      </c>
      <c r="H215" s="1097">
        <v>511327.0925180803</v>
      </c>
      <c r="I215" s="1098">
        <v>13.514537000642235</v>
      </c>
      <c r="J215" s="1099">
        <v>2.373294835155122</v>
      </c>
      <c r="K215" s="1096">
        <v>80552.0</v>
      </c>
      <c r="L215" s="1098">
        <v>0.4989530158493266</v>
      </c>
      <c r="M215" s="1100">
        <v>35.58469210165581</v>
      </c>
      <c r="N215" s="1123">
        <v>80890.05454472094</v>
      </c>
      <c r="O215" s="1098">
        <v>0.5010469841506734</v>
      </c>
      <c r="P215" s="1096">
        <v>33941.0</v>
      </c>
      <c r="Q215" s="1096">
        <v>2273.17</v>
      </c>
    </row>
    <row r="216">
      <c r="A216" s="1126"/>
      <c r="B216" s="1119">
        <v>44384.40134972222</v>
      </c>
      <c r="C216" s="1099">
        <v>18.887017709396222</v>
      </c>
      <c r="D216" s="1096">
        <v>656607.1706671596</v>
      </c>
      <c r="E216" s="1097">
        <v>555542.7389041805</v>
      </c>
      <c r="F216" s="1097">
        <v>37835.33927161405</v>
      </c>
      <c r="G216" s="1097">
        <v>555542.7389041805</v>
      </c>
      <c r="H216" s="1097">
        <v>517707.39963256643</v>
      </c>
      <c r="I216" s="1098">
        <v>13.683170538422427</v>
      </c>
      <c r="J216" s="1099">
        <v>2.382338558895441</v>
      </c>
      <c r="K216" s="1096">
        <v>82822.0</v>
      </c>
      <c r="L216" s="1098">
        <v>0.49892965076553275</v>
      </c>
      <c r="M216" s="1100">
        <v>34.8095227303451</v>
      </c>
      <c r="N216" s="1123">
        <v>83177.35456415961</v>
      </c>
      <c r="O216" s="1098">
        <v>0.5010703492344672</v>
      </c>
      <c r="P216" s="1096">
        <v>34765.0</v>
      </c>
      <c r="Q216" s="1096">
        <v>2389.5</v>
      </c>
    </row>
    <row r="217">
      <c r="A217" s="1126"/>
      <c r="B217" s="1119">
        <v>44385.59813407407</v>
      </c>
      <c r="C217" s="1099">
        <v>19.6489811987573</v>
      </c>
      <c r="D217" s="1096">
        <v>642993.2607481339</v>
      </c>
      <c r="E217" s="1097">
        <v>543392.5750516331</v>
      </c>
      <c r="F217" s="1097">
        <v>37835.33927161405</v>
      </c>
      <c r="G217" s="1097">
        <v>543392.5750516331</v>
      </c>
      <c r="H217" s="1097">
        <v>505557.235780019</v>
      </c>
      <c r="I217" s="1098">
        <v>13.362037859650254</v>
      </c>
      <c r="J217" s="1099">
        <v>2.382338558895441</v>
      </c>
      <c r="K217" s="1096">
        <v>77959.6470012944</v>
      </c>
      <c r="L217" s="1098">
        <v>0.5082476396285959</v>
      </c>
      <c r="M217" s="1100">
        <v>34.8095227303451</v>
      </c>
      <c r="N217" s="1123">
        <v>75429.45099483941</v>
      </c>
      <c r="O217" s="1098">
        <v>0.4917523603714041</v>
      </c>
      <c r="P217" s="1096">
        <v>32724.0</v>
      </c>
      <c r="Q217" s="1096">
        <v>2166.92</v>
      </c>
    </row>
    <row r="218">
      <c r="A218" s="1126"/>
      <c r="B218" s="1119">
        <v>44386.57183136574</v>
      </c>
      <c r="C218" s="1099">
        <v>19.51569182729001</v>
      </c>
      <c r="D218" s="1096">
        <v>640173.2390105942</v>
      </c>
      <c r="E218" s="1097">
        <v>539804.0359428417</v>
      </c>
      <c r="F218" s="1097">
        <v>37835.33927161405</v>
      </c>
      <c r="G218" s="1097">
        <v>539804.0359428417</v>
      </c>
      <c r="H218" s="1097">
        <v>501968.69667122763</v>
      </c>
      <c r="I218" s="1098">
        <v>13.26719163445772</v>
      </c>
      <c r="J218" s="1099">
        <v>2.28128524830046</v>
      </c>
      <c r="K218" s="1096">
        <v>74833.0</v>
      </c>
      <c r="L218" s="1098">
        <v>0.4989676460466557</v>
      </c>
      <c r="M218" s="1100">
        <v>36.08793345656498</v>
      </c>
      <c r="N218" s="1123">
        <v>75142.65592259417</v>
      </c>
      <c r="O218" s="1098">
        <v>0.5010323539533442</v>
      </c>
      <c r="P218" s="1096">
        <v>32803.0</v>
      </c>
      <c r="Q218" s="1096">
        <v>2082.21</v>
      </c>
    </row>
    <row r="219">
      <c r="A219" s="1126"/>
      <c r="B219" s="1119">
        <v>44389.946074618056</v>
      </c>
      <c r="C219" s="1099">
        <v>19.444292794023244</v>
      </c>
      <c r="D219" s="1096">
        <v>640981.1119549762</v>
      </c>
      <c r="E219" s="1097">
        <v>540454.118209876</v>
      </c>
      <c r="F219" s="1097">
        <v>37835.33927161405</v>
      </c>
      <c r="G219" s="1097">
        <v>540454.118209876</v>
      </c>
      <c r="H219" s="1097">
        <v>502618.77893826197</v>
      </c>
      <c r="I219" s="1098">
        <v>13.28437351466679</v>
      </c>
      <c r="J219" s="1099">
        <v>2.2652599193103646</v>
      </c>
      <c r="K219" s="1096">
        <v>74674.29324006617</v>
      </c>
      <c r="L219" s="1098">
        <v>0.5030626460516048</v>
      </c>
      <c r="M219" s="1100">
        <v>36.32923517277367</v>
      </c>
      <c r="N219" s="1123">
        <v>73765.05884891003</v>
      </c>
      <c r="O219" s="1098">
        <v>0.49693735394839533</v>
      </c>
      <c r="P219" s="1096">
        <v>32965.0</v>
      </c>
      <c r="Q219" s="1096">
        <v>2030.46</v>
      </c>
    </row>
    <row r="220">
      <c r="A220" s="1126"/>
      <c r="B220" s="1119">
        <v>44390.51210640046</v>
      </c>
      <c r="C220" s="1099">
        <v>19.30394594602103</v>
      </c>
      <c r="D220" s="1096">
        <v>643477.7341646651</v>
      </c>
      <c r="E220" s="1097">
        <v>543328.862596708</v>
      </c>
      <c r="F220" s="1097">
        <v>37835.33927161405</v>
      </c>
      <c r="G220" s="1097">
        <v>543328.862596708</v>
      </c>
      <c r="H220" s="1097">
        <v>505493.52332509396</v>
      </c>
      <c r="I220" s="1098">
        <v>13.36035391928784</v>
      </c>
      <c r="J220" s="1099">
        <v>2.2386285061479723</v>
      </c>
      <c r="K220" s="1096">
        <v>74622.44262393651</v>
      </c>
      <c r="L220" s="1098">
        <v>0.4984156376482134</v>
      </c>
      <c r="M220" s="1100">
        <v>36.82789321069701</v>
      </c>
      <c r="N220" s="1123">
        <v>75096.8618827286</v>
      </c>
      <c r="O220" s="1098">
        <v>0.5015843623517867</v>
      </c>
      <c r="P220" s="1096">
        <v>33334.0</v>
      </c>
      <c r="Q220" s="1096">
        <v>2039.13</v>
      </c>
    </row>
    <row r="221">
      <c r="A221" s="1126"/>
      <c r="B221" s="1119">
        <v>44391.66058145833</v>
      </c>
      <c r="C221" s="1099">
        <v>19.52057391400321</v>
      </c>
      <c r="D221" s="1096">
        <v>640489.5506923593</v>
      </c>
      <c r="E221" s="1097">
        <v>542379.1462005791</v>
      </c>
      <c r="F221" s="1097">
        <v>37835.33927161405</v>
      </c>
      <c r="G221" s="1097">
        <v>542379.1462005791</v>
      </c>
      <c r="H221" s="1097">
        <v>504543.8069289651</v>
      </c>
      <c r="I221" s="1098">
        <v>13.33525261414793</v>
      </c>
      <c r="J221" s="1099">
        <v>2.2386285061479723</v>
      </c>
      <c r="K221" s="1096">
        <v>73451.63991522112</v>
      </c>
      <c r="L221" s="1098">
        <v>0.49972523187949125</v>
      </c>
      <c r="M221" s="1100">
        <v>36.82789321069701</v>
      </c>
      <c r="N221" s="1123">
        <v>73532.4129791382</v>
      </c>
      <c r="O221" s="1098">
        <v>0.5002747681205086</v>
      </c>
      <c r="P221" s="1096">
        <v>32811.0</v>
      </c>
      <c r="Q221" s="1096">
        <v>1996.65</v>
      </c>
    </row>
    <row r="222">
      <c r="A222" s="1126"/>
      <c r="B222" s="1119">
        <v>44392.64473929398</v>
      </c>
      <c r="C222" s="1099">
        <v>19.96216638230907</v>
      </c>
      <c r="D222" s="1096">
        <v>634397.6476297823</v>
      </c>
      <c r="E222" s="1097">
        <v>536782.654020291</v>
      </c>
      <c r="F222" s="1097">
        <v>37835.33927161405</v>
      </c>
      <c r="G222" s="1097">
        <v>536782.654020291</v>
      </c>
      <c r="H222" s="1097">
        <v>498947.314748677</v>
      </c>
      <c r="I222" s="1098">
        <v>13.187335553325196</v>
      </c>
      <c r="J222" s="1099">
        <v>1.1034035504438056</v>
      </c>
      <c r="K222" s="1096">
        <v>35066.16483310414</v>
      </c>
      <c r="L222" s="1098">
        <v>0.49912593253485116</v>
      </c>
      <c r="M222" s="1100">
        <v>18.502208502300654</v>
      </c>
      <c r="N222" s="1123">
        <v>35188.98030635557</v>
      </c>
      <c r="O222" s="1098">
        <v>0.5008740674651488</v>
      </c>
      <c r="P222" s="1096">
        <v>31780.0</v>
      </c>
      <c r="Q222" s="1096">
        <v>1901.88</v>
      </c>
    </row>
    <row r="223">
      <c r="A223" s="1126"/>
      <c r="B223" s="1119">
        <v>44396.89822234954</v>
      </c>
      <c r="C223" s="1099">
        <v>20.423299431122295</v>
      </c>
      <c r="D223" s="1096">
        <v>626443.8634508142</v>
      </c>
      <c r="E223" s="1097">
        <v>531883.987084718</v>
      </c>
      <c r="F223" s="1097">
        <v>37835.33927161405</v>
      </c>
      <c r="G223" s="1097">
        <v>531883.987084718</v>
      </c>
      <c r="H223" s="1097">
        <v>494048.6478131039</v>
      </c>
      <c r="I223" s="1098">
        <v>13.057862234732589</v>
      </c>
      <c r="J223" s="1099">
        <v>1.096420304502331</v>
      </c>
      <c r="K223" s="1096">
        <v>33630.5</v>
      </c>
      <c r="L223" s="1098">
        <v>0.4982842942896788</v>
      </c>
      <c r="M223" s="1100">
        <v>18.63677859094317</v>
      </c>
      <c r="N223" s="1123">
        <v>33862.09486081419</v>
      </c>
      <c r="O223" s="1098">
        <v>0.5017157057103212</v>
      </c>
      <c r="P223" s="1096">
        <v>30673.0</v>
      </c>
      <c r="Q223" s="1096">
        <v>1816.95</v>
      </c>
    </row>
    <row r="224">
      <c r="A224" s="1126"/>
      <c r="B224" s="1119">
        <v>44398.92114883102</v>
      </c>
      <c r="C224" s="1099">
        <v>20.01264188803759</v>
      </c>
      <c r="D224" s="1096">
        <v>631238.7504324816</v>
      </c>
      <c r="E224" s="1097">
        <v>534937.9176672448</v>
      </c>
      <c r="F224" s="1097">
        <v>37835.33927161405</v>
      </c>
      <c r="G224" s="1097">
        <v>534937.9176672448</v>
      </c>
      <c r="H224" s="1097">
        <v>497102.57839563076</v>
      </c>
      <c r="I224" s="1098">
        <v>13.13857858725696</v>
      </c>
      <c r="J224" s="1099">
        <v>0.0</v>
      </c>
      <c r="K224" s="1096">
        <v>0.0</v>
      </c>
      <c r="L224" s="1098">
        <v>0.0</v>
      </c>
      <c r="M224" s="1100">
        <v>0.09312424092037513</v>
      </c>
      <c r="N224" s="1123">
        <v>180.34254248158007</v>
      </c>
      <c r="O224" s="1098">
        <v>1.0</v>
      </c>
      <c r="P224" s="1096">
        <v>31542.0</v>
      </c>
      <c r="Q224" s="1096">
        <v>1936.58</v>
      </c>
    </row>
    <row r="225">
      <c r="A225" s="1126"/>
      <c r="B225" s="1119">
        <v>44400.93637186343</v>
      </c>
      <c r="C225" s="1099">
        <v>19.54269265685634</v>
      </c>
      <c r="D225" s="1096">
        <v>633163.6993894886</v>
      </c>
      <c r="E225" s="1097">
        <v>538108.0423065394</v>
      </c>
      <c r="F225" s="1097">
        <v>37835.49</v>
      </c>
      <c r="G225" s="1097">
        <v>538108.0423065394</v>
      </c>
      <c r="H225" s="1097">
        <v>500272.5523065394</v>
      </c>
      <c r="I225" s="1098">
        <v>13.222309326680833</v>
      </c>
      <c r="J225" s="1099">
        <v>0.0</v>
      </c>
      <c r="K225" s="1096">
        <v>0.0</v>
      </c>
      <c r="L225" s="1098">
        <v>0.0</v>
      </c>
      <c r="M225" s="1100">
        <v>0.09312424092037513</v>
      </c>
      <c r="N225" s="1123">
        <v>189.29736948848335</v>
      </c>
      <c r="O225" s="1098">
        <v>1.0</v>
      </c>
      <c r="P225" s="1096">
        <v>32399.0</v>
      </c>
      <c r="Q225" s="1096">
        <v>2032.74</v>
      </c>
    </row>
    <row r="226">
      <c r="A226" s="1126"/>
      <c r="B226" s="1119">
        <v>44401.795038564815</v>
      </c>
      <c r="C226" s="1099">
        <v>18.43212076255684</v>
      </c>
      <c r="D226" s="1096">
        <v>633604.1512128913</v>
      </c>
      <c r="E226" s="1097">
        <v>538254.7905081848</v>
      </c>
      <c r="F226" s="1097">
        <v>37835.49</v>
      </c>
      <c r="G226" s="1097">
        <v>538254.7905081848</v>
      </c>
      <c r="H226" s="1097">
        <v>500419.3005081848</v>
      </c>
      <c r="I226" s="1098">
        <v>13.226187912676295</v>
      </c>
      <c r="J226" s="1099">
        <v>0.0</v>
      </c>
      <c r="K226" s="1096">
        <v>0.0</v>
      </c>
      <c r="L226" s="1098">
        <v>0.0</v>
      </c>
      <c r="M226" s="1100">
        <v>0.09312424092037513</v>
      </c>
      <c r="N226" s="1123">
        <v>203.75490789137157</v>
      </c>
      <c r="O226" s="1098">
        <v>1.0</v>
      </c>
      <c r="P226" s="1096">
        <v>34375.0</v>
      </c>
      <c r="Q226" s="1096">
        <v>2187.99</v>
      </c>
    </row>
    <row r="227">
      <c r="A227" s="1126"/>
      <c r="B227" s="1119">
        <v>44402.66767229167</v>
      </c>
      <c r="C227" s="1099">
        <v>18.597214306952868</v>
      </c>
      <c r="D227" s="1096">
        <v>636824.409512987</v>
      </c>
      <c r="E227" s="1097">
        <v>540992.9641892589</v>
      </c>
      <c r="F227" s="1097">
        <v>37835.49</v>
      </c>
      <c r="G227" s="1097">
        <v>540992.9641892589</v>
      </c>
      <c r="H227" s="1097">
        <v>503157.4741892589</v>
      </c>
      <c r="I227" s="1098">
        <v>13.298558421980498</v>
      </c>
      <c r="J227" s="1099">
        <v>0.0</v>
      </c>
      <c r="K227" s="1096">
        <v>0.0</v>
      </c>
      <c r="L227" s="1098">
        <v>0.0</v>
      </c>
      <c r="M227" s="1100">
        <v>0.09012692692037512</v>
      </c>
      <c r="N227" s="1123">
        <v>192.70218498699245</v>
      </c>
      <c r="O227" s="1098">
        <v>1.0</v>
      </c>
      <c r="P227" s="1096">
        <v>34243.0</v>
      </c>
      <c r="Q227" s="1096">
        <v>2138.12</v>
      </c>
    </row>
    <row r="228">
      <c r="A228" s="1126"/>
      <c r="B228" s="1119">
        <v>44403.54662592593</v>
      </c>
      <c r="C228" s="1099">
        <v>16.63168945288795</v>
      </c>
      <c r="D228" s="1096">
        <v>636943.8109772499</v>
      </c>
      <c r="E228" s="1097">
        <v>539947.7980880074</v>
      </c>
      <c r="F228" s="1097">
        <v>37835.49</v>
      </c>
      <c r="G228" s="1097">
        <v>539947.7980880074</v>
      </c>
      <c r="H228" s="1097">
        <v>502112.3080880074</v>
      </c>
      <c r="I228" s="1098">
        <v>13.27093446095207</v>
      </c>
      <c r="J228" s="1099">
        <v>0.0</v>
      </c>
      <c r="K228" s="1096">
        <v>0.0</v>
      </c>
      <c r="L228" s="1098">
        <v>0.0</v>
      </c>
      <c r="M228" s="1100">
        <v>0.09012692692037512</v>
      </c>
      <c r="N228" s="1123">
        <v>211.49364924989067</v>
      </c>
      <c r="O228" s="1098">
        <v>1.0</v>
      </c>
      <c r="P228" s="1096">
        <v>38297.0</v>
      </c>
      <c r="Q228" s="1096">
        <v>2346.62</v>
      </c>
    </row>
    <row r="229">
      <c r="A229" s="1126"/>
      <c r="B229" s="1119">
        <v>44406.02033871527</v>
      </c>
      <c r="C229" s="1099">
        <v>15.930504340092366</v>
      </c>
      <c r="D229" s="1096">
        <v>638069.216642068</v>
      </c>
      <c r="E229" s="1097">
        <v>538594.2257675707</v>
      </c>
      <c r="F229" s="1097">
        <v>37835.49</v>
      </c>
      <c r="G229" s="1097">
        <v>538594.2257675707</v>
      </c>
      <c r="H229" s="1097">
        <v>500758.7357675707</v>
      </c>
      <c r="I229" s="1098">
        <v>13.235159258346348</v>
      </c>
      <c r="J229" s="1099">
        <v>0.0</v>
      </c>
      <c r="K229" s="1096">
        <v>0.0</v>
      </c>
      <c r="L229" s="1098">
        <v>0.0</v>
      </c>
      <c r="M229" s="1100">
        <v>0.07964445650566965</v>
      </c>
      <c r="N229" s="1123">
        <v>183.90203233491692</v>
      </c>
      <c r="O229" s="1098">
        <v>1.0</v>
      </c>
      <c r="P229" s="1123">
        <v>40053.29668290768</v>
      </c>
      <c r="Q229" s="1123">
        <v>2309.0374447068452</v>
      </c>
    </row>
    <row r="230">
      <c r="A230" s="1126"/>
      <c r="B230" s="1119">
        <v>44406.42132341435</v>
      </c>
      <c r="C230" s="1099">
        <v>15.977471931098084</v>
      </c>
      <c r="D230" s="1096">
        <v>638169.1453419686</v>
      </c>
      <c r="E230" s="1097">
        <v>537700.900452491</v>
      </c>
      <c r="F230" s="1097">
        <v>37835.49</v>
      </c>
      <c r="G230" s="1097">
        <v>537700.900452491</v>
      </c>
      <c r="H230" s="1097">
        <v>499865.410452491</v>
      </c>
      <c r="I230" s="1098">
        <v>13.211548481399106</v>
      </c>
      <c r="J230" s="1099">
        <v>0.0</v>
      </c>
      <c r="K230" s="1096">
        <v>0.0</v>
      </c>
      <c r="L230" s="1098">
        <v>0.0</v>
      </c>
      <c r="M230" s="1100">
        <v>0.07964445650566965</v>
      </c>
      <c r="N230" s="1123">
        <v>182.97453296859132</v>
      </c>
      <c r="O230" s="1098">
        <v>1.0</v>
      </c>
      <c r="P230" s="1123">
        <v>39941.80982410959</v>
      </c>
      <c r="Q230" s="1123">
        <v>2297.391946614212</v>
      </c>
    </row>
    <row r="231">
      <c r="A231" s="1153"/>
      <c r="B231" s="1154"/>
      <c r="C231" s="1155"/>
      <c r="D231" s="1156"/>
      <c r="E231" s="1157"/>
      <c r="F231" s="1157"/>
      <c r="G231" s="1157"/>
      <c r="H231" s="1157"/>
      <c r="I231" s="1158"/>
      <c r="J231" s="1155"/>
      <c r="K231" s="1159"/>
      <c r="L231" s="1158"/>
      <c r="M231" s="1160"/>
      <c r="N231" s="1159"/>
      <c r="O231" s="1158"/>
      <c r="P231" s="1159"/>
      <c r="Q231" s="1159"/>
      <c r="R231" s="1161"/>
    </row>
    <row r="232">
      <c r="A232" s="1153"/>
      <c r="B232" s="1162"/>
      <c r="C232" s="1155"/>
      <c r="D232" s="1159"/>
      <c r="E232" s="1157"/>
      <c r="F232" s="1157"/>
      <c r="G232" s="1157"/>
      <c r="H232" s="1157"/>
      <c r="I232" s="1158"/>
      <c r="J232" s="1155"/>
      <c r="K232" s="1159"/>
      <c r="L232" s="1158"/>
      <c r="M232" s="1160"/>
      <c r="N232" s="1159"/>
      <c r="O232" s="1158"/>
      <c r="P232" s="1159"/>
      <c r="Q232" s="1159"/>
      <c r="R232" s="1161"/>
    </row>
    <row r="233">
      <c r="A233" s="1126"/>
      <c r="B233" s="153" t="s">
        <v>44</v>
      </c>
      <c r="C233" s="156" t="s">
        <v>32</v>
      </c>
      <c r="D233" s="1113" t="s">
        <v>3</v>
      </c>
      <c r="E233" s="1163" t="s">
        <v>930</v>
      </c>
      <c r="F233" s="1163" t="s">
        <v>931</v>
      </c>
      <c r="G233" s="1163" t="s">
        <v>932</v>
      </c>
      <c r="H233" s="1163" t="s">
        <v>933</v>
      </c>
      <c r="I233" s="1115" t="s">
        <v>934</v>
      </c>
      <c r="J233" s="156" t="s">
        <v>935</v>
      </c>
      <c r="K233" s="1113" t="s">
        <v>936</v>
      </c>
      <c r="L233" s="1115" t="s">
        <v>937</v>
      </c>
      <c r="M233" s="1116" t="s">
        <v>938</v>
      </c>
      <c r="N233" s="1117" t="s">
        <v>939</v>
      </c>
      <c r="O233" s="1118" t="s">
        <v>940</v>
      </c>
      <c r="P233" s="1113" t="s">
        <v>941</v>
      </c>
      <c r="Q233" s="1113" t="s">
        <v>942</v>
      </c>
    </row>
    <row r="234">
      <c r="A234" s="1126"/>
      <c r="B234" s="1119">
        <v>44406.42132341435</v>
      </c>
      <c r="C234" s="1099">
        <v>15.977471931098084</v>
      </c>
      <c r="D234" s="1096">
        <v>638169.1453419686</v>
      </c>
      <c r="E234" s="1164">
        <v>537700.900452491</v>
      </c>
      <c r="F234" s="1164">
        <v>37835.49</v>
      </c>
      <c r="G234" s="1164">
        <v>537700.900452491</v>
      </c>
      <c r="H234" s="1164">
        <v>499865.410452491</v>
      </c>
      <c r="I234" s="1098">
        <v>13.211548481399106</v>
      </c>
      <c r="J234" s="1099">
        <v>0.0</v>
      </c>
      <c r="K234" s="1096">
        <v>0.0</v>
      </c>
      <c r="L234" s="1098">
        <v>0.0</v>
      </c>
      <c r="M234" s="1100">
        <v>0.07964445650566965</v>
      </c>
      <c r="N234" s="1123">
        <v>182.97453296859132</v>
      </c>
      <c r="O234" s="1098">
        <v>1.0</v>
      </c>
      <c r="P234" s="1123">
        <v>39941.80982410959</v>
      </c>
      <c r="Q234" s="1123">
        <v>2297.391946614212</v>
      </c>
    </row>
    <row r="235">
      <c r="A235" s="1126"/>
      <c r="B235" s="1119">
        <v>44408.96117971065</v>
      </c>
      <c r="C235" s="1099">
        <v>15.39723803059567</v>
      </c>
      <c r="D235" s="1096">
        <v>639727.9642439522</v>
      </c>
      <c r="E235" s="1164">
        <v>539081.4828133453</v>
      </c>
      <c r="F235" s="1164">
        <v>37835.49</v>
      </c>
      <c r="G235" s="1164">
        <v>539081.4828133453</v>
      </c>
      <c r="H235" s="1164">
        <v>501245.9928133453</v>
      </c>
      <c r="I235" s="1098">
        <v>13.24803756508361</v>
      </c>
      <c r="J235" s="1099">
        <v>0.0</v>
      </c>
      <c r="K235" s="1096">
        <v>0.0</v>
      </c>
      <c r="L235" s="1098">
        <v>0.0</v>
      </c>
      <c r="M235" s="1100">
        <v>0.07770813050566966</v>
      </c>
      <c r="N235" s="1123">
        <v>193.81797412434992</v>
      </c>
      <c r="O235" s="1098">
        <v>1.0</v>
      </c>
      <c r="P235" s="1123">
        <v>41548.22851817685</v>
      </c>
      <c r="Q235" s="1123">
        <v>2494.178831264108</v>
      </c>
    </row>
    <row r="236">
      <c r="A236" s="1126"/>
      <c r="B236" s="1119">
        <v>44409.62336914352</v>
      </c>
      <c r="C236" s="1099">
        <v>15.384190208134287</v>
      </c>
      <c r="D236" s="1096">
        <v>640885.4570618203</v>
      </c>
      <c r="E236" s="1164">
        <v>540056.8707586566</v>
      </c>
      <c r="F236" s="1164">
        <v>37835.49</v>
      </c>
      <c r="G236" s="1164">
        <v>540056.8707586566</v>
      </c>
      <c r="H236" s="1164">
        <v>502221.38075865665</v>
      </c>
      <c r="I236" s="1098">
        <v>13.273817274697821</v>
      </c>
      <c r="J236" s="1099">
        <v>0.0</v>
      </c>
      <c r="K236" s="1096">
        <v>0.0</v>
      </c>
      <c r="L236" s="1098">
        <v>0.0</v>
      </c>
      <c r="M236" s="1100">
        <v>0.06864275350566966</v>
      </c>
      <c r="N236" s="1123">
        <v>178.40851254318136</v>
      </c>
      <c r="O236" s="1098">
        <v>1.0</v>
      </c>
      <c r="P236" s="1123">
        <v>41658.70600865013</v>
      </c>
      <c r="Q236" s="1123">
        <v>2599.0873534588823</v>
      </c>
    </row>
    <row r="237">
      <c r="A237" s="1126"/>
      <c r="B237" s="1119">
        <v>44410.8402859375</v>
      </c>
      <c r="C237" s="1099">
        <v>16.127122256703846</v>
      </c>
      <c r="D237" s="1096">
        <v>642217.5999227806</v>
      </c>
      <c r="E237" s="1164">
        <v>541067.0434997407</v>
      </c>
      <c r="F237" s="1164">
        <v>37835.49</v>
      </c>
      <c r="G237" s="1164">
        <v>541067.0434997407</v>
      </c>
      <c r="H237" s="1164">
        <v>503231.55349974066</v>
      </c>
      <c r="I237" s="1098">
        <v>13.300516353818615</v>
      </c>
      <c r="J237" s="1099">
        <v>0.0</v>
      </c>
      <c r="K237" s="1096">
        <v>0.0</v>
      </c>
      <c r="L237" s="1098">
        <v>0.0</v>
      </c>
      <c r="M237" s="1100">
        <v>0.06864275350566966</v>
      </c>
      <c r="N237" s="1123">
        <v>181.76733210906926</v>
      </c>
      <c r="O237" s="1098">
        <v>1.0</v>
      </c>
      <c r="P237" s="1123">
        <v>39822.20694431821</v>
      </c>
      <c r="Q237" s="1123">
        <v>2648.0192420319486</v>
      </c>
    </row>
    <row r="238">
      <c r="A238" s="1126"/>
      <c r="B238" s="1119">
        <v>44411.54932832176</v>
      </c>
      <c r="C238" s="1099">
        <v>16.57149615618412</v>
      </c>
      <c r="D238" s="1096">
        <v>641189.3961126956</v>
      </c>
      <c r="E238" s="1164">
        <v>539340.9488659656</v>
      </c>
      <c r="F238" s="1164">
        <v>37835.49</v>
      </c>
      <c r="G238" s="1164">
        <v>539340.9488659656</v>
      </c>
      <c r="H238" s="1164">
        <v>501505.4588659656</v>
      </c>
      <c r="I238" s="1098">
        <v>13.254895307711507</v>
      </c>
      <c r="J238" s="1099">
        <v>0.0</v>
      </c>
      <c r="K238" s="1096">
        <v>0.0</v>
      </c>
      <c r="L238" s="1098">
        <v>0.0</v>
      </c>
      <c r="M238" s="1100">
        <v>0.06864275350566966</v>
      </c>
      <c r="N238" s="1123">
        <v>172.39611269556477</v>
      </c>
      <c r="O238" s="1098">
        <v>1.0</v>
      </c>
      <c r="P238" s="1123">
        <v>38692.305756195565</v>
      </c>
      <c r="Q238" s="1123">
        <v>2511.497629262868</v>
      </c>
    </row>
    <row r="239">
      <c r="A239" s="1126"/>
      <c r="B239" s="1119">
        <v>44412.718305358794</v>
      </c>
      <c r="C239" s="1099">
        <v>16.275889047161414</v>
      </c>
      <c r="D239" s="1096">
        <v>641391.7893808916</v>
      </c>
      <c r="E239" s="1164">
        <v>541647.6694306887</v>
      </c>
      <c r="F239" s="1164">
        <v>37835.49</v>
      </c>
      <c r="G239" s="1164">
        <v>541647.6694306887</v>
      </c>
      <c r="H239" s="1164">
        <v>503812.17943068873</v>
      </c>
      <c r="I239" s="1098">
        <v>13.31586241993136</v>
      </c>
      <c r="J239" s="1099">
        <v>0.0</v>
      </c>
      <c r="K239" s="1096">
        <v>0.0</v>
      </c>
      <c r="L239" s="1098">
        <v>0.0</v>
      </c>
      <c r="M239" s="1100">
        <v>0.06864275350566966</v>
      </c>
      <c r="N239" s="1123">
        <v>184.7667823162601</v>
      </c>
      <c r="O239" s="1098">
        <v>1.0</v>
      </c>
      <c r="P239" s="1123">
        <v>39407.48106124213</v>
      </c>
      <c r="Q239" s="1123">
        <v>2691.715773042219</v>
      </c>
    </row>
    <row r="240">
      <c r="A240" s="1126"/>
      <c r="B240" s="1119">
        <v>44413.436969525465</v>
      </c>
      <c r="C240" s="1099">
        <v>16.540268071610388</v>
      </c>
      <c r="D240" s="1096">
        <v>642502.5903907139</v>
      </c>
      <c r="E240" s="1164">
        <v>542723.2231082161</v>
      </c>
      <c r="F240" s="1164">
        <v>37835.49</v>
      </c>
      <c r="G240" s="1164">
        <v>542723.2231082161</v>
      </c>
      <c r="H240" s="1164">
        <v>504887.7331082161</v>
      </c>
      <c r="I240" s="1098">
        <v>13.344289531025398</v>
      </c>
      <c r="J240" s="1099">
        <v>0.0</v>
      </c>
      <c r="K240" s="1096">
        <v>0.0</v>
      </c>
      <c r="L240" s="1098">
        <v>0.0</v>
      </c>
      <c r="M240" s="1100">
        <v>0.06864275350566966</v>
      </c>
      <c r="N240" s="1123">
        <v>184.15629382072825</v>
      </c>
      <c r="O240" s="1098">
        <v>1.0</v>
      </c>
      <c r="P240" s="1123">
        <v>38844.750738562776</v>
      </c>
      <c r="Q240" s="1123">
        <v>2682.822066651472</v>
      </c>
    </row>
    <row r="241">
      <c r="A241" s="1126"/>
      <c r="B241" s="1119">
        <v>44414.58521734954</v>
      </c>
      <c r="C241" s="1099">
        <v>15.918388103951079</v>
      </c>
      <c r="D241" s="1096">
        <v>645012.1141734803</v>
      </c>
      <c r="E241" s="1164">
        <v>546046.6154716165</v>
      </c>
      <c r="F241" s="1164">
        <v>37835.49</v>
      </c>
      <c r="G241" s="1164">
        <v>546046.6154716165</v>
      </c>
      <c r="H241" s="1164">
        <v>508211.1254716165</v>
      </c>
      <c r="I241" s="1098">
        <v>13.432127493832287</v>
      </c>
      <c r="J241" s="1099">
        <v>0.0</v>
      </c>
      <c r="K241" s="1096">
        <v>0.0</v>
      </c>
      <c r="L241" s="1098">
        <v>0.0</v>
      </c>
      <c r="M241" s="1100">
        <v>0.058466197505669656</v>
      </c>
      <c r="N241" s="1123">
        <v>160.2068476762236</v>
      </c>
      <c r="O241" s="1098">
        <v>1.0</v>
      </c>
      <c r="P241" s="1123">
        <v>40519.9389511921</v>
      </c>
      <c r="Q241" s="1165">
        <v>2740.161914252895</v>
      </c>
    </row>
    <row r="242">
      <c r="A242" s="1126"/>
      <c r="B242" s="1119">
        <v>44417.18288616899</v>
      </c>
      <c r="C242" s="1099">
        <v>14.960893983368257</v>
      </c>
      <c r="D242" s="1096">
        <v>646436.0436766257</v>
      </c>
      <c r="E242" s="1164">
        <v>550195.9383661365</v>
      </c>
      <c r="F242" s="1164">
        <v>37835.49</v>
      </c>
      <c r="G242" s="1164">
        <v>550195.9383661365</v>
      </c>
      <c r="H242" s="1164">
        <v>512360.4483661365</v>
      </c>
      <c r="I242" s="1098">
        <v>13.541794975197535</v>
      </c>
      <c r="J242" s="1099">
        <v>0.0</v>
      </c>
      <c r="K242" s="1096">
        <v>0.0</v>
      </c>
      <c r="L242" s="1098">
        <v>0.0</v>
      </c>
      <c r="M242" s="1100">
        <v>0.058466197505669656</v>
      </c>
      <c r="N242" s="1123">
        <v>171.00795453754375</v>
      </c>
      <c r="O242" s="1098">
        <v>1.0</v>
      </c>
      <c r="P242" s="1123">
        <v>43208.383429175854</v>
      </c>
      <c r="Q242" s="1123">
        <v>2924.9029667263817</v>
      </c>
    </row>
    <row r="243">
      <c r="A243" s="1126"/>
      <c r="B243" s="1119">
        <v>44418.3712340625</v>
      </c>
      <c r="C243" s="1099">
        <v>14.181177420096265</v>
      </c>
      <c r="D243" s="1096">
        <v>647315.7615645423</v>
      </c>
      <c r="E243" s="1164">
        <v>551349.9052810761</v>
      </c>
      <c r="F243" s="1164">
        <v>37835.49</v>
      </c>
      <c r="G243" s="1164">
        <v>551349.9052810761</v>
      </c>
      <c r="H243" s="1164">
        <v>513514.4152810761</v>
      </c>
      <c r="I243" s="1098">
        <v>13.572294564734754</v>
      </c>
      <c r="J243" s="1099">
        <v>0.0</v>
      </c>
      <c r="K243" s="1096">
        <v>0.0</v>
      </c>
      <c r="L243" s="1098">
        <v>0.0</v>
      </c>
      <c r="M243" s="1100">
        <v>0.058466197505669656</v>
      </c>
      <c r="N243" s="1123">
        <v>182.57272695618158</v>
      </c>
      <c r="O243" s="1098">
        <v>1.0</v>
      </c>
      <c r="P243" s="1123">
        <v>45646.122489605536</v>
      </c>
      <c r="Q243" s="1123">
        <v>3122.7056785842265</v>
      </c>
    </row>
    <row r="244">
      <c r="A244" s="1126"/>
      <c r="B244" s="1119">
        <v>44419.80822152778</v>
      </c>
      <c r="C244" s="1099">
        <v>14.005321412928753</v>
      </c>
      <c r="D244" s="1096">
        <v>649467.802185275</v>
      </c>
      <c r="E244" s="1164">
        <v>553185.4994469142</v>
      </c>
      <c r="F244" s="1164">
        <v>37835.49</v>
      </c>
      <c r="G244" s="1164">
        <v>553185.4994469142</v>
      </c>
      <c r="H244" s="1164">
        <v>515350.0094469142</v>
      </c>
      <c r="I244" s="1098">
        <v>13.620809706625028</v>
      </c>
      <c r="J244" s="1099">
        <v>0.0</v>
      </c>
      <c r="K244" s="1096">
        <v>0.0</v>
      </c>
      <c r="L244" s="1098">
        <v>0.0</v>
      </c>
      <c r="M244" s="1100">
        <v>0.043457054505669654</v>
      </c>
      <c r="N244" s="1123">
        <v>140.68314245682419</v>
      </c>
      <c r="O244" s="1098">
        <v>1.0</v>
      </c>
      <c r="P244" s="1123">
        <v>46372.93090508661</v>
      </c>
      <c r="Q244" s="1123">
        <v>3237.2912535632126</v>
      </c>
    </row>
    <row r="245">
      <c r="A245" s="1126"/>
      <c r="B245" s="1119">
        <v>44420.81868791667</v>
      </c>
      <c r="C245" s="1099">
        <v>14.678968216181316</v>
      </c>
      <c r="D245" s="1096">
        <v>649510.0663564971</v>
      </c>
      <c r="E245" s="1164">
        <v>553080.5543548805</v>
      </c>
      <c r="F245" s="1164">
        <v>37835.49</v>
      </c>
      <c r="G245" s="1164">
        <v>553080.5543548805</v>
      </c>
      <c r="H245" s="1164">
        <v>515245.0643548805</v>
      </c>
      <c r="I245" s="1098">
        <v>13.618035985654751</v>
      </c>
      <c r="J245" s="1099">
        <v>0.0</v>
      </c>
      <c r="K245" s="1096">
        <v>0.0</v>
      </c>
      <c r="L245" s="1098">
        <v>0.0</v>
      </c>
      <c r="M245" s="1100">
        <v>0.043457054505669654</v>
      </c>
      <c r="N245" s="1123">
        <v>131.94897223535406</v>
      </c>
      <c r="O245" s="1098">
        <v>1.0</v>
      </c>
      <c r="P245" s="1123">
        <v>44247.66487609883</v>
      </c>
      <c r="Q245" s="1123">
        <v>3036.3073092802288</v>
      </c>
    </row>
    <row r="246">
      <c r="A246" s="1126"/>
      <c r="B246" s="1119">
        <v>44421.473401446754</v>
      </c>
      <c r="C246" s="1099">
        <v>14.0591977952709</v>
      </c>
      <c r="D246" s="1096">
        <v>651386.1158254867</v>
      </c>
      <c r="E246" s="1164">
        <v>554977.7137527368</v>
      </c>
      <c r="F246" s="1164">
        <v>37835.49</v>
      </c>
      <c r="G246" s="1164">
        <v>554977.7137527368</v>
      </c>
      <c r="H246" s="1164">
        <v>517142.2237527368</v>
      </c>
      <c r="I246" s="1098">
        <v>13.668178309643586</v>
      </c>
      <c r="J246" s="1099">
        <v>0.0</v>
      </c>
      <c r="K246" s="1096">
        <v>0.0</v>
      </c>
      <c r="L246" s="1098">
        <v>0.0</v>
      </c>
      <c r="M246" s="1100">
        <v>0.043457054505669654</v>
      </c>
      <c r="N246" s="1123">
        <v>140.55868727629135</v>
      </c>
      <c r="O246" s="1098">
        <v>1.0</v>
      </c>
      <c r="P246" s="1123">
        <v>46331.670221226545</v>
      </c>
      <c r="Q246" s="1123">
        <v>3234.4273875707167</v>
      </c>
    </row>
    <row r="247">
      <c r="A247" s="1126"/>
      <c r="B247" s="1119">
        <v>44422.73621243055</v>
      </c>
      <c r="C247" s="1099">
        <v>13.917151273685416</v>
      </c>
      <c r="D247" s="1096">
        <v>652363.3236943989</v>
      </c>
      <c r="E247" s="1164">
        <v>553018.8273089215</v>
      </c>
      <c r="F247" s="1164">
        <v>37835.49</v>
      </c>
      <c r="G247" s="1164">
        <v>553018.8273089215</v>
      </c>
      <c r="H247" s="1164">
        <v>515183.3373089215</v>
      </c>
      <c r="I247" s="1098">
        <v>13.616404526779528</v>
      </c>
      <c r="J247" s="1099">
        <v>0.0</v>
      </c>
      <c r="K247" s="1096">
        <v>0.0</v>
      </c>
      <c r="L247" s="1098">
        <v>0.0</v>
      </c>
      <c r="M247" s="1100">
        <v>0.043457054505669654</v>
      </c>
      <c r="N247" s="1123">
        <v>142.06099764809787</v>
      </c>
      <c r="O247" s="1098">
        <v>1.0</v>
      </c>
      <c r="P247" s="1123">
        <v>46874.77421675289</v>
      </c>
      <c r="Q247" s="1123">
        <v>3268.997387514236</v>
      </c>
    </row>
    <row r="248">
      <c r="A248" s="1126"/>
      <c r="B248" s="1119">
        <v>44423.710472210645</v>
      </c>
      <c r="C248" s="1099">
        <v>14.139196473522036</v>
      </c>
      <c r="D248" s="1096">
        <v>652863.1896147544</v>
      </c>
      <c r="E248" s="1164">
        <v>553442.5716474616</v>
      </c>
      <c r="F248" s="1164">
        <v>37835.49</v>
      </c>
      <c r="G248" s="1164">
        <v>553442.5716474616</v>
      </c>
      <c r="H248" s="1164">
        <v>515607.08164746163</v>
      </c>
      <c r="I248" s="1098">
        <v>13.627604179236522</v>
      </c>
      <c r="J248" s="1099">
        <v>0.0</v>
      </c>
      <c r="K248" s="1096">
        <v>0.0</v>
      </c>
      <c r="L248" s="1098">
        <v>0.0</v>
      </c>
      <c r="M248" s="1100">
        <v>0.043457054505669654</v>
      </c>
      <c r="N248" s="1123">
        <v>137.8129901855676</v>
      </c>
      <c r="O248" s="1098">
        <v>1.0</v>
      </c>
      <c r="P248" s="1123">
        <v>46173.99516566219</v>
      </c>
      <c r="Q248" s="1123">
        <v>3171.245537766204</v>
      </c>
    </row>
    <row r="249">
      <c r="A249" s="1126"/>
      <c r="B249" s="1119">
        <v>44425.68767474537</v>
      </c>
      <c r="C249" s="1099">
        <v>14.251054416254652</v>
      </c>
      <c r="D249" s="1096">
        <v>654893.8823655187</v>
      </c>
      <c r="E249" s="1164">
        <v>556632.2944676338</v>
      </c>
      <c r="F249" s="1164">
        <v>37835.49</v>
      </c>
      <c r="G249" s="1164">
        <v>556632.2944676338</v>
      </c>
      <c r="H249" s="1164">
        <v>518796.80446763383</v>
      </c>
      <c r="I249" s="1098">
        <v>13.711909227755049</v>
      </c>
      <c r="J249" s="1099">
        <v>0.0</v>
      </c>
      <c r="K249" s="1096">
        <v>0.0</v>
      </c>
      <c r="L249" s="1098">
        <v>0.0</v>
      </c>
      <c r="M249" s="1100">
        <v>0.043457054505669654</v>
      </c>
      <c r="N249" s="1123">
        <v>138.96318113524413</v>
      </c>
      <c r="O249" s="1098">
        <v>1.0</v>
      </c>
      <c r="P249" s="1123">
        <v>45954.06509840783</v>
      </c>
      <c r="Q249" s="1123">
        <v>3197.712838938824</v>
      </c>
    </row>
    <row r="250">
      <c r="A250" s="1126"/>
      <c r="B250" s="1119">
        <v>44426.710868622686</v>
      </c>
      <c r="C250" s="1099">
        <v>14.43432279060254</v>
      </c>
      <c r="D250" s="1096">
        <v>654977.4950722867</v>
      </c>
      <c r="E250" s="1164">
        <v>559361.2604316538</v>
      </c>
      <c r="F250" s="1164">
        <v>37835.49</v>
      </c>
      <c r="G250" s="1164">
        <v>559361.2604316538</v>
      </c>
      <c r="H250" s="1164">
        <v>521525.77043165383</v>
      </c>
      <c r="I250" s="1098">
        <v>13.784036375150787</v>
      </c>
      <c r="J250" s="1099">
        <v>0.0</v>
      </c>
      <c r="K250" s="1096">
        <v>0.0</v>
      </c>
      <c r="L250" s="1098">
        <v>0.0</v>
      </c>
      <c r="M250" s="1100">
        <v>0.043457054505669654</v>
      </c>
      <c r="N250" s="1123">
        <v>133.59188079443982</v>
      </c>
      <c r="O250" s="1098">
        <v>1.0</v>
      </c>
      <c r="P250" s="1123">
        <v>45376.39240676463</v>
      </c>
      <c r="Q250" s="1123">
        <v>3074.11264555472</v>
      </c>
    </row>
    <row r="251">
      <c r="A251" s="1126"/>
      <c r="B251" s="1119">
        <v>44428.8602403125</v>
      </c>
      <c r="C251" s="1099">
        <v>13.543015355420964</v>
      </c>
      <c r="D251" s="1096">
        <v>657372.9758429918</v>
      </c>
      <c r="E251" s="1164">
        <v>562217.5802167433</v>
      </c>
      <c r="F251" s="1164">
        <v>37835.49</v>
      </c>
      <c r="G251" s="1164">
        <v>562217.5802167433</v>
      </c>
      <c r="H251" s="1164">
        <v>524382.0902167433</v>
      </c>
      <c r="I251" s="1098">
        <v>13.859529510962943</v>
      </c>
      <c r="J251" s="1099">
        <v>0.0</v>
      </c>
      <c r="K251" s="1096">
        <v>0.0</v>
      </c>
      <c r="L251" s="1098">
        <v>0.0</v>
      </c>
      <c r="M251" s="1100">
        <v>0.037256886505669655</v>
      </c>
      <c r="N251" s="1123">
        <v>120.44958856832577</v>
      </c>
      <c r="O251" s="1098">
        <v>1.0</v>
      </c>
      <c r="P251" s="1123">
        <v>48539.631580633206</v>
      </c>
      <c r="Q251" s="1123">
        <v>3232.9483181584715</v>
      </c>
    </row>
    <row r="252">
      <c r="A252" s="1126"/>
      <c r="B252" s="1119">
        <v>44431.47485458333</v>
      </c>
      <c r="C252" s="1099">
        <v>13.078860847245398</v>
      </c>
      <c r="D252" s="1096">
        <v>657279.1077301308</v>
      </c>
      <c r="E252" s="1164">
        <v>560580.8626799816</v>
      </c>
      <c r="F252" s="1164">
        <v>37835.49</v>
      </c>
      <c r="G252" s="1164">
        <v>560580.8626799816</v>
      </c>
      <c r="H252" s="1164">
        <v>522745.37267998164</v>
      </c>
      <c r="I252" s="1098">
        <v>13.816270720426289</v>
      </c>
      <c r="J252" s="1099">
        <v>0.0</v>
      </c>
      <c r="K252" s="1096">
        <v>0.0</v>
      </c>
      <c r="L252" s="1098">
        <v>0.0</v>
      </c>
      <c r="M252" s="1100">
        <v>0.19908137748903681</v>
      </c>
      <c r="N252" s="1123">
        <v>665.1177080774492</v>
      </c>
      <c r="O252" s="1098">
        <v>1.0</v>
      </c>
      <c r="P252" s="1123">
        <v>50255.07308372071</v>
      </c>
      <c r="Q252" s="1123">
        <v>3340.933825485894</v>
      </c>
    </row>
    <row r="253">
      <c r="A253" s="1126"/>
      <c r="B253" s="1119">
        <v>44434.378519143516</v>
      </c>
      <c r="C253" s="1099">
        <v>14.055798755979305</v>
      </c>
      <c r="D253" s="1096">
        <v>657941.4199553574</v>
      </c>
      <c r="E253" s="1164">
        <v>559380.4793632037</v>
      </c>
      <c r="F253" s="1164">
        <v>37835.49</v>
      </c>
      <c r="G253" s="1164">
        <v>559380.4793632037</v>
      </c>
      <c r="H253" s="1164">
        <v>521544.98936320376</v>
      </c>
      <c r="I253" s="1098">
        <v>13.78454433557498</v>
      </c>
      <c r="J253" s="1099">
        <v>0.0</v>
      </c>
      <c r="K253" s="1096">
        <v>0.0</v>
      </c>
      <c r="L253" s="1098">
        <v>0.0</v>
      </c>
      <c r="M253" s="1100">
        <v>0.19908137748903681</v>
      </c>
      <c r="N253" s="1123">
        <v>616.6095538525892</v>
      </c>
      <c r="O253" s="1098">
        <v>1.0</v>
      </c>
      <c r="P253" s="1123">
        <v>46809.251567825035</v>
      </c>
      <c r="Q253" s="1123">
        <v>3097.2738968844296</v>
      </c>
    </row>
    <row r="254">
      <c r="A254" s="1126"/>
      <c r="B254" s="1119">
        <v>44436.87590753472</v>
      </c>
      <c r="C254" s="1099">
        <v>13.474573764580704</v>
      </c>
      <c r="D254" s="1096">
        <v>658791.667814168</v>
      </c>
      <c r="E254" s="1164">
        <v>558515.6704728394</v>
      </c>
      <c r="F254" s="1164">
        <v>37835.49</v>
      </c>
      <c r="G254" s="1164">
        <v>558515.6704728394</v>
      </c>
      <c r="H254" s="1164">
        <v>520680.1804728394</v>
      </c>
      <c r="I254" s="1098">
        <v>13.761687253761995</v>
      </c>
      <c r="J254" s="1099">
        <v>0.0</v>
      </c>
      <c r="K254" s="1096">
        <v>0.0</v>
      </c>
      <c r="L254" s="1098">
        <v>0.0</v>
      </c>
      <c r="M254" s="1100">
        <v>0.19908137748903681</v>
      </c>
      <c r="N254" s="1123">
        <v>646.4969159376606</v>
      </c>
      <c r="O254" s="1098">
        <v>1.0</v>
      </c>
      <c r="P254" s="1123">
        <v>48891.46620324788</v>
      </c>
      <c r="Q254" s="1123">
        <v>3247.400254568072</v>
      </c>
    </row>
    <row r="255">
      <c r="A255" s="1126"/>
      <c r="B255" s="1119">
        <v>44437.51527423611</v>
      </c>
      <c r="C255" s="1099">
        <v>13.588415067469922</v>
      </c>
      <c r="D255" s="1096">
        <v>658629.74090418</v>
      </c>
      <c r="E255" s="1164">
        <v>558378.3907816744</v>
      </c>
      <c r="F255" s="1164">
        <v>37835.49</v>
      </c>
      <c r="G255" s="1164">
        <v>558378.3907816744</v>
      </c>
      <c r="H255" s="1164">
        <v>520542.9007816744</v>
      </c>
      <c r="I255" s="1098">
        <v>13.758058922500394</v>
      </c>
      <c r="J255" s="1099">
        <v>0.0</v>
      </c>
      <c r="K255" s="1096">
        <v>0.0</v>
      </c>
      <c r="L255" s="1098">
        <v>0.0</v>
      </c>
      <c r="M255" s="1100">
        <v>0.18260092839681633</v>
      </c>
      <c r="N255" s="1123">
        <v>584.016562944396</v>
      </c>
      <c r="O255" s="1098">
        <v>1.0</v>
      </c>
      <c r="P255" s="1123">
        <v>48469.9457320016</v>
      </c>
      <c r="Q255" s="1123">
        <v>3198.321980462496</v>
      </c>
    </row>
    <row r="256">
      <c r="A256" s="1126"/>
      <c r="B256" s="1119">
        <v>44440.447499166665</v>
      </c>
      <c r="C256" s="1099">
        <v>13.989932213099785</v>
      </c>
      <c r="D256" s="1096">
        <v>662033.1024281475</v>
      </c>
      <c r="E256" s="1164">
        <v>560632.8022947421</v>
      </c>
      <c r="F256" s="1164">
        <v>37835.49</v>
      </c>
      <c r="G256" s="1164">
        <v>560632.8022947421</v>
      </c>
      <c r="H256" s="1164">
        <v>522797.3122947421</v>
      </c>
      <c r="I256" s="1098">
        <v>13.817643495425648</v>
      </c>
      <c r="J256" s="1099">
        <v>0.0</v>
      </c>
      <c r="K256" s="1096">
        <v>0.0</v>
      </c>
      <c r="L256" s="1098">
        <v>0.0</v>
      </c>
      <c r="M256" s="1100">
        <v>0.18260092839681633</v>
      </c>
      <c r="N256" s="1123">
        <v>644.0932233029475</v>
      </c>
      <c r="O256" s="1098">
        <v>1.0</v>
      </c>
      <c r="P256" s="1123">
        <v>47322.10938150494</v>
      </c>
      <c r="Q256" s="1123">
        <v>3527.3272099868327</v>
      </c>
    </row>
    <row r="257">
      <c r="A257" s="1126"/>
      <c r="B257" s="1119">
        <v>44446.91870603009</v>
      </c>
      <c r="C257" s="1099">
        <v>14.091934855927647</v>
      </c>
      <c r="D257" s="1096">
        <v>662972.672421658</v>
      </c>
      <c r="E257" s="1164">
        <v>559399.7666725828</v>
      </c>
      <c r="F257" s="1164">
        <v>37835.49</v>
      </c>
      <c r="G257" s="1164">
        <v>559399.7666725828</v>
      </c>
      <c r="H257" s="1164">
        <v>521564.27667258284</v>
      </c>
      <c r="I257" s="1098">
        <v>13.785054103239654</v>
      </c>
      <c r="J257" s="1099">
        <v>0.43266644800947185</v>
      </c>
      <c r="K257" s="1096">
        <v>20355.333333333332</v>
      </c>
      <c r="L257" s="1098">
        <v>0.49602998084391126</v>
      </c>
      <c r="M257" s="1100">
        <v>5.99848395864706</v>
      </c>
      <c r="N257" s="1123">
        <v>20681.164699914923</v>
      </c>
      <c r="O257" s="1098">
        <v>0.5039700191560889</v>
      </c>
      <c r="P257" s="1123">
        <v>47046.24873728993</v>
      </c>
      <c r="Q257" s="1123">
        <v>3447.731934016791</v>
      </c>
    </row>
    <row r="258">
      <c r="A258" s="1126"/>
      <c r="B258" s="1119">
        <v>44447.65751039352</v>
      </c>
      <c r="C258" s="1099">
        <v>14.15109206930339</v>
      </c>
      <c r="D258" s="1096">
        <v>658312.1377023021</v>
      </c>
      <c r="E258" s="1164">
        <v>556559.4638262062</v>
      </c>
      <c r="F258" s="1164">
        <v>37835.49</v>
      </c>
      <c r="G258" s="1164">
        <v>556559.4638262062</v>
      </c>
      <c r="H258" s="1164">
        <v>518723.9738262062</v>
      </c>
      <c r="I258" s="1098">
        <v>13.709984298504029</v>
      </c>
      <c r="J258" s="1099">
        <v>0.41286692554851556</v>
      </c>
      <c r="K258" s="1096">
        <v>19206.666666666668</v>
      </c>
      <c r="L258" s="1098">
        <v>0.4958247238392799</v>
      </c>
      <c r="M258" s="1100">
        <v>5.705920833945754</v>
      </c>
      <c r="N258" s="1123">
        <v>19530.140400849497</v>
      </c>
      <c r="O258" s="1098">
        <v>0.5041752761607201</v>
      </c>
      <c r="P258" s="1123">
        <v>46520.235645298046</v>
      </c>
      <c r="Q258" s="1123">
        <v>3422.785027906535</v>
      </c>
    </row>
    <row r="259">
      <c r="A259" s="1126"/>
      <c r="B259" s="1119">
        <v>44449.403602025464</v>
      </c>
      <c r="C259" s="1099">
        <v>14.268199237392084</v>
      </c>
      <c r="D259" s="1096">
        <v>659233.1997018052</v>
      </c>
      <c r="E259" s="1164">
        <v>557402.1065770651</v>
      </c>
      <c r="F259" s="1164">
        <v>37835.49</v>
      </c>
      <c r="G259" s="1164">
        <v>557402.1065770651</v>
      </c>
      <c r="H259" s="1164">
        <v>519566.6165770651</v>
      </c>
      <c r="I259" s="1098">
        <v>13.732255524563449</v>
      </c>
      <c r="J259" s="1099">
        <v>0.4220002766700717</v>
      </c>
      <c r="K259" s="1096">
        <v>19497.666666666668</v>
      </c>
      <c r="L259" s="1098">
        <v>0.49007474521903355</v>
      </c>
      <c r="M259" s="1100">
        <v>5.9315758293675716</v>
      </c>
      <c r="N259" s="1123">
        <v>20287.420928394775</v>
      </c>
      <c r="O259" s="1098">
        <v>0.5099252547809665</v>
      </c>
      <c r="P259" s="1123">
        <v>46202.97128835851</v>
      </c>
      <c r="Q259" s="1123">
        <v>3420.241351033665</v>
      </c>
    </row>
    <row r="260">
      <c r="A260" s="1126"/>
      <c r="B260" s="1119">
        <v>44451.909544027774</v>
      </c>
      <c r="C260" s="1099">
        <v>14.346508278154033</v>
      </c>
      <c r="D260" s="1096">
        <v>659306.7286742431</v>
      </c>
      <c r="E260" s="1164">
        <v>558039.1930700652</v>
      </c>
      <c r="F260" s="1164">
        <v>37835.49</v>
      </c>
      <c r="G260" s="1164">
        <v>558039.1930700652</v>
      </c>
      <c r="H260" s="1164">
        <v>520203.70307006524</v>
      </c>
      <c r="I260" s="1098">
        <v>13.7490938552683</v>
      </c>
      <c r="J260" s="1099">
        <v>0.6459453236483252</v>
      </c>
      <c r="K260" s="1096">
        <v>29685.0</v>
      </c>
      <c r="L260" s="1098">
        <v>0.4934571510740361</v>
      </c>
      <c r="M260" s="1100">
        <v>8.938291730648078</v>
      </c>
      <c r="N260" s="1123">
        <v>30472.1989288006</v>
      </c>
      <c r="O260" s="1098">
        <v>0.5065428489259639</v>
      </c>
      <c r="P260" s="1123">
        <v>45955.90201402485</v>
      </c>
      <c r="Q260" s="1123">
        <v>3409.1748006295143</v>
      </c>
    </row>
    <row r="261">
      <c r="A261" s="1126"/>
      <c r="B261" s="1119">
        <v>44454.82463740741</v>
      </c>
      <c r="C261" s="1099">
        <v>13.689734402843905</v>
      </c>
      <c r="D261" s="1096">
        <v>660273.8858977442</v>
      </c>
      <c r="E261" s="1164">
        <v>559196.518348976</v>
      </c>
      <c r="F261" s="1164">
        <v>37835.49</v>
      </c>
      <c r="G261" s="1164">
        <v>559196.518348976</v>
      </c>
      <c r="H261" s="1164">
        <v>521361.02834897605</v>
      </c>
      <c r="I261" s="1098">
        <v>13.779682207075316</v>
      </c>
      <c r="J261" s="1099">
        <v>0.6938645633435302</v>
      </c>
      <c r="K261" s="1096">
        <v>33466.0</v>
      </c>
      <c r="L261" s="1098">
        <v>0.4969253359501139</v>
      </c>
      <c r="M261" s="1100">
        <v>9.581321479102478</v>
      </c>
      <c r="N261" s="1123">
        <v>33880.133470964</v>
      </c>
      <c r="O261" s="1098">
        <v>0.503074664049886</v>
      </c>
      <c r="P261" s="1123">
        <v>48231.31453599121</v>
      </c>
      <c r="Q261" s="1123">
        <v>3536.060609683007</v>
      </c>
    </row>
    <row r="262">
      <c r="A262" s="1126"/>
      <c r="B262" s="1119">
        <v>44455.715862060184</v>
      </c>
      <c r="C262" s="1099">
        <v>13.864377084021854</v>
      </c>
      <c r="D262" s="1096">
        <v>659438.4941381509</v>
      </c>
      <c r="E262" s="1164">
        <v>560868.265788356</v>
      </c>
      <c r="F262" s="1164">
        <v>37835.49</v>
      </c>
      <c r="G262" s="1164">
        <v>560868.265788356</v>
      </c>
      <c r="H262" s="1164">
        <v>523032.77578835597</v>
      </c>
      <c r="I262" s="1098">
        <v>13.823866845344305</v>
      </c>
      <c r="J262" s="1099">
        <v>0.7036065495392075</v>
      </c>
      <c r="K262" s="1096">
        <v>33466.0</v>
      </c>
      <c r="L262" s="1098">
        <v>0.2150215542451419</v>
      </c>
      <c r="M262" s="1100">
        <v>34.17201552225988</v>
      </c>
      <c r="N262" s="1123">
        <v>122174.21066393216</v>
      </c>
      <c r="O262" s="1098">
        <v>0.7849784457548582</v>
      </c>
      <c r="P262" s="1123">
        <v>47563.51404334838</v>
      </c>
      <c r="Q262" s="1123">
        <v>3575.2708406780116</v>
      </c>
    </row>
    <row r="263">
      <c r="A263" s="1126"/>
      <c r="B263" s="1119">
        <v>44459.69026956019</v>
      </c>
      <c r="C263" s="1099">
        <v>14.58865651016096</v>
      </c>
      <c r="D263" s="1096">
        <v>641781.4136505189</v>
      </c>
      <c r="E263" s="1164">
        <v>547642.9905520208</v>
      </c>
      <c r="F263" s="1164">
        <v>37835.49</v>
      </c>
      <c r="G263" s="1164">
        <v>547642.9905520208</v>
      </c>
      <c r="H263" s="1164">
        <v>509807.50055202085</v>
      </c>
      <c r="I263" s="1098">
        <v>13.474320024718086</v>
      </c>
      <c r="J263" s="1099">
        <v>0.6959628683315542</v>
      </c>
      <c r="K263" s="1096">
        <v>30616.666666666668</v>
      </c>
      <c r="L263" s="1098">
        <v>0.2227280905071668</v>
      </c>
      <c r="M263" s="1100">
        <v>34.77698883973489</v>
      </c>
      <c r="N263" s="1123">
        <v>106845.4136526611</v>
      </c>
      <c r="O263" s="1098">
        <v>0.7772719094928332</v>
      </c>
      <c r="P263" s="1123">
        <v>43991.81056895265</v>
      </c>
      <c r="Q263" s="1123">
        <v>3072.3020369889964</v>
      </c>
    </row>
    <row r="264">
      <c r="A264" s="1126"/>
      <c r="B264" s="1119">
        <v>44460.67950100695</v>
      </c>
      <c r="C264" s="1099">
        <v>14.600217082941983</v>
      </c>
      <c r="D264" s="1096">
        <v>622813.3631939511</v>
      </c>
      <c r="E264" s="1164">
        <v>530484.3961672654</v>
      </c>
      <c r="F264" s="1164">
        <v>37835.49</v>
      </c>
      <c r="G264" s="1164">
        <v>530484.3961672654</v>
      </c>
      <c r="H264" s="1164">
        <v>492648.9061672654</v>
      </c>
      <c r="I264" s="1098">
        <v>13.020814747404234</v>
      </c>
      <c r="J264" s="1099">
        <v>0.6506037207742622</v>
      </c>
      <c r="K264" s="1096">
        <v>27753.333333333332</v>
      </c>
      <c r="L264" s="1098">
        <v>0.23023784879585593</v>
      </c>
      <c r="M264" s="1100">
        <v>30.86478412750343</v>
      </c>
      <c r="N264" s="1123">
        <v>92788.67780203508</v>
      </c>
      <c r="O264" s="1098">
        <v>0.7697621512041442</v>
      </c>
      <c r="P264" s="1123">
        <v>42657.81526780234</v>
      </c>
      <c r="Q264" s="1123">
        <v>3006.296023932065</v>
      </c>
    </row>
    <row r="265">
      <c r="A265" s="1126"/>
      <c r="B265" s="1128">
        <v>44462.67825708333</v>
      </c>
      <c r="C265" s="1129">
        <v>14.312223923551446</v>
      </c>
      <c r="D265" s="1130">
        <v>631810.4222975418</v>
      </c>
      <c r="E265" s="1166">
        <v>538931.762978113</v>
      </c>
      <c r="F265" s="1166">
        <v>37835.49</v>
      </c>
      <c r="G265" s="1166">
        <v>538931.762978113</v>
      </c>
      <c r="H265" s="1166">
        <v>501096.27297811303</v>
      </c>
      <c r="I265" s="1122">
        <v>13.244080438184177</v>
      </c>
      <c r="J265" s="1129">
        <v>0.6560831479308845</v>
      </c>
      <c r="K265" s="1130">
        <v>28962.666666666668</v>
      </c>
      <c r="L265" s="1122">
        <v>0.23083617348319163</v>
      </c>
      <c r="M265" s="1120">
        <v>30.909349436663753</v>
      </c>
      <c r="N265" s="1121">
        <v>96505.82568284626</v>
      </c>
      <c r="O265" s="1122">
        <v>0.7691638265168084</v>
      </c>
      <c r="P265" s="1121">
        <v>44144.81115390234</v>
      </c>
      <c r="Q265" s="1121">
        <v>3122.2211868482073</v>
      </c>
    </row>
    <row r="266">
      <c r="A266" s="1153"/>
      <c r="B266" s="1154"/>
      <c r="C266" s="1155"/>
      <c r="D266" s="1156"/>
      <c r="E266" s="1157"/>
      <c r="F266" s="1157"/>
      <c r="G266" s="1157"/>
      <c r="H266" s="1157"/>
      <c r="I266" s="1158"/>
      <c r="J266" s="1155"/>
      <c r="K266" s="1159"/>
      <c r="L266" s="1158"/>
      <c r="M266" s="1160"/>
      <c r="N266" s="1159"/>
      <c r="O266" s="1158"/>
      <c r="P266" s="1159"/>
      <c r="Q266" s="1159"/>
      <c r="R266" s="1161"/>
    </row>
    <row r="267">
      <c r="A267" s="1153"/>
      <c r="B267" s="1162"/>
      <c r="C267" s="1155"/>
      <c r="D267" s="1159"/>
      <c r="E267" s="1157"/>
      <c r="F267" s="1157"/>
      <c r="G267" s="1157"/>
      <c r="H267" s="1157"/>
      <c r="I267" s="1158"/>
      <c r="J267" s="1155"/>
      <c r="K267" s="1159"/>
      <c r="L267" s="1158"/>
      <c r="M267" s="1160"/>
      <c r="N267" s="1159"/>
      <c r="O267" s="1158"/>
      <c r="P267" s="1159"/>
      <c r="Q267" s="1159"/>
      <c r="R267" s="1161"/>
    </row>
    <row r="268">
      <c r="A268" s="1126"/>
      <c r="B268" s="2" t="s">
        <v>44</v>
      </c>
      <c r="C268" s="1167" t="s">
        <v>9</v>
      </c>
      <c r="D268" s="3" t="s">
        <v>45</v>
      </c>
      <c r="E268" s="1168" t="s">
        <v>46</v>
      </c>
      <c r="F268" s="1169" t="s">
        <v>47</v>
      </c>
      <c r="G268" s="3" t="s">
        <v>32</v>
      </c>
      <c r="H268" s="3" t="s">
        <v>33</v>
      </c>
      <c r="I268" s="3" t="s">
        <v>943</v>
      </c>
      <c r="J268" s="3" t="s">
        <v>34</v>
      </c>
      <c r="K268" s="3" t="s">
        <v>25</v>
      </c>
      <c r="L268" s="1098"/>
      <c r="M268" s="1100"/>
      <c r="N268" s="1096"/>
      <c r="O268" s="1098"/>
      <c r="P268" s="1096"/>
      <c r="Q268" s="1096"/>
    </row>
    <row r="269">
      <c r="A269" s="1126"/>
      <c r="B269" s="1170">
        <v>44470.71655150463</v>
      </c>
      <c r="C269" s="1171">
        <v>1.15953994093304</v>
      </c>
      <c r="D269" s="1172">
        <v>704696.2067235184</v>
      </c>
      <c r="E269" s="1173">
        <v>607737.7603366339</v>
      </c>
      <c r="F269" s="1174">
        <v>14.940864627652978</v>
      </c>
      <c r="G269" s="1172">
        <v>36976.666666666664</v>
      </c>
      <c r="H269" s="1172">
        <v>95581.43293972581</v>
      </c>
      <c r="I269" s="1172"/>
      <c r="J269" s="1172">
        <v>115003.38255896886</v>
      </c>
      <c r="K269" s="1172">
        <v>36976.666666666664</v>
      </c>
      <c r="L269" s="1098"/>
      <c r="M269" s="1100"/>
      <c r="N269" s="1096"/>
      <c r="O269" s="1098"/>
      <c r="P269" s="1096"/>
      <c r="Q269" s="1096"/>
    </row>
    <row r="270">
      <c r="A270" s="1126"/>
      <c r="B270" s="1170">
        <v>44472.33605950231</v>
      </c>
      <c r="C270" s="1171">
        <v>1.15939474956494</v>
      </c>
      <c r="D270" s="1172">
        <v>721762.9026016204</v>
      </c>
      <c r="E270" s="1173">
        <v>622534.2169890455</v>
      </c>
      <c r="F270" s="1174">
        <v>15.042211476423773</v>
      </c>
      <c r="G270" s="1172">
        <v>37283.333333333336</v>
      </c>
      <c r="H270" s="1172">
        <v>99536.98630402624</v>
      </c>
      <c r="I270" s="1172"/>
      <c r="J270" s="1172">
        <v>125307.42119720302</v>
      </c>
      <c r="K270" s="1172">
        <v>37283.333333333336</v>
      </c>
      <c r="L270" s="1098"/>
      <c r="M270" s="1100"/>
      <c r="N270" s="1096"/>
      <c r="O270" s="1098"/>
      <c r="P270" s="1096"/>
      <c r="Q270" s="1096"/>
    </row>
    <row r="271">
      <c r="A271" s="1126"/>
      <c r="B271" s="1170">
        <v>44474.009627430554</v>
      </c>
      <c r="C271" s="1171">
        <v>1.16206238183278</v>
      </c>
      <c r="D271" s="1172">
        <v>721647.5842533218</v>
      </c>
      <c r="E271" s="1173">
        <v>621005.8905057701</v>
      </c>
      <c r="F271" s="1174">
        <v>14.770358814683123</v>
      </c>
      <c r="G271" s="1172">
        <v>37496.666666666664</v>
      </c>
      <c r="H271" s="1172">
        <v>99285.35286395099</v>
      </c>
      <c r="I271" s="1172"/>
      <c r="J271" s="1172">
        <v>124415.90394733577</v>
      </c>
      <c r="K271" s="1172">
        <v>37496.666666666664</v>
      </c>
      <c r="L271" s="1098"/>
      <c r="M271" s="1100"/>
      <c r="N271" s="1096"/>
      <c r="O271" s="1098"/>
      <c r="P271" s="1096"/>
      <c r="Q271" s="1096"/>
    </row>
    <row r="272">
      <c r="A272" s="1126"/>
      <c r="B272" s="1170">
        <v>44475.0337078125</v>
      </c>
      <c r="C272" s="1171">
        <v>1.1599003877547</v>
      </c>
      <c r="D272" s="1172">
        <v>734333.1110511911</v>
      </c>
      <c r="E272" s="1173">
        <v>633100.1513610068</v>
      </c>
      <c r="F272" s="1174">
        <v>14.283266619174407</v>
      </c>
      <c r="G272" s="1172">
        <v>38666.666666666664</v>
      </c>
      <c r="H272" s="1172">
        <v>102889.89224348453</v>
      </c>
      <c r="I272" s="1172"/>
      <c r="J272" s="1172">
        <v>131674.10113597507</v>
      </c>
      <c r="K272" s="1172">
        <v>38666.666666666664</v>
      </c>
      <c r="L272" s="1098"/>
      <c r="M272" s="1100"/>
      <c r="N272" s="1096"/>
      <c r="O272" s="1098"/>
      <c r="P272" s="1096"/>
      <c r="Q272" s="1096"/>
    </row>
    <row r="273">
      <c r="A273" s="1126"/>
      <c r="B273" s="1170">
        <v>44480.84781342593</v>
      </c>
      <c r="C273" s="1171">
        <v>1.15682497816493</v>
      </c>
      <c r="D273" s="1172">
        <v>786436.1382574186</v>
      </c>
      <c r="E273" s="1173">
        <v>679822.9231745508</v>
      </c>
      <c r="F273" s="1174">
        <v>13.667573735972786</v>
      </c>
      <c r="G273" s="1172">
        <v>33315.666666666664</v>
      </c>
      <c r="H273" s="1172">
        <v>132853.77187104206</v>
      </c>
      <c r="I273" s="1172"/>
      <c r="J273" s="1172">
        <v>174621.3954547125</v>
      </c>
      <c r="K273" s="1172">
        <v>42941.39666666667</v>
      </c>
      <c r="L273" s="1098"/>
      <c r="M273" s="1100"/>
      <c r="N273" s="1096"/>
      <c r="O273" s="1098"/>
      <c r="P273" s="1096"/>
      <c r="Q273" s="1096"/>
    </row>
    <row r="274">
      <c r="A274" s="1126"/>
      <c r="B274" s="1170">
        <v>44482.970602974536</v>
      </c>
      <c r="C274" s="1171">
        <v>1.15951842880615</v>
      </c>
      <c r="D274" s="1172">
        <v>734962.0430375058</v>
      </c>
      <c r="E274" s="1173">
        <v>633851.1098907061</v>
      </c>
      <c r="F274" s="1174">
        <v>12.913336632544866</v>
      </c>
      <c r="G274" s="1172">
        <v>32847.0</v>
      </c>
      <c r="H274" s="1172">
        <v>132715.1186542383</v>
      </c>
      <c r="I274" s="1172"/>
      <c r="J274" s="1172">
        <v>121229.23107102657</v>
      </c>
      <c r="K274" s="1172">
        <v>42182.190871982</v>
      </c>
      <c r="L274" s="1098"/>
      <c r="M274" s="1100"/>
      <c r="N274" s="1096"/>
      <c r="O274" s="1098"/>
      <c r="P274" s="1096"/>
      <c r="Q274" s="1096"/>
    </row>
    <row r="275">
      <c r="A275" s="1126"/>
      <c r="B275" s="1170">
        <v>44485.423181273145</v>
      </c>
      <c r="C275" s="1171">
        <v>1.15997035115782</v>
      </c>
      <c r="D275" s="1172">
        <v>823266.142425703</v>
      </c>
      <c r="E275" s="1173">
        <v>709730.3319899194</v>
      </c>
      <c r="F275" s="1174">
        <v>13.346987336703615</v>
      </c>
      <c r="G275" s="1172">
        <v>35250.666666666664</v>
      </c>
      <c r="H275" s="1172">
        <v>142861.4531607198</v>
      </c>
      <c r="I275" s="1172"/>
      <c r="J275" s="1172">
        <v>214311.8111043041</v>
      </c>
      <c r="K275" s="1172">
        <v>54984.98133265766</v>
      </c>
      <c r="L275" s="1098"/>
      <c r="M275" s="1100"/>
      <c r="N275" s="1096"/>
      <c r="O275" s="1098"/>
      <c r="P275" s="1096"/>
      <c r="Q275" s="1096"/>
    </row>
    <row r="276">
      <c r="A276" s="1126"/>
      <c r="B276" s="1170">
        <v>44488.71248258102</v>
      </c>
      <c r="C276" s="1171">
        <v>1.16475724129577</v>
      </c>
      <c r="D276" s="1172">
        <v>860095.8337934035</v>
      </c>
      <c r="E276" s="1173">
        <v>738433.5579116583</v>
      </c>
      <c r="F276" s="1174">
        <v>13.78571270407782</v>
      </c>
      <c r="G276" s="1172">
        <v>103662.11677960218</v>
      </c>
      <c r="H276" s="1172">
        <v>106114.34645509916</v>
      </c>
      <c r="I276" s="1172"/>
      <c r="J276" s="1172">
        <v>279762.6374300849</v>
      </c>
      <c r="K276" s="1172">
        <v>45218.0</v>
      </c>
      <c r="L276" s="1098"/>
      <c r="M276" s="1100"/>
      <c r="N276" s="1096"/>
      <c r="O276" s="1098"/>
      <c r="P276" s="1096"/>
      <c r="Q276" s="1096"/>
    </row>
    <row r="277">
      <c r="A277" s="1126"/>
      <c r="B277" s="1170">
        <v>44489.973627581014</v>
      </c>
      <c r="C277" s="1175">
        <v>1.16486035654046</v>
      </c>
      <c r="D277" s="1172">
        <v>914205.1005729511</v>
      </c>
      <c r="E277" s="1173">
        <v>784819.4810990611</v>
      </c>
      <c r="F277" s="1174">
        <v>13.868514713207714</v>
      </c>
      <c r="G277" s="1172">
        <v>109525.72604249281</v>
      </c>
      <c r="H277" s="1172">
        <v>115284.38293939018</v>
      </c>
      <c r="I277" s="1172">
        <v>78589.18139163629</v>
      </c>
      <c r="J277" s="1172">
        <v>252223.03826575118</v>
      </c>
      <c r="K277" s="1172">
        <v>358582.7719336807</v>
      </c>
      <c r="L277" s="1098"/>
      <c r="M277" s="1100"/>
      <c r="N277" s="1096"/>
      <c r="O277" s="1098"/>
      <c r="P277" s="1096"/>
      <c r="Q277" s="1096"/>
    </row>
    <row r="278">
      <c r="A278" s="1126"/>
      <c r="B278" s="1170">
        <v>44490.50145576389</v>
      </c>
      <c r="C278" s="1175">
        <v>1.16352398837407</v>
      </c>
      <c r="D278" s="1172">
        <v>945531.2743961664</v>
      </c>
      <c r="E278" s="1173">
        <v>812644.4180299792</v>
      </c>
      <c r="F278" s="1174">
        <v>14.260556069330569</v>
      </c>
      <c r="G278" s="1172">
        <v>110164.55639973159</v>
      </c>
      <c r="H278" s="1172">
        <v>119740.7125544513</v>
      </c>
      <c r="I278" s="1172">
        <v>76956.9406254828</v>
      </c>
      <c r="J278" s="1172">
        <v>289690.8349337653</v>
      </c>
      <c r="K278" s="1172">
        <v>348978.2298827354</v>
      </c>
      <c r="L278" s="1098"/>
      <c r="M278" s="1100"/>
      <c r="N278" s="1096"/>
      <c r="O278" s="1098"/>
      <c r="P278" s="1096"/>
      <c r="Q278" s="1096"/>
    </row>
    <row r="279">
      <c r="A279" s="1126"/>
      <c r="B279" s="1170">
        <v>44491.720034224534</v>
      </c>
      <c r="C279" s="1175">
        <v>1.16439919330424</v>
      </c>
      <c r="D279" s="1172">
        <v>903161.0666619486</v>
      </c>
      <c r="E279" s="1173">
        <v>775645.5619820807</v>
      </c>
      <c r="F279" s="1174">
        <v>14.670824995114902</v>
      </c>
      <c r="G279" s="1172">
        <v>157229.10228299318</v>
      </c>
      <c r="H279" s="1172">
        <v>112732.53051915097</v>
      </c>
      <c r="I279" s="1172">
        <v>80794.15582875723</v>
      </c>
      <c r="J279" s="1172">
        <v>214807.15167110306</v>
      </c>
      <c r="K279" s="1172">
        <v>337598.1263599441</v>
      </c>
      <c r="L279" s="1098"/>
      <c r="M279" s="1100"/>
      <c r="N279" s="1096"/>
      <c r="O279" s="1098"/>
      <c r="P279" s="1096"/>
      <c r="Q279" s="1096"/>
    </row>
    <row r="280">
      <c r="A280" s="1126"/>
      <c r="B280" s="1170">
        <v>44492.91041761574</v>
      </c>
      <c r="C280" s="1175">
        <v>1.16440461663142</v>
      </c>
      <c r="D280" s="1172">
        <v>887880.1422327831</v>
      </c>
      <c r="E280" s="1173">
        <v>762518.5691906547</v>
      </c>
      <c r="F280" s="1174">
        <v>14.553571292892236</v>
      </c>
      <c r="G280" s="1172">
        <v>155814.19803701137</v>
      </c>
      <c r="H280" s="1172">
        <v>123972.05231257243</v>
      </c>
      <c r="I280" s="1172">
        <v>77065.03357761256</v>
      </c>
      <c r="J280" s="1172">
        <v>198067.1827751077</v>
      </c>
      <c r="K280" s="1172">
        <v>332961.67553047906</v>
      </c>
      <c r="L280" s="1098"/>
      <c r="M280" s="1100"/>
      <c r="N280" s="1096"/>
      <c r="O280" s="1098"/>
      <c r="P280" s="1096"/>
      <c r="Q280" s="1096"/>
    </row>
    <row r="281">
      <c r="A281" s="1126"/>
      <c r="B281" s="1170">
        <v>44493.92443633101</v>
      </c>
      <c r="C281" s="1175">
        <v>1.16419992106725</v>
      </c>
      <c r="D281" s="1172">
        <v>899322.5478911236</v>
      </c>
      <c r="E281" s="1173">
        <v>772481.1964140085</v>
      </c>
      <c r="F281" s="1174">
        <v>14.820819630247634</v>
      </c>
      <c r="G281" s="1172">
        <v>154976.38411076786</v>
      </c>
      <c r="H281" s="1172">
        <v>122584.34339302903</v>
      </c>
      <c r="I281" s="1172">
        <v>91318.5495876155</v>
      </c>
      <c r="J281" s="1172">
        <v>210729.1555932002</v>
      </c>
      <c r="K281" s="1172">
        <v>319714.1152065109</v>
      </c>
      <c r="L281" s="1098"/>
      <c r="M281" s="1100"/>
      <c r="N281" s="1096"/>
      <c r="O281" s="1098"/>
      <c r="P281" s="1096"/>
      <c r="Q281" s="1096"/>
    </row>
    <row r="282">
      <c r="A282" s="1126"/>
      <c r="B282" s="1170">
        <v>44495.02226246528</v>
      </c>
      <c r="C282" s="1175">
        <v>1.16094937796332</v>
      </c>
      <c r="D282" s="1172">
        <v>911048.1500359285</v>
      </c>
      <c r="E282" s="1173">
        <v>784744.0787075497</v>
      </c>
      <c r="F282" s="1174">
        <v>14.497623287807414</v>
      </c>
      <c r="G282" s="1172">
        <v>160496.94988258686</v>
      </c>
      <c r="H282" s="1172">
        <v>127524.30038517117</v>
      </c>
      <c r="I282" s="1172">
        <v>95479.68653391277</v>
      </c>
      <c r="J282" s="1172">
        <v>221371.98671994373</v>
      </c>
      <c r="K282" s="1172">
        <v>306175.22651431395</v>
      </c>
      <c r="L282" s="1098"/>
      <c r="M282" s="1100"/>
      <c r="N282" s="1096"/>
      <c r="O282" s="1098"/>
      <c r="P282" s="1096"/>
      <c r="Q282" s="1096"/>
    </row>
    <row r="283">
      <c r="A283" s="1126"/>
      <c r="B283" s="1170">
        <v>44496.96147085648</v>
      </c>
      <c r="C283" s="1175">
        <v>1.16010491988895</v>
      </c>
      <c r="D283" s="1172">
        <v>880847.294588111</v>
      </c>
      <c r="E283" s="1173">
        <v>759282.4403093036</v>
      </c>
      <c r="F283" s="1174">
        <v>14.973905950824784</v>
      </c>
      <c r="G283" s="1172">
        <v>168983.8557930351</v>
      </c>
      <c r="H283" s="1172">
        <v>169539.48186486054</v>
      </c>
      <c r="I283" s="1172">
        <v>111787.51851244054</v>
      </c>
      <c r="J283" s="1172">
        <v>221378.58134094873</v>
      </c>
      <c r="K283" s="1172">
        <v>209157.8570768261</v>
      </c>
      <c r="L283" s="1098"/>
      <c r="M283" s="1100"/>
      <c r="N283" s="1096"/>
      <c r="O283" s="1098"/>
      <c r="P283" s="1096"/>
      <c r="Q283" s="1096"/>
    </row>
    <row r="284">
      <c r="A284" s="1126"/>
      <c r="B284" s="1170">
        <v>44497.663720428245</v>
      </c>
      <c r="C284" s="1175">
        <v>1.15901715345387</v>
      </c>
      <c r="D284" s="1172">
        <v>908021.5208124894</v>
      </c>
      <c r="E284" s="1173">
        <v>783440.9681570167</v>
      </c>
      <c r="F284" s="1174">
        <v>14.783686498058291</v>
      </c>
      <c r="G284" s="1172">
        <v>176438.39117355295</v>
      </c>
      <c r="H284" s="1172">
        <v>178063.44014199174</v>
      </c>
      <c r="I284" s="1172">
        <v>114058.75014366781</v>
      </c>
      <c r="J284" s="1172">
        <v>229194.45997573237</v>
      </c>
      <c r="K284" s="1172">
        <v>210266.47937754454</v>
      </c>
      <c r="L284" s="1098"/>
      <c r="M284" s="1100"/>
      <c r="N284" s="1096"/>
      <c r="O284" s="1098"/>
      <c r="P284" s="1096"/>
      <c r="Q284" s="1096"/>
    </row>
    <row r="285">
      <c r="A285" s="1126"/>
      <c r="B285" s="1170">
        <v>44501.93835182871</v>
      </c>
      <c r="C285" s="1175">
        <v>1.16028663721086</v>
      </c>
      <c r="D285" s="1172">
        <v>1031295.1266698772</v>
      </c>
      <c r="E285" s="1173">
        <v>888827.892691191</v>
      </c>
      <c r="F285" s="1174">
        <v>16.977218625042518</v>
      </c>
      <c r="G285" s="1172">
        <v>174500.27505422843</v>
      </c>
      <c r="H285" s="1172">
        <v>188492.60574824782</v>
      </c>
      <c r="I285" s="1172">
        <v>135563.24633397444</v>
      </c>
      <c r="J285" s="1172">
        <v>304180.5890486623</v>
      </c>
      <c r="K285" s="1172">
        <v>228558.41048476423</v>
      </c>
      <c r="L285" s="1098"/>
      <c r="M285" s="1100"/>
      <c r="N285" s="1096"/>
      <c r="O285" s="1098"/>
      <c r="P285" s="1096"/>
      <c r="Q285" s="1096"/>
    </row>
    <row r="286">
      <c r="A286" s="1126"/>
      <c r="B286" s="1170">
        <v>44505.96519902778</v>
      </c>
      <c r="C286" s="1175">
        <v>1.1568718186025</v>
      </c>
      <c r="D286" s="1172">
        <v>1043019.2792248772</v>
      </c>
      <c r="E286" s="1173">
        <v>901585.864961983</v>
      </c>
      <c r="F286" s="1174">
        <v>17.0573170687366</v>
      </c>
      <c r="G286" s="1172">
        <v>191634.49075575604</v>
      </c>
      <c r="H286" s="1172">
        <v>214966.68373367772</v>
      </c>
      <c r="I286" s="1172">
        <v>143521.68437315238</v>
      </c>
      <c r="J286" s="1172">
        <v>289545.9300593447</v>
      </c>
      <c r="K286" s="1172">
        <v>203350.49030294624</v>
      </c>
      <c r="L286" s="1098"/>
      <c r="M286" s="1100"/>
      <c r="N286" s="1096"/>
      <c r="O286" s="1098"/>
      <c r="P286" s="1096"/>
      <c r="Q286" s="1096"/>
    </row>
    <row r="287">
      <c r="A287" s="1126"/>
      <c r="B287" s="1170">
        <v>44506.48710074074</v>
      </c>
      <c r="C287" s="1175">
        <v>1.15515058543032</v>
      </c>
      <c r="D287" s="1172">
        <v>1059986.5849075506</v>
      </c>
      <c r="E287" s="1173">
        <v>917617.6667154451</v>
      </c>
      <c r="F287" s="1174">
        <v>17.394141449553494</v>
      </c>
      <c r="G287" s="1172">
        <v>190980.67975388875</v>
      </c>
      <c r="H287" s="1172">
        <v>219280.62090117304</v>
      </c>
      <c r="I287" s="1172">
        <v>144873.93393259766</v>
      </c>
      <c r="J287" s="1172">
        <v>299633.3668307502</v>
      </c>
      <c r="K287" s="1172">
        <v>205217.98348914093</v>
      </c>
      <c r="L287" s="1098"/>
      <c r="M287" s="1100"/>
      <c r="N287" s="1096"/>
      <c r="O287" s="1098"/>
      <c r="P287" s="1096"/>
      <c r="Q287" s="1096"/>
    </row>
    <row r="288">
      <c r="A288" s="1126"/>
      <c r="B288" s="1170">
        <v>44507.94698438657</v>
      </c>
      <c r="C288" s="1175">
        <v>1.15573934379432</v>
      </c>
      <c r="D288" s="1172">
        <v>1087526.8882292495</v>
      </c>
      <c r="E288" s="1173">
        <v>940979.3774596897</v>
      </c>
      <c r="F288" s="1174">
        <v>17.25501843364297</v>
      </c>
      <c r="G288" s="1172">
        <v>197522.52971928514</v>
      </c>
      <c r="H288" s="1172">
        <v>230067.67801064745</v>
      </c>
      <c r="I288" s="1172">
        <v>148930.00899166247</v>
      </c>
      <c r="J288" s="1172">
        <v>304323.07622251933</v>
      </c>
      <c r="K288" s="1172">
        <v>206683.5952851352</v>
      </c>
      <c r="L288" s="1098"/>
      <c r="M288" s="1100"/>
      <c r="N288" s="1096"/>
      <c r="O288" s="1098"/>
      <c r="P288" s="1096"/>
      <c r="Q288" s="1096"/>
    </row>
    <row r="289">
      <c r="A289" s="1126"/>
      <c r="B289" s="1176">
        <v>44508.257895682866</v>
      </c>
      <c r="C289" s="1177">
        <v>1.15635009655523</v>
      </c>
      <c r="D289" s="1178">
        <v>1092119.4153081495</v>
      </c>
      <c r="E289" s="1179">
        <v>944453.9491643371</v>
      </c>
      <c r="F289" s="1180">
        <v>16.746021673314626</v>
      </c>
      <c r="G289" s="1178">
        <v>204385.71670184116</v>
      </c>
      <c r="H289" s="1178">
        <v>233743.75271124384</v>
      </c>
      <c r="I289" s="1178">
        <v>148254.07318644092</v>
      </c>
      <c r="J289" s="1178">
        <v>305348.2429658616</v>
      </c>
      <c r="K289" s="1178">
        <v>200387.6297427623</v>
      </c>
      <c r="L289" s="1098"/>
      <c r="M289" s="1100"/>
      <c r="N289" s="1096"/>
      <c r="O289" s="1098"/>
      <c r="P289" s="1096"/>
      <c r="Q289" s="1096"/>
    </row>
    <row r="290">
      <c r="A290" s="1126"/>
      <c r="B290" s="1170">
        <v>44509.885624745366</v>
      </c>
      <c r="C290" s="1175">
        <v>1.15942028985507</v>
      </c>
      <c r="D290" s="1172">
        <v>1065146.3010932244</v>
      </c>
      <c r="E290" s="1173">
        <v>918688.684692908</v>
      </c>
      <c r="F290" s="1174">
        <v>15.943945172929382</v>
      </c>
      <c r="G290" s="1172">
        <v>209365.70052804556</v>
      </c>
      <c r="H290" s="1172">
        <v>224429.68368074734</v>
      </c>
      <c r="I290" s="1172">
        <v>148750.0171754537</v>
      </c>
      <c r="J290" s="1172">
        <v>238345.8921260641</v>
      </c>
      <c r="K290" s="1172">
        <v>244255.0075829137</v>
      </c>
      <c r="L290" s="1098"/>
      <c r="M290" s="1100"/>
      <c r="N290" s="1096"/>
      <c r="O290" s="1098"/>
      <c r="P290" s="1096"/>
      <c r="Q290" s="1096"/>
    </row>
    <row r="291">
      <c r="A291" s="1126"/>
      <c r="B291" s="1170">
        <v>44510.98632835648</v>
      </c>
      <c r="C291" s="1175">
        <v>1.14815044444904</v>
      </c>
      <c r="D291" s="1172">
        <v>1046624.4439638876</v>
      </c>
      <c r="E291" s="1173">
        <v>911574.305461449</v>
      </c>
      <c r="F291" s="1174">
        <v>16.22798720381697</v>
      </c>
      <c r="G291" s="1172">
        <v>202124.18428510492</v>
      </c>
      <c r="H291" s="1172">
        <v>227359.92926035298</v>
      </c>
      <c r="I291" s="1172">
        <v>141424.00222156037</v>
      </c>
      <c r="J291" s="1172">
        <v>265779.5436955328</v>
      </c>
      <c r="K291" s="1172">
        <v>209936.78450133675</v>
      </c>
      <c r="L291" s="1098"/>
      <c r="M291" s="1100"/>
      <c r="N291" s="1096"/>
      <c r="O291" s="1098"/>
      <c r="P291" s="1096"/>
      <c r="Q291" s="1096"/>
    </row>
    <row r="292">
      <c r="A292" s="1126"/>
      <c r="B292" s="1170">
        <v>44513.964083645835</v>
      </c>
      <c r="C292" s="1175">
        <v>1.14438473299215</v>
      </c>
      <c r="D292" s="1172">
        <v>1003136.074324609</v>
      </c>
      <c r="E292" s="1173">
        <v>876572.402099225</v>
      </c>
      <c r="F292" s="1174">
        <v>15.593729508530402</v>
      </c>
      <c r="G292" s="1172">
        <v>201605.2861767183</v>
      </c>
      <c r="H292" s="1172">
        <v>193120.50292578744</v>
      </c>
      <c r="I292" s="1172">
        <v>159313.2268475689</v>
      </c>
      <c r="J292" s="1172">
        <v>178053.2177212157</v>
      </c>
      <c r="K292" s="1172">
        <v>271043.8406533187</v>
      </c>
      <c r="L292" s="1098"/>
      <c r="M292" s="1100"/>
      <c r="N292" s="1096"/>
      <c r="O292" s="1098"/>
      <c r="P292" s="1096"/>
      <c r="Q292" s="1096"/>
    </row>
    <row r="293">
      <c r="A293" s="1126"/>
      <c r="B293" s="1170">
        <v>44514.77709256945</v>
      </c>
      <c r="C293" s="1175">
        <v>1.14513432425624</v>
      </c>
      <c r="D293" s="1172">
        <v>987321.0972019716</v>
      </c>
      <c r="E293" s="1173">
        <v>862188.0213425901</v>
      </c>
      <c r="F293" s="1174">
        <v>15.493899282745748</v>
      </c>
      <c r="G293" s="1172">
        <v>199705.37410307588</v>
      </c>
      <c r="H293" s="1172">
        <v>187576.0926987087</v>
      </c>
      <c r="I293" s="1172">
        <v>152063.43287820273</v>
      </c>
      <c r="J293" s="1172">
        <v>227459.8048229707</v>
      </c>
      <c r="K293" s="1172">
        <v>220516.3926990135</v>
      </c>
      <c r="L293" s="1098"/>
      <c r="M293" s="1100"/>
      <c r="N293" s="1096"/>
      <c r="O293" s="1098"/>
      <c r="P293" s="1096"/>
      <c r="Q293" s="1096"/>
    </row>
    <row r="294">
      <c r="A294" s="1126"/>
      <c r="B294" s="1170">
        <v>44516.22705918981</v>
      </c>
      <c r="C294" s="1175">
        <v>1.13856313332574</v>
      </c>
      <c r="D294" s="1172">
        <v>890304.277870367</v>
      </c>
      <c r="E294" s="1173">
        <v>781954.2472535453</v>
      </c>
      <c r="F294" s="1174">
        <v>14.688234334157642</v>
      </c>
      <c r="G294" s="1172">
        <v>189959.46198538443</v>
      </c>
      <c r="H294" s="1172">
        <v>161397.23280505743</v>
      </c>
      <c r="I294" s="1172">
        <v>160798.16855523523</v>
      </c>
      <c r="J294" s="1172">
        <v>177509.01239335642</v>
      </c>
      <c r="K294" s="1172">
        <v>200640.40213133354</v>
      </c>
      <c r="L294" s="1098"/>
      <c r="M294" s="1100"/>
      <c r="N294" s="1096"/>
      <c r="O294" s="1098"/>
      <c r="P294" s="1096"/>
      <c r="Q294" s="1096"/>
    </row>
    <row r="295">
      <c r="A295" s="1126"/>
      <c r="B295" s="1170">
        <v>44517.98646678241</v>
      </c>
      <c r="C295" s="1175">
        <v>1.13205667528539</v>
      </c>
      <c r="D295" s="1172">
        <v>874679.2525029357</v>
      </c>
      <c r="E295" s="1173">
        <v>772646.1683399642</v>
      </c>
      <c r="F295" s="1174">
        <v>14.620688714002629</v>
      </c>
      <c r="G295" s="1172">
        <v>211829.5862837498</v>
      </c>
      <c r="H295" s="1172">
        <v>186756.66049755676</v>
      </c>
      <c r="I295" s="1172">
        <v>171162.84970843547</v>
      </c>
      <c r="J295" s="1172">
        <v>105581.18846714908</v>
      </c>
      <c r="K295" s="1172">
        <v>199348.9675460446</v>
      </c>
      <c r="L295" s="1098"/>
      <c r="M295" s="1100"/>
      <c r="N295" s="1096"/>
      <c r="O295" s="1098"/>
      <c r="P295" s="1096"/>
      <c r="Q295" s="1096"/>
    </row>
    <row r="296">
      <c r="A296" s="1126"/>
      <c r="B296" s="1170">
        <v>44518.33465038195</v>
      </c>
      <c r="C296" s="1175">
        <v>1.13170435808031</v>
      </c>
      <c r="D296" s="1172">
        <v>886208.8888513301</v>
      </c>
      <c r="E296" s="1173">
        <v>783074.5569934808</v>
      </c>
      <c r="F296" s="1174">
        <v>14.808055146084461</v>
      </c>
      <c r="G296" s="1172">
        <v>213802.382775857</v>
      </c>
      <c r="H296" s="1172">
        <v>192569.61819563416</v>
      </c>
      <c r="I296" s="1172">
        <v>171125.92125076117</v>
      </c>
      <c r="J296" s="1172">
        <v>109361.9990830333</v>
      </c>
      <c r="K296" s="1172">
        <v>199348.9675460446</v>
      </c>
      <c r="L296" s="1098"/>
      <c r="M296" s="1100"/>
      <c r="N296" s="1096"/>
      <c r="O296" s="1098"/>
      <c r="P296" s="1096"/>
      <c r="Q296" s="1096"/>
    </row>
    <row r="297">
      <c r="A297" s="1126"/>
      <c r="B297" s="1170">
        <v>44521.89468332176</v>
      </c>
      <c r="C297" s="1175">
        <v>1.12871021155415</v>
      </c>
      <c r="D297" s="1172">
        <v>911207.166607458</v>
      </c>
      <c r="E297" s="1173">
        <v>807299.4797777133</v>
      </c>
      <c r="F297" s="1174">
        <v>15.324337202696107</v>
      </c>
      <c r="G297" s="1172">
        <v>216211.45431558968</v>
      </c>
      <c r="H297" s="1172">
        <v>198438.3494595564</v>
      </c>
      <c r="I297" s="1172">
        <v>197126.5978444342</v>
      </c>
      <c r="J297" s="1172">
        <v>120585.30375317846</v>
      </c>
      <c r="K297" s="1172">
        <v>178845.46123469938</v>
      </c>
      <c r="L297" s="1098"/>
      <c r="M297" s="1100"/>
      <c r="N297" s="1096"/>
      <c r="O297" s="1098"/>
      <c r="P297" s="1096"/>
      <c r="Q297" s="1096"/>
    </row>
    <row r="298">
      <c r="A298" s="1126"/>
      <c r="B298" s="1170">
        <v>44522.630054803245</v>
      </c>
      <c r="C298" s="1175">
        <v>1.127549530432</v>
      </c>
      <c r="D298" s="1172">
        <v>884793.8114197222</v>
      </c>
      <c r="E298" s="1173">
        <v>784705.0506781104</v>
      </c>
      <c r="F298" s="1174">
        <v>14.99132684620589</v>
      </c>
      <c r="G298" s="1172">
        <v>208054.80691529711</v>
      </c>
      <c r="H298" s="1172">
        <v>184477.94068126028</v>
      </c>
      <c r="I298" s="1172">
        <v>190099.9217960782</v>
      </c>
      <c r="J298" s="1172">
        <v>106764.30339794583</v>
      </c>
      <c r="K298" s="1172">
        <v>195396.83862914072</v>
      </c>
      <c r="L298" s="1098"/>
      <c r="M298" s="1100"/>
      <c r="N298" s="1096"/>
      <c r="O298" s="1098"/>
      <c r="P298" s="1096"/>
      <c r="Q298" s="1096"/>
    </row>
    <row r="299">
      <c r="A299" s="1126"/>
      <c r="B299" s="1170">
        <v>44523.4317642824</v>
      </c>
      <c r="C299" s="1175">
        <v>1.12564823267599</v>
      </c>
      <c r="D299" s="1172">
        <v>862340.1269856622</v>
      </c>
      <c r="E299" s="1173">
        <v>766083.1349911431</v>
      </c>
      <c r="F299" s="1174">
        <v>15.279901706957034</v>
      </c>
      <c r="G299" s="1172">
        <v>199759.82078562133</v>
      </c>
      <c r="H299" s="1172">
        <v>177041.27660400484</v>
      </c>
      <c r="I299" s="1172">
        <v>182753.66551805215</v>
      </c>
      <c r="J299" s="1172">
        <v>106198.61818598892</v>
      </c>
      <c r="K299" s="1172">
        <v>196586.745891995</v>
      </c>
      <c r="L299" s="1098"/>
      <c r="M299" s="1100"/>
      <c r="N299" s="1096"/>
      <c r="O299" s="1098"/>
      <c r="P299" s="1096"/>
      <c r="Q299" s="1096"/>
    </row>
    <row r="300">
      <c r="A300" s="1126"/>
      <c r="B300" s="1170">
        <v>44526.7197575926</v>
      </c>
      <c r="C300" s="1175">
        <v>1.12987839118876</v>
      </c>
      <c r="D300" s="1172">
        <v>830916.3711670291</v>
      </c>
      <c r="E300" s="1173">
        <v>735403.365217748</v>
      </c>
      <c r="F300" s="1174">
        <v>15.272771948915134</v>
      </c>
      <c r="G300" s="1172">
        <v>193582.1060156126</v>
      </c>
      <c r="H300" s="1172">
        <v>184135.64662639293</v>
      </c>
      <c r="I300" s="1172">
        <v>209673.16180490574</v>
      </c>
      <c r="J300" s="1172">
        <v>84114.77942499159</v>
      </c>
      <c r="K300" s="1172">
        <v>159410.6772951263</v>
      </c>
      <c r="L300" s="1098"/>
      <c r="M300" s="1100"/>
      <c r="N300" s="1096"/>
      <c r="O300" s="1098"/>
      <c r="P300" s="1096"/>
      <c r="Q300" s="1096"/>
    </row>
    <row r="301">
      <c r="A301" s="1126"/>
      <c r="B301" s="1170">
        <v>44527.43451699074</v>
      </c>
      <c r="C301" s="1175">
        <v>1.13200028979207</v>
      </c>
      <c r="D301" s="1172">
        <v>841932.9897419761</v>
      </c>
      <c r="E301" s="1173">
        <v>743756.8676741465</v>
      </c>
      <c r="F301" s="1174">
        <v>15.291102899466694</v>
      </c>
      <c r="G301" s="1172">
        <v>197154.67958961826</v>
      </c>
      <c r="H301" s="1172">
        <v>189473.31717368087</v>
      </c>
      <c r="I301" s="1172">
        <v>207639.74630115338</v>
      </c>
      <c r="J301" s="1172">
        <v>88023.26507361187</v>
      </c>
      <c r="K301" s="1172">
        <v>159641.9816039118</v>
      </c>
      <c r="L301" s="1098"/>
      <c r="M301" s="1100"/>
      <c r="N301" s="1096"/>
      <c r="O301" s="1098"/>
      <c r="P301" s="1096"/>
      <c r="Q301" s="1096"/>
    </row>
    <row r="302">
      <c r="A302" s="1126"/>
      <c r="B302" s="1170">
        <v>44528.94287035879</v>
      </c>
      <c r="C302" s="1175">
        <v>1.1300264991214</v>
      </c>
      <c r="D302" s="1172">
        <v>880544.3537593482</v>
      </c>
      <c r="E302" s="1173">
        <v>779224.5176940318</v>
      </c>
      <c r="F302" s="1174">
        <v>15.776801003793686</v>
      </c>
      <c r="G302" s="1172">
        <v>199161.26072562727</v>
      </c>
      <c r="H302" s="1172">
        <v>191659.20760070416</v>
      </c>
      <c r="I302" s="1172">
        <v>243042.35633351683</v>
      </c>
      <c r="J302" s="1172">
        <v>86804.21416545544</v>
      </c>
      <c r="K302" s="1172">
        <v>159877.31493404438</v>
      </c>
      <c r="L302" s="1098"/>
      <c r="M302" s="1100"/>
      <c r="N302" s="1096"/>
      <c r="O302" s="1098"/>
      <c r="P302" s="1096"/>
      <c r="Q302" s="1096"/>
    </row>
    <row r="303">
      <c r="A303" s="1126"/>
      <c r="B303" s="1170">
        <v>44529.84678516204</v>
      </c>
      <c r="C303" s="1175">
        <v>1.12660061782778</v>
      </c>
      <c r="D303" s="1172">
        <v>918856.5465468772</v>
      </c>
      <c r="E303" s="1173">
        <v>815600.9609852176</v>
      </c>
      <c r="F303" s="1174">
        <v>15.710435815367566</v>
      </c>
      <c r="G303" s="1172">
        <v>208724.01908526005</v>
      </c>
      <c r="H303" s="1172">
        <v>200584.1320277624</v>
      </c>
      <c r="I303" s="1172">
        <v>235962.37240311393</v>
      </c>
      <c r="J303" s="1172">
        <v>100096.97945581668</v>
      </c>
      <c r="K303" s="1172">
        <v>173489.04357492435</v>
      </c>
      <c r="L303" s="1098"/>
      <c r="M303" s="1100"/>
      <c r="N303" s="1096"/>
      <c r="O303" s="1098"/>
      <c r="P303" s="1096"/>
      <c r="Q303" s="1096"/>
    </row>
    <row r="304">
      <c r="A304" s="1126"/>
      <c r="B304" s="1170">
        <v>44530.90836773148</v>
      </c>
      <c r="C304" s="1175">
        <v>1.13129978426113</v>
      </c>
      <c r="D304" s="1172">
        <v>951943.7567381265</v>
      </c>
      <c r="E304" s="1173">
        <v>841460.2123873436</v>
      </c>
      <c r="F304" s="1174">
        <v>16.543145926293956</v>
      </c>
      <c r="G304" s="1172">
        <v>204437.11248668272</v>
      </c>
      <c r="H304" s="1172">
        <v>211378.22402500815</v>
      </c>
      <c r="I304" s="1172">
        <v>264467.82786570885</v>
      </c>
      <c r="J304" s="1172">
        <v>101461.72412593383</v>
      </c>
      <c r="K304" s="1172">
        <v>170198.868234793</v>
      </c>
      <c r="L304" s="1098"/>
      <c r="M304" s="1100"/>
      <c r="N304" s="1096"/>
      <c r="O304" s="1098"/>
      <c r="P304" s="1096"/>
      <c r="Q304" s="1096"/>
    </row>
    <row r="305">
      <c r="A305" s="1126"/>
      <c r="B305" s="1170">
        <v>44532.19509810185</v>
      </c>
      <c r="C305" s="1175">
        <v>1.13321895376693</v>
      </c>
      <c r="D305" s="1172">
        <v>961465.2628137257</v>
      </c>
      <c r="E305" s="1173">
        <v>848437.3294478721</v>
      </c>
      <c r="F305" s="1174">
        <v>17.13622487694051</v>
      </c>
      <c r="G305" s="1172">
        <v>200089.03763127796</v>
      </c>
      <c r="H305" s="1172">
        <v>208130.62317332998</v>
      </c>
      <c r="I305" s="1172">
        <v>281662.51077452593</v>
      </c>
      <c r="J305" s="1172">
        <v>132684.47130239627</v>
      </c>
      <c r="K305" s="1172">
        <v>138898.61993219558</v>
      </c>
      <c r="L305" s="1098"/>
      <c r="M305" s="1100"/>
      <c r="N305" s="1096"/>
      <c r="O305" s="1098"/>
      <c r="P305" s="1096"/>
      <c r="Q305" s="1096"/>
    </row>
    <row r="306">
      <c r="A306" s="1126"/>
      <c r="B306" s="1170">
        <v>44533.85530848379</v>
      </c>
      <c r="C306" s="1175">
        <v>1.1309863105417</v>
      </c>
      <c r="D306" s="1172">
        <v>976860.2357916743</v>
      </c>
      <c r="E306" s="1173">
        <v>863724.1907232237</v>
      </c>
      <c r="F306" s="1174">
        <v>17.92012130477536</v>
      </c>
      <c r="G306" s="1172">
        <v>194081.7932828957</v>
      </c>
      <c r="H306" s="1172">
        <v>200281.33397482563</v>
      </c>
      <c r="I306" s="1172">
        <v>313730.19103953714</v>
      </c>
      <c r="J306" s="1172">
        <v>135057.27857722153</v>
      </c>
      <c r="K306" s="1172">
        <v>133709.6389171944</v>
      </c>
      <c r="L306" s="1098"/>
      <c r="M306" s="1100"/>
      <c r="N306" s="1096"/>
      <c r="O306" s="1098"/>
      <c r="P306" s="1096"/>
      <c r="Q306" s="1096"/>
    </row>
    <row r="307">
      <c r="A307" s="1126"/>
      <c r="B307" s="1170">
        <v>44534.465943738425</v>
      </c>
      <c r="C307" s="1175">
        <v>1.13144954527043</v>
      </c>
      <c r="D307" s="1172">
        <v>853883.596754937</v>
      </c>
      <c r="E307" s="1173">
        <v>754681.1082511403</v>
      </c>
      <c r="F307" s="1174">
        <v>17.950003941652156</v>
      </c>
      <c r="G307" s="1172">
        <v>169311.1515047246</v>
      </c>
      <c r="H307" s="1172">
        <v>195610.5011555766</v>
      </c>
      <c r="I307" s="1172">
        <v>257689.46856228268</v>
      </c>
      <c r="J307" s="1172">
        <v>128818.4812984799</v>
      </c>
      <c r="K307" s="1172">
        <v>102453.99423387316</v>
      </c>
      <c r="L307" s="1098"/>
      <c r="M307" s="1100"/>
      <c r="N307" s="1096"/>
      <c r="O307" s="1098"/>
      <c r="P307" s="1096"/>
      <c r="Q307" s="1096"/>
    </row>
    <row r="308">
      <c r="A308" s="1126"/>
      <c r="B308" s="1170">
        <v>44535.59110471065</v>
      </c>
      <c r="C308" s="1175">
        <v>1.13139962052857</v>
      </c>
      <c r="D308" s="1172">
        <v>963678.0669485858</v>
      </c>
      <c r="E308" s="1173">
        <v>851757.459931242</v>
      </c>
      <c r="F308" s="1174">
        <v>19.512284701585713</v>
      </c>
      <c r="G308" s="1172">
        <v>176506.66898498606</v>
      </c>
      <c r="H308" s="1172">
        <v>235277.61912590012</v>
      </c>
      <c r="I308" s="1172">
        <v>332000.20640055754</v>
      </c>
      <c r="J308" s="1172">
        <v>130394.30210004684</v>
      </c>
      <c r="K308" s="1172">
        <v>89499.2703370952</v>
      </c>
      <c r="L308" s="1098"/>
      <c r="M308" s="1100"/>
      <c r="N308" s="1096"/>
      <c r="O308" s="1098"/>
      <c r="P308" s="1096"/>
      <c r="Q308" s="1096"/>
    </row>
    <row r="309">
      <c r="A309" s="1126"/>
      <c r="B309" s="1170">
        <v>44536.900063368055</v>
      </c>
      <c r="C309" s="1175">
        <v>1.12820466535193</v>
      </c>
      <c r="D309" s="1172">
        <v>898802.4972911372</v>
      </c>
      <c r="E309" s="1173">
        <v>796666.1767089631</v>
      </c>
      <c r="F309" s="1174">
        <v>18.276893779376078</v>
      </c>
      <c r="G309" s="1172">
        <v>174899.78736727347</v>
      </c>
      <c r="H309" s="1172">
        <v>227577.96790164843</v>
      </c>
      <c r="I309" s="1172">
        <v>282747.9322436275</v>
      </c>
      <c r="J309" s="1172">
        <v>124821.8746374067</v>
      </c>
      <c r="K309" s="1172">
        <v>88754.9351411812</v>
      </c>
      <c r="L309" s="1098"/>
      <c r="M309" s="1100"/>
      <c r="N309" s="1096"/>
      <c r="O309" s="1098"/>
      <c r="P309" s="1096"/>
      <c r="Q309" s="1096"/>
    </row>
    <row r="310">
      <c r="A310" s="1126"/>
      <c r="B310" s="1170">
        <v>44537.76856511574</v>
      </c>
      <c r="C310" s="1175">
        <v>1.12526950204574</v>
      </c>
      <c r="D310" s="1172">
        <v>963403.1315041941</v>
      </c>
      <c r="E310" s="1173">
        <v>856153.2412926212</v>
      </c>
      <c r="F310" s="1174">
        <v>18.80847761923604</v>
      </c>
      <c r="G310" s="1172">
        <v>183520.1384521546</v>
      </c>
      <c r="H310" s="1172">
        <v>240793.87162042398</v>
      </c>
      <c r="I310" s="1172">
        <v>317773.9692761749</v>
      </c>
      <c r="J310" s="1172">
        <v>132520.345310428</v>
      </c>
      <c r="K310" s="1172">
        <v>88794.80684501272</v>
      </c>
      <c r="L310" s="1098"/>
      <c r="M310" s="1100"/>
      <c r="N310" s="1096"/>
      <c r="O310" s="1098"/>
      <c r="P310" s="1096"/>
      <c r="Q310" s="1096"/>
    </row>
    <row r="311">
      <c r="A311" s="1126"/>
      <c r="B311" s="1170">
        <v>44539.79349635416</v>
      </c>
      <c r="C311" s="1175">
        <v>1.12910018618862</v>
      </c>
      <c r="D311" s="1172">
        <v>937929.4382112655</v>
      </c>
      <c r="E311" s="1173">
        <v>830687.5241756281</v>
      </c>
      <c r="F311" s="1174">
        <v>19.3139817172962</v>
      </c>
      <c r="G311" s="1172">
        <v>173988.94230353</v>
      </c>
      <c r="H311" s="1172">
        <v>230228.6186414694</v>
      </c>
      <c r="I311" s="1172">
        <v>312600.0114767617</v>
      </c>
      <c r="J311" s="1172">
        <v>132343.48207503767</v>
      </c>
      <c r="K311" s="1172">
        <v>88768.38371446666</v>
      </c>
      <c r="L311" s="1098"/>
      <c r="M311" s="1100"/>
      <c r="N311" s="1096"/>
      <c r="O311" s="1098"/>
      <c r="P311" s="1096"/>
      <c r="Q311" s="1096"/>
    </row>
    <row r="312">
      <c r="A312" s="1126"/>
      <c r="B312" s="1170">
        <v>44540.869394594905</v>
      </c>
      <c r="C312" s="1175">
        <v>1.13134970019233</v>
      </c>
      <c r="D312" s="1172">
        <v>906318.1302702774</v>
      </c>
      <c r="E312" s="1173">
        <v>801094.5953458977</v>
      </c>
      <c r="F312" s="1174">
        <v>18.807436310657266</v>
      </c>
      <c r="G312" s="1172">
        <v>172365.9684359253</v>
      </c>
      <c r="H312" s="1172">
        <v>223939.50733976826</v>
      </c>
      <c r="I312" s="1172">
        <v>288060.4862280531</v>
      </c>
      <c r="J312" s="1172">
        <v>133336.22084507713</v>
      </c>
      <c r="K312" s="1172">
        <v>88615.94742145369</v>
      </c>
      <c r="L312" s="1098"/>
      <c r="M312" s="1100"/>
      <c r="N312" s="1096"/>
      <c r="O312" s="1098"/>
      <c r="P312" s="1096"/>
      <c r="Q312" s="1096"/>
    </row>
    <row r="313">
      <c r="A313" s="1126"/>
      <c r="B313" s="1170">
        <v>44541.81976579861</v>
      </c>
      <c r="C313" s="1175">
        <v>1.1317005158291</v>
      </c>
      <c r="D313" s="1172">
        <v>894851.0849346649</v>
      </c>
      <c r="E313" s="1173">
        <v>790713.6847764747</v>
      </c>
      <c r="F313" s="1174">
        <v>18.39046706519363</v>
      </c>
      <c r="G313" s="1172">
        <v>174340.36033893988</v>
      </c>
      <c r="H313" s="1172">
        <v>229542.7937360492</v>
      </c>
      <c r="I313" s="1172">
        <v>277122.98483595</v>
      </c>
      <c r="J313" s="1172">
        <v>135220.70572657342</v>
      </c>
      <c r="K313" s="1172">
        <v>78624.24029715244</v>
      </c>
      <c r="L313" s="1098"/>
      <c r="M313" s="1100"/>
      <c r="N313" s="1096"/>
      <c r="O313" s="1098"/>
      <c r="P313" s="1096"/>
      <c r="Q313" s="1096"/>
    </row>
    <row r="314">
      <c r="A314" s="1126"/>
      <c r="B314" s="1170">
        <v>44542.86552976852</v>
      </c>
      <c r="C314" s="1175">
        <v>1.1317005158291</v>
      </c>
      <c r="D314" s="1172">
        <v>920083.9555145557</v>
      </c>
      <c r="E314" s="1173">
        <v>813010.1052755013</v>
      </c>
      <c r="F314" s="1174">
        <v>18.28219079202026</v>
      </c>
      <c r="G314" s="1172">
        <v>180731.62122896302</v>
      </c>
      <c r="H314" s="1172">
        <v>224449.1720038139</v>
      </c>
      <c r="I314" s="1172">
        <v>278425.8002748325</v>
      </c>
      <c r="J314" s="1172">
        <v>158039.74474830276</v>
      </c>
      <c r="K314" s="1172">
        <v>78437.61725864351</v>
      </c>
      <c r="L314" s="1098"/>
      <c r="M314" s="1100"/>
      <c r="N314" s="1096"/>
      <c r="O314" s="1098"/>
      <c r="P314" s="1096"/>
      <c r="Q314" s="1096"/>
    </row>
    <row r="315">
      <c r="A315" s="1126"/>
      <c r="B315" s="1170">
        <v>44543.87970333333</v>
      </c>
      <c r="C315" s="1175">
        <v>1.12924936536186</v>
      </c>
      <c r="D315" s="1172">
        <v>842385.782168833</v>
      </c>
      <c r="E315" s="1173">
        <v>745969.6750849148</v>
      </c>
      <c r="F315" s="1174">
        <v>18.049781141674003</v>
      </c>
      <c r="G315" s="1172">
        <v>168211.94869564852</v>
      </c>
      <c r="H315" s="1172">
        <v>181556.02852135708</v>
      </c>
      <c r="I315" s="1172">
        <v>183090.16027757357</v>
      </c>
      <c r="J315" s="1172">
        <v>92554.11660522026</v>
      </c>
      <c r="K315" s="1172">
        <v>216973.52806903346</v>
      </c>
      <c r="L315" s="1098"/>
      <c r="M315" s="1100"/>
      <c r="N315" s="1096"/>
      <c r="O315" s="1098"/>
      <c r="P315" s="1096"/>
      <c r="Q315" s="1096"/>
    </row>
    <row r="316">
      <c r="A316" s="1126"/>
      <c r="B316" s="1170">
        <v>44546.66017210648</v>
      </c>
      <c r="C316" s="1175">
        <v>1.13481100857463</v>
      </c>
      <c r="D316" s="1172">
        <v>889946.0641085624</v>
      </c>
      <c r="E316" s="1173">
        <v>784224.031476723</v>
      </c>
      <c r="F316" s="1174">
        <v>18.30739167790821</v>
      </c>
      <c r="G316" s="1172">
        <v>174292.74401183779</v>
      </c>
      <c r="H316" s="1172">
        <v>175420.05927269318</v>
      </c>
      <c r="I316" s="1172">
        <v>225937.93068241284</v>
      </c>
      <c r="J316" s="1172">
        <v>889946.0641085624</v>
      </c>
      <c r="K316" s="1172">
        <v>216494.07144097573</v>
      </c>
      <c r="L316" s="1098"/>
      <c r="M316" s="1100"/>
      <c r="N316" s="1096"/>
      <c r="O316" s="1098"/>
      <c r="P316" s="1096"/>
      <c r="Q316" s="1096"/>
    </row>
    <row r="317">
      <c r="A317" s="1126"/>
      <c r="B317" s="1170">
        <v>44548.85581606481</v>
      </c>
      <c r="C317" s="1175">
        <v>1.12399964032012</v>
      </c>
      <c r="D317" s="1172">
        <v>882181.2389634803</v>
      </c>
      <c r="E317" s="1173">
        <v>784859.0046810257</v>
      </c>
      <c r="F317" s="1174">
        <v>18.95296795872295</v>
      </c>
      <c r="G317" s="1172">
        <v>166570.3360304915</v>
      </c>
      <c r="H317" s="1172">
        <v>172759.16141831435</v>
      </c>
      <c r="I317" s="1172">
        <v>229648.49996485474</v>
      </c>
      <c r="J317" s="1172">
        <v>882181.2389634803</v>
      </c>
      <c r="K317" s="1172">
        <v>181161.51416705002</v>
      </c>
      <c r="L317" s="1098"/>
      <c r="M317" s="1100"/>
      <c r="N317" s="1096"/>
      <c r="O317" s="1098"/>
      <c r="P317" s="1096"/>
      <c r="Q317" s="1096"/>
    </row>
    <row r="318">
      <c r="A318" s="1126"/>
      <c r="B318" s="1170">
        <v>44550.927780868056</v>
      </c>
      <c r="C318" s="1175">
        <v>1.12728260636757</v>
      </c>
      <c r="D318" s="1172">
        <v>916624.7371693784</v>
      </c>
      <c r="E318" s="1173">
        <v>813127.7214708456</v>
      </c>
      <c r="F318" s="1174">
        <v>19.381651635702333</v>
      </c>
      <c r="G318" s="1172">
        <v>168232.33886556374</v>
      </c>
      <c r="H318" s="1172">
        <v>172498.20733195363</v>
      </c>
      <c r="I318" s="1172">
        <v>238740.12297352933</v>
      </c>
      <c r="J318" s="1172">
        <v>916624.7371693784</v>
      </c>
      <c r="K318" s="1172">
        <v>205845.10342487736</v>
      </c>
      <c r="L318" s="1098"/>
      <c r="M318" s="1100"/>
      <c r="N318" s="1096"/>
      <c r="O318" s="1098"/>
      <c r="P318" s="1096"/>
      <c r="Q318" s="1096"/>
    </row>
    <row r="319">
      <c r="A319" s="1126"/>
      <c r="B319" s="1170">
        <v>44551.34088724537</v>
      </c>
      <c r="C319" s="1175">
        <v>1.12792979764939</v>
      </c>
      <c r="D319" s="1172">
        <v>932322.3286683735</v>
      </c>
      <c r="E319" s="1173">
        <v>826578.3301508097</v>
      </c>
      <c r="F319" s="1174">
        <v>19.225983128597946</v>
      </c>
      <c r="G319" s="1172">
        <v>172498.85681454834</v>
      </c>
      <c r="H319" s="1172">
        <v>176752.28089938598</v>
      </c>
      <c r="I319" s="1172">
        <v>243563.59881780975</v>
      </c>
      <c r="J319" s="1172">
        <v>932322.3286683735</v>
      </c>
      <c r="K319" s="1172">
        <v>207269.88182391255</v>
      </c>
      <c r="L319" s="1098"/>
      <c r="M319" s="1100"/>
      <c r="N319" s="1096"/>
      <c r="O319" s="1098"/>
      <c r="P319" s="1096"/>
      <c r="Q319" s="1096"/>
    </row>
    <row r="320">
      <c r="A320" s="1126"/>
      <c r="B320" s="1170">
        <v>44552.979620300925</v>
      </c>
      <c r="C320" s="1175">
        <v>1.13235022686637</v>
      </c>
      <c r="D320" s="1172">
        <v>972011.6970605253</v>
      </c>
      <c r="E320" s="1173">
        <v>858401.9978963924</v>
      </c>
      <c r="F320" s="1174">
        <v>19.870162779135697</v>
      </c>
      <c r="G320" s="1172">
        <v>195805.94529440868</v>
      </c>
      <c r="H320" s="1172">
        <v>175987.65252467257</v>
      </c>
      <c r="I320" s="1172">
        <v>261954.19392361632</v>
      </c>
      <c r="J320" s="1172">
        <v>972011.6970605253</v>
      </c>
      <c r="K320" s="1172">
        <v>197485.43691887383</v>
      </c>
      <c r="L320" s="1098"/>
      <c r="M320" s="1100"/>
      <c r="N320" s="1096"/>
      <c r="O320" s="1098"/>
      <c r="P320" s="1096"/>
      <c r="Q320" s="1096"/>
    </row>
    <row r="321">
      <c r="A321" s="1126"/>
      <c r="B321" s="1170">
        <v>44554.996374849536</v>
      </c>
      <c r="C321" s="1175">
        <v>1.13225022277023</v>
      </c>
      <c r="D321" s="1172">
        <v>997341.8705509568</v>
      </c>
      <c r="E321" s="1173">
        <v>880849.3480449944</v>
      </c>
      <c r="F321" s="1174">
        <v>19.669485094204934</v>
      </c>
      <c r="G321" s="1172">
        <v>202958.32444786117</v>
      </c>
      <c r="H321" s="1172">
        <v>178318.9663783971</v>
      </c>
      <c r="I321" s="1172">
        <v>278194.1769180006</v>
      </c>
      <c r="J321" s="1172">
        <v>997341.8705509568</v>
      </c>
      <c r="K321" s="1172">
        <v>199536.41876595916</v>
      </c>
      <c r="L321" s="1098"/>
      <c r="M321" s="1100"/>
      <c r="N321" s="1096"/>
      <c r="O321" s="1098"/>
      <c r="P321" s="1096"/>
      <c r="Q321" s="1096"/>
    </row>
    <row r="322">
      <c r="A322" s="1126"/>
      <c r="B322" s="1170">
        <v>44555.38804506944</v>
      </c>
      <c r="C322" s="1175">
        <v>1.13225022277023</v>
      </c>
      <c r="D322" s="1172">
        <v>1004443.9192575392</v>
      </c>
      <c r="E322" s="1173">
        <v>887121.8561565019</v>
      </c>
      <c r="F322" s="1174">
        <v>19.69656829979933</v>
      </c>
      <c r="G322" s="1172">
        <v>204122.5267130952</v>
      </c>
      <c r="H322" s="1172">
        <v>176715.53256887867</v>
      </c>
      <c r="I322" s="1172">
        <v>283442.33809043386</v>
      </c>
      <c r="J322" s="1172">
        <v>1004443.9192575392</v>
      </c>
      <c r="K322" s="1172">
        <v>201375.50030046643</v>
      </c>
      <c r="L322" s="1098"/>
      <c r="M322" s="1100"/>
      <c r="N322" s="1096"/>
      <c r="O322" s="1098"/>
      <c r="P322" s="1096"/>
      <c r="Q322" s="1096"/>
    </row>
    <row r="323">
      <c r="A323" s="1126"/>
      <c r="B323" s="1170">
        <v>44556.41896405093</v>
      </c>
      <c r="C323" s="1175">
        <v>1.13404400090724</v>
      </c>
      <c r="D323" s="1172">
        <v>997752.6345822418</v>
      </c>
      <c r="E323" s="1173">
        <v>879818.2731746172</v>
      </c>
      <c r="F323" s="1174">
        <v>20.000397740305402</v>
      </c>
      <c r="G323" s="1172">
        <v>199682.52456731081</v>
      </c>
      <c r="H323" s="1172">
        <v>175184.5758430501</v>
      </c>
      <c r="I323" s="1172">
        <v>284432.16775966866</v>
      </c>
      <c r="J323" s="1172">
        <v>997752.6345822418</v>
      </c>
      <c r="K323" s="1172">
        <v>201307.81705861486</v>
      </c>
      <c r="L323" s="1098"/>
      <c r="M323" s="1100"/>
      <c r="N323" s="1096"/>
      <c r="O323" s="1098"/>
      <c r="P323" s="1096"/>
      <c r="Q323" s="1096"/>
    </row>
    <row r="324">
      <c r="A324" s="1126"/>
      <c r="B324" s="1170">
        <v>44557.90142790509</v>
      </c>
      <c r="C324" s="1175">
        <v>1.13275041996722</v>
      </c>
      <c r="D324" s="1172">
        <v>1000140.3881739024</v>
      </c>
      <c r="E324" s="1173">
        <v>882930.9356626369</v>
      </c>
      <c r="F324" s="1174">
        <v>19.555167495956844</v>
      </c>
      <c r="G324" s="1172">
        <v>204717.6244412779</v>
      </c>
      <c r="H324" s="1172">
        <v>177666.09432726365</v>
      </c>
      <c r="I324" s="1172">
        <v>272823.60493771173</v>
      </c>
      <c r="J324" s="1172">
        <v>1000140.3881739024</v>
      </c>
      <c r="K324" s="1172">
        <v>201057.56400525937</v>
      </c>
      <c r="L324" s="1098"/>
      <c r="M324" s="1100"/>
      <c r="N324" s="1096"/>
      <c r="O324" s="1098"/>
      <c r="P324" s="1096"/>
      <c r="Q324" s="1096"/>
    </row>
    <row r="325">
      <c r="A325" s="1126"/>
      <c r="B325" s="1170">
        <v>44558.87582829861</v>
      </c>
      <c r="C325" s="1175">
        <v>1.13002139130494</v>
      </c>
      <c r="D325" s="1172">
        <v>979955.1183596859</v>
      </c>
      <c r="E325" s="1173">
        <v>867200.5024861001</v>
      </c>
      <c r="F325" s="1174">
        <v>20.52365406766621</v>
      </c>
      <c r="G325" s="1172">
        <v>191120.5152933017</v>
      </c>
      <c r="H325" s="1172">
        <v>159798.09754614535</v>
      </c>
      <c r="I325" s="1172">
        <v>255419.6134679849</v>
      </c>
      <c r="J325" s="1172">
        <v>979955.1183596859</v>
      </c>
      <c r="K325" s="1172">
        <v>232141.86496818156</v>
      </c>
      <c r="L325" s="1098"/>
      <c r="M325" s="1100"/>
      <c r="N325" s="1096"/>
      <c r="O325" s="1098"/>
      <c r="P325" s="1096"/>
      <c r="Q325" s="1096"/>
    </row>
    <row r="326">
      <c r="A326" s="1126"/>
      <c r="B326" s="1170">
        <v>44559.45510788195</v>
      </c>
      <c r="C326" s="1175">
        <v>1.12793743105482</v>
      </c>
      <c r="D326" s="1172">
        <v>999818.8820514258</v>
      </c>
      <c r="E326" s="1173">
        <v>886413.4255358643</v>
      </c>
      <c r="F326" s="1174">
        <v>20.901435768314666</v>
      </c>
      <c r="G326" s="1172">
        <v>191470.12573344505</v>
      </c>
      <c r="H326" s="1172">
        <v>159673.5551401225</v>
      </c>
      <c r="I326" s="1172">
        <v>260377.87851679913</v>
      </c>
      <c r="J326" s="1172">
        <v>999818.8820514258</v>
      </c>
      <c r="K326" s="1172">
        <v>241226.5151103997</v>
      </c>
      <c r="L326" s="1098"/>
      <c r="M326" s="1100"/>
      <c r="N326" s="1096"/>
      <c r="O326" s="1098"/>
      <c r="P326" s="1096"/>
      <c r="Q326" s="1096"/>
    </row>
    <row r="327">
      <c r="A327" s="1126"/>
      <c r="B327" s="1170">
        <v>44560.617993113425</v>
      </c>
      <c r="C327" s="1175">
        <v>1.13343602263698</v>
      </c>
      <c r="D327" s="1172">
        <v>982771.9299988361</v>
      </c>
      <c r="E327" s="1173">
        <v>867073.1389958664</v>
      </c>
      <c r="F327" s="1174">
        <v>20.679722084590715</v>
      </c>
      <c r="G327" s="1172">
        <v>190223.36222892292</v>
      </c>
      <c r="H327" s="1172">
        <v>156925.71701966142</v>
      </c>
      <c r="I327" s="1172">
        <v>258855.4769946955</v>
      </c>
      <c r="J327" s="1172">
        <v>982771.9299988361</v>
      </c>
      <c r="K327" s="1172">
        <v>232968.63717256725</v>
      </c>
      <c r="L327" s="1098"/>
      <c r="M327" s="1100"/>
      <c r="N327" s="1096"/>
      <c r="O327" s="1098"/>
      <c r="P327" s="1096"/>
      <c r="Q327" s="1096"/>
    </row>
    <row r="328">
      <c r="A328" s="1126"/>
      <c r="B328" s="1170">
        <v>44561.37458200232</v>
      </c>
      <c r="C328" s="1175">
        <v>1.1310976058057</v>
      </c>
      <c r="D328" s="1172">
        <v>976449.7011040373</v>
      </c>
      <c r="E328" s="1173">
        <v>863276.2513969743</v>
      </c>
      <c r="F328" s="1174">
        <v>20.790335740975937</v>
      </c>
      <c r="G328" s="1172">
        <v>187994.08373060927</v>
      </c>
      <c r="H328" s="1172">
        <v>155265.38611838696</v>
      </c>
      <c r="I328" s="1172">
        <v>255748.1287433384</v>
      </c>
      <c r="J328" s="1172">
        <v>976449.7011040373</v>
      </c>
      <c r="K328" s="1172">
        <v>232557.2233946082</v>
      </c>
      <c r="L328" s="1098"/>
      <c r="M328" s="1100"/>
      <c r="N328" s="1096"/>
      <c r="O328" s="1098"/>
      <c r="P328" s="1096"/>
      <c r="Q328" s="1096"/>
    </row>
    <row r="329">
      <c r="A329" s="1126"/>
      <c r="B329" s="1170">
        <v>44562.959286122685</v>
      </c>
      <c r="C329" s="1175">
        <v>1.13739504687205</v>
      </c>
      <c r="D329" s="1172">
        <v>994102.0267641366</v>
      </c>
      <c r="E329" s="1173">
        <v>874016.4901350824</v>
      </c>
      <c r="F329" s="1174">
        <v>20.980360452325755</v>
      </c>
      <c r="G329" s="1172">
        <v>189659.1596303767</v>
      </c>
      <c r="H329" s="1172">
        <v>156726.64255390043</v>
      </c>
      <c r="I329" s="1172">
        <v>266574.58833362407</v>
      </c>
      <c r="J329" s="1172">
        <v>994102.0267641366</v>
      </c>
      <c r="K329" s="1172">
        <v>234525.33846321757</v>
      </c>
      <c r="L329" s="1098"/>
      <c r="M329" s="1100"/>
      <c r="N329" s="1096"/>
      <c r="O329" s="1098"/>
      <c r="P329" s="1096"/>
      <c r="Q329" s="1096"/>
    </row>
    <row r="330">
      <c r="A330" s="1126"/>
      <c r="B330" s="1170">
        <v>44563.75570917824</v>
      </c>
      <c r="C330" s="1175">
        <v>1.13739504687205</v>
      </c>
      <c r="D330" s="1172">
        <v>1003206.438702884</v>
      </c>
      <c r="E330" s="1173">
        <v>882021.1073204529</v>
      </c>
      <c r="F330" s="1174">
        <v>21.018262214280256</v>
      </c>
      <c r="G330" s="1172">
        <v>191050.9990322589</v>
      </c>
      <c r="H330" s="1172">
        <v>159036.9033280679</v>
      </c>
      <c r="I330" s="1172">
        <v>267566.0777894054</v>
      </c>
      <c r="J330" s="1172">
        <v>1003206.438702884</v>
      </c>
      <c r="K330" s="1172">
        <v>235880.85879046068</v>
      </c>
      <c r="L330" s="1098"/>
      <c r="M330" s="1100"/>
      <c r="N330" s="1096"/>
      <c r="O330" s="1098"/>
      <c r="P330" s="1096"/>
      <c r="Q330" s="1096"/>
    </row>
    <row r="331">
      <c r="A331" s="1126"/>
      <c r="B331" s="1170">
        <v>44564.94384064815</v>
      </c>
      <c r="C331" s="1175">
        <v>1.12962439988704</v>
      </c>
      <c r="D331" s="1172">
        <v>989660.9125755265</v>
      </c>
      <c r="E331" s="1173">
        <v>876097.3228574828</v>
      </c>
      <c r="F331" s="1174">
        <v>21.513957805193975</v>
      </c>
      <c r="G331" s="1172">
        <v>184128.88074750104</v>
      </c>
      <c r="H331" s="1172">
        <v>155178.9581659902</v>
      </c>
      <c r="I331" s="1172">
        <v>269952.0902795937</v>
      </c>
      <c r="J331" s="1172">
        <v>989660.9125755265</v>
      </c>
      <c r="K331" s="1172">
        <v>234851.55955585715</v>
      </c>
      <c r="L331" s="1098"/>
      <c r="M331" s="1100"/>
      <c r="N331" s="1096"/>
      <c r="O331" s="1098"/>
      <c r="P331" s="1096"/>
      <c r="Q331" s="1096"/>
    </row>
    <row r="332">
      <c r="A332" s="1126"/>
      <c r="B332" s="1170">
        <v>44565.74030760417</v>
      </c>
      <c r="C332" s="1175">
        <v>1.13045444268596</v>
      </c>
      <c r="D332" s="1172">
        <v>1027251.9043697751</v>
      </c>
      <c r="E332" s="1173">
        <v>908707.0346055028</v>
      </c>
      <c r="F332" s="1174">
        <v>21.93863562385937</v>
      </c>
      <c r="G332" s="1172">
        <v>187423.11340786677</v>
      </c>
      <c r="H332" s="1172">
        <v>195298.83808328857</v>
      </c>
      <c r="I332" s="1172">
        <v>276326.52394603967</v>
      </c>
      <c r="J332" s="1172">
        <v>1027251.9043697751</v>
      </c>
      <c r="K332" s="1172">
        <v>215597.85580779755</v>
      </c>
      <c r="L332" s="1098"/>
      <c r="M332" s="1100"/>
      <c r="N332" s="1096"/>
      <c r="O332" s="1098"/>
      <c r="P332" s="1096"/>
      <c r="Q332" s="1096"/>
    </row>
    <row r="333">
      <c r="A333" s="1126"/>
      <c r="B333" s="1170">
        <v>44566.41572425926</v>
      </c>
      <c r="C333" s="1175">
        <v>1.13044294145775</v>
      </c>
      <c r="D333" s="1172">
        <v>1020292.0864883906</v>
      </c>
      <c r="E333" s="1173">
        <v>902559.5623364098</v>
      </c>
      <c r="F333" s="1174">
        <v>21.913412690902298</v>
      </c>
      <c r="G333" s="1172">
        <v>186367.55532518233</v>
      </c>
      <c r="H333" s="1172">
        <v>199092.44621538097</v>
      </c>
      <c r="I333" s="1172">
        <v>268938.3315222981</v>
      </c>
      <c r="J333" s="1172">
        <v>1020292.0864883906</v>
      </c>
      <c r="K333" s="1172">
        <v>215125.65312150132</v>
      </c>
      <c r="L333" s="1098"/>
      <c r="M333" s="1100"/>
      <c r="N333" s="1096"/>
      <c r="O333" s="1098"/>
      <c r="P333" s="1096"/>
      <c r="Q333" s="1096"/>
    </row>
    <row r="334">
      <c r="A334" s="1126"/>
      <c r="B334" s="1170">
        <v>44567.52270666667</v>
      </c>
      <c r="C334" s="1175">
        <v>1.13134970019233</v>
      </c>
      <c r="D334" s="1172">
        <v>932070.364914587</v>
      </c>
      <c r="E334" s="1173">
        <v>823856.995548003</v>
      </c>
      <c r="F334" s="1174">
        <v>21.74376643982324</v>
      </c>
      <c r="G334" s="1172">
        <v>193167.72112254874</v>
      </c>
      <c r="H334" s="1172">
        <v>193026.29250341147</v>
      </c>
      <c r="I334" s="1172">
        <v>264894.04325691576</v>
      </c>
      <c r="J334" s="1172">
        <v>932070.364914587</v>
      </c>
      <c r="K334" s="1172">
        <v>141053.1659675457</v>
      </c>
      <c r="L334" s="1098"/>
      <c r="M334" s="1100"/>
      <c r="N334" s="1096"/>
      <c r="O334" s="1098"/>
      <c r="P334" s="1096"/>
      <c r="Q334" s="1096"/>
    </row>
    <row r="335">
      <c r="A335" s="1126"/>
      <c r="B335" s="1170">
        <v>44569.49727274306</v>
      </c>
      <c r="C335" s="1175">
        <v>1.13610026766522</v>
      </c>
      <c r="D335" s="1172">
        <v>911001.2184242291</v>
      </c>
      <c r="E335" s="1173">
        <v>801866.9164618822</v>
      </c>
      <c r="F335" s="1174">
        <v>21.705051967879328</v>
      </c>
      <c r="G335" s="1172">
        <v>189137.9853486204</v>
      </c>
      <c r="H335" s="1172">
        <v>182494.1699989498</v>
      </c>
      <c r="I335" s="1172">
        <v>245897.59359344206</v>
      </c>
      <c r="J335" s="1172">
        <v>911001.2184242291</v>
      </c>
      <c r="K335" s="1172">
        <v>141004.82592596955</v>
      </c>
      <c r="L335" s="1098"/>
      <c r="M335" s="1100"/>
      <c r="N335" s="1096"/>
      <c r="O335" s="1098"/>
      <c r="P335" s="1096"/>
      <c r="Q335" s="1096"/>
    </row>
    <row r="336">
      <c r="A336" s="1126"/>
      <c r="B336" s="1170">
        <v>44570.54205762732</v>
      </c>
      <c r="C336" s="1175">
        <v>1.13610026766522</v>
      </c>
      <c r="D336" s="1172">
        <v>903735.3342729838</v>
      </c>
      <c r="E336" s="1173">
        <v>795471.4561684196</v>
      </c>
      <c r="F336" s="1174">
        <v>21.599937786132973</v>
      </c>
      <c r="G336" s="1172">
        <v>188542.5572842719</v>
      </c>
      <c r="H336" s="1172">
        <v>173863.08853180928</v>
      </c>
      <c r="I336" s="1172">
        <v>274888.02386496717</v>
      </c>
      <c r="J336" s="1172">
        <v>903735.3342729838</v>
      </c>
      <c r="K336" s="1172">
        <v>140582.90568572632</v>
      </c>
      <c r="L336" s="1098"/>
      <c r="M336" s="1100"/>
      <c r="N336" s="1096"/>
      <c r="O336" s="1098"/>
      <c r="P336" s="1096"/>
      <c r="Q336" s="1096"/>
    </row>
    <row r="337">
      <c r="A337" s="1126"/>
      <c r="B337" s="1170">
        <v>44571.45114226852</v>
      </c>
      <c r="C337" s="1175">
        <v>1.1343089903062</v>
      </c>
      <c r="D337" s="1172">
        <v>901661.9369211238</v>
      </c>
      <c r="E337" s="1173">
        <v>794899.7536180379</v>
      </c>
      <c r="F337" s="1174">
        <v>21.51449080111177</v>
      </c>
      <c r="G337" s="1172">
        <v>188857.0909276806</v>
      </c>
      <c r="H337" s="1172">
        <v>176485.02848133867</v>
      </c>
      <c r="I337" s="1172">
        <v>267578.12664600153</v>
      </c>
      <c r="J337" s="1172">
        <v>901661.9369211238</v>
      </c>
      <c r="K337" s="1172">
        <v>140635.21182539803</v>
      </c>
      <c r="L337" s="1098"/>
      <c r="M337" s="1100"/>
      <c r="N337" s="1096"/>
      <c r="O337" s="1098"/>
      <c r="P337" s="1096"/>
      <c r="Q337" s="1096"/>
    </row>
    <row r="338">
      <c r="A338" s="1126"/>
      <c r="B338" s="1170">
        <v>44572.417287627315</v>
      </c>
      <c r="C338" s="1175">
        <v>1.13446212314586</v>
      </c>
      <c r="D338" s="1172">
        <v>901545.0715230899</v>
      </c>
      <c r="E338" s="1173">
        <v>794689.4419208181</v>
      </c>
      <c r="F338" s="1174">
        <v>21.457904406197027</v>
      </c>
      <c r="G338" s="1172">
        <v>189330.581281232</v>
      </c>
      <c r="H338" s="1172">
        <v>175465.2122899124</v>
      </c>
      <c r="I338" s="1172">
        <v>272146.5776838646</v>
      </c>
      <c r="J338" s="1172">
        <v>901545.0715230899</v>
      </c>
      <c r="K338" s="1172">
        <v>140702.99574838125</v>
      </c>
      <c r="L338" s="1098"/>
      <c r="M338" s="1100"/>
      <c r="N338" s="1096"/>
      <c r="O338" s="1098"/>
      <c r="P338" s="1096"/>
      <c r="Q338" s="1096"/>
    </row>
    <row r="339">
      <c r="A339" s="1126"/>
      <c r="B339" s="1170">
        <v>44573.51956833333</v>
      </c>
      <c r="C339" s="1175">
        <v>1.13627195987596</v>
      </c>
      <c r="D339" s="1172">
        <v>938708.5199433236</v>
      </c>
      <c r="E339" s="1173">
        <v>826130.145855044</v>
      </c>
      <c r="F339" s="1174">
        <v>21.916009569208793</v>
      </c>
      <c r="G339" s="1172">
        <v>214575.99138074397</v>
      </c>
      <c r="H339" s="1172">
        <v>182836.1685005668</v>
      </c>
      <c r="I339" s="1172">
        <v>290953.28250775253</v>
      </c>
      <c r="J339" s="1172">
        <v>938708.5199433236</v>
      </c>
      <c r="K339" s="1172">
        <v>121282.05507611486</v>
      </c>
      <c r="L339" s="1098"/>
      <c r="M339" s="1100"/>
      <c r="N339" s="1096"/>
      <c r="O339" s="1098"/>
      <c r="P339" s="1096"/>
      <c r="Q339" s="1096"/>
    </row>
    <row r="340">
      <c r="A340" s="1126"/>
      <c r="B340" s="1170">
        <v>44574.33343171296</v>
      </c>
      <c r="C340" s="1175">
        <v>1.14410323472308</v>
      </c>
      <c r="D340" s="1172">
        <v>966854.9229848875</v>
      </c>
      <c r="E340" s="1173">
        <v>845076.6448701686</v>
      </c>
      <c r="F340" s="1174">
        <v>22.11505250843581</v>
      </c>
      <c r="G340" s="1172">
        <v>219020.71252655442</v>
      </c>
      <c r="H340" s="1172">
        <v>186618.59637849004</v>
      </c>
      <c r="I340" s="1172">
        <v>306718.57505183213</v>
      </c>
      <c r="J340" s="1172">
        <v>966854.9229848875</v>
      </c>
      <c r="K340" s="1172">
        <v>121959.92391311581</v>
      </c>
      <c r="L340" s="1098"/>
      <c r="M340" s="1100"/>
      <c r="N340" s="1096"/>
      <c r="O340" s="1098"/>
      <c r="P340" s="1096"/>
      <c r="Q340" s="1096"/>
    </row>
    <row r="341">
      <c r="A341" s="1126"/>
      <c r="B341" s="1170">
        <v>44575.90577540509</v>
      </c>
      <c r="C341" s="1175">
        <v>1.14168284050691</v>
      </c>
      <c r="D341" s="1172">
        <v>936180.1835368281</v>
      </c>
      <c r="E341" s="1173">
        <v>820000.2227599059</v>
      </c>
      <c r="F341" s="1174">
        <v>21.73488104599719</v>
      </c>
      <c r="G341" s="1172">
        <v>215781.40960649314</v>
      </c>
      <c r="H341" s="1172">
        <v>184574.6314579558</v>
      </c>
      <c r="I341" s="1172">
        <v>246340.56258026484</v>
      </c>
      <c r="J341" s="1172">
        <v>936180.1835368281</v>
      </c>
      <c r="K341" s="1172">
        <v>122032.49635335655</v>
      </c>
      <c r="L341" s="1098"/>
      <c r="M341" s="1100"/>
      <c r="N341" s="1096"/>
      <c r="O341" s="1098"/>
      <c r="P341" s="1096"/>
      <c r="Q341" s="1096"/>
    </row>
    <row r="342">
      <c r="A342" s="1126"/>
      <c r="B342" s="1170">
        <v>44576.508605740746</v>
      </c>
      <c r="C342" s="1175">
        <v>1.14153035842912</v>
      </c>
      <c r="D342" s="1172">
        <v>935250.3327196182</v>
      </c>
      <c r="E342" s="1173">
        <v>819295.1907180398</v>
      </c>
      <c r="F342" s="1174">
        <v>21.712721879193584</v>
      </c>
      <c r="G342" s="1172">
        <v>215787.08651865183</v>
      </c>
      <c r="H342" s="1172">
        <v>182494.99931761398</v>
      </c>
      <c r="I342" s="1172">
        <v>245980.0012699188</v>
      </c>
      <c r="J342" s="1172">
        <v>935250.3327196182</v>
      </c>
      <c r="K342" s="1172">
        <v>122058.27157568284</v>
      </c>
      <c r="L342" s="1098"/>
      <c r="M342" s="1100"/>
      <c r="N342" s="1096"/>
      <c r="O342" s="1098"/>
      <c r="P342" s="1096"/>
      <c r="Q342" s="1096"/>
    </row>
    <row r="343">
      <c r="A343" s="1126"/>
      <c r="B343" s="1170">
        <v>44578.85564055556</v>
      </c>
      <c r="C343" s="1175">
        <v>1.14078547643194</v>
      </c>
      <c r="D343" s="1172">
        <v>939695.6620034253</v>
      </c>
      <c r="E343" s="1173">
        <v>823726.8806599223</v>
      </c>
      <c r="F343" s="1174">
        <v>22.268678479319554</v>
      </c>
      <c r="G343" s="1172">
        <v>211399.82652557924</v>
      </c>
      <c r="H343" s="1172">
        <v>170401.8918352282</v>
      </c>
      <c r="I343" s="1172">
        <v>238958.9953632031</v>
      </c>
      <c r="J343" s="1172">
        <v>939695.6620034253</v>
      </c>
      <c r="K343" s="1172">
        <v>121904.37081123012</v>
      </c>
      <c r="L343" s="1098"/>
      <c r="M343" s="1100"/>
      <c r="N343" s="1096"/>
      <c r="O343" s="1098"/>
      <c r="P343" s="1096"/>
      <c r="Q343" s="1096"/>
    </row>
    <row r="344">
      <c r="A344" s="1126"/>
      <c r="B344" s="1170">
        <v>44579.77168548611</v>
      </c>
      <c r="C344" s="1175">
        <v>1.13307385941953</v>
      </c>
      <c r="D344" s="1172">
        <v>915263.2971214383</v>
      </c>
      <c r="E344" s="1173">
        <v>807770.1991910083</v>
      </c>
      <c r="F344" s="1174">
        <v>21.966813515471582</v>
      </c>
      <c r="G344" s="1172">
        <v>208732.86465762492</v>
      </c>
      <c r="H344" s="1172">
        <v>188811.22040655185</v>
      </c>
      <c r="I344" s="1172">
        <v>235292.89602812642</v>
      </c>
      <c r="J344" s="1172">
        <v>915263.2971214383</v>
      </c>
      <c r="K344" s="1172">
        <v>137824.49813216517</v>
      </c>
      <c r="L344" s="1098"/>
      <c r="M344" s="1100"/>
      <c r="N344" s="1096"/>
      <c r="O344" s="1098"/>
      <c r="P344" s="1096"/>
      <c r="Q344" s="1096"/>
    </row>
    <row r="345">
      <c r="A345" s="1126"/>
      <c r="B345" s="1170">
        <v>44581.78355068287</v>
      </c>
      <c r="C345" s="1175">
        <v>1.13372643407891</v>
      </c>
      <c r="D345" s="1172">
        <v>978821.4158286148</v>
      </c>
      <c r="E345" s="1173">
        <v>863366.493367382</v>
      </c>
      <c r="F345" s="1174">
        <v>22.646921678070456</v>
      </c>
      <c r="G345" s="1172">
        <v>216524.0461734369</v>
      </c>
      <c r="H345" s="1172">
        <v>204727.8824611776</v>
      </c>
      <c r="I345" s="1172">
        <v>261066.32134718847</v>
      </c>
      <c r="J345" s="1172">
        <v>978821.4158286148</v>
      </c>
      <c r="K345" s="1172">
        <v>142795.52391889</v>
      </c>
      <c r="L345" s="1098"/>
      <c r="M345" s="1100"/>
      <c r="N345" s="1096"/>
      <c r="O345" s="1098"/>
      <c r="P345" s="1096"/>
      <c r="Q345" s="1096"/>
    </row>
    <row r="346">
      <c r="A346" s="1126"/>
      <c r="B346" s="1181">
        <v>44582.79512574074</v>
      </c>
      <c r="C346" s="1182">
        <v>1.13477881458735</v>
      </c>
      <c r="D346" s="1183">
        <v>871804.3917760233</v>
      </c>
      <c r="E346" s="1184">
        <v>768259.3123603964</v>
      </c>
      <c r="F346" s="1185">
        <v>22.688345490255653</v>
      </c>
      <c r="G346" s="1183">
        <v>192498.82152326652</v>
      </c>
      <c r="H346" s="1183">
        <v>177699.03609459774</v>
      </c>
      <c r="I346" s="1183">
        <v>220622.83256765286</v>
      </c>
      <c r="J346" s="1183">
        <v>871804.3917760233</v>
      </c>
      <c r="K346" s="1183">
        <v>141875.76888765758</v>
      </c>
      <c r="L346" s="1098"/>
      <c r="M346" s="1100"/>
      <c r="N346" s="1096"/>
      <c r="O346" s="1098"/>
      <c r="P346" s="1096"/>
      <c r="Q346" s="1096"/>
    </row>
    <row r="347">
      <c r="A347" s="1126"/>
      <c r="B347" s="1170">
        <v>44583.384770000004</v>
      </c>
      <c r="C347" s="1175">
        <v>1.13447499333496</v>
      </c>
      <c r="D347" s="1172">
        <v>773389.1076976754</v>
      </c>
      <c r="E347" s="1173">
        <v>681715.429816731</v>
      </c>
      <c r="F347" s="1174">
        <v>21.627406552558785</v>
      </c>
      <c r="G347" s="1172">
        <v>179145.31562076323</v>
      </c>
      <c r="H347" s="1172">
        <v>157643.20164120517</v>
      </c>
      <c r="I347" s="1172">
        <v>175015.6162068124</v>
      </c>
      <c r="J347" s="1172">
        <v>773389.1076976754</v>
      </c>
      <c r="K347" s="1172">
        <v>120556.99155279674</v>
      </c>
      <c r="L347" s="1098"/>
      <c r="M347" s="1100"/>
      <c r="N347" s="1096"/>
      <c r="O347" s="1098"/>
      <c r="P347" s="1096"/>
      <c r="Q347" s="1096"/>
    </row>
    <row r="348">
      <c r="A348" s="1126"/>
      <c r="B348" s="1170">
        <v>44584.77598864584</v>
      </c>
      <c r="C348" s="1175">
        <v>1.13472602040237</v>
      </c>
      <c r="D348" s="1172">
        <v>807922.9959758872</v>
      </c>
      <c r="E348" s="1173">
        <v>711998.2986636725</v>
      </c>
      <c r="F348" s="1174">
        <v>22.860445347825262</v>
      </c>
      <c r="G348" s="1172">
        <v>177050.48975390737</v>
      </c>
      <c r="H348" s="1172">
        <v>156517.49747570427</v>
      </c>
      <c r="I348" s="1172">
        <v>206268.68133859718</v>
      </c>
      <c r="J348" s="1172">
        <v>807922.9959758872</v>
      </c>
      <c r="K348" s="1172">
        <v>120636.7215965981</v>
      </c>
      <c r="L348" s="1098"/>
      <c r="M348" s="1100"/>
      <c r="N348" s="1096"/>
      <c r="O348" s="1098"/>
      <c r="P348" s="1096"/>
      <c r="Q348" s="1096"/>
    </row>
    <row r="349">
      <c r="A349" s="1126"/>
      <c r="B349" s="1170">
        <v>44585.80278817129</v>
      </c>
      <c r="C349" s="1175">
        <v>1.1316749014877</v>
      </c>
      <c r="D349" s="1172">
        <v>806641.0972795351</v>
      </c>
      <c r="E349" s="1173">
        <v>712785.1790466721</v>
      </c>
      <c r="F349" s="1174">
        <v>22.80899652614315</v>
      </c>
      <c r="G349" s="1172">
        <v>177168.29893727222</v>
      </c>
      <c r="H349" s="1172">
        <v>150298.0126030376</v>
      </c>
      <c r="I349" s="1172">
        <v>204239.51223208947</v>
      </c>
      <c r="J349" s="1172">
        <v>806641.0972795351</v>
      </c>
      <c r="K349" s="1172">
        <v>120215.78304306834</v>
      </c>
      <c r="L349" s="1098"/>
      <c r="M349" s="1100"/>
      <c r="N349" s="1096"/>
      <c r="O349" s="1098"/>
      <c r="P349" s="1096"/>
      <c r="Q349" s="1096"/>
    </row>
    <row r="350">
      <c r="A350" s="1126"/>
      <c r="B350" s="1170">
        <v>44587.52751211806</v>
      </c>
      <c r="C350" s="1175">
        <v>1.12824030615929</v>
      </c>
      <c r="D350" s="1172">
        <v>848714.4792549004</v>
      </c>
      <c r="E350" s="1173">
        <v>752246.196684871</v>
      </c>
      <c r="F350" s="1174">
        <v>22.424529300537454</v>
      </c>
      <c r="G350" s="1172">
        <v>189605.14813093934</v>
      </c>
      <c r="H350" s="1172">
        <v>166148.76828421623</v>
      </c>
      <c r="I350" s="1172">
        <v>177097.79856848513</v>
      </c>
      <c r="J350" s="1172">
        <v>848714.4792549004</v>
      </c>
      <c r="K350" s="1172">
        <v>141721.3149454041</v>
      </c>
      <c r="L350" s="1098"/>
      <c r="M350" s="1100"/>
      <c r="N350" s="1096"/>
      <c r="O350" s="1098"/>
      <c r="P350" s="1096"/>
      <c r="Q350" s="1096"/>
    </row>
    <row r="351">
      <c r="A351" s="1126"/>
      <c r="B351" s="1170">
        <v>44588.66657674768</v>
      </c>
      <c r="C351" s="1175">
        <v>1.11482471610989</v>
      </c>
      <c r="D351" s="1172">
        <v>800638.2069658674</v>
      </c>
      <c r="E351" s="1173">
        <v>718174.0729247944</v>
      </c>
      <c r="F351" s="1174">
        <v>21.643427032673944</v>
      </c>
      <c r="G351" s="1172">
        <v>185319.93202088945</v>
      </c>
      <c r="H351" s="1172">
        <v>138222.3479755835</v>
      </c>
      <c r="I351" s="1172">
        <v>121857.22208376533</v>
      </c>
      <c r="J351" s="1172">
        <v>800638.2069658674</v>
      </c>
      <c r="K351" s="1172">
        <v>209924.76862105826</v>
      </c>
      <c r="L351" s="1098"/>
      <c r="M351" s="1100"/>
      <c r="N351" s="1096"/>
      <c r="O351" s="1098"/>
      <c r="P351" s="1096"/>
      <c r="Q351" s="1096"/>
    </row>
    <row r="352">
      <c r="A352" s="1126"/>
      <c r="B352" s="1170">
        <v>44594.35809721064</v>
      </c>
      <c r="C352" s="1175">
        <v>1.12765252064168</v>
      </c>
      <c r="D352" s="1172">
        <v>783837.8099452765</v>
      </c>
      <c r="E352" s="1173">
        <v>695105.8021838509</v>
      </c>
      <c r="F352" s="1174">
        <v>20.428334484458944</v>
      </c>
      <c r="G352" s="1172">
        <v>192222.88802970762</v>
      </c>
      <c r="H352" s="1172">
        <v>152067.61584186758</v>
      </c>
      <c r="I352" s="1172">
        <v>103693.02833449964</v>
      </c>
      <c r="J352" s="1172">
        <v>783837.8099452765</v>
      </c>
      <c r="K352" s="1172">
        <v>215362.296452</v>
      </c>
      <c r="L352" s="1098"/>
      <c r="M352" s="1100"/>
      <c r="N352" s="1096"/>
      <c r="O352" s="1098"/>
      <c r="P352" s="1096"/>
      <c r="Q352" s="1096"/>
    </row>
    <row r="353">
      <c r="A353" s="1126"/>
      <c r="B353" s="1170">
        <v>44595.708840625</v>
      </c>
      <c r="C353" s="1175">
        <v>1.1409260440329</v>
      </c>
      <c r="D353" s="1172">
        <v>769348.2553986447</v>
      </c>
      <c r="E353" s="1173">
        <v>674319.1282400594</v>
      </c>
      <c r="F353" s="1174">
        <v>20.831876877777162</v>
      </c>
      <c r="G353" s="1172">
        <v>185014.77959504104</v>
      </c>
      <c r="H353" s="1172">
        <v>145485.29847852103</v>
      </c>
      <c r="I353" s="1172">
        <v>99780.54910638888</v>
      </c>
      <c r="J353" s="1172">
        <v>769348.2553986447</v>
      </c>
      <c r="K353" s="1172">
        <v>215658.76131839765</v>
      </c>
      <c r="L353" s="1098"/>
      <c r="M353" s="1100"/>
      <c r="N353" s="1096"/>
      <c r="O353" s="1098"/>
      <c r="P353" s="1096"/>
      <c r="Q353" s="1096"/>
    </row>
    <row r="354">
      <c r="A354" s="1126"/>
      <c r="B354" s="1170">
        <v>44596.89388413195</v>
      </c>
      <c r="C354" s="1175">
        <v>1.14543601021729</v>
      </c>
      <c r="D354" s="1172">
        <v>822295.010922849</v>
      </c>
      <c r="E354" s="1173">
        <v>717888.2133859743</v>
      </c>
      <c r="F354" s="1174">
        <v>20.197295134894233</v>
      </c>
      <c r="G354" s="1172">
        <v>203960.60572218226</v>
      </c>
      <c r="H354" s="1172">
        <v>163304.29235645314</v>
      </c>
      <c r="I354" s="1172">
        <v>103783.54979560514</v>
      </c>
      <c r="J354" s="1172">
        <v>822295.010922849</v>
      </c>
      <c r="K354" s="1172">
        <v>215799.35058644068</v>
      </c>
      <c r="L354" s="1098"/>
      <c r="M354" s="1100"/>
      <c r="N354" s="1096"/>
      <c r="O354" s="1098"/>
      <c r="P354" s="1096"/>
      <c r="Q354" s="1096"/>
    </row>
    <row r="355">
      <c r="A355" s="1126"/>
      <c r="B355" s="1170">
        <v>44597.35478887732</v>
      </c>
      <c r="C355" s="1175">
        <v>1.14491537358016</v>
      </c>
      <c r="D355" s="1172">
        <v>842189.8328131877</v>
      </c>
      <c r="E355" s="1173">
        <v>735591.3391045253</v>
      </c>
      <c r="F355" s="1174">
        <v>20.303079605034302</v>
      </c>
      <c r="G355" s="1172">
        <v>207806.88204969722</v>
      </c>
      <c r="H355" s="1172">
        <v>165873.52052532957</v>
      </c>
      <c r="I355" s="1172">
        <v>114716.18073144832</v>
      </c>
      <c r="J355" s="1172">
        <v>842189.8328131877</v>
      </c>
      <c r="K355" s="1172">
        <v>215847.93047106106</v>
      </c>
      <c r="L355" s="1098"/>
      <c r="M355" s="1100"/>
      <c r="N355" s="1096"/>
      <c r="O355" s="1098"/>
      <c r="P355" s="1096"/>
      <c r="Q355" s="1096"/>
    </row>
    <row r="356">
      <c r="A356" s="1126"/>
      <c r="B356" s="1170">
        <v>44599.803303368055</v>
      </c>
      <c r="C356" s="1175">
        <v>1.14298777003086</v>
      </c>
      <c r="D356" s="1172">
        <v>872465.1075614038</v>
      </c>
      <c r="E356" s="1173">
        <v>763319.7226054727</v>
      </c>
      <c r="F356" s="1174">
        <v>19.728678185580318</v>
      </c>
      <c r="G356" s="1172">
        <v>221544.98729887712</v>
      </c>
      <c r="H356" s="1172">
        <v>173620.98851900705</v>
      </c>
      <c r="I356" s="1172">
        <v>116394.38481444556</v>
      </c>
      <c r="J356" s="1172">
        <v>872465.1075614038</v>
      </c>
      <c r="K356" s="1172">
        <v>216215.31435992775</v>
      </c>
      <c r="L356" s="1098"/>
      <c r="M356" s="1100"/>
      <c r="N356" s="1096"/>
      <c r="O356" s="1098"/>
      <c r="P356" s="1096"/>
      <c r="Q356" s="1096"/>
    </row>
    <row r="357">
      <c r="A357" s="1126"/>
      <c r="B357" s="1170">
        <v>44600.34507896991</v>
      </c>
      <c r="C357" s="1175">
        <v>1.1415499051372</v>
      </c>
      <c r="D357" s="1172">
        <v>874904.8640191314</v>
      </c>
      <c r="E357" s="1173">
        <v>766418.4106904891</v>
      </c>
      <c r="F357" s="1174">
        <v>19.587729009739686</v>
      </c>
      <c r="G357" s="1172">
        <v>223763.16353236025</v>
      </c>
      <c r="H357" s="1172">
        <v>174986.45010509368</v>
      </c>
      <c r="I357" s="1172">
        <v>117911.08197175761</v>
      </c>
      <c r="J357" s="1172">
        <v>874904.8640191314</v>
      </c>
      <c r="K357" s="1172">
        <v>216278.39017159745</v>
      </c>
      <c r="L357" s="1098"/>
      <c r="M357" s="1100"/>
      <c r="N357" s="1096"/>
      <c r="O357" s="1098"/>
      <c r="P357" s="1096"/>
      <c r="Q357" s="1096"/>
    </row>
    <row r="358">
      <c r="A358" s="1126"/>
      <c r="B358" s="1170">
        <v>44601.91610574074</v>
      </c>
      <c r="C358" s="1175">
        <v>1.1422422901501</v>
      </c>
      <c r="D358" s="1172">
        <v>876999.315707187</v>
      </c>
      <c r="E358" s="1173">
        <v>767787.4679214882</v>
      </c>
      <c r="F358" s="1174">
        <v>19.61186167951244</v>
      </c>
      <c r="G358" s="1172">
        <v>224022.83165126285</v>
      </c>
      <c r="H358" s="1172">
        <v>179545.25181042412</v>
      </c>
      <c r="I358" s="1172">
        <v>116832.54056442402</v>
      </c>
      <c r="J358" s="1172">
        <v>876999.315707187</v>
      </c>
      <c r="K358" s="1172">
        <v>216466.5900399777</v>
      </c>
      <c r="L358" s="1098"/>
      <c r="M358" s="1100"/>
      <c r="N358" s="1096"/>
      <c r="O358" s="1098"/>
      <c r="P358" s="1096"/>
      <c r="Q358" s="1096"/>
    </row>
    <row r="359">
      <c r="A359" s="1126"/>
      <c r="B359" s="1170">
        <v>44603.97648607639</v>
      </c>
      <c r="C359" s="1175">
        <v>1.13492949817957</v>
      </c>
      <c r="D359" s="1172">
        <v>818363.3928815717</v>
      </c>
      <c r="E359" s="1173">
        <v>721069.8058286693</v>
      </c>
      <c r="F359" s="1174">
        <v>19.28442750539613</v>
      </c>
      <c r="G359" s="1172">
        <v>212594.1418648136</v>
      </c>
      <c r="H359" s="1172">
        <v>159355.478076102</v>
      </c>
      <c r="I359" s="1172">
        <v>104635.15932263089</v>
      </c>
      <c r="J359" s="1172">
        <v>818363.3928815717</v>
      </c>
      <c r="K359" s="1172">
        <v>216704.1596489014</v>
      </c>
      <c r="L359" s="1098"/>
      <c r="M359" s="1100"/>
      <c r="N359" s="1096"/>
      <c r="O359" s="1098"/>
      <c r="P359" s="1096"/>
      <c r="Q359" s="1096"/>
    </row>
    <row r="360">
      <c r="A360" s="1126"/>
      <c r="B360" s="1170">
        <v>44604.38632149306</v>
      </c>
      <c r="C360" s="1175">
        <v>1.13509954823038</v>
      </c>
      <c r="D360" s="1172">
        <v>818665.7137115052</v>
      </c>
      <c r="E360" s="1173">
        <v>721228.1204655616</v>
      </c>
      <c r="F360" s="1174">
        <v>19.39558181562698</v>
      </c>
      <c r="G360" s="1172">
        <v>211453.87093645794</v>
      </c>
      <c r="H360" s="1172">
        <v>160217.6617047197</v>
      </c>
      <c r="I360" s="1172">
        <v>103753.68546630933</v>
      </c>
      <c r="J360" s="1172">
        <v>818665.7137115052</v>
      </c>
      <c r="K360" s="1172">
        <v>216751.54803872624</v>
      </c>
      <c r="L360" s="1098"/>
      <c r="M360" s="1100"/>
      <c r="N360" s="1096"/>
      <c r="O360" s="1098"/>
      <c r="P360" s="1096"/>
      <c r="Q360" s="1096"/>
    </row>
    <row r="361">
      <c r="A361" s="1126"/>
      <c r="B361" s="1186">
        <v>44606.42537037037</v>
      </c>
      <c r="C361" s="1175">
        <v>1.13299683327385</v>
      </c>
      <c r="D361" s="1172">
        <v>845860.70182211</v>
      </c>
      <c r="E361" s="1173">
        <v>746569.3433387222</v>
      </c>
      <c r="F361" s="1174">
        <v>19.249686770485045</v>
      </c>
      <c r="G361" s="1172">
        <v>220133.95216417345</v>
      </c>
      <c r="H361" s="1172">
        <v>166830.77024387626</v>
      </c>
      <c r="I361" s="1172">
        <v>112127.8273290087</v>
      </c>
      <c r="J361" s="1172">
        <v>845860.70182211</v>
      </c>
      <c r="K361" s="1172">
        <v>216735.01240016214</v>
      </c>
      <c r="L361" s="1098"/>
      <c r="M361" s="1100"/>
      <c r="N361" s="1096"/>
      <c r="O361" s="1098"/>
      <c r="P361" s="1096"/>
      <c r="Q361" s="1096"/>
    </row>
    <row r="362">
      <c r="A362" s="1126"/>
      <c r="B362" s="1186">
        <v>44607.596770833334</v>
      </c>
      <c r="C362" s="1175">
        <v>1.13774703332461</v>
      </c>
      <c r="D362" s="1172">
        <v>851701.5346072855</v>
      </c>
      <c r="E362" s="1173">
        <v>748586.0298123818</v>
      </c>
      <c r="F362" s="1174">
        <v>19.35888800141633</v>
      </c>
      <c r="G362" s="1172">
        <v>220403.69545824412</v>
      </c>
      <c r="H362" s="1172">
        <v>169002.67447429273</v>
      </c>
      <c r="I362" s="1172">
        <v>114389.96531855011</v>
      </c>
      <c r="J362" s="1172">
        <v>851701.5346072855</v>
      </c>
      <c r="K362" s="1172">
        <v>217780.75170385564</v>
      </c>
      <c r="L362" s="1098"/>
      <c r="M362" s="1100"/>
      <c r="N362" s="1096"/>
      <c r="O362" s="1098"/>
      <c r="P362" s="1096"/>
      <c r="Q362" s="1096"/>
    </row>
    <row r="363">
      <c r="A363" s="1126"/>
      <c r="B363" s="1170">
        <v>44608.59746001157</v>
      </c>
      <c r="C363" s="1175">
        <v>1.13734459607775</v>
      </c>
      <c r="D363" s="1172">
        <v>851701.5346072855</v>
      </c>
      <c r="E363" s="1173">
        <v>748850.9089896466</v>
      </c>
      <c r="F363" s="1174">
        <v>19.35888800141633</v>
      </c>
      <c r="G363" s="1172">
        <v>220403.69545824412</v>
      </c>
      <c r="H363" s="1172">
        <v>169002.67447429273</v>
      </c>
      <c r="I363" s="1172">
        <v>114389.96531855011</v>
      </c>
      <c r="J363" s="1172">
        <v>851701.5346072855</v>
      </c>
      <c r="K363" s="1172">
        <v>217780.75170385564</v>
      </c>
      <c r="L363" s="1098"/>
      <c r="M363" s="1100"/>
      <c r="N363" s="1096"/>
      <c r="O363" s="1098"/>
      <c r="P363" s="1096"/>
      <c r="Q363" s="1096"/>
    </row>
    <row r="364">
      <c r="A364" s="1126"/>
      <c r="B364" s="1170">
        <v>44610.61540679398</v>
      </c>
      <c r="C364" s="1175">
        <v>1.13553005407394</v>
      </c>
      <c r="D364" s="1172">
        <v>809487.1220936697</v>
      </c>
      <c r="E364" s="1173">
        <v>712871.5961233027</v>
      </c>
      <c r="F364" s="1174">
        <v>20.073089716530035</v>
      </c>
      <c r="G364" s="1172">
        <v>202026.140820954</v>
      </c>
      <c r="H364" s="1172">
        <v>175853.5280476131</v>
      </c>
      <c r="I364" s="1172">
        <v>102813.7910164528</v>
      </c>
      <c r="J364" s="1172">
        <v>809487.1220936697</v>
      </c>
      <c r="K364" s="1172">
        <v>197861.81215749192</v>
      </c>
      <c r="L364" s="1098"/>
      <c r="M364" s="1100"/>
      <c r="N364" s="1096"/>
      <c r="O364" s="1098"/>
      <c r="P364" s="1096"/>
      <c r="Q364" s="1096"/>
    </row>
    <row r="365">
      <c r="A365" s="1126"/>
      <c r="B365" s="1170">
        <v>44611.55669025463</v>
      </c>
      <c r="C365" s="1175">
        <v>1.13220535487845</v>
      </c>
      <c r="D365" s="1172">
        <v>790660.9010312302</v>
      </c>
      <c r="E365" s="1173">
        <v>698337.0089396132</v>
      </c>
      <c r="F365" s="1174">
        <v>19.793370406519447</v>
      </c>
      <c r="G365" s="1172">
        <v>200112.19759225188</v>
      </c>
      <c r="H365" s="1172">
        <v>181069.32628028368</v>
      </c>
      <c r="I365" s="1172">
        <v>101816.5481631112</v>
      </c>
      <c r="J365" s="1172">
        <v>790660.9010312302</v>
      </c>
      <c r="K365" s="1172">
        <v>182963.72293565446</v>
      </c>
      <c r="L365" s="1098"/>
      <c r="M365" s="1100"/>
      <c r="N365" s="1096"/>
      <c r="O365" s="1098"/>
      <c r="P365" s="1096"/>
      <c r="Q365" s="1096"/>
    </row>
    <row r="366">
      <c r="A366" s="1126"/>
      <c r="B366" s="1170">
        <v>44613.34330201389</v>
      </c>
      <c r="C366" s="1175">
        <v>1.13647211779306</v>
      </c>
      <c r="D366" s="1172">
        <v>790101.0629931942</v>
      </c>
      <c r="E366" s="1173">
        <v>695222.5669447208</v>
      </c>
      <c r="F366" s="1174">
        <v>20.172871535552147</v>
      </c>
      <c r="G366" s="1172">
        <v>196208.57041572244</v>
      </c>
      <c r="H366" s="1172">
        <v>181605.3096539696</v>
      </c>
      <c r="I366" s="1172">
        <v>82404.39059400884</v>
      </c>
      <c r="J366" s="1172">
        <v>790101.0629931942</v>
      </c>
      <c r="K366" s="1172">
        <v>203692.13642102355</v>
      </c>
      <c r="L366" s="1098"/>
      <c r="M366" s="1100"/>
      <c r="N366" s="1096"/>
      <c r="O366" s="1098"/>
      <c r="P366" s="1096"/>
      <c r="Q366" s="1096"/>
    </row>
    <row r="367">
      <c r="A367" s="1126"/>
      <c r="B367" s="1170">
        <v>44614.37842050926</v>
      </c>
      <c r="C367" s="1175">
        <v>1.129498084936</v>
      </c>
      <c r="D367" s="1172">
        <v>768339.5653529877</v>
      </c>
      <c r="E367" s="1173">
        <v>680248.6658457005</v>
      </c>
      <c r="F367" s="1174">
        <v>20.830246161832157</v>
      </c>
      <c r="G367" s="1172">
        <v>187169.43746994785</v>
      </c>
      <c r="H367" s="1172">
        <v>167459.3014658561</v>
      </c>
      <c r="I367" s="1172">
        <v>57473.554728043986</v>
      </c>
      <c r="J367" s="1172">
        <v>768339.5653529877</v>
      </c>
      <c r="K367" s="1172">
        <v>242884.0030406408</v>
      </c>
      <c r="L367" s="1098"/>
      <c r="M367" s="1100"/>
      <c r="N367" s="1096"/>
      <c r="O367" s="1098"/>
      <c r="P367" s="1096"/>
      <c r="Q367" s="1096"/>
    </row>
    <row r="368">
      <c r="A368" s="1126"/>
      <c r="B368" s="1170">
        <v>44615.411010138894</v>
      </c>
      <c r="C368" s="1175">
        <v>1.1334501542625701</v>
      </c>
      <c r="D368" s="1172">
        <v>788903.2688223762</v>
      </c>
      <c r="E368" s="1173">
        <v>696019.3757577647</v>
      </c>
      <c r="F368" s="1174">
        <v>20.371733310564256</v>
      </c>
      <c r="G368" s="1172">
        <v>196504.23437015357</v>
      </c>
      <c r="H368" s="1172">
        <v>179660.80335125286</v>
      </c>
      <c r="I368" s="1172">
        <v>65414.632233549535</v>
      </c>
      <c r="J368" s="1172">
        <v>788903.2688223762</v>
      </c>
      <c r="K368" s="1172">
        <v>223471.87099029362</v>
      </c>
      <c r="L368" s="1098"/>
      <c r="M368" s="1100"/>
      <c r="N368" s="1096"/>
      <c r="O368" s="1098"/>
      <c r="P368" s="1096"/>
      <c r="Q368" s="1096"/>
    </row>
    <row r="369">
      <c r="A369" s="1126"/>
      <c r="B369" s="1170">
        <v>44616.346221597225</v>
      </c>
      <c r="C369" s="1175">
        <v>1.12522771795942</v>
      </c>
      <c r="D369" s="1172">
        <v>726020.5531252594</v>
      </c>
      <c r="E369" s="1173">
        <v>645220.9997473974</v>
      </c>
      <c r="F369" s="1174">
        <v>20.859442245167372</v>
      </c>
      <c r="G369" s="1172">
        <v>176612.87628996925</v>
      </c>
      <c r="H369" s="1172">
        <v>154934.14019791497</v>
      </c>
      <c r="I369" s="1172">
        <v>36861.60836450098</v>
      </c>
      <c r="J369" s="1172">
        <v>726020.5531252594</v>
      </c>
      <c r="K369" s="1172">
        <v>248187.98971455303</v>
      </c>
      <c r="L369" s="1098"/>
      <c r="M369" s="1100"/>
      <c r="N369" s="1096"/>
      <c r="O369" s="1098"/>
      <c r="P369" s="1096"/>
      <c r="Q369" s="1096"/>
    </row>
    <row r="370">
      <c r="A370" s="1126"/>
      <c r="B370" s="1170">
        <v>44617.854366597225</v>
      </c>
      <c r="C370" s="1175">
        <v>1.12552533895196</v>
      </c>
      <c r="D370" s="1172">
        <v>798873.1864971645</v>
      </c>
      <c r="E370" s="1173">
        <v>709778.0554998792</v>
      </c>
      <c r="F370" s="1174">
        <v>20.61125074689277</v>
      </c>
      <c r="G370" s="1172">
        <v>196675.21685231436</v>
      </c>
      <c r="H370" s="1172">
        <v>177981.044457927</v>
      </c>
      <c r="I370" s="1172">
        <v>45656.97077408932</v>
      </c>
      <c r="J370" s="1172">
        <v>798873.1864971645</v>
      </c>
      <c r="K370" s="1172">
        <v>248187.98971455303</v>
      </c>
      <c r="L370" s="1098"/>
      <c r="M370" s="1100"/>
      <c r="N370" s="1096"/>
      <c r="O370" s="1098"/>
      <c r="P370" s="1096"/>
      <c r="Q370" s="1096"/>
    </row>
    <row r="371">
      <c r="A371" s="1126"/>
      <c r="B371" s="1170">
        <v>44618.44909766204</v>
      </c>
      <c r="C371" s="1175">
        <v>1.1273995289724799</v>
      </c>
      <c r="D371" s="1172">
        <v>813142.8121259505</v>
      </c>
      <c r="E371" s="1173">
        <v>721255.2349272798</v>
      </c>
      <c r="F371" s="1174">
        <v>20.909337505955488</v>
      </c>
      <c r="G371" s="1172">
        <v>197334.35219530453</v>
      </c>
      <c r="H371" s="1172">
        <v>182820.67751543992</v>
      </c>
      <c r="I371" s="1172">
        <v>46010.3936939962</v>
      </c>
      <c r="J371" s="1172">
        <v>813142.8121259505</v>
      </c>
      <c r="K371" s="1172">
        <v>248187.98971455303</v>
      </c>
      <c r="L371" s="1098"/>
      <c r="M371" s="1100"/>
      <c r="N371" s="1096"/>
      <c r="O371" s="1098"/>
      <c r="P371" s="1096"/>
      <c r="Q371" s="1096"/>
    </row>
    <row r="372">
      <c r="A372" s="1126"/>
      <c r="B372" s="1170">
        <v>44620.57914056713</v>
      </c>
      <c r="C372" s="1175">
        <v>1.11939463138335</v>
      </c>
      <c r="D372" s="1172">
        <v>809989.7756645093</v>
      </c>
      <c r="E372" s="1173">
        <v>723596.2661921313</v>
      </c>
      <c r="F372" s="1174">
        <v>21.07009279494481</v>
      </c>
      <c r="G372" s="1172">
        <v>195069.43603212474</v>
      </c>
      <c r="H372" s="1172">
        <v>175791.8941200839</v>
      </c>
      <c r="I372" s="1172">
        <v>49698.28159123407</v>
      </c>
      <c r="J372" s="1172">
        <v>809989.7756645093</v>
      </c>
      <c r="K372" s="1172">
        <v>248862.18865176</v>
      </c>
      <c r="L372" s="1098"/>
      <c r="M372" s="1100"/>
      <c r="N372" s="1096"/>
      <c r="O372" s="1098"/>
      <c r="P372" s="1096"/>
      <c r="Q372" s="1096"/>
    </row>
    <row r="373">
      <c r="A373" s="1126"/>
      <c r="B373" s="1170">
        <v>44621.436617025465</v>
      </c>
      <c r="C373" s="1175">
        <v>1.1227112128537</v>
      </c>
      <c r="D373" s="1172">
        <v>878346.4253889748</v>
      </c>
      <c r="E373" s="1173">
        <v>782344.0394403826</v>
      </c>
      <c r="F373" s="1174">
        <v>20.246771581112334</v>
      </c>
      <c r="G373" s="1172">
        <v>220133.52837491798</v>
      </c>
      <c r="H373" s="1172">
        <v>193237.89624360902</v>
      </c>
      <c r="I373" s="1172">
        <v>28878.549081480942</v>
      </c>
      <c r="J373" s="1172">
        <v>878346.4253889748</v>
      </c>
      <c r="K373" s="1172">
        <v>302898.23778200237</v>
      </c>
      <c r="L373" s="1098"/>
      <c r="M373" s="1100"/>
      <c r="N373" s="1096"/>
      <c r="O373" s="1098"/>
      <c r="P373" s="1096"/>
      <c r="Q373" s="1096"/>
    </row>
    <row r="374">
      <c r="A374" s="1126"/>
      <c r="B374" s="1170">
        <v>44622.78826901621</v>
      </c>
      <c r="C374" s="1175">
        <v>1.10939770798434</v>
      </c>
      <c r="D374" s="1172">
        <v>890032.9445535701</v>
      </c>
      <c r="E374" s="1173">
        <v>802266.7958911392</v>
      </c>
      <c r="F374" s="1174">
        <v>20.25114474698668</v>
      </c>
      <c r="G374" s="1172">
        <v>231782.24251668795</v>
      </c>
      <c r="H374" s="1172">
        <v>196292.1149328634</v>
      </c>
      <c r="I374" s="1172">
        <v>4.862425079306208</v>
      </c>
      <c r="J374" s="1172">
        <v>890032.9445535701</v>
      </c>
      <c r="K374" s="1172">
        <v>323741.9678433072</v>
      </c>
      <c r="L374" s="1098"/>
      <c r="M374" s="1100"/>
      <c r="N374" s="1096"/>
      <c r="O374" s="1098"/>
      <c r="P374" s="1096"/>
      <c r="Q374" s="1096"/>
    </row>
    <row r="375">
      <c r="A375" s="1126"/>
      <c r="B375" s="1170">
        <v>44624.68407790509</v>
      </c>
      <c r="C375" s="1175">
        <v>1.09128012615198</v>
      </c>
      <c r="D375" s="1172">
        <v>860900.6990929213</v>
      </c>
      <c r="E375" s="1173">
        <v>788890.6601172958</v>
      </c>
      <c r="F375" s="1174">
        <v>21.1308447023142</v>
      </c>
      <c r="G375" s="1172">
        <v>223121.62963778764</v>
      </c>
      <c r="H375" s="1172">
        <v>177362.09136019193</v>
      </c>
      <c r="I375" s="1172">
        <v>0.0</v>
      </c>
      <c r="J375" s="1172">
        <v>860900.6990929213</v>
      </c>
      <c r="K375" s="1172">
        <v>315647.08516264835</v>
      </c>
      <c r="L375" s="1098"/>
      <c r="M375" s="1100"/>
      <c r="N375" s="1096"/>
      <c r="O375" s="1098"/>
      <c r="P375" s="1096"/>
      <c r="Q375" s="1096"/>
    </row>
    <row r="376">
      <c r="A376" s="1126"/>
      <c r="B376" s="1170">
        <v>44625.46540973379</v>
      </c>
      <c r="C376" s="1175">
        <v>1.09302518767242</v>
      </c>
      <c r="D376" s="1172">
        <v>867698.9931487832</v>
      </c>
      <c r="E376" s="1173">
        <v>793850.86723988</v>
      </c>
      <c r="F376" s="1174">
        <v>22.219700070505304</v>
      </c>
      <c r="G376" s="1172">
        <v>221873.22872810147</v>
      </c>
      <c r="H376" s="1172">
        <v>175326.45361716696</v>
      </c>
      <c r="I376" s="1172">
        <v>14276.236856150768</v>
      </c>
      <c r="J376" s="1172">
        <v>867698.9931487832</v>
      </c>
      <c r="K376" s="1172">
        <v>307769.739768765</v>
      </c>
      <c r="L376" s="1098"/>
      <c r="M376" s="1100"/>
      <c r="N376" s="1096"/>
      <c r="O376" s="1098"/>
      <c r="P376" s="1096"/>
      <c r="Q376" s="1096"/>
    </row>
    <row r="377">
      <c r="A377" s="1126"/>
      <c r="B377" s="1170">
        <v>44627.49646582176</v>
      </c>
      <c r="C377" s="1175">
        <v>1.08327808615094</v>
      </c>
      <c r="D377" s="1172">
        <v>835674.0599270189</v>
      </c>
      <c r="E377" s="1173">
        <v>771430.7808960692</v>
      </c>
      <c r="F377" s="1174">
        <v>21.87572312230588</v>
      </c>
      <c r="G377" s="1172">
        <v>217044.3603853748</v>
      </c>
      <c r="H377" s="1172">
        <v>167527.75727661938</v>
      </c>
      <c r="I377" s="1172">
        <v>13267.055213262754</v>
      </c>
      <c r="J377" s="1172">
        <v>835674.0599270189</v>
      </c>
      <c r="K377" s="1172">
        <v>300598.7272414462</v>
      </c>
      <c r="L377" s="1098"/>
      <c r="M377" s="1100"/>
      <c r="N377" s="1096"/>
      <c r="O377" s="1098"/>
      <c r="P377" s="1096"/>
      <c r="Q377" s="1096"/>
    </row>
    <row r="378">
      <c r="A378" s="1126"/>
      <c r="B378" s="1170">
        <v>44628.687641805554</v>
      </c>
      <c r="C378" s="1175">
        <v>1.08918935992698</v>
      </c>
      <c r="D378" s="1172">
        <v>825231.9297369665</v>
      </c>
      <c r="E378" s="1173">
        <v>757656.9879385259</v>
      </c>
      <c r="F378" s="1174">
        <v>21.261459871873935</v>
      </c>
      <c r="G378" s="1172">
        <v>228268.81553173612</v>
      </c>
      <c r="H378" s="1172">
        <v>170380.91104694438</v>
      </c>
      <c r="I378" s="1172">
        <v>13411.610078283966</v>
      </c>
      <c r="J378" s="1172">
        <v>825231.9297369665</v>
      </c>
      <c r="K378" s="1172">
        <v>301237.0925804054</v>
      </c>
      <c r="L378" s="1098"/>
      <c r="M378" s="1100"/>
      <c r="N378" s="1096"/>
      <c r="O378" s="1098"/>
      <c r="P378" s="1096"/>
      <c r="Q378" s="1096"/>
    </row>
    <row r="379">
      <c r="A379" s="1126"/>
      <c r="B379" s="1170">
        <v>44629.635633530095</v>
      </c>
      <c r="C379" s="1175">
        <v>1.10015963316277</v>
      </c>
      <c r="D379" s="1172">
        <v>866265.5516312558</v>
      </c>
      <c r="E379" s="1173">
        <v>787399.869545196</v>
      </c>
      <c r="F379" s="1174">
        <v>20.585980338449954</v>
      </c>
      <c r="G379" s="1172">
        <v>247481.72463409766</v>
      </c>
      <c r="H379" s="1172">
        <v>181105.9055744307</v>
      </c>
      <c r="I379" s="1172">
        <v>15340.0</v>
      </c>
      <c r="J379" s="1172">
        <v>866265.5516312558</v>
      </c>
      <c r="K379" s="1172">
        <v>301388.6074955672</v>
      </c>
      <c r="L379" s="1098"/>
      <c r="M379" s="1100"/>
      <c r="N379" s="1096"/>
      <c r="O379" s="1098"/>
      <c r="P379" s="1096"/>
      <c r="Q379" s="1096"/>
    </row>
    <row r="380">
      <c r="A380" s="1126"/>
      <c r="B380" s="1170">
        <v>44631.6266753588</v>
      </c>
      <c r="C380" s="1175">
        <v>1.09875017167971</v>
      </c>
      <c r="D380" s="1172">
        <v>842211.4598197996</v>
      </c>
      <c r="E380" s="1173">
        <v>766517.7048684983</v>
      </c>
      <c r="F380" s="1174">
        <v>21.441896916726932</v>
      </c>
      <c r="G380" s="1172">
        <v>246824.1634320267</v>
      </c>
      <c r="H380" s="1172">
        <v>173271.61394684773</v>
      </c>
      <c r="I380" s="1172">
        <v>5.135799345828877</v>
      </c>
      <c r="J380" s="1172">
        <v>842211.4598197996</v>
      </c>
      <c r="K380" s="1172">
        <v>324971.5454169621</v>
      </c>
      <c r="L380" s="1098"/>
      <c r="M380" s="1100"/>
      <c r="N380" s="1096"/>
      <c r="O380" s="1098"/>
      <c r="P380" s="1096"/>
      <c r="Q380" s="1096"/>
    </row>
    <row r="381">
      <c r="A381" s="1126"/>
      <c r="B381" s="1170">
        <v>44633.7894609838</v>
      </c>
      <c r="C381" s="1175">
        <v>1.09140041953432</v>
      </c>
      <c r="D381" s="1172">
        <v>825114.6601700255</v>
      </c>
      <c r="E381" s="1173">
        <v>756014.6078394274</v>
      </c>
      <c r="F381" s="1174">
        <v>21.174538083320215</v>
      </c>
      <c r="G381" s="1172">
        <v>260620.5739800359</v>
      </c>
      <c r="H381" s="1172">
        <v>170748.56389337644</v>
      </c>
      <c r="I381" s="1172">
        <v>4.803469129579426</v>
      </c>
      <c r="J381" s="1172">
        <v>825114.6601700255</v>
      </c>
      <c r="K381" s="1172">
        <v>301753.9386169291</v>
      </c>
      <c r="L381" s="1098"/>
      <c r="M381" s="1100"/>
      <c r="N381" s="1096"/>
      <c r="O381" s="1098"/>
      <c r="P381" s="1096"/>
      <c r="Q381" s="1096"/>
    </row>
    <row r="382">
      <c r="A382" s="1126"/>
      <c r="B382" s="1170">
        <v>44634.64595634259</v>
      </c>
      <c r="C382" s="1175">
        <v>1.09664033267681</v>
      </c>
      <c r="D382" s="1172">
        <v>824514.1877218884</v>
      </c>
      <c r="E382" s="1173">
        <v>751854.6994430857</v>
      </c>
      <c r="F382" s="1174">
        <v>21.082133339180363</v>
      </c>
      <c r="G382" s="1172">
        <v>261572.39919375489</v>
      </c>
      <c r="H382" s="1172">
        <v>171318.16693371354</v>
      </c>
      <c r="I382" s="1172">
        <v>24084.34896252662</v>
      </c>
      <c r="J382" s="1172">
        <v>824514.1877218884</v>
      </c>
      <c r="K382" s="1172">
        <v>301905.17532743583</v>
      </c>
      <c r="L382" s="1098"/>
      <c r="M382" s="1100"/>
      <c r="N382" s="1096"/>
      <c r="O382" s="1098"/>
      <c r="P382" s="1096"/>
      <c r="Q382" s="1096"/>
    </row>
    <row r="383">
      <c r="A383" s="1126"/>
      <c r="B383" s="1170">
        <v>44636.44520912037</v>
      </c>
      <c r="C383" s="1175">
        <v>1.09921032730087</v>
      </c>
      <c r="D383" s="1172">
        <v>840263.8962399978</v>
      </c>
      <c r="E383" s="1173">
        <v>764425.0380209585</v>
      </c>
      <c r="F383" s="1174">
        <v>20.794715656882758</v>
      </c>
      <c r="G383" s="1172">
        <v>270253.33115636447</v>
      </c>
      <c r="H383" s="1172">
        <v>177351.93736339972</v>
      </c>
      <c r="I383" s="1172">
        <v>23000.81732399214</v>
      </c>
      <c r="J383" s="1172">
        <v>840263.8962399978</v>
      </c>
      <c r="K383" s="1172">
        <v>302208.0039635805</v>
      </c>
      <c r="L383" s="1098"/>
      <c r="M383" s="1100"/>
      <c r="N383" s="1096"/>
      <c r="O383" s="1098"/>
      <c r="P383" s="1096"/>
      <c r="Q383" s="1096"/>
    </row>
    <row r="384">
      <c r="A384" s="1126"/>
      <c r="B384" s="1170">
        <v>44637.41517125</v>
      </c>
      <c r="C384" s="1175">
        <v>1.10630727905937</v>
      </c>
      <c r="D384" s="1172">
        <v>852038.5595971928</v>
      </c>
      <c r="E384" s="1173">
        <v>770164.4703283816</v>
      </c>
      <c r="F384" s="1174">
        <v>20.84980094106614</v>
      </c>
      <c r="G384" s="1172">
        <v>273316.38948224916</v>
      </c>
      <c r="H384" s="1172">
        <v>183228.037027164</v>
      </c>
      <c r="I384" s="1172">
        <v>22730.693167695892</v>
      </c>
      <c r="J384" s="1172">
        <v>852038.5595971928</v>
      </c>
      <c r="K384" s="1172">
        <v>302361.42716506385</v>
      </c>
      <c r="L384" s="1098"/>
      <c r="M384" s="1100"/>
      <c r="N384" s="1096"/>
      <c r="O384" s="1098"/>
      <c r="P384" s="1096"/>
      <c r="Q384" s="1096"/>
    </row>
    <row r="385">
      <c r="A385" s="1126"/>
      <c r="B385" s="1170">
        <v>44638.030508310185</v>
      </c>
      <c r="C385" s="1175">
        <v>1.10952326004562</v>
      </c>
      <c r="D385" s="1172">
        <v>861556.2071681302</v>
      </c>
      <c r="E385" s="1173">
        <v>776510.2708461523</v>
      </c>
      <c r="F385" s="1174">
        <v>21.05458754241989</v>
      </c>
      <c r="G385" s="1172">
        <v>273681.3580267048</v>
      </c>
      <c r="H385" s="1172">
        <v>186220.85438962394</v>
      </c>
      <c r="I385" s="1172">
        <v>22393.08602712557</v>
      </c>
      <c r="J385" s="1172">
        <v>861556.2071681302</v>
      </c>
      <c r="K385" s="1172">
        <v>311900.87947619153</v>
      </c>
      <c r="L385" s="1098"/>
      <c r="M385" s="1100"/>
      <c r="N385" s="1096"/>
      <c r="O385" s="1098"/>
      <c r="P385" s="1096"/>
      <c r="Q385" s="1096"/>
    </row>
    <row r="386">
      <c r="A386" s="1126"/>
      <c r="B386" s="1170">
        <v>44639.80680145833</v>
      </c>
      <c r="C386" s="1175">
        <v>1.10652028141024</v>
      </c>
      <c r="D386" s="1172">
        <v>875852.302509024</v>
      </c>
      <c r="E386" s="1173">
        <v>791537.504755689</v>
      </c>
      <c r="F386" s="1174">
        <v>20.88651971977332</v>
      </c>
      <c r="G386" s="1172">
        <v>280461.4236239572</v>
      </c>
      <c r="H386" s="1172">
        <v>195973.19285135024</v>
      </c>
      <c r="I386" s="1172">
        <v>23557.65621056547</v>
      </c>
      <c r="J386" s="1172">
        <v>875852.302509024</v>
      </c>
      <c r="K386" s="1172">
        <v>309785.2011252029</v>
      </c>
      <c r="L386" s="1098"/>
      <c r="M386" s="1100"/>
      <c r="N386" s="1096"/>
      <c r="O386" s="1098"/>
      <c r="P386" s="1096"/>
      <c r="Q386" s="1096"/>
    </row>
    <row r="387">
      <c r="A387" s="1126"/>
      <c r="B387" s="1170">
        <v>44640.57662744213</v>
      </c>
      <c r="C387" s="1175">
        <v>1.10652028141024</v>
      </c>
      <c r="D387" s="1172">
        <v>867661.6284262944</v>
      </c>
      <c r="E387" s="1173">
        <v>784135.3141042073</v>
      </c>
      <c r="F387" s="1174">
        <v>20.84573657931522</v>
      </c>
      <c r="G387" s="1172">
        <v>286665.1866792122</v>
      </c>
      <c r="H387" s="1172">
        <v>191354.55817934772</v>
      </c>
      <c r="I387" s="1172">
        <v>23883.195151067182</v>
      </c>
      <c r="J387" s="1172">
        <v>867661.6284262944</v>
      </c>
      <c r="K387" s="1172">
        <v>301611.90511305735</v>
      </c>
      <c r="L387" s="1098"/>
      <c r="M387" s="1100"/>
      <c r="N387" s="1096"/>
      <c r="O387" s="1098"/>
      <c r="P387" s="1096"/>
      <c r="Q387" s="1096"/>
    </row>
    <row r="388">
      <c r="A388" s="1126"/>
      <c r="B388" s="1170">
        <v>44641.38638979167</v>
      </c>
      <c r="C388" s="1175">
        <v>1.10531312968307</v>
      </c>
      <c r="D388" s="1172">
        <v>866045.192214099</v>
      </c>
      <c r="E388" s="1173">
        <v>783529.2723451343</v>
      </c>
      <c r="F388" s="1174">
        <v>21.017009855453356</v>
      </c>
      <c r="G388" s="1172">
        <v>283799.3754698593</v>
      </c>
      <c r="H388" s="1172">
        <v>191469.68303651485</v>
      </c>
      <c r="I388" s="1172">
        <v>24873.85753860549</v>
      </c>
      <c r="J388" s="1172">
        <v>866045.192214099</v>
      </c>
      <c r="K388" s="1172">
        <v>301741.4249322169</v>
      </c>
      <c r="L388" s="1098"/>
      <c r="M388" s="1100"/>
      <c r="N388" s="1096"/>
      <c r="O388" s="1098"/>
      <c r="P388" s="1096"/>
      <c r="Q388" s="1096"/>
    </row>
    <row r="389">
      <c r="A389" s="1126"/>
      <c r="B389" s="1170">
        <v>44644.82072322917</v>
      </c>
      <c r="C389" s="1175">
        <v>1.09936984120702</v>
      </c>
      <c r="D389" s="1172">
        <v>890078.9078076264</v>
      </c>
      <c r="E389" s="1173">
        <v>809626.4554887107</v>
      </c>
      <c r="F389" s="1174">
        <v>20.271836443134426</v>
      </c>
      <c r="G389" s="1172">
        <v>311198.77829430916</v>
      </c>
      <c r="H389" s="1172">
        <v>211347.21854406642</v>
      </c>
      <c r="I389" s="1172">
        <v>24211.677954817733</v>
      </c>
      <c r="J389" s="1172">
        <v>890078.9078076264</v>
      </c>
      <c r="K389" s="1172">
        <v>282305.7249010349</v>
      </c>
      <c r="L389" s="1098"/>
      <c r="M389" s="1100"/>
      <c r="N389" s="1096"/>
      <c r="O389" s="1098"/>
      <c r="P389" s="1096"/>
      <c r="Q389" s="1096"/>
    </row>
    <row r="390">
      <c r="A390" s="1126"/>
      <c r="B390" s="1170">
        <v>44645.725004155094</v>
      </c>
      <c r="C390" s="1175">
        <v>1.0989095520515</v>
      </c>
      <c r="D390" s="1172">
        <v>909299.6604493108</v>
      </c>
      <c r="E390" s="1173">
        <v>827456.3259112492</v>
      </c>
      <c r="F390" s="1174">
        <v>20.440883050427875</v>
      </c>
      <c r="G390" s="1172">
        <v>315289.74313154846</v>
      </c>
      <c r="H390" s="1172">
        <v>212736.62558746067</v>
      </c>
      <c r="I390" s="1172">
        <v>38454.8850535207</v>
      </c>
      <c r="J390" s="1172">
        <v>909299.6604493108</v>
      </c>
      <c r="K390" s="1172">
        <v>282447.4786456211</v>
      </c>
      <c r="L390" s="1098"/>
      <c r="M390" s="1100"/>
      <c r="N390" s="1096"/>
      <c r="O390" s="1098"/>
      <c r="P390" s="1096"/>
      <c r="Q390" s="1096"/>
    </row>
    <row r="391">
      <c r="A391" s="1126"/>
      <c r="B391" s="1170">
        <v>44646.38251834491</v>
      </c>
      <c r="C391" s="1175">
        <v>1.09835795485749</v>
      </c>
      <c r="D391" s="1172">
        <v>893909.8624667355</v>
      </c>
      <c r="E391" s="1173">
        <v>813860.234282838</v>
      </c>
      <c r="F391" s="1174">
        <v>20.084842745693376</v>
      </c>
      <c r="G391" s="1172">
        <v>315447.9870045642</v>
      </c>
      <c r="H391" s="1172">
        <v>212765.01211562846</v>
      </c>
      <c r="I391" s="1172">
        <v>23431.462033356795</v>
      </c>
      <c r="J391" s="1172">
        <v>893909.8624667355</v>
      </c>
      <c r="K391" s="1172">
        <v>282550.39825272746</v>
      </c>
      <c r="L391" s="1098"/>
      <c r="M391" s="1100"/>
      <c r="N391" s="1096"/>
      <c r="O391" s="1098"/>
      <c r="P391" s="1096"/>
      <c r="Q391" s="1096"/>
    </row>
    <row r="392">
      <c r="A392" s="1126"/>
      <c r="B392" s="1170">
        <v>44647.870660706016</v>
      </c>
      <c r="C392" s="1175">
        <v>1.09893491228302</v>
      </c>
      <c r="D392" s="1172">
        <v>899267.212474232</v>
      </c>
      <c r="E392" s="1173">
        <v>818307.9838695982</v>
      </c>
      <c r="F392" s="1174">
        <v>20.039894996076328</v>
      </c>
      <c r="G392" s="1172">
        <v>336874.85284462635</v>
      </c>
      <c r="H392" s="1172">
        <v>239704.03025258315</v>
      </c>
      <c r="I392" s="1172">
        <v>23472.43444864903</v>
      </c>
      <c r="J392" s="1172">
        <v>899267.212474232</v>
      </c>
      <c r="K392" s="1172">
        <v>240413.58736273242</v>
      </c>
      <c r="L392" s="1098"/>
      <c r="M392" s="1100"/>
      <c r="N392" s="1096"/>
      <c r="O392" s="1098"/>
      <c r="P392" s="1096"/>
      <c r="Q392" s="1096"/>
    </row>
    <row r="393">
      <c r="A393" s="1126"/>
      <c r="B393" s="1170">
        <v>44648.54334019676</v>
      </c>
      <c r="C393" s="1175">
        <v>1.09796842901579</v>
      </c>
      <c r="D393" s="1172">
        <v>934605.6177239644</v>
      </c>
      <c r="E393" s="1173">
        <v>851213.5622713098</v>
      </c>
      <c r="F393" s="1174">
        <v>19.814590696560813</v>
      </c>
      <c r="G393" s="1172">
        <v>354093.99089812615</v>
      </c>
      <c r="H393" s="1172">
        <v>252837.54829984423</v>
      </c>
      <c r="I393" s="1172">
        <v>24892.481684991893</v>
      </c>
      <c r="J393" s="1172">
        <v>934605.6177239644</v>
      </c>
      <c r="K393" s="1172">
        <v>240501.23280247668</v>
      </c>
      <c r="L393" s="1098"/>
      <c r="M393" s="1100"/>
      <c r="N393" s="1096"/>
      <c r="O393" s="1098"/>
      <c r="P393" s="1096"/>
      <c r="Q393" s="1096"/>
    </row>
    <row r="394">
      <c r="A394" s="1126"/>
      <c r="B394" s="1170">
        <v>44649.68616681713</v>
      </c>
      <c r="C394" s="1175">
        <v>1.11140007513065</v>
      </c>
      <c r="D394" s="1172">
        <v>953942.8969154881</v>
      </c>
      <c r="E394" s="1173">
        <v>858325.3845860572</v>
      </c>
      <c r="F394" s="1174">
        <v>20.0091041872978</v>
      </c>
      <c r="G394" s="1172">
        <v>357906.84814895445</v>
      </c>
      <c r="H394" s="1172">
        <v>263450.8450296696</v>
      </c>
      <c r="I394" s="1172">
        <v>26917.973328983146</v>
      </c>
      <c r="J394" s="1172">
        <v>953942.8969154881</v>
      </c>
      <c r="K394" s="1172">
        <v>240642.5561154895</v>
      </c>
      <c r="L394" s="1098"/>
      <c r="M394" s="1100"/>
      <c r="N394" s="1096"/>
      <c r="O394" s="1098"/>
      <c r="P394" s="1096"/>
      <c r="Q394" s="1096"/>
    </row>
    <row r="395">
      <c r="A395" s="1126"/>
      <c r="B395" s="1170">
        <v>44650.67897896991</v>
      </c>
      <c r="C395" s="1175">
        <v>1.11314321589301</v>
      </c>
      <c r="D395" s="1172">
        <v>939237.8470338808</v>
      </c>
      <c r="E395" s="1173">
        <v>843770.8945478188</v>
      </c>
      <c r="F395" s="1174">
        <v>20.01432300807709</v>
      </c>
      <c r="G395" s="1172">
        <v>352297.81940271956</v>
      </c>
      <c r="H395" s="1172">
        <v>257841.96956639903</v>
      </c>
      <c r="I395" s="1172">
        <v>26515.76653999754</v>
      </c>
      <c r="J395" s="1172">
        <v>939237.8470338808</v>
      </c>
      <c r="K395" s="1172">
        <v>240778.93320414802</v>
      </c>
      <c r="L395" s="1098"/>
      <c r="M395" s="1100"/>
      <c r="N395" s="1096"/>
      <c r="O395" s="1098"/>
      <c r="P395" s="1096"/>
      <c r="Q395" s="1096"/>
    </row>
    <row r="396">
      <c r="A396" s="1126"/>
      <c r="B396" s="1170">
        <v>44652.025562800925</v>
      </c>
      <c r="C396" s="1175">
        <v>1.10687546765489</v>
      </c>
      <c r="D396" s="1172">
        <v>923517.000914468</v>
      </c>
      <c r="E396" s="1173">
        <v>834345.8933741669</v>
      </c>
      <c r="F396" s="1174">
        <v>20.154650771549186</v>
      </c>
      <c r="G396" s="1172">
        <v>343989.2673826532</v>
      </c>
      <c r="H396" s="1172">
        <v>252003.23471554875</v>
      </c>
      <c r="I396" s="1172">
        <v>26261.68131521671</v>
      </c>
      <c r="J396" s="1172">
        <v>923517.000914468</v>
      </c>
      <c r="K396" s="1172">
        <v>240952.75762946048</v>
      </c>
      <c r="L396" s="1098"/>
      <c r="M396" s="1100"/>
      <c r="N396" s="1096"/>
      <c r="O396" s="1098"/>
      <c r="P396" s="1096"/>
      <c r="Q396" s="1096"/>
    </row>
    <row r="397">
      <c r="A397" s="1126"/>
      <c r="B397" s="1170">
        <v>44654.01738322916</v>
      </c>
      <c r="C397" s="1175">
        <v>1.10450006461325</v>
      </c>
      <c r="D397" s="1172">
        <v>950537.7921686082</v>
      </c>
      <c r="E397" s="1173">
        <v>860604.5600381626</v>
      </c>
      <c r="F397" s="1174">
        <v>20.554275244440227</v>
      </c>
      <c r="G397" s="1172">
        <v>356858.6268012837</v>
      </c>
      <c r="H397" s="1172">
        <v>287602.37434950605</v>
      </c>
      <c r="I397" s="1172">
        <v>29091.067027139772</v>
      </c>
      <c r="J397" s="1172">
        <v>950537.7921686082</v>
      </c>
      <c r="K397" s="1172">
        <v>211186.29587311315</v>
      </c>
      <c r="L397" s="1098"/>
      <c r="M397" s="1100"/>
      <c r="N397" s="1096"/>
      <c r="O397" s="1098"/>
      <c r="P397" s="1096"/>
      <c r="Q397" s="1096"/>
    </row>
    <row r="398">
      <c r="A398" s="1126"/>
      <c r="B398" s="1170">
        <v>44655.51195594907</v>
      </c>
      <c r="C398" s="1175">
        <v>1.10257959522098</v>
      </c>
      <c r="D398" s="1172">
        <v>945614.8953983838</v>
      </c>
      <c r="E398" s="1173">
        <v>857638.667990099</v>
      </c>
      <c r="F398" s="1174">
        <v>20.60727250053097</v>
      </c>
      <c r="G398" s="1172">
        <v>354097.4261207394</v>
      </c>
      <c r="H398" s="1172">
        <v>287706.8449520651</v>
      </c>
      <c r="I398" s="1172">
        <v>41134.23590572606</v>
      </c>
      <c r="J398" s="1172">
        <v>945614.8953983838</v>
      </c>
      <c r="K398" s="1172">
        <v>211355.0240568296</v>
      </c>
      <c r="L398" s="1098"/>
      <c r="M398" s="1100"/>
      <c r="N398" s="1096"/>
      <c r="O398" s="1098"/>
      <c r="P398" s="1096"/>
      <c r="Q398" s="1096"/>
    </row>
    <row r="399">
      <c r="A399" s="1126"/>
      <c r="B399" s="1170">
        <v>44656.84820331019</v>
      </c>
      <c r="C399" s="1175">
        <v>1.09135039332268</v>
      </c>
      <c r="D399" s="1172">
        <v>945879.2306644291</v>
      </c>
      <c r="E399" s="1173">
        <v>866705.3555408951</v>
      </c>
      <c r="F399" s="1174">
        <v>20.57645992848437</v>
      </c>
      <c r="G399" s="1172">
        <v>354726.80727083096</v>
      </c>
      <c r="H399" s="1172">
        <v>287373.23679353134</v>
      </c>
      <c r="I399" s="1172">
        <v>59705.89355757342</v>
      </c>
      <c r="J399" s="1172">
        <v>945879.2306644291</v>
      </c>
      <c r="K399" s="1172">
        <v>211505.53709787244</v>
      </c>
      <c r="L399" s="1098"/>
      <c r="M399" s="1100"/>
      <c r="N399" s="1096"/>
      <c r="O399" s="1098"/>
      <c r="P399" s="1096"/>
      <c r="Q399" s="1096"/>
    </row>
    <row r="400">
      <c r="A400" s="1126"/>
      <c r="B400" s="1170">
        <v>44657.64935446759</v>
      </c>
      <c r="C400" s="1175">
        <v>1.09308492614025</v>
      </c>
      <c r="D400" s="1172">
        <v>921113.4378463239</v>
      </c>
      <c r="E400" s="1173">
        <v>842673.2597062079</v>
      </c>
      <c r="F400" s="1174">
        <v>20.50958116642758</v>
      </c>
      <c r="G400" s="1172">
        <v>355987.8889026054</v>
      </c>
      <c r="H400" s="1172">
        <v>295020.1265897101</v>
      </c>
      <c r="I400" s="1172">
        <v>57547.22356185947</v>
      </c>
      <c r="J400" s="1172">
        <v>921113.4378463239</v>
      </c>
      <c r="K400" s="1172">
        <v>181406.72116162255</v>
      </c>
      <c r="L400" s="1098"/>
      <c r="M400" s="1100"/>
      <c r="N400" s="1096"/>
      <c r="O400" s="1098"/>
      <c r="P400" s="1096"/>
      <c r="Q400" s="1096"/>
    </row>
    <row r="401">
      <c r="A401" s="1126"/>
      <c r="B401" s="1170">
        <v>44658.84264376157</v>
      </c>
      <c r="C401" s="1175">
        <v>1.08852660304592</v>
      </c>
      <c r="D401" s="1172">
        <v>917759.0045091038</v>
      </c>
      <c r="E401" s="1173">
        <v>843120.4179493882</v>
      </c>
      <c r="F401" s="1174">
        <v>21.019094186476845</v>
      </c>
      <c r="G401" s="1172">
        <v>375692.8106488877</v>
      </c>
      <c r="H401" s="1172">
        <v>306851.3512704684</v>
      </c>
      <c r="I401" s="1172">
        <v>53761.67596803107</v>
      </c>
      <c r="J401" s="1172">
        <v>917759.0045091038</v>
      </c>
      <c r="K401" s="1172">
        <v>151504.7517371761</v>
      </c>
      <c r="L401" s="1098"/>
      <c r="M401" s="1100"/>
      <c r="N401" s="1096"/>
      <c r="O401" s="1098"/>
      <c r="P401" s="1096"/>
      <c r="Q401" s="1096"/>
    </row>
    <row r="402">
      <c r="A402" s="1126"/>
      <c r="B402" s="1170">
        <v>44662.47602259259</v>
      </c>
      <c r="C402" s="1175">
        <v>1.09087061292747</v>
      </c>
      <c r="D402" s="1172">
        <v>885444.3771939393</v>
      </c>
      <c r="E402" s="1173">
        <v>811685.975129308</v>
      </c>
      <c r="F402" s="1174">
        <v>21.04185690359886</v>
      </c>
      <c r="G402" s="1172">
        <v>362072.4227005349</v>
      </c>
      <c r="H402" s="1172">
        <v>299305.6962290747</v>
      </c>
      <c r="I402" s="1172">
        <v>45073.32116306608</v>
      </c>
      <c r="J402" s="1172">
        <v>885444.3771939393</v>
      </c>
      <c r="K402" s="1172">
        <v>151801.285162383</v>
      </c>
      <c r="L402" s="1098"/>
      <c r="M402" s="1100"/>
      <c r="N402" s="1096"/>
      <c r="O402" s="1098"/>
      <c r="P402" s="1096"/>
      <c r="Q402" s="1096"/>
    </row>
    <row r="403">
      <c r="A403" s="1126"/>
      <c r="B403" s="1170">
        <v>44663.7503834838</v>
      </c>
      <c r="C403" s="1175">
        <v>1.08658448466014</v>
      </c>
      <c r="D403" s="1172">
        <v>835125.5253643726</v>
      </c>
      <c r="E403" s="1173">
        <v>768578.5478757151</v>
      </c>
      <c r="F403" s="1174">
        <v>20.727181648004795</v>
      </c>
      <c r="G403" s="1172">
        <v>371749.9718834055</v>
      </c>
      <c r="H403" s="1172">
        <v>267804.08836325986</v>
      </c>
      <c r="I403" s="1172">
        <v>43983.65844166531</v>
      </c>
      <c r="J403" s="1172">
        <v>835125.5253643726</v>
      </c>
      <c r="K403" s="1172">
        <v>126285.51924687935</v>
      </c>
      <c r="L403" s="1098"/>
      <c r="M403" s="1100"/>
      <c r="N403" s="1096"/>
      <c r="O403" s="1098"/>
      <c r="P403" s="1096"/>
      <c r="Q403" s="1096"/>
    </row>
    <row r="404">
      <c r="A404" s="1126"/>
      <c r="B404" s="1170">
        <v>44665.40762174768</v>
      </c>
      <c r="C404" s="1175">
        <v>1.09165896137383</v>
      </c>
      <c r="D404" s="1172">
        <v>851483.8114629446</v>
      </c>
      <c r="E404" s="1173">
        <v>779990.6762010822</v>
      </c>
      <c r="F404" s="1174">
        <v>20.635889638132173</v>
      </c>
      <c r="G404" s="1172">
        <v>380708.5573764993</v>
      </c>
      <c r="H404" s="1172">
        <v>272847.59632445587</v>
      </c>
      <c r="I404" s="1172">
        <v>45665.551442698816</v>
      </c>
      <c r="J404" s="1172">
        <v>851483.8114629446</v>
      </c>
      <c r="K404" s="1172">
        <v>126388.55716919164</v>
      </c>
      <c r="L404" s="1098"/>
      <c r="M404" s="1100"/>
      <c r="N404" s="1096"/>
      <c r="O404" s="1098"/>
      <c r="P404" s="1096"/>
      <c r="Q404" s="1096"/>
    </row>
    <row r="405">
      <c r="A405" s="1126"/>
      <c r="B405" s="1170">
        <v>44666.72032421296</v>
      </c>
      <c r="C405" s="1175">
        <v>1.08083920679372</v>
      </c>
      <c r="D405" s="1172">
        <v>834039.4636090845</v>
      </c>
      <c r="E405" s="1173">
        <v>771659.1500073723</v>
      </c>
      <c r="F405" s="1174">
        <v>20.594264398800597</v>
      </c>
      <c r="G405" s="1172">
        <v>381762.4329736274</v>
      </c>
      <c r="H405" s="1172">
        <v>266212.8173334655</v>
      </c>
      <c r="I405" s="1172">
        <v>47013.02352343549</v>
      </c>
      <c r="J405" s="1172">
        <v>834039.4636090845</v>
      </c>
      <c r="K405" s="1172">
        <v>118473.8167954504</v>
      </c>
      <c r="L405" s="1098"/>
      <c r="M405" s="1100"/>
      <c r="N405" s="1096"/>
      <c r="O405" s="1098"/>
      <c r="P405" s="1096"/>
      <c r="Q405" s="1096"/>
    </row>
    <row r="406">
      <c r="A406" s="1126"/>
      <c r="B406" s="1170">
        <v>44667.403925798615</v>
      </c>
      <c r="C406" s="1175">
        <v>1.08118978448644</v>
      </c>
      <c r="D406" s="1172">
        <v>832851.2969018599</v>
      </c>
      <c r="E406" s="1173">
        <v>770309.9944636087</v>
      </c>
      <c r="F406" s="1174">
        <v>20.611351618384017</v>
      </c>
      <c r="G406" s="1172">
        <v>380902.53915133694</v>
      </c>
      <c r="H406" s="1172">
        <v>266295.44606681034</v>
      </c>
      <c r="I406" s="1172">
        <v>46808.233648265974</v>
      </c>
      <c r="J406" s="1172">
        <v>832851.2969018599</v>
      </c>
      <c r="K406" s="1172">
        <v>118517.11050319367</v>
      </c>
      <c r="L406" s="1098"/>
      <c r="M406" s="1100"/>
      <c r="N406" s="1096"/>
      <c r="O406" s="1098"/>
      <c r="P406" s="1096"/>
      <c r="Q406" s="1096"/>
    </row>
    <row r="407">
      <c r="A407" s="1126"/>
      <c r="B407" s="1170">
        <v>44668.65904229166</v>
      </c>
      <c r="C407" s="1175">
        <v>1.08118978448644</v>
      </c>
      <c r="D407" s="1172">
        <v>840499.9426947518</v>
      </c>
      <c r="E407" s="1173">
        <v>777384.280497975</v>
      </c>
      <c r="F407" s="1174">
        <v>20.717315291307678</v>
      </c>
      <c r="G407" s="1172">
        <v>384978.07158332254</v>
      </c>
      <c r="H407" s="1172">
        <v>269288.70268737304</v>
      </c>
      <c r="I407" s="1172">
        <v>47428.685410988845</v>
      </c>
      <c r="J407" s="1172">
        <v>840499.9426947518</v>
      </c>
      <c r="K407" s="1172">
        <v>118602.32533210736</v>
      </c>
      <c r="L407" s="1098"/>
      <c r="M407" s="1100"/>
      <c r="N407" s="1096"/>
      <c r="O407" s="1098"/>
      <c r="P407" s="1096"/>
      <c r="Q407" s="1096"/>
    </row>
    <row r="408">
      <c r="A408" s="1126"/>
      <c r="B408" s="1170">
        <v>44669.91763469907</v>
      </c>
      <c r="C408" s="1175">
        <v>1.07793467715856</v>
      </c>
      <c r="D408" s="1172">
        <v>853989.2522604769</v>
      </c>
      <c r="E408" s="1173">
        <v>792245.8293220475</v>
      </c>
      <c r="F408" s="1174">
        <v>21.02912800040825</v>
      </c>
      <c r="G408" s="1172">
        <v>393468.6148180337</v>
      </c>
      <c r="H408" s="1172">
        <v>263370.3706453653</v>
      </c>
      <c r="I408" s="1172">
        <v>51502.217703425245</v>
      </c>
      <c r="J408" s="1172">
        <v>853989.2522604769</v>
      </c>
      <c r="K408" s="1172">
        <v>100071.39121565204</v>
      </c>
      <c r="L408" s="1098"/>
      <c r="M408" s="1100"/>
      <c r="N408" s="1096"/>
      <c r="O408" s="1098"/>
      <c r="P408" s="1096"/>
      <c r="Q408" s="1096"/>
    </row>
    <row r="409">
      <c r="A409" s="1126"/>
      <c r="B409" s="1170">
        <v>44670.84420600694</v>
      </c>
      <c r="C409" s="1175">
        <v>1.08032193593691</v>
      </c>
      <c r="D409" s="1172">
        <v>873242.5347854429</v>
      </c>
      <c r="E409" s="1173">
        <v>808316.9523241445</v>
      </c>
      <c r="F409" s="1174">
        <v>21.112377484470755</v>
      </c>
      <c r="G409" s="1172">
        <v>400752.91973912204</v>
      </c>
      <c r="H409" s="1172">
        <v>271578.39902689157</v>
      </c>
      <c r="I409" s="1172">
        <v>54211.97810621469</v>
      </c>
      <c r="J409" s="1172">
        <v>873242.5347854429</v>
      </c>
      <c r="K409" s="1172">
        <v>100121.82967777274</v>
      </c>
      <c r="L409" s="1098"/>
      <c r="M409" s="1100"/>
      <c r="N409" s="1096"/>
      <c r="O409" s="1098"/>
      <c r="P409" s="1096"/>
      <c r="Q409" s="1096"/>
    </row>
    <row r="410">
      <c r="A410" s="1126"/>
      <c r="B410" s="1170">
        <v>44671.489138749996</v>
      </c>
      <c r="C410" s="1175">
        <v>1.08340014300882</v>
      </c>
      <c r="D410" s="1172">
        <v>877534.944859072</v>
      </c>
      <c r="E410" s="1173">
        <v>809982.3048038197</v>
      </c>
      <c r="F410" s="1174">
        <v>21.11748796434473</v>
      </c>
      <c r="G410" s="1172">
        <v>402625.35463949427</v>
      </c>
      <c r="H410" s="1172">
        <v>272157.53904676205</v>
      </c>
      <c r="I410" s="1172">
        <v>55266.704824154906</v>
      </c>
      <c r="J410" s="1172">
        <v>877534.944859072</v>
      </c>
      <c r="K410" s="1172">
        <v>100157.34825429608</v>
      </c>
      <c r="L410" s="1098"/>
      <c r="M410" s="1100"/>
      <c r="N410" s="1096"/>
      <c r="O410" s="1098"/>
      <c r="P410" s="1096"/>
      <c r="Q410" s="1096"/>
    </row>
    <row r="411">
      <c r="A411" s="1126"/>
      <c r="B411" s="1170">
        <v>44672.59820945602</v>
      </c>
      <c r="C411" s="1175">
        <v>1.08856096594546</v>
      </c>
      <c r="D411" s="1172">
        <v>897726.4309545663</v>
      </c>
      <c r="E411" s="1173">
        <v>824690.9994378256</v>
      </c>
      <c r="F411" s="1174">
        <v>21.163613778091637</v>
      </c>
      <c r="G411" s="1172">
        <v>417115.61366647074</v>
      </c>
      <c r="H411" s="1172">
        <v>276206.7330939878</v>
      </c>
      <c r="I411" s="1172">
        <v>56893.71860068551</v>
      </c>
      <c r="J411" s="1172">
        <v>897726.4309545663</v>
      </c>
      <c r="K411" s="1172">
        <v>100210.74277385499</v>
      </c>
      <c r="L411" s="1098"/>
      <c r="M411" s="1100"/>
      <c r="N411" s="1096"/>
      <c r="O411" s="1098"/>
      <c r="P411" s="1096"/>
      <c r="Q411" s="1096"/>
    </row>
    <row r="412">
      <c r="A412" s="1126"/>
      <c r="B412" s="1170">
        <v>44673.63169359954</v>
      </c>
      <c r="C412" s="1175">
        <v>1.08215270473247</v>
      </c>
      <c r="D412" s="1172">
        <v>864311.8634124126</v>
      </c>
      <c r="E412" s="1173">
        <v>798696.763989596</v>
      </c>
      <c r="F412" s="1174">
        <v>21.372800977620766</v>
      </c>
      <c r="G412" s="1172">
        <v>397659.43831448373</v>
      </c>
      <c r="H412" s="1172">
        <v>264328.5985093581</v>
      </c>
      <c r="I412" s="1172">
        <v>56043.81182963374</v>
      </c>
      <c r="J412" s="1172">
        <v>864311.8634124126</v>
      </c>
      <c r="K412" s="1172">
        <v>98282.89532332115</v>
      </c>
      <c r="L412" s="1098"/>
      <c r="M412" s="1100"/>
      <c r="N412" s="1096"/>
      <c r="O412" s="1098"/>
      <c r="P412" s="1096"/>
      <c r="Q412" s="1096"/>
    </row>
    <row r="413">
      <c r="A413" s="1126"/>
      <c r="B413" s="1170">
        <v>44674.418434085645</v>
      </c>
      <c r="C413" s="1175">
        <v>1.07866952586002</v>
      </c>
      <c r="D413" s="1172">
        <v>848599.1997841412</v>
      </c>
      <c r="E413" s="1173">
        <v>786709.1629454865</v>
      </c>
      <c r="F413" s="1174">
        <v>21.428978137832065</v>
      </c>
      <c r="G413" s="1172">
        <v>397403.34302545217</v>
      </c>
      <c r="H413" s="1172">
        <v>259666.697208056</v>
      </c>
      <c r="I413" s="1172">
        <v>54109.93550355898</v>
      </c>
      <c r="J413" s="1172">
        <v>848599.1997841412</v>
      </c>
      <c r="K413" s="1172">
        <v>90323.6257327717</v>
      </c>
      <c r="L413" s="1098"/>
      <c r="M413" s="1100"/>
      <c r="N413" s="1096"/>
      <c r="O413" s="1098"/>
      <c r="P413" s="1096"/>
      <c r="Q413" s="1096"/>
    </row>
    <row r="414">
      <c r="A414" s="1126"/>
      <c r="B414" s="1170">
        <v>44675.482509884256</v>
      </c>
      <c r="C414" s="1175">
        <v>1.08187055418819</v>
      </c>
      <c r="D414" s="1172">
        <v>849660.6602547722</v>
      </c>
      <c r="E414" s="1173">
        <v>785362.5897899934</v>
      </c>
      <c r="F414" s="1174">
        <v>21.370037472039378</v>
      </c>
      <c r="G414" s="1172">
        <v>398997.8789232796</v>
      </c>
      <c r="H414" s="1172">
        <v>260160.6506885552</v>
      </c>
      <c r="I414" s="1172">
        <v>53091.06970036928</v>
      </c>
      <c r="J414" s="1172">
        <v>849660.6602547722</v>
      </c>
      <c r="K414" s="1172">
        <v>90375.88967791012</v>
      </c>
      <c r="L414" s="1098"/>
      <c r="M414" s="1100"/>
      <c r="N414" s="1096"/>
      <c r="O414" s="1098"/>
      <c r="P414" s="1096"/>
      <c r="Q414" s="1096"/>
    </row>
    <row r="415">
      <c r="A415" s="1126"/>
      <c r="B415" s="1170">
        <v>44676.44741648148</v>
      </c>
      <c r="C415" s="1175">
        <v>1.07425693647704</v>
      </c>
      <c r="D415" s="1172">
        <v>820885.6220388936</v>
      </c>
      <c r="E415" s="1173">
        <v>764142.7243010763</v>
      </c>
      <c r="F415" s="1174">
        <v>21.28964134788948</v>
      </c>
      <c r="G415" s="1172">
        <v>386940.92343944334</v>
      </c>
      <c r="H415" s="1172">
        <v>247807.5400408528</v>
      </c>
      <c r="I415" s="1172">
        <v>51904.075854874114</v>
      </c>
      <c r="J415" s="1172">
        <v>820885.6220388936</v>
      </c>
      <c r="K415" s="1172">
        <v>87921.40598779738</v>
      </c>
      <c r="L415" s="1098"/>
      <c r="M415" s="1100"/>
      <c r="N415" s="1096"/>
      <c r="O415" s="1098"/>
      <c r="P415" s="1096"/>
      <c r="Q415" s="1096"/>
    </row>
    <row r="416">
      <c r="A416" s="1126"/>
      <c r="B416" s="1170">
        <v>44677.67087827546</v>
      </c>
      <c r="C416" s="1175">
        <v>1.06656768918511</v>
      </c>
      <c r="D416" s="1172">
        <v>848730.9597943331</v>
      </c>
      <c r="E416" s="1173">
        <v>795759.1144006896</v>
      </c>
      <c r="F416" s="1174">
        <v>21.33271416112173</v>
      </c>
      <c r="G416" s="1172">
        <v>399258.60987471323</v>
      </c>
      <c r="H416" s="1172">
        <v>259000.91286723994</v>
      </c>
      <c r="I416" s="1172">
        <v>55167.89965847694</v>
      </c>
      <c r="J416" s="1172">
        <v>848730.9597943331</v>
      </c>
      <c r="K416" s="1172">
        <v>87983.20596352266</v>
      </c>
      <c r="L416" s="1098"/>
      <c r="M416" s="1100"/>
      <c r="N416" s="1096"/>
      <c r="O416" s="1098"/>
      <c r="P416" s="1096"/>
      <c r="Q416" s="1096"/>
    </row>
    <row r="417">
      <c r="A417" s="1126"/>
      <c r="B417" s="1170">
        <v>44678.40827945602</v>
      </c>
      <c r="C417" s="1175">
        <v>1.061406998880173</v>
      </c>
      <c r="D417" s="1172">
        <v>827140.6859435684</v>
      </c>
      <c r="E417" s="1173">
        <v>779287.009428273</v>
      </c>
      <c r="F417" s="1174">
        <v>21.34514346139656</v>
      </c>
      <c r="G417" s="1172">
        <v>388875.57446786086</v>
      </c>
      <c r="H417" s="1172">
        <v>252219.55695341897</v>
      </c>
      <c r="I417" s="1172">
        <v>52172.20298320937</v>
      </c>
      <c r="J417" s="1172">
        <v>827140.6859435684</v>
      </c>
      <c r="K417" s="1172">
        <v>88015.20800254021</v>
      </c>
      <c r="L417" s="1098"/>
      <c r="M417" s="1100"/>
      <c r="N417" s="1096"/>
      <c r="O417" s="1098"/>
      <c r="P417" s="1096"/>
      <c r="Q417" s="1096"/>
    </row>
    <row r="418">
      <c r="A418" s="1126"/>
      <c r="B418" s="1170">
        <v>44679.61765645833</v>
      </c>
      <c r="C418" s="1175">
        <v>1.04780725376006</v>
      </c>
      <c r="D418" s="1172">
        <v>842325.4929614984</v>
      </c>
      <c r="E418" s="1173">
        <v>803893.5500196343</v>
      </c>
      <c r="F418" s="1174">
        <v>21.210790340972522</v>
      </c>
      <c r="G418" s="1172">
        <v>398523.05753963493</v>
      </c>
      <c r="H418" s="1172">
        <v>256142.57040946998</v>
      </c>
      <c r="I418" s="1172">
        <v>53154.30114087059</v>
      </c>
      <c r="J418" s="1172">
        <v>842325.4929614984</v>
      </c>
      <c r="K418" s="1172">
        <v>85570.85274351898</v>
      </c>
      <c r="L418" s="1098"/>
      <c r="M418" s="1100"/>
      <c r="N418" s="1096"/>
      <c r="O418" s="1098"/>
      <c r="P418" s="1096"/>
      <c r="Q418" s="1096"/>
    </row>
    <row r="419">
      <c r="A419" s="1126"/>
      <c r="B419" s="1170">
        <v>44681.69145524305</v>
      </c>
      <c r="C419" s="1175">
        <v>1.05436962403288</v>
      </c>
      <c r="D419" s="1172">
        <v>808686.4108286165</v>
      </c>
      <c r="E419" s="1173">
        <v>766985.6873678277</v>
      </c>
      <c r="F419" s="1174">
        <v>21.04135543566825</v>
      </c>
      <c r="G419" s="1172">
        <v>385688.59137427894</v>
      </c>
      <c r="H419" s="1172">
        <v>245120.04017506627</v>
      </c>
      <c r="I419" s="1172">
        <v>47564.5590517435</v>
      </c>
      <c r="J419" s="1172">
        <v>808686.4108286165</v>
      </c>
      <c r="K419" s="1172">
        <v>85669.50661735848</v>
      </c>
      <c r="L419" s="1098"/>
      <c r="M419" s="1100"/>
      <c r="N419" s="1096"/>
      <c r="O419" s="1098"/>
      <c r="P419" s="1096"/>
      <c r="Q419" s="1096"/>
    </row>
    <row r="420">
      <c r="A420" s="1126"/>
      <c r="B420" s="1170">
        <v>44682.51637008102</v>
      </c>
      <c r="C420" s="1175">
        <v>1.05436962403288</v>
      </c>
      <c r="D420" s="1172">
        <v>802366.0865771185</v>
      </c>
      <c r="E420" s="1173">
        <v>760991.2769566824</v>
      </c>
      <c r="F420" s="1174">
        <v>21.108926418899845</v>
      </c>
      <c r="G420" s="1172">
        <v>381449.2612669314</v>
      </c>
      <c r="H420" s="1172">
        <v>241964.13219040717</v>
      </c>
      <c r="I420" s="1172">
        <v>0.0</v>
      </c>
      <c r="J420" s="1172">
        <v>802366.0865771185</v>
      </c>
      <c r="K420" s="1172">
        <v>132951.5799067374</v>
      </c>
      <c r="L420" s="1098"/>
      <c r="M420" s="1100"/>
      <c r="N420" s="1096"/>
      <c r="O420" s="1098"/>
      <c r="P420" s="1096"/>
      <c r="Q420" s="1096"/>
    </row>
    <row r="421">
      <c r="A421" s="1126"/>
      <c r="B421" s="1170">
        <v>44683.54685625</v>
      </c>
      <c r="C421" s="1175">
        <v>1.05232695798585</v>
      </c>
      <c r="D421" s="1172">
        <v>807508.2911487331</v>
      </c>
      <c r="E421" s="1173">
        <v>767354.9413713595</v>
      </c>
      <c r="F421" s="1174">
        <v>20.853226485019608</v>
      </c>
      <c r="G421" s="1172">
        <v>388601.15771467204</v>
      </c>
      <c r="H421" s="1172">
        <v>245790.77440656873</v>
      </c>
      <c r="I421" s="1172">
        <v>0.0</v>
      </c>
      <c r="J421" s="1172">
        <v>807508.2911487331</v>
      </c>
      <c r="K421" s="1172">
        <v>130517.7816536245</v>
      </c>
      <c r="L421" s="1098"/>
      <c r="M421" s="1100"/>
      <c r="N421" s="1096"/>
      <c r="O421" s="1098"/>
      <c r="P421" s="1096"/>
      <c r="Q421" s="1096"/>
    </row>
    <row r="422">
      <c r="A422" s="1126"/>
      <c r="B422" s="1170">
        <v>44684.96283174769</v>
      </c>
      <c r="C422" s="1175">
        <v>1.052474751115965</v>
      </c>
      <c r="D422" s="1172">
        <v>795533.7245481013</v>
      </c>
      <c r="E422" s="1173">
        <v>755869.6526492225</v>
      </c>
      <c r="F422" s="1174">
        <v>21.13318956439969</v>
      </c>
      <c r="G422" s="1172">
        <v>397711.3424685429</v>
      </c>
      <c r="H422" s="1172">
        <v>241677.50452677472</v>
      </c>
      <c r="I422" s="1172">
        <v>0.0</v>
      </c>
      <c r="J422" s="1172">
        <v>795533.7245481013</v>
      </c>
      <c r="K422" s="1172">
        <v>114395.88438341545</v>
      </c>
      <c r="L422" s="1098"/>
      <c r="M422" s="1100"/>
      <c r="N422" s="1096"/>
      <c r="O422" s="1098"/>
      <c r="P422" s="1096"/>
      <c r="Q422" s="1096"/>
    </row>
    <row r="423">
      <c r="A423" s="1126"/>
      <c r="B423" s="1170">
        <v>44685.51179959491</v>
      </c>
      <c r="C423" s="1175">
        <v>1.05202472678918</v>
      </c>
      <c r="D423" s="1172">
        <v>817403.3727847787</v>
      </c>
      <c r="E423" s="1173">
        <v>776981.1411938247</v>
      </c>
      <c r="F423" s="1174">
        <v>21.008377312167095</v>
      </c>
      <c r="G423" s="1172">
        <v>411056.0111014023</v>
      </c>
      <c r="H423" s="1172">
        <v>248079.15954364394</v>
      </c>
      <c r="I423" s="1172">
        <v>0.0</v>
      </c>
      <c r="J423" s="1172">
        <v>817403.3727847787</v>
      </c>
      <c r="K423" s="1172">
        <v>112364.9689887269</v>
      </c>
      <c r="L423" s="1098"/>
      <c r="M423" s="1100"/>
      <c r="N423" s="1096"/>
      <c r="O423" s="1098"/>
      <c r="P423" s="1096"/>
      <c r="Q423" s="1096"/>
    </row>
    <row r="424">
      <c r="A424" s="1126"/>
      <c r="B424" s="1170">
        <v>44686.50874651621</v>
      </c>
      <c r="C424" s="1175">
        <v>1.05985894034595</v>
      </c>
      <c r="D424" s="1172">
        <v>833679.1012998299</v>
      </c>
      <c r="E424" s="1173">
        <v>786594.3943707335</v>
      </c>
      <c r="F424" s="1174">
        <v>21.109679759595668</v>
      </c>
      <c r="G424" s="1172">
        <v>417228.8748312499</v>
      </c>
      <c r="H424" s="1172">
        <v>255968.53057798257</v>
      </c>
      <c r="I424" s="1172">
        <v>0.0</v>
      </c>
      <c r="J424" s="1172">
        <v>833679.1012998299</v>
      </c>
      <c r="K424" s="1172">
        <v>112419.77880668396</v>
      </c>
      <c r="L424" s="1098"/>
      <c r="M424" s="1100"/>
      <c r="N424" s="1096"/>
      <c r="O424" s="1098"/>
      <c r="P424" s="1096"/>
      <c r="Q424" s="1096"/>
    </row>
    <row r="425">
      <c r="A425" s="1126"/>
      <c r="B425" s="1170">
        <v>44687.82192091436</v>
      </c>
      <c r="C425" s="1175">
        <v>1.05658989836662</v>
      </c>
      <c r="D425" s="1172">
        <v>772750.6557360241</v>
      </c>
      <c r="E425" s="1173">
        <v>731362.9033654568</v>
      </c>
      <c r="F425" s="1174">
        <v>21.43485440458074</v>
      </c>
      <c r="G425" s="1172">
        <v>380869.2680183728</v>
      </c>
      <c r="H425" s="1172">
        <v>235616.9934996487</v>
      </c>
      <c r="I425" s="1172">
        <v>0.0</v>
      </c>
      <c r="J425" s="1172">
        <v>772750.6557360241</v>
      </c>
      <c r="K425" s="1172">
        <v>112488.52375168269</v>
      </c>
      <c r="L425" s="1098"/>
      <c r="M425" s="1100"/>
      <c r="N425" s="1096"/>
      <c r="O425" s="1098"/>
      <c r="P425" s="1096"/>
      <c r="Q425" s="1096"/>
    </row>
    <row r="426">
      <c r="A426" s="1126"/>
      <c r="B426" s="1170">
        <v>44688.50874567129</v>
      </c>
      <c r="C426" s="1175">
        <v>1.05483006687623</v>
      </c>
      <c r="D426" s="1172">
        <v>770221.1961636284</v>
      </c>
      <c r="E426" s="1173">
        <v>730185.0983870403</v>
      </c>
      <c r="F426" s="1174">
        <v>21.38287279956563</v>
      </c>
      <c r="G426" s="1172">
        <v>380545.42095170624</v>
      </c>
      <c r="H426" s="1172">
        <v>234501.56643975354</v>
      </c>
      <c r="I426" s="1172">
        <v>0.0</v>
      </c>
      <c r="J426" s="1172">
        <v>770221.1961636284</v>
      </c>
      <c r="K426" s="1172">
        <v>112521.19910045524</v>
      </c>
      <c r="L426" s="1098"/>
      <c r="M426" s="1100"/>
      <c r="N426" s="1096"/>
      <c r="O426" s="1098"/>
      <c r="P426" s="1096"/>
      <c r="Q426" s="1096"/>
    </row>
    <row r="427">
      <c r="A427" s="1126"/>
      <c r="B427" s="1170">
        <v>44689.82820737269</v>
      </c>
      <c r="C427" s="1175">
        <v>1.05399955942818</v>
      </c>
      <c r="D427" s="1172">
        <v>728740.0749603831</v>
      </c>
      <c r="E427" s="1173">
        <v>691404.5346999406</v>
      </c>
      <c r="F427" s="1174">
        <v>21.43495011573301</v>
      </c>
      <c r="G427" s="1172">
        <v>359175.961263511</v>
      </c>
      <c r="H427" s="1172">
        <v>218422.30910858497</v>
      </c>
      <c r="I427" s="1172">
        <v>0.0</v>
      </c>
      <c r="J427" s="1172">
        <v>728740.0749603831</v>
      </c>
      <c r="K427" s="1172">
        <v>110085.23125817621</v>
      </c>
      <c r="L427" s="1098"/>
      <c r="M427" s="1100"/>
      <c r="N427" s="1096"/>
      <c r="O427" s="1098"/>
      <c r="P427" s="1096"/>
      <c r="Q427" s="1096"/>
    </row>
    <row r="428">
      <c r="A428" s="1126"/>
      <c r="B428" s="1170">
        <v>44690.5087458912</v>
      </c>
      <c r="C428" s="1175">
        <v>1.05170497151457</v>
      </c>
      <c r="D428" s="1172">
        <v>714012.7550356665</v>
      </c>
      <c r="E428" s="1173">
        <v>678909.7459598485</v>
      </c>
      <c r="F428" s="1174">
        <v>21.348342114860603</v>
      </c>
      <c r="G428" s="1172">
        <v>368052.0528302576</v>
      </c>
      <c r="H428" s="1172">
        <v>211834.88839617552</v>
      </c>
      <c r="I428" s="1172">
        <v>0.0</v>
      </c>
      <c r="J428" s="1172">
        <v>714012.7550356665</v>
      </c>
      <c r="K428" s="1172">
        <v>94916.1271331099</v>
      </c>
      <c r="L428" s="1098"/>
      <c r="M428" s="1100"/>
      <c r="N428" s="1096"/>
      <c r="O428" s="1098"/>
      <c r="P428" s="1096"/>
      <c r="Q428" s="1096"/>
    </row>
    <row r="429">
      <c r="A429" s="1126"/>
      <c r="B429" s="1170">
        <v>44691.5087446875</v>
      </c>
      <c r="C429" s="1175">
        <v>1.05669373211546</v>
      </c>
      <c r="D429" s="1172">
        <v>667903.5673524237</v>
      </c>
      <c r="E429" s="1173">
        <v>632069.2051568306</v>
      </c>
      <c r="F429" s="1174">
        <v>21.254526852229333</v>
      </c>
      <c r="G429" s="1172">
        <v>345803.79076713807</v>
      </c>
      <c r="H429" s="1172">
        <v>210841.95822085356</v>
      </c>
      <c r="I429" s="1172">
        <v>0.0</v>
      </c>
      <c r="J429" s="1172">
        <v>667903.5673524237</v>
      </c>
      <c r="K429" s="1172">
        <v>85487.418752921</v>
      </c>
      <c r="L429" s="1098"/>
      <c r="M429" s="1100"/>
      <c r="N429" s="1096"/>
      <c r="O429" s="1098"/>
      <c r="P429" s="1096"/>
      <c r="Q429" s="1096"/>
    </row>
    <row r="430">
      <c r="A430" s="1126"/>
      <c r="B430" s="1170">
        <v>44692.960767881945</v>
      </c>
      <c r="C430" s="1175">
        <v>1.05113675184028</v>
      </c>
      <c r="D430" s="1172">
        <v>557119.513855214</v>
      </c>
      <c r="E430" s="1173">
        <v>530016.2066256704</v>
      </c>
      <c r="F430" s="1174">
        <v>19.54339594550684</v>
      </c>
      <c r="G430" s="1172">
        <v>313700.9023197919</v>
      </c>
      <c r="H430" s="1172">
        <v>223492.96169136374</v>
      </c>
      <c r="I430" s="1172">
        <v>0.0</v>
      </c>
      <c r="J430" s="1172">
        <v>557119.513855214</v>
      </c>
      <c r="K430" s="1172">
        <v>1.527795</v>
      </c>
      <c r="L430" s="1098"/>
      <c r="M430" s="1100"/>
      <c r="N430" s="1096"/>
      <c r="O430" s="1098"/>
      <c r="P430" s="1096"/>
      <c r="Q430" s="1096"/>
    </row>
    <row r="431">
      <c r="A431" s="1126"/>
      <c r="B431" s="1170">
        <v>44693.50874462963</v>
      </c>
      <c r="C431" s="1175">
        <v>1.04402987178269</v>
      </c>
      <c r="D431" s="1172">
        <v>526685.5312973926</v>
      </c>
      <c r="E431" s="1173">
        <v>504473.62238598836</v>
      </c>
      <c r="F431" s="1174">
        <v>18.860504905118976</v>
      </c>
      <c r="G431" s="1172">
        <v>307302.08107044495</v>
      </c>
      <c r="H431" s="1172">
        <v>69986.1167421125</v>
      </c>
      <c r="I431" s="1172">
        <v>0.0</v>
      </c>
      <c r="J431" s="1172">
        <v>526685.5312973926</v>
      </c>
      <c r="K431" s="1172">
        <v>131335.527795</v>
      </c>
      <c r="L431" s="1098"/>
      <c r="M431" s="1100"/>
      <c r="N431" s="1096"/>
      <c r="O431" s="1098"/>
      <c r="P431" s="1096"/>
      <c r="Q431" s="1096"/>
    </row>
    <row r="432">
      <c r="A432" s="1126"/>
      <c r="B432" s="1170">
        <v>44694.508753055554</v>
      </c>
      <c r="C432" s="1175">
        <v>1.03924824938632</v>
      </c>
      <c r="D432" s="1172">
        <v>561031.3190757962</v>
      </c>
      <c r="E432" s="1173">
        <v>539843.4102795817</v>
      </c>
      <c r="F432" s="1174">
        <v>18.49429617051001</v>
      </c>
      <c r="G432" s="1172">
        <v>333823.3615390765</v>
      </c>
      <c r="H432" s="1172">
        <v>76224.25045086347</v>
      </c>
      <c r="I432" s="1172">
        <v>0.0</v>
      </c>
      <c r="J432" s="1172">
        <v>561031.3190757962</v>
      </c>
      <c r="K432" s="1172">
        <v>131335.518598</v>
      </c>
      <c r="L432" s="1098"/>
      <c r="M432" s="1100"/>
      <c r="N432" s="1096"/>
      <c r="O432" s="1098"/>
      <c r="P432" s="1096"/>
      <c r="Q432" s="1096"/>
    </row>
    <row r="433">
      <c r="A433" s="1126"/>
      <c r="B433" s="1170">
        <v>44695.83076174768</v>
      </c>
      <c r="C433" s="1175">
        <v>1.0411894548332</v>
      </c>
      <c r="D433" s="1172">
        <v>529581.3616443644</v>
      </c>
      <c r="E433" s="1173">
        <v>508631.1229777141</v>
      </c>
      <c r="F433" s="1174">
        <v>17.9695504913988</v>
      </c>
      <c r="G433" s="1172">
        <v>287473.1152040657</v>
      </c>
      <c r="H433" s="1172">
        <v>73959.69315973832</v>
      </c>
      <c r="I433" s="1172"/>
      <c r="J433" s="1172">
        <v>529581.3616443644</v>
      </c>
      <c r="K433" s="1172">
        <v>153548.181804</v>
      </c>
      <c r="L433" s="1098"/>
      <c r="M433" s="1100"/>
      <c r="N433" s="1096"/>
      <c r="O433" s="1098"/>
      <c r="P433" s="1096"/>
      <c r="Q433" s="1096"/>
    </row>
    <row r="434">
      <c r="A434" s="1126"/>
      <c r="B434" s="1170">
        <v>44696.50874612269</v>
      </c>
      <c r="C434" s="1175">
        <v>1.040867163958662</v>
      </c>
      <c r="D434" s="1172">
        <v>551979.651567926</v>
      </c>
      <c r="E434" s="1173">
        <v>530307.488487405</v>
      </c>
      <c r="F434" s="1174">
        <v>18.59580469941464</v>
      </c>
      <c r="G434" s="1172">
        <v>289540.8521685058</v>
      </c>
      <c r="H434" s="1172">
        <v>74750.40197827917</v>
      </c>
      <c r="I434" s="1172"/>
      <c r="J434" s="1172">
        <v>551979.651567926</v>
      </c>
      <c r="K434" s="1172">
        <v>172287.583674</v>
      </c>
      <c r="L434" s="1098"/>
      <c r="M434" s="1100"/>
      <c r="N434" s="1096"/>
      <c r="O434" s="1098"/>
      <c r="P434" s="1096"/>
      <c r="Q434" s="1096"/>
    </row>
    <row r="435">
      <c r="A435" s="1126"/>
      <c r="B435" s="1170">
        <v>44697.50875046296</v>
      </c>
      <c r="C435" s="1175">
        <v>1.04258979304593</v>
      </c>
      <c r="D435" s="1172">
        <v>552257.5876680784</v>
      </c>
      <c r="E435" s="1173">
        <v>529697.8652118354</v>
      </c>
      <c r="F435" s="1174">
        <v>18.669787836484833</v>
      </c>
      <c r="G435" s="1172">
        <v>275863.54572319787</v>
      </c>
      <c r="H435" s="1172">
        <v>73926.69251447759</v>
      </c>
      <c r="I435" s="1172"/>
      <c r="J435" s="1172">
        <v>552257.5876680784</v>
      </c>
      <c r="K435" s="1172">
        <v>186475.583674</v>
      </c>
      <c r="L435" s="1098"/>
      <c r="M435" s="1100"/>
      <c r="N435" s="1096"/>
      <c r="O435" s="1098"/>
      <c r="P435" s="1096"/>
      <c r="Q435" s="1096"/>
    </row>
    <row r="436">
      <c r="A436" s="1126"/>
      <c r="B436" s="1170">
        <v>44698.50874752315</v>
      </c>
      <c r="C436" s="1175">
        <v>1.04806422537573</v>
      </c>
      <c r="D436" s="1172">
        <v>569104.3008489498</v>
      </c>
      <c r="E436" s="1173">
        <v>543005.1776120175</v>
      </c>
      <c r="F436" s="1174">
        <v>18.60488825683944</v>
      </c>
      <c r="G436" s="1172">
        <v>285270.462910609</v>
      </c>
      <c r="H436" s="1172">
        <v>76730.99313479864</v>
      </c>
      <c r="I436" s="1172"/>
      <c r="J436" s="1172">
        <v>569104.3008489498</v>
      </c>
      <c r="K436" s="1172">
        <v>190150.0</v>
      </c>
      <c r="L436" s="1098"/>
      <c r="M436" s="1100"/>
      <c r="N436" s="1096"/>
      <c r="O436" s="1098"/>
      <c r="P436" s="1096"/>
      <c r="Q436" s="1096"/>
    </row>
    <row r="437">
      <c r="A437" s="1126"/>
      <c r="B437" s="1170">
        <v>44699.538783067124</v>
      </c>
      <c r="C437" s="1175">
        <v>1.05252632631474</v>
      </c>
      <c r="D437" s="1172">
        <v>560217.0656368196</v>
      </c>
      <c r="E437" s="1173">
        <v>532259.4329762126</v>
      </c>
      <c r="F437" s="1174">
        <v>18.732415670515998</v>
      </c>
      <c r="G437" s="1172">
        <v>220631.47114360455</v>
      </c>
      <c r="H437" s="1172">
        <v>74995.68031065204</v>
      </c>
      <c r="I437" s="1172"/>
      <c r="J437" s="1172">
        <v>560217.0656368196</v>
      </c>
      <c r="K437" s="1172">
        <v>248280.83</v>
      </c>
      <c r="L437" s="1098"/>
      <c r="M437" s="1100"/>
      <c r="N437" s="1096"/>
      <c r="O437" s="1098"/>
      <c r="P437" s="1096"/>
      <c r="Q437" s="1096"/>
    </row>
    <row r="438">
      <c r="A438" s="1126"/>
      <c r="B438" s="1170">
        <v>44700.50874784723</v>
      </c>
      <c r="C438" s="1175">
        <v>1.04914290270563</v>
      </c>
      <c r="D438" s="1172">
        <v>549154.4659966688</v>
      </c>
      <c r="E438" s="1173">
        <v>523431.5216549211</v>
      </c>
      <c r="F438" s="1174">
        <v>18.914197718056325</v>
      </c>
      <c r="G438" s="1172">
        <v>214196.07472249205</v>
      </c>
      <c r="H438" s="1172">
        <v>71026.0164012253</v>
      </c>
      <c r="I438" s="1172"/>
      <c r="J438" s="1172">
        <v>549154.4659966688</v>
      </c>
      <c r="K438" s="1172">
        <v>248848.90188199998</v>
      </c>
      <c r="L438" s="1098"/>
      <c r="M438" s="1100"/>
      <c r="N438" s="1096"/>
      <c r="O438" s="1098"/>
      <c r="P438" s="1096"/>
      <c r="Q438" s="1096"/>
    </row>
    <row r="439">
      <c r="A439" s="1126"/>
      <c r="B439" s="1170">
        <v>44701.688049062504</v>
      </c>
      <c r="C439" s="1175">
        <v>1.0563307779143847</v>
      </c>
      <c r="D439" s="1172">
        <v>561412.215328382</v>
      </c>
      <c r="E439" s="1173">
        <v>531473.8783213645</v>
      </c>
      <c r="F439" s="1174">
        <v>18.742576990301014</v>
      </c>
      <c r="G439" s="1172">
        <v>202664.55482600676</v>
      </c>
      <c r="H439" s="1172">
        <v>74374.19692257668</v>
      </c>
      <c r="I439" s="1172"/>
      <c r="J439" s="1172">
        <v>561412.215328382</v>
      </c>
      <c r="K439" s="1172">
        <v>267907.97188200004</v>
      </c>
      <c r="L439" s="1098"/>
      <c r="M439" s="1100"/>
      <c r="N439" s="1096"/>
      <c r="O439" s="1098"/>
      <c r="P439" s="1096"/>
      <c r="Q439" s="1096"/>
    </row>
    <row r="440">
      <c r="A440" s="1126"/>
      <c r="B440" s="1170">
        <v>44702.508743900464</v>
      </c>
      <c r="C440" s="1175">
        <v>1.05656980386895</v>
      </c>
      <c r="D440" s="1172">
        <v>553002.2499358159</v>
      </c>
      <c r="E440" s="1173">
        <v>523393.9564720011</v>
      </c>
      <c r="F440" s="1174">
        <v>18.826123420871316</v>
      </c>
      <c r="G440" s="1172">
        <v>148527.53653170733</v>
      </c>
      <c r="H440" s="1172">
        <v>196.21578311765475</v>
      </c>
      <c r="I440" s="1172"/>
      <c r="J440" s="1172">
        <v>553002.2499358159</v>
      </c>
      <c r="K440" s="1172">
        <v>388627.071882</v>
      </c>
      <c r="L440" s="1098"/>
      <c r="M440" s="1100"/>
      <c r="N440" s="1096"/>
      <c r="O440" s="1098"/>
      <c r="P440" s="1096"/>
      <c r="Q440" s="1096"/>
    </row>
    <row r="441">
      <c r="A441" s="1126"/>
      <c r="B441" s="1170">
        <v>44703.50875042824</v>
      </c>
      <c r="C441" s="1175">
        <v>1.05656980386895</v>
      </c>
      <c r="D441" s="1172">
        <v>557289.9120057295</v>
      </c>
      <c r="E441" s="1173">
        <v>527452.0528270294</v>
      </c>
      <c r="F441" s="1174">
        <v>18.512217663490155</v>
      </c>
      <c r="G441" s="1172">
        <v>152217.19503401525</v>
      </c>
      <c r="H441" s="1172">
        <v>201.0182902782238</v>
      </c>
      <c r="I441" s="1172"/>
      <c r="J441" s="1172">
        <v>557289.9120057295</v>
      </c>
      <c r="K441" s="1172">
        <v>388649.731882</v>
      </c>
      <c r="L441" s="1098"/>
      <c r="M441" s="1100"/>
      <c r="N441" s="1096"/>
      <c r="O441" s="1098"/>
      <c r="P441" s="1096"/>
      <c r="Q441" s="1096"/>
    </row>
    <row r="442">
      <c r="A442" s="1126"/>
      <c r="B442" s="1170">
        <v>44704.50874747685</v>
      </c>
      <c r="C442" s="1175">
        <v>1.06763579526589</v>
      </c>
      <c r="D442" s="1172">
        <v>559502.1306208103</v>
      </c>
      <c r="E442" s="1173">
        <v>524057.11114385107</v>
      </c>
      <c r="F442" s="1174">
        <v>18.366073806011997</v>
      </c>
      <c r="G442" s="1172">
        <v>153873.12996861793</v>
      </c>
      <c r="H442" s="1172">
        <v>205.1215936128465</v>
      </c>
      <c r="I442" s="1172"/>
      <c r="J442" s="1172">
        <v>559502.1306208103</v>
      </c>
      <c r="K442" s="1172">
        <v>388649.731882</v>
      </c>
      <c r="L442" s="1098"/>
      <c r="M442" s="1100"/>
      <c r="N442" s="1096"/>
      <c r="O442" s="1098"/>
      <c r="P442" s="1096"/>
      <c r="Q442" s="1096"/>
    </row>
    <row r="443">
      <c r="A443" s="1126"/>
      <c r="B443" s="1170">
        <v>44705.50874721065</v>
      </c>
      <c r="C443" s="1175">
        <v>1.0716746738626</v>
      </c>
      <c r="D443" s="1172">
        <v>552802.5032949727</v>
      </c>
      <c r="E443" s="1173">
        <v>515830.519072104</v>
      </c>
      <c r="F443" s="1174">
        <v>18.87307597727865</v>
      </c>
      <c r="G443" s="1172">
        <v>147946.49518204937</v>
      </c>
      <c r="H443" s="1172">
        <v>195.56633968041044</v>
      </c>
      <c r="I443" s="1172"/>
      <c r="J443" s="1172">
        <v>552802.5032949727</v>
      </c>
      <c r="K443" s="1172">
        <v>393454.731882</v>
      </c>
      <c r="L443" s="1098"/>
      <c r="M443" s="1100"/>
      <c r="N443" s="1096"/>
      <c r="O443" s="1098"/>
      <c r="P443" s="1096"/>
      <c r="Q443" s="1096"/>
    </row>
    <row r="444">
      <c r="A444" s="1126"/>
      <c r="B444" s="1094"/>
      <c r="C444" s="1099"/>
      <c r="D444" s="1096"/>
      <c r="E444" s="1097"/>
      <c r="F444" s="1097"/>
      <c r="G444" s="1097"/>
      <c r="H444" s="1097"/>
      <c r="I444" s="1098"/>
      <c r="J444" s="1099"/>
      <c r="K444" s="1096"/>
      <c r="L444" s="1098"/>
      <c r="M444" s="1100"/>
      <c r="N444" s="1096"/>
      <c r="O444" s="1098"/>
      <c r="P444" s="1096"/>
      <c r="Q444" s="1096"/>
    </row>
    <row r="445">
      <c r="A445" s="1126"/>
      <c r="B445" s="1170">
        <v>44706.5087422338</v>
      </c>
      <c r="C445" s="1175">
        <v>1.0666837336064</v>
      </c>
      <c r="D445" s="1172">
        <v>363669.9300214865</v>
      </c>
      <c r="E445" s="1173">
        <v>340935.10434619465</v>
      </c>
      <c r="F445" s="1174">
        <v>12.19606983336456</v>
      </c>
      <c r="G445" s="1172">
        <v>150613.8322948401</v>
      </c>
      <c r="H445" s="1172">
        <v>196.3090377299352</v>
      </c>
      <c r="I445" s="1172"/>
      <c r="J445" s="1172">
        <v>363669.9300214865</v>
      </c>
      <c r="K445" s="1172">
        <v>201515.451882</v>
      </c>
      <c r="L445" s="1098"/>
      <c r="M445" s="1100"/>
      <c r="N445" s="1096"/>
      <c r="O445" s="1098"/>
      <c r="P445" s="1096"/>
      <c r="Q445" s="1096"/>
    </row>
    <row r="446">
      <c r="A446" s="1126"/>
      <c r="B446" s="1170">
        <v>44707.508752118054</v>
      </c>
      <c r="C446" s="1175">
        <v>1.0679732963957</v>
      </c>
      <c r="D446" s="1172">
        <v>359440.6638480817</v>
      </c>
      <c r="E446" s="1173">
        <v>336563.3439161419</v>
      </c>
      <c r="F446" s="1174">
        <v>12.311167420478778</v>
      </c>
      <c r="G446" s="1172">
        <v>147470.56319587075</v>
      </c>
      <c r="H446" s="1172">
        <v>182.71626038275576</v>
      </c>
      <c r="I446" s="1172"/>
      <c r="J446" s="1172">
        <v>359440.6638480817</v>
      </c>
      <c r="K446" s="1172">
        <v>201515.451882</v>
      </c>
      <c r="L446" s="1098"/>
      <c r="M446" s="1100"/>
      <c r="N446" s="1096"/>
      <c r="O446" s="1098"/>
      <c r="P446" s="1096"/>
      <c r="Q446" s="1096"/>
    </row>
    <row r="447">
      <c r="A447" s="1126"/>
      <c r="B447" s="1170">
        <v>44708.50874532407</v>
      </c>
      <c r="C447" s="1175">
        <v>1.07294755861513</v>
      </c>
      <c r="D447" s="1172">
        <v>358349.06210769044</v>
      </c>
      <c r="E447" s="1173">
        <v>333985.62607311126</v>
      </c>
      <c r="F447" s="1174">
        <v>12.353615683659035</v>
      </c>
      <c r="G447" s="1172">
        <v>146517.5183570088</v>
      </c>
      <c r="H447" s="1172">
        <v>176.7244535684164</v>
      </c>
      <c r="I447" s="1172"/>
      <c r="J447" s="1172">
        <v>358349.06210769044</v>
      </c>
      <c r="K447" s="1172">
        <v>201515.451882</v>
      </c>
      <c r="L447" s="1098"/>
      <c r="M447" s="1100"/>
      <c r="N447" s="1096"/>
      <c r="O447" s="1098"/>
      <c r="P447" s="1096"/>
      <c r="Q447" s="1096"/>
    </row>
    <row r="448">
      <c r="A448" s="1126"/>
      <c r="B448" s="1170">
        <v>44709.508754525465</v>
      </c>
      <c r="C448" s="1175">
        <v>1.07321470733435</v>
      </c>
      <c r="D448" s="1172">
        <v>357325.4119802171</v>
      </c>
      <c r="E448" s="1173">
        <v>332948.67237492645</v>
      </c>
      <c r="F448" s="1174">
        <v>12.421208375855237</v>
      </c>
      <c r="G448" s="1172">
        <v>145303.95121785463</v>
      </c>
      <c r="H448" s="1172">
        <v>174.32825183740826</v>
      </c>
      <c r="I448" s="1172"/>
      <c r="J448" s="1172">
        <v>357325.4119802171</v>
      </c>
      <c r="K448" s="1172">
        <v>201907.31</v>
      </c>
      <c r="L448" s="1098"/>
      <c r="M448" s="1100"/>
      <c r="N448" s="1096"/>
      <c r="O448" s="1098"/>
      <c r="P448" s="1096"/>
      <c r="Q448" s="1096"/>
    </row>
    <row r="449">
      <c r="A449" s="1126"/>
      <c r="B449" s="1170">
        <v>44710.50873954861</v>
      </c>
      <c r="C449" s="1175">
        <v>1.07321470733435</v>
      </c>
      <c r="D449" s="1172">
        <v>359032.6091551452</v>
      </c>
      <c r="E449" s="1173">
        <v>334539.40455858095</v>
      </c>
      <c r="F449" s="1174">
        <v>12.353731505444815</v>
      </c>
      <c r="G449" s="1172">
        <v>146795.6226864218</v>
      </c>
      <c r="H449" s="1172">
        <v>177.15313540532233</v>
      </c>
      <c r="I449" s="1172"/>
      <c r="J449" s="1172">
        <v>359032.6091551452</v>
      </c>
      <c r="K449" s="1172">
        <v>201907.31</v>
      </c>
      <c r="L449" s="1098"/>
      <c r="M449" s="1100"/>
      <c r="N449" s="1096"/>
      <c r="O449" s="1098"/>
      <c r="P449" s="1096"/>
      <c r="Q449" s="1096"/>
    </row>
    <row r="450">
      <c r="A450" s="1126"/>
      <c r="B450" s="1170">
        <v>44711.61263046296</v>
      </c>
      <c r="C450" s="1175">
        <v>1.07593983344451</v>
      </c>
      <c r="D450" s="1172">
        <v>376270.2357533634</v>
      </c>
      <c r="E450" s="1173">
        <v>349713.0825138922</v>
      </c>
      <c r="F450" s="1174">
        <v>12.341248083326075</v>
      </c>
      <c r="G450" s="1172">
        <v>153999.08890560328</v>
      </c>
      <c r="H450" s="1172">
        <v>186.78208045961418</v>
      </c>
      <c r="I450" s="1172"/>
      <c r="J450" s="1172">
        <v>376270.2357533634</v>
      </c>
      <c r="K450" s="1172">
        <v>211313.6708</v>
      </c>
      <c r="L450" s="1098"/>
      <c r="M450" s="1100"/>
      <c r="N450" s="1096"/>
      <c r="O450" s="1098"/>
      <c r="P450" s="1096"/>
      <c r="Q450" s="1096"/>
    </row>
    <row r="451">
      <c r="A451" s="1126"/>
      <c r="B451" s="1170">
        <v>44712.5087440162</v>
      </c>
      <c r="C451" s="1175">
        <v>1.07329533867834</v>
      </c>
      <c r="D451" s="1172">
        <v>381369.9391617581</v>
      </c>
      <c r="E451" s="1173">
        <v>355326.186016403</v>
      </c>
      <c r="F451" s="1174">
        <v>12.087192505476436</v>
      </c>
      <c r="G451" s="1172">
        <v>158862.1710797982</v>
      </c>
      <c r="H451" s="1172">
        <v>195.01302617050655</v>
      </c>
      <c r="I451" s="1172"/>
      <c r="J451" s="1172">
        <v>381369.9391617581</v>
      </c>
      <c r="K451" s="1172">
        <v>212479.0108</v>
      </c>
      <c r="L451" s="1098"/>
      <c r="M451" s="1100"/>
      <c r="N451" s="1096"/>
      <c r="O451" s="1098"/>
      <c r="P451" s="1096"/>
      <c r="Q451" s="1096"/>
    </row>
    <row r="452">
      <c r="A452" s="1126"/>
      <c r="B452" s="1170">
        <v>44713.50874820602</v>
      </c>
      <c r="C452" s="1175">
        <v>1.07194003996192</v>
      </c>
      <c r="D452" s="1172">
        <v>381793.89464067784</v>
      </c>
      <c r="E452" s="1173">
        <v>356170.9427835542</v>
      </c>
      <c r="F452" s="1174">
        <v>12.077441646942043</v>
      </c>
      <c r="G452" s="1172">
        <v>159167.17428334994</v>
      </c>
      <c r="H452" s="1172">
        <v>192.6503014838124</v>
      </c>
      <c r="I452" s="1172"/>
      <c r="J452" s="1172">
        <v>381793.89464067784</v>
      </c>
      <c r="K452" s="1172">
        <v>212479.0108</v>
      </c>
      <c r="L452" s="1098"/>
      <c r="M452" s="1100"/>
      <c r="N452" s="1096"/>
      <c r="O452" s="1098"/>
      <c r="P452" s="1096"/>
      <c r="Q452" s="1096"/>
    </row>
    <row r="453">
      <c r="A453" s="1126"/>
      <c r="B453" s="1170">
        <v>44714.508747858796</v>
      </c>
      <c r="C453" s="1175">
        <v>1.06895051507381</v>
      </c>
      <c r="D453" s="1172">
        <v>372860.0017011735</v>
      </c>
      <c r="E453" s="1173">
        <v>348809.4130114413</v>
      </c>
      <c r="F453" s="1174">
        <v>12.458757898660226</v>
      </c>
      <c r="G453" s="1172">
        <v>150685.17454434946</v>
      </c>
      <c r="H453" s="1172">
        <v>180.86556366325183</v>
      </c>
      <c r="I453" s="1172"/>
      <c r="J453" s="1172">
        <v>372860.0017011735</v>
      </c>
      <c r="K453" s="1172">
        <v>212479.0108</v>
      </c>
      <c r="L453" s="1098"/>
      <c r="M453" s="1100"/>
      <c r="N453" s="1096"/>
      <c r="O453" s="1098"/>
      <c r="P453" s="1096"/>
      <c r="Q453" s="1096"/>
    </row>
    <row r="454">
      <c r="A454" s="1126"/>
      <c r="B454" s="1170">
        <v>44715.50875060185</v>
      </c>
      <c r="C454" s="1175">
        <v>1.07486545371683</v>
      </c>
      <c r="D454" s="1172">
        <v>372860.0017011735</v>
      </c>
      <c r="E454" s="1173">
        <v>348809.4130114413</v>
      </c>
      <c r="F454" s="1174">
        <v>12.458757898660226</v>
      </c>
      <c r="G454" s="1172">
        <v>150685.17454434946</v>
      </c>
      <c r="H454" s="1172">
        <v>180.86556366325183</v>
      </c>
      <c r="I454" s="1172"/>
      <c r="J454" s="1172">
        <v>372860.0017011735</v>
      </c>
      <c r="K454" s="1172">
        <v>212479.0108</v>
      </c>
      <c r="L454" s="1098"/>
      <c r="M454" s="1100"/>
      <c r="N454" s="1096"/>
      <c r="O454" s="1098"/>
      <c r="P454" s="1096"/>
      <c r="Q454" s="1096"/>
    </row>
    <row r="455">
      <c r="A455" s="1126"/>
      <c r="B455" s="1170">
        <v>44716.50874287037</v>
      </c>
      <c r="C455" s="1175">
        <v>1.07189982453</v>
      </c>
      <c r="D455" s="1172">
        <v>371734.17901639786</v>
      </c>
      <c r="E455" s="1173">
        <v>346799.36549051455</v>
      </c>
      <c r="F455" s="1174">
        <v>12.503962614365625</v>
      </c>
      <c r="G455" s="1172">
        <v>149687.07513546266</v>
      </c>
      <c r="H455" s="1172">
        <v>176.23283275309296</v>
      </c>
      <c r="I455" s="1172"/>
      <c r="J455" s="1172">
        <v>371734.17901639786</v>
      </c>
      <c r="K455" s="1172">
        <v>212479.0108</v>
      </c>
      <c r="L455" s="1098"/>
      <c r="M455" s="1100"/>
      <c r="N455" s="1096"/>
      <c r="O455" s="1098"/>
      <c r="P455" s="1096"/>
      <c r="Q455" s="1096"/>
    </row>
    <row r="456">
      <c r="A456" s="1126"/>
      <c r="B456" s="1170">
        <v>44717.50874306713</v>
      </c>
      <c r="C456" s="1175">
        <v>1.07189982453</v>
      </c>
      <c r="D456" s="1172">
        <v>371130.3310160067</v>
      </c>
      <c r="E456" s="1173">
        <v>346236.02180244564</v>
      </c>
      <c r="F456" s="1174">
        <v>12.52704858170654</v>
      </c>
      <c r="G456" s="1172">
        <v>149168.51359500608</v>
      </c>
      <c r="H456" s="1172">
        <v>176.77851874272724</v>
      </c>
      <c r="I456" s="1172"/>
      <c r="J456" s="1172">
        <v>371130.3310160067</v>
      </c>
      <c r="K456" s="1172">
        <v>212479.0108</v>
      </c>
      <c r="L456" s="1098"/>
      <c r="M456" s="1100"/>
      <c r="N456" s="1096"/>
      <c r="O456" s="1098"/>
      <c r="P456" s="1096"/>
      <c r="Q456" s="1096"/>
    </row>
    <row r="457">
      <c r="A457" s="1126"/>
      <c r="B457" s="1170">
        <v>44718.50874957176</v>
      </c>
      <c r="C457" s="1175">
        <v>1.07467023743764</v>
      </c>
      <c r="D457" s="1172">
        <v>380631.1365571032</v>
      </c>
      <c r="E457" s="1173">
        <v>354184.1239268433</v>
      </c>
      <c r="F457" s="1174">
        <v>12.118863482161967</v>
      </c>
      <c r="G457" s="1172">
        <v>158140.05788462938</v>
      </c>
      <c r="H457" s="1172">
        <v>189.3563328651951</v>
      </c>
      <c r="I457" s="1172"/>
      <c r="J457" s="1172">
        <v>380631.1365571032</v>
      </c>
      <c r="K457" s="1172">
        <v>212479.0108</v>
      </c>
      <c r="L457" s="1098"/>
      <c r="M457" s="1100"/>
      <c r="N457" s="1096"/>
      <c r="O457" s="1098"/>
      <c r="P457" s="1096"/>
      <c r="Q457" s="1096"/>
    </row>
    <row r="458">
      <c r="A458" s="1126"/>
      <c r="B458" s="1170">
        <v>44719.5087447338</v>
      </c>
      <c r="C458" s="1175">
        <v>1.06857242997645</v>
      </c>
      <c r="D458" s="1172">
        <v>370723.1279925061</v>
      </c>
      <c r="E458" s="1173">
        <v>346933.0834229705</v>
      </c>
      <c r="F458" s="1174">
        <v>12.528404775149458</v>
      </c>
      <c r="G458" s="1172">
        <v>148988.71667562326</v>
      </c>
      <c r="H458" s="1172">
        <v>175.19520958383742</v>
      </c>
      <c r="I458" s="1172"/>
      <c r="J458" s="1172">
        <v>370723.1279925061</v>
      </c>
      <c r="K458" s="1172">
        <v>212479.0108</v>
      </c>
      <c r="L458" s="1098"/>
      <c r="M458" s="1100"/>
      <c r="N458" s="1096"/>
      <c r="O458" s="1098"/>
      <c r="P458" s="1096"/>
      <c r="Q458" s="1096"/>
    </row>
    <row r="459">
      <c r="A459" s="1126"/>
      <c r="B459" s="1170">
        <v>44720.50874607639</v>
      </c>
      <c r="C459" s="1175">
        <v>1.06826193782716</v>
      </c>
      <c r="D459" s="1172">
        <v>375930.50461557554</v>
      </c>
      <c r="E459" s="1173">
        <v>351908.54537063866</v>
      </c>
      <c r="F459" s="1174">
        <v>12.357520189207644</v>
      </c>
      <c r="G459" s="1172">
        <v>0.0</v>
      </c>
      <c r="H459" s="1172">
        <v>179.42248887553498</v>
      </c>
      <c r="I459" s="1172"/>
      <c r="J459" s="1172">
        <v>375930.50461557554</v>
      </c>
      <c r="K459" s="1172">
        <v>366405.62136700004</v>
      </c>
      <c r="L459" s="1098"/>
      <c r="M459" s="1100"/>
      <c r="N459" s="1096"/>
      <c r="O459" s="1098"/>
      <c r="P459" s="1096"/>
      <c r="Q459" s="1096"/>
    </row>
    <row r="460">
      <c r="A460" s="1126"/>
      <c r="B460" s="1170">
        <v>44721.50874315972</v>
      </c>
      <c r="C460" s="1175">
        <v>1.07138188978909</v>
      </c>
      <c r="D460" s="1172">
        <v>375964.7692344253</v>
      </c>
      <c r="E460" s="1173">
        <v>350915.7405194117</v>
      </c>
      <c r="F460" s="1174">
        <v>12.313887254056006</v>
      </c>
      <c r="G460" s="1172">
        <v>0.0</v>
      </c>
      <c r="H460" s="1172">
        <v>180.67909849569094</v>
      </c>
      <c r="I460" s="1172"/>
      <c r="J460" s="1172">
        <v>375964.7692344253</v>
      </c>
      <c r="K460" s="1172">
        <v>366405.62136700004</v>
      </c>
      <c r="L460" s="1098"/>
      <c r="M460" s="1100"/>
      <c r="N460" s="1096"/>
      <c r="O460" s="1098"/>
      <c r="P460" s="1096"/>
      <c r="Q460" s="1096"/>
    </row>
    <row r="461">
      <c r="A461" s="1126"/>
      <c r="B461" s="1170">
        <v>44722.50875148148</v>
      </c>
      <c r="C461" s="1175">
        <v>1.05966440428316</v>
      </c>
      <c r="D461" s="1172">
        <v>375671.42859961843</v>
      </c>
      <c r="E461" s="1173">
        <v>354519.2488123181</v>
      </c>
      <c r="F461" s="1174">
        <v>12.558419574996007</v>
      </c>
      <c r="G461" s="1172">
        <v>0.0</v>
      </c>
      <c r="H461" s="1172">
        <v>175.8167486484579</v>
      </c>
      <c r="I461" s="1172"/>
      <c r="J461" s="1172">
        <v>375671.42859961843</v>
      </c>
      <c r="K461" s="1172">
        <v>366405.62136700004</v>
      </c>
      <c r="L461" s="1098"/>
      <c r="M461" s="1100"/>
      <c r="N461" s="1096"/>
      <c r="O461" s="1098"/>
      <c r="P461" s="1096"/>
      <c r="Q461" s="1096"/>
    </row>
    <row r="462">
      <c r="A462" s="1126"/>
      <c r="B462" s="1170">
        <v>44723.50874311343</v>
      </c>
      <c r="C462" s="1175">
        <v>1.05200037872014</v>
      </c>
      <c r="D462" s="1172">
        <v>375072.6856757386</v>
      </c>
      <c r="E462" s="1173">
        <v>356532.8428227856</v>
      </c>
      <c r="F462" s="1174">
        <v>12.886235937764473</v>
      </c>
      <c r="G462" s="1172">
        <v>0.0</v>
      </c>
      <c r="H462" s="1172">
        <v>159.07554352900598</v>
      </c>
      <c r="I462" s="1172"/>
      <c r="J462" s="1172">
        <v>375072.6856757386</v>
      </c>
      <c r="K462" s="1172">
        <v>366405.62136700004</v>
      </c>
      <c r="L462" s="1098"/>
      <c r="M462" s="1100"/>
      <c r="N462" s="1096"/>
      <c r="O462" s="1098"/>
      <c r="P462" s="1096"/>
      <c r="Q462" s="1096"/>
    </row>
    <row r="463">
      <c r="A463" s="1126"/>
      <c r="B463" s="1170">
        <v>44724.50874359954</v>
      </c>
      <c r="C463" s="1175">
        <v>1.05200037872014</v>
      </c>
      <c r="D463" s="1172">
        <v>374114.6790335276</v>
      </c>
      <c r="E463" s="1173">
        <v>355622.1904488991</v>
      </c>
      <c r="F463" s="1174">
        <v>13.636941589683484</v>
      </c>
      <c r="G463" s="1172">
        <v>0.0</v>
      </c>
      <c r="H463" s="1172">
        <v>145.35433039227854</v>
      </c>
      <c r="I463" s="1172"/>
      <c r="J463" s="1172">
        <v>374114.6790335276</v>
      </c>
      <c r="K463" s="1172">
        <v>366405.62136700004</v>
      </c>
      <c r="L463" s="1098"/>
      <c r="M463" s="1100"/>
      <c r="N463" s="1096"/>
      <c r="O463" s="1098"/>
      <c r="P463" s="1096"/>
      <c r="Q463" s="1096"/>
    </row>
    <row r="464">
      <c r="A464" s="1126"/>
      <c r="B464" s="1170">
        <v>44725.508747175925</v>
      </c>
      <c r="C464" s="1187">
        <v>1.04118728668675</v>
      </c>
      <c r="D464" s="1188">
        <v>366551.1241181664</v>
      </c>
      <c r="E464" s="1189">
        <v>352051.09475030156</v>
      </c>
      <c r="F464" s="1190">
        <v>16.45543586773448</v>
      </c>
      <c r="G464" s="1188">
        <v>0.0</v>
      </c>
      <c r="H464" s="1188">
        <v>109.12411816642185</v>
      </c>
      <c r="I464" s="1188"/>
      <c r="J464" s="1188">
        <v>366551.1241181664</v>
      </c>
      <c r="K464" s="1188">
        <v>366442.0</v>
      </c>
      <c r="L464" s="1098"/>
      <c r="M464" s="1100"/>
      <c r="N464" s="1096"/>
      <c r="O464" s="1098"/>
      <c r="P464" s="1096"/>
      <c r="Q464" s="1096"/>
    </row>
    <row r="465">
      <c r="A465" s="1126"/>
      <c r="B465" s="1191">
        <v>44726.508750243054</v>
      </c>
      <c r="C465" s="1187">
        <v>1.04552968101935</v>
      </c>
      <c r="D465" s="1188">
        <v>366552.0036939504</v>
      </c>
      <c r="E465" s="1189">
        <v>350589.76358908985</v>
      </c>
      <c r="F465" s="1190">
        <v>16.426338275799978</v>
      </c>
      <c r="G465" s="1188">
        <v>0.0</v>
      </c>
      <c r="H465" s="1188">
        <v>110.0036939504317</v>
      </c>
      <c r="I465" s="1188"/>
      <c r="J465" s="1188">
        <v>366552.0036939504</v>
      </c>
      <c r="K465" s="1188">
        <v>366442.0</v>
      </c>
      <c r="L465" s="1098"/>
      <c r="M465" s="1100"/>
      <c r="N465" s="1096"/>
      <c r="O465" s="1098"/>
      <c r="P465" s="1096"/>
      <c r="Q465" s="1096"/>
    </row>
    <row r="466">
      <c r="A466" s="1126"/>
      <c r="B466" s="1170">
        <v>44727.50874244213</v>
      </c>
      <c r="C466" s="1175">
        <v>1.048178100294556</v>
      </c>
      <c r="D466" s="1172">
        <v>366537.30182395777</v>
      </c>
      <c r="E466" s="1173">
        <v>349689.9064395206</v>
      </c>
      <c r="F466" s="1174">
        <v>18.08491280205227</v>
      </c>
      <c r="G466" s="1172">
        <v>0.0</v>
      </c>
      <c r="H466" s="1172">
        <v>95.30182395775188</v>
      </c>
      <c r="I466" s="1172"/>
      <c r="J466" s="1172">
        <v>366537.30182395777</v>
      </c>
      <c r="K466" s="1172">
        <v>366442.0</v>
      </c>
      <c r="L466" s="1098"/>
      <c r="M466" s="1100"/>
      <c r="N466" s="1096"/>
      <c r="O466" s="1098"/>
      <c r="P466" s="1096"/>
      <c r="Q466" s="1096"/>
    </row>
    <row r="467">
      <c r="A467" s="1126"/>
      <c r="B467" s="1170">
        <v>44728.50875313657</v>
      </c>
      <c r="C467" s="1175">
        <v>1.0411927070698</v>
      </c>
      <c r="D467" s="1172">
        <v>366546.1325369767</v>
      </c>
      <c r="E467" s="1173">
        <v>352044.4678954172</v>
      </c>
      <c r="F467" s="1174">
        <v>17.258910256625462</v>
      </c>
      <c r="G467" s="1172">
        <v>0.0</v>
      </c>
      <c r="H467" s="1172">
        <v>104.13253697670443</v>
      </c>
      <c r="I467" s="1172"/>
      <c r="J467" s="1172">
        <v>366546.1325369767</v>
      </c>
      <c r="K467" s="1172">
        <v>366442.0</v>
      </c>
      <c r="L467" s="1098"/>
      <c r="M467" s="1100"/>
      <c r="N467" s="1096"/>
      <c r="O467" s="1098"/>
      <c r="P467" s="1096"/>
      <c r="Q467" s="1096"/>
    </row>
    <row r="468">
      <c r="A468" s="1126"/>
      <c r="B468" s="1170">
        <v>44729.78824135417</v>
      </c>
      <c r="C468" s="1175">
        <v>1.04697460981874</v>
      </c>
      <c r="D468" s="1172">
        <v>365759.78053764085</v>
      </c>
      <c r="E468" s="1173">
        <v>349349.2364642576</v>
      </c>
      <c r="F468" s="1174">
        <v>17.671590181004206</v>
      </c>
      <c r="G468" s="1172">
        <v>0.0</v>
      </c>
      <c r="H468" s="1172">
        <v>99.7805376408395</v>
      </c>
      <c r="I468" s="1172"/>
      <c r="J468" s="1172">
        <v>365759.78053764085</v>
      </c>
      <c r="K468" s="1172">
        <v>365660.0</v>
      </c>
      <c r="L468" s="1098"/>
      <c r="M468" s="1100"/>
      <c r="N468" s="1096"/>
      <c r="O468" s="1098"/>
      <c r="P468" s="1096"/>
      <c r="Q468" s="1096"/>
    </row>
    <row r="469">
      <c r="A469" s="1126"/>
      <c r="B469" s="1170">
        <v>44730.50874262731</v>
      </c>
      <c r="C469" s="1175">
        <v>1.04959989252097</v>
      </c>
      <c r="D469" s="1172">
        <v>365752.136319554</v>
      </c>
      <c r="E469" s="1173">
        <v>348468.1533656375</v>
      </c>
      <c r="F469" s="1174">
        <v>19.020165570454637</v>
      </c>
      <c r="G469" s="1172">
        <v>0.0</v>
      </c>
      <c r="H469" s="1172">
        <v>92.13631955397487</v>
      </c>
      <c r="I469" s="1172"/>
      <c r="J469" s="1172">
        <v>365752.136319554</v>
      </c>
      <c r="K469" s="1172">
        <v>365660.0</v>
      </c>
      <c r="L469" s="1098"/>
      <c r="M469" s="1100"/>
      <c r="N469" s="1096"/>
      <c r="O469" s="1098"/>
      <c r="P469" s="1096"/>
      <c r="Q469" s="1096"/>
    </row>
    <row r="470">
      <c r="A470" s="1126"/>
      <c r="B470" s="1170">
        <v>44731.508762453705</v>
      </c>
      <c r="C470" s="1175">
        <v>1.04959989252097</v>
      </c>
      <c r="D470" s="1172">
        <v>365751.7231570522</v>
      </c>
      <c r="E470" s="1173">
        <v>348467.75972754287</v>
      </c>
      <c r="F470" s="1174">
        <v>19.213745696544276</v>
      </c>
      <c r="G470" s="1172">
        <v>0.0</v>
      </c>
      <c r="H470" s="1172">
        <v>91.72315705220558</v>
      </c>
      <c r="I470" s="1172"/>
      <c r="J470" s="1172">
        <v>365751.7231570522</v>
      </c>
      <c r="K470" s="1172">
        <v>365660.0</v>
      </c>
      <c r="L470" s="1098"/>
      <c r="M470" s="1100"/>
      <c r="N470" s="1096"/>
      <c r="O470" s="1098"/>
      <c r="P470" s="1096"/>
      <c r="Q470" s="1096"/>
    </row>
    <row r="471">
      <c r="A471" s="1126"/>
      <c r="B471" s="1170">
        <v>44732.65420641204</v>
      </c>
      <c r="C471" s="1175">
        <v>1.05178240304933</v>
      </c>
      <c r="D471" s="1172">
        <v>366353.3001146533</v>
      </c>
      <c r="E471" s="1173">
        <v>348316.6280901078</v>
      </c>
      <c r="F471" s="1174">
        <v>17.83852396788443</v>
      </c>
      <c r="G471" s="1172">
        <v>0.0</v>
      </c>
      <c r="H471" s="1172">
        <v>104.30011465328927</v>
      </c>
      <c r="I471" s="1172"/>
      <c r="J471" s="1172">
        <v>366353.3001146533</v>
      </c>
      <c r="K471" s="1172">
        <v>366249.0</v>
      </c>
      <c r="L471" s="1098"/>
      <c r="M471" s="1100"/>
      <c r="N471" s="1096"/>
      <c r="O471" s="1098"/>
      <c r="P471" s="1096"/>
      <c r="Q471" s="1096"/>
    </row>
    <row r="472">
      <c r="A472" s="1126"/>
      <c r="B472" s="1170">
        <v>44733.50874950232</v>
      </c>
      <c r="C472" s="1175">
        <v>1.05764369676086</v>
      </c>
      <c r="D472" s="1172">
        <v>366355.678498694</v>
      </c>
      <c r="E472" s="1173">
        <v>346388.5613091583</v>
      </c>
      <c r="F472" s="1174">
        <v>17.311143380578784</v>
      </c>
      <c r="G472" s="1172">
        <v>0.0</v>
      </c>
      <c r="H472" s="1172">
        <v>106.67849869395107</v>
      </c>
      <c r="I472" s="1172"/>
      <c r="J472" s="1172">
        <v>366355.678498694</v>
      </c>
      <c r="K472" s="1172">
        <v>366249.0</v>
      </c>
      <c r="L472" s="1098"/>
      <c r="M472" s="1100"/>
      <c r="N472" s="1096"/>
      <c r="O472" s="1098"/>
      <c r="P472" s="1096"/>
      <c r="Q472" s="1096"/>
    </row>
    <row r="473">
      <c r="A473" s="1126"/>
      <c r="B473" s="1170">
        <v>44734.508763564816</v>
      </c>
      <c r="C473" s="1175">
        <v>1.05162091589872</v>
      </c>
      <c r="D473" s="1172">
        <v>366349.76100270567</v>
      </c>
      <c r="E473" s="1173">
        <v>348366.750284366</v>
      </c>
      <c r="F473" s="1174">
        <v>17.909660988756468</v>
      </c>
      <c r="G473" s="1172">
        <v>0.0</v>
      </c>
      <c r="H473" s="1172">
        <v>100.76100270566137</v>
      </c>
      <c r="I473" s="1172"/>
      <c r="J473" s="1172">
        <v>366349.76100270567</v>
      </c>
      <c r="K473" s="1172">
        <v>366249.0</v>
      </c>
      <c r="L473" s="1098"/>
      <c r="M473" s="1100"/>
      <c r="N473" s="1096"/>
      <c r="O473" s="1098"/>
      <c r="P473" s="1096"/>
      <c r="Q473" s="1096"/>
    </row>
    <row r="474">
      <c r="A474" s="1126"/>
      <c r="B474" s="1170">
        <v>44735.50875311343</v>
      </c>
      <c r="C474" s="1175">
        <v>1.05094564088767</v>
      </c>
      <c r="D474" s="1172">
        <v>367542.41700815625</v>
      </c>
      <c r="E474" s="1173">
        <v>349725.4308012691</v>
      </c>
      <c r="F474" s="1174">
        <v>17.74407978851407</v>
      </c>
      <c r="G474" s="1172">
        <v>0.0</v>
      </c>
      <c r="H474" s="1172">
        <v>102.41700815623189</v>
      </c>
      <c r="I474" s="1172"/>
      <c r="J474" s="1172">
        <v>367542.41700815625</v>
      </c>
      <c r="K474" s="1172">
        <v>367440.0</v>
      </c>
      <c r="L474" s="1098"/>
      <c r="M474" s="1100"/>
      <c r="N474" s="1096"/>
      <c r="O474" s="1098"/>
      <c r="P474" s="1096"/>
      <c r="Q474" s="1096"/>
    </row>
    <row r="475">
      <c r="A475" s="1126"/>
      <c r="B475" s="1170">
        <v>44736.50874603009</v>
      </c>
      <c r="C475" s="1175">
        <v>1.05415177677282</v>
      </c>
      <c r="D475" s="1172">
        <v>367535.0871580824</v>
      </c>
      <c r="E475" s="1173">
        <v>348654.80973077164</v>
      </c>
      <c r="F475" s="1174">
        <v>17.639452121906245</v>
      </c>
      <c r="G475" s="1172">
        <v>0.0</v>
      </c>
      <c r="H475" s="1172">
        <v>106.08715808238297</v>
      </c>
      <c r="I475" s="1172"/>
      <c r="J475" s="1172">
        <v>367535.0871580824</v>
      </c>
      <c r="K475" s="1172">
        <v>367429.0</v>
      </c>
      <c r="L475" s="1098"/>
      <c r="M475" s="1100"/>
      <c r="N475" s="1096"/>
      <c r="O475" s="1098"/>
      <c r="P475" s="1096"/>
      <c r="Q475" s="1096"/>
    </row>
    <row r="476">
      <c r="A476" s="1126"/>
      <c r="B476" s="1170">
        <v>44737.508749768516</v>
      </c>
      <c r="C476" s="1175">
        <v>1.05559948022282</v>
      </c>
      <c r="D476" s="1172">
        <v>367542.3300588947</v>
      </c>
      <c r="E476" s="1173">
        <v>348183.5079923613</v>
      </c>
      <c r="F476" s="1174">
        <v>17.14804383067312</v>
      </c>
      <c r="G476" s="1172">
        <v>0.0</v>
      </c>
      <c r="H476" s="1172">
        <v>113.33005889469635</v>
      </c>
      <c r="I476" s="1172"/>
      <c r="J476" s="1172">
        <v>367542.3300588947</v>
      </c>
      <c r="K476" s="1172">
        <v>367429.0</v>
      </c>
      <c r="L476" s="1098"/>
      <c r="M476" s="1100"/>
      <c r="N476" s="1096"/>
      <c r="O476" s="1098"/>
      <c r="P476" s="1096"/>
      <c r="Q476" s="1096"/>
    </row>
    <row r="477">
      <c r="A477" s="1126"/>
      <c r="B477" s="1170">
        <v>44738.50875584491</v>
      </c>
      <c r="C477" s="1175">
        <v>1.05559948022282</v>
      </c>
      <c r="D477" s="1172">
        <v>367543.42078537896</v>
      </c>
      <c r="E477" s="1173">
        <v>348184.54126919096</v>
      </c>
      <c r="F477" s="1174">
        <v>17.16667039905207</v>
      </c>
      <c r="G477" s="1172">
        <v>0.0</v>
      </c>
      <c r="H477" s="1172">
        <v>114.42078537893204</v>
      </c>
      <c r="I477" s="1172"/>
      <c r="J477" s="1172">
        <v>367543.42078537896</v>
      </c>
      <c r="K477" s="1172">
        <v>367429.0</v>
      </c>
      <c r="L477" s="1098"/>
      <c r="M477" s="1100"/>
      <c r="N477" s="1096"/>
      <c r="O477" s="1098"/>
      <c r="P477" s="1096"/>
      <c r="Q477" s="1096"/>
    </row>
    <row r="478">
      <c r="A478" s="1126"/>
      <c r="B478" s="1170">
        <v>44739.508751064815</v>
      </c>
      <c r="C478" s="1175">
        <v>1.05826377012818</v>
      </c>
      <c r="D478" s="1172">
        <v>367542.64104939555</v>
      </c>
      <c r="E478" s="1173">
        <v>347307.21340377897</v>
      </c>
      <c r="F478" s="1174">
        <v>17.15797397187997</v>
      </c>
      <c r="G478" s="1172">
        <v>0.0</v>
      </c>
      <c r="H478" s="1172">
        <v>113.64104939553305</v>
      </c>
      <c r="I478" s="1172"/>
      <c r="J478" s="1172">
        <v>367542.64104939555</v>
      </c>
      <c r="K478" s="1172">
        <v>367429.0</v>
      </c>
      <c r="L478" s="1098"/>
      <c r="M478" s="1100"/>
      <c r="N478" s="1096"/>
      <c r="O478" s="1098"/>
      <c r="P478" s="1096"/>
      <c r="Q478" s="1096"/>
    </row>
    <row r="479">
      <c r="A479" s="1126"/>
      <c r="B479" s="1170">
        <v>44740.76111136574</v>
      </c>
      <c r="C479" s="1175">
        <v>1.05298516028014</v>
      </c>
      <c r="D479" s="1172">
        <v>367589.43854973797</v>
      </c>
      <c r="E479" s="1173">
        <v>349092.7055913524</v>
      </c>
      <c r="F479" s="1174">
        <v>17.82664368533548</v>
      </c>
      <c r="G479" s="1172">
        <v>0.0</v>
      </c>
      <c r="H479" s="1172">
        <v>109.43854973797936</v>
      </c>
      <c r="I479" s="1172"/>
      <c r="J479" s="1172">
        <v>367589.43854973797</v>
      </c>
      <c r="K479" s="1172">
        <v>367480.0</v>
      </c>
      <c r="L479" s="1098"/>
      <c r="M479" s="1100"/>
      <c r="N479" s="1096"/>
      <c r="O479" s="1098"/>
      <c r="P479" s="1096"/>
      <c r="Q479" s="1096"/>
    </row>
    <row r="480">
      <c r="A480" s="1126"/>
      <c r="B480" s="1170">
        <v>44741.50875071759</v>
      </c>
      <c r="C480" s="1175">
        <v>1.052090029448</v>
      </c>
      <c r="D480" s="1172">
        <v>367584.47519397637</v>
      </c>
      <c r="E480" s="1173">
        <v>349385.00024264737</v>
      </c>
      <c r="F480" s="1174">
        <v>18.299300602417087</v>
      </c>
      <c r="G480" s="1172">
        <v>0.0</v>
      </c>
      <c r="H480" s="1172">
        <v>104.47519397636994</v>
      </c>
      <c r="I480" s="1172"/>
      <c r="J480" s="1172">
        <v>367584.47519397637</v>
      </c>
      <c r="K480" s="1172">
        <v>367480.0</v>
      </c>
      <c r="L480" s="1098"/>
      <c r="M480" s="1100"/>
      <c r="N480" s="1096"/>
      <c r="O480" s="1098"/>
      <c r="P480" s="1096"/>
      <c r="Q480" s="1096"/>
    </row>
    <row r="481">
      <c r="A481" s="1126"/>
      <c r="B481" s="1170">
        <v>44742.50877305555</v>
      </c>
      <c r="C481" s="1175">
        <v>1.04557887428796</v>
      </c>
      <c r="D481" s="1172">
        <v>366829.6812816121</v>
      </c>
      <c r="E481" s="1173">
        <v>350838.84181518434</v>
      </c>
      <c r="F481" s="1174">
        <v>19.127771939147852</v>
      </c>
      <c r="G481" s="1172">
        <v>247983.11977152625</v>
      </c>
      <c r="H481" s="1172">
        <v>96.561510085835</v>
      </c>
      <c r="I481" s="1172"/>
      <c r="J481" s="1172">
        <v>366829.6812816121</v>
      </c>
      <c r="K481" s="1172">
        <v>118750.0</v>
      </c>
      <c r="L481" s="1098"/>
      <c r="M481" s="1100"/>
      <c r="N481" s="1096"/>
      <c r="O481" s="1098"/>
      <c r="P481" s="1096"/>
      <c r="Q481" s="1096"/>
    </row>
    <row r="482">
      <c r="A482" s="1126"/>
      <c r="B482" s="1170">
        <v>44743.56487940972</v>
      </c>
      <c r="C482" s="1175">
        <v>1.04557887428796</v>
      </c>
      <c r="D482" s="1172">
        <v>366829.6812816121</v>
      </c>
      <c r="E482" s="1173">
        <v>350838.84181518434</v>
      </c>
      <c r="F482" s="1174">
        <v>19.127771939147852</v>
      </c>
      <c r="G482" s="1172">
        <v>247983.11977152625</v>
      </c>
      <c r="H482" s="1172">
        <v>96.561510085835</v>
      </c>
      <c r="I482" s="1172"/>
      <c r="J482" s="1172">
        <v>366829.6812816121</v>
      </c>
      <c r="K482" s="1172">
        <v>118750.0</v>
      </c>
      <c r="L482" s="1098"/>
      <c r="M482" s="1100"/>
      <c r="N482" s="1096"/>
      <c r="O482" s="1098"/>
      <c r="P482" s="1096"/>
      <c r="Q482" s="1096"/>
    </row>
    <row r="483">
      <c r="A483" s="1126"/>
      <c r="B483" s="1170">
        <v>44744.50874873843</v>
      </c>
      <c r="C483" s="1175">
        <v>1.04290946711498</v>
      </c>
      <c r="D483" s="1172">
        <v>368364.0229191289</v>
      </c>
      <c r="E483" s="1173">
        <v>353208.05356014386</v>
      </c>
      <c r="F483" s="1174">
        <v>19.2351446834381</v>
      </c>
      <c r="G483" s="1172">
        <v>0.0</v>
      </c>
      <c r="H483" s="1172">
        <v>96.02291912890875</v>
      </c>
      <c r="I483" s="1172"/>
      <c r="J483" s="1172">
        <v>368364.0229191289</v>
      </c>
      <c r="K483" s="1172">
        <v>368268.0</v>
      </c>
      <c r="L483" s="1098"/>
      <c r="M483" s="1100"/>
      <c r="N483" s="1096"/>
      <c r="O483" s="1098"/>
      <c r="P483" s="1096"/>
      <c r="Q483" s="1096"/>
    </row>
    <row r="484">
      <c r="A484" s="1126"/>
      <c r="B484" s="1170">
        <v>44745.50874974537</v>
      </c>
      <c r="C484" s="1175">
        <v>1.04290946711498</v>
      </c>
      <c r="D484" s="1172">
        <v>368464.8070720469</v>
      </c>
      <c r="E484" s="1173">
        <v>353304.6910498742</v>
      </c>
      <c r="F484" s="1174">
        <v>19.336779822031936</v>
      </c>
      <c r="G484" s="1172">
        <v>0.0</v>
      </c>
      <c r="H484" s="1172">
        <v>97.80707204691767</v>
      </c>
      <c r="I484" s="1172"/>
      <c r="J484" s="1172">
        <v>368464.8070720469</v>
      </c>
      <c r="K484" s="1172">
        <v>368367.0</v>
      </c>
      <c r="L484" s="1098"/>
      <c r="M484" s="1100"/>
      <c r="N484" s="1096"/>
      <c r="O484" s="1098"/>
      <c r="P484" s="1096"/>
      <c r="Q484" s="1096"/>
    </row>
    <row r="485">
      <c r="A485" s="1126"/>
      <c r="B485" s="1170">
        <v>44746.50875190972</v>
      </c>
      <c r="C485" s="1175">
        <v>1.04367683173112</v>
      </c>
      <c r="D485" s="1172">
        <v>368465.6042700117</v>
      </c>
      <c r="E485" s="1173">
        <v>353045.68719691446</v>
      </c>
      <c r="F485" s="1174">
        <v>18.987020651691292</v>
      </c>
      <c r="G485" s="1172">
        <v>0.0</v>
      </c>
      <c r="H485" s="1172">
        <v>98.60427001172214</v>
      </c>
      <c r="I485" s="1172"/>
      <c r="J485" s="1172">
        <v>368465.6042700117</v>
      </c>
      <c r="K485" s="1172">
        <v>368367.0</v>
      </c>
      <c r="L485" s="1098"/>
      <c r="M485" s="1100"/>
      <c r="N485" s="1096"/>
      <c r="O485" s="1098"/>
      <c r="P485" s="1096"/>
      <c r="Q485" s="1096"/>
    </row>
    <row r="486">
      <c r="A486" s="1126"/>
      <c r="B486" s="1170">
        <v>44747.50874373842</v>
      </c>
      <c r="C486" s="1175">
        <v>1.03127230126351</v>
      </c>
      <c r="D486" s="1172">
        <v>368471.1047788285</v>
      </c>
      <c r="E486" s="1173">
        <v>357297.5869975169</v>
      </c>
      <c r="F486" s="1174">
        <v>18.629708108738328</v>
      </c>
      <c r="G486" s="1172">
        <v>0.0</v>
      </c>
      <c r="H486" s="1172">
        <v>104.10477882848387</v>
      </c>
      <c r="I486" s="1172"/>
      <c r="J486" s="1172">
        <v>368471.1047788285</v>
      </c>
      <c r="K486" s="1172">
        <v>368367.0</v>
      </c>
      <c r="L486" s="1098"/>
      <c r="M486" s="1100"/>
      <c r="N486" s="1096"/>
      <c r="O486" s="1098"/>
      <c r="P486" s="1096"/>
      <c r="Q486" s="1096"/>
    </row>
    <row r="487">
      <c r="A487" s="1126"/>
      <c r="B487" s="1170">
        <v>44748.84662090278</v>
      </c>
      <c r="C487" s="1175">
        <v>1.01864424562772</v>
      </c>
      <c r="D487" s="1172">
        <v>377893.7155982087</v>
      </c>
      <c r="E487" s="1173">
        <v>370977.1269216162</v>
      </c>
      <c r="F487" s="1174">
        <v>18.681430868551058</v>
      </c>
      <c r="G487" s="1172">
        <v>303393.4991756169</v>
      </c>
      <c r="H487" s="1172">
        <v>105.21642259184453</v>
      </c>
      <c r="I487" s="1172"/>
      <c r="J487" s="1172">
        <v>377893.7155982087</v>
      </c>
      <c r="K487" s="1172">
        <v>74395.0</v>
      </c>
      <c r="L487" s="1098"/>
      <c r="M487" s="1100"/>
      <c r="N487" s="1096"/>
      <c r="O487" s="1098"/>
      <c r="P487" s="1096"/>
      <c r="Q487" s="1096"/>
    </row>
    <row r="488">
      <c r="A488" s="1126"/>
      <c r="B488" s="1170">
        <v>44749.5087453125</v>
      </c>
      <c r="C488" s="1175">
        <v>1.01957689597971</v>
      </c>
      <c r="D488" s="1172">
        <v>382694.7180638314</v>
      </c>
      <c r="E488" s="1173">
        <v>375346.5967822864</v>
      </c>
      <c r="F488" s="1174">
        <v>18.258355813917973</v>
      </c>
      <c r="G488" s="1172">
        <v>308190.37847729545</v>
      </c>
      <c r="H488" s="1172">
        <v>109.33958653593005</v>
      </c>
      <c r="I488" s="1172"/>
      <c r="J488" s="1172">
        <v>382694.7180638314</v>
      </c>
      <c r="K488" s="1172">
        <v>74395.0</v>
      </c>
      <c r="L488" s="1098"/>
      <c r="M488" s="1100"/>
      <c r="N488" s="1096"/>
      <c r="O488" s="1098"/>
      <c r="P488" s="1096"/>
      <c r="Q488" s="1096"/>
    </row>
    <row r="489">
      <c r="A489" s="1126"/>
      <c r="B489" s="1170">
        <v>44750.508747685184</v>
      </c>
      <c r="C489" s="1175">
        <v>1.0109996764801</v>
      </c>
      <c r="D489" s="1172">
        <v>397485.3822106986</v>
      </c>
      <c r="E489" s="1173">
        <v>393160.7412522476</v>
      </c>
      <c r="F489" s="1174">
        <v>18.258355813917973</v>
      </c>
      <c r="G489" s="1172">
        <v>322978.1052578641</v>
      </c>
      <c r="H489" s="1172">
        <v>112.27695283448942</v>
      </c>
      <c r="I489" s="1172"/>
      <c r="J489" s="1192">
        <v>389518.0</v>
      </c>
      <c r="K489" s="1172">
        <v>74395.0</v>
      </c>
      <c r="L489" s="1098"/>
      <c r="M489" s="1100"/>
      <c r="N489" s="1096"/>
      <c r="O489" s="1098"/>
      <c r="P489" s="1096"/>
      <c r="Q489" s="1096"/>
    </row>
    <row r="490">
      <c r="A490" s="1126"/>
      <c r="B490" s="1170">
        <v>44751.50875732639</v>
      </c>
      <c r="C490" s="1175">
        <v>1.01867433796355</v>
      </c>
      <c r="D490" s="1172">
        <v>399165.6389319587</v>
      </c>
      <c r="E490" s="1173">
        <v>391848.1344390572</v>
      </c>
      <c r="F490" s="1174">
        <v>18.258355813917973</v>
      </c>
      <c r="G490" s="1172">
        <v>324658.05484895397</v>
      </c>
      <c r="H490" s="1172">
        <v>112.58408300475115</v>
      </c>
      <c r="I490" s="1172"/>
      <c r="J490" s="1192">
        <v>389518.0</v>
      </c>
      <c r="K490" s="1172">
        <v>74395.0</v>
      </c>
      <c r="L490" s="1098"/>
      <c r="M490" s="1100"/>
      <c r="N490" s="1096"/>
      <c r="O490" s="1098"/>
      <c r="P490" s="1096"/>
      <c r="Q490" s="1096"/>
    </row>
    <row r="491">
      <c r="A491" s="1126"/>
      <c r="B491" s="1170">
        <v>44752.50874373842</v>
      </c>
      <c r="C491" s="1175">
        <v>1.01867433796355</v>
      </c>
      <c r="D491" s="1172">
        <v>389517.66673132277</v>
      </c>
      <c r="E491" s="1173">
        <v>382377.0288648034</v>
      </c>
      <c r="F491" s="1174">
        <v>18.264170729887756</v>
      </c>
      <c r="G491" s="1172">
        <v>0.0</v>
      </c>
      <c r="H491" s="1172">
        <v>109.66673132274268</v>
      </c>
      <c r="I491" s="1172"/>
      <c r="J491" s="1172">
        <v>389517.66673132277</v>
      </c>
      <c r="K491" s="1172">
        <v>389408.0</v>
      </c>
      <c r="L491" s="1098"/>
      <c r="M491" s="1100"/>
      <c r="N491" s="1096"/>
      <c r="O491" s="1098"/>
      <c r="P491" s="1096"/>
      <c r="Q491" s="1096"/>
    </row>
    <row r="492">
      <c r="A492" s="1126"/>
      <c r="B492" s="1170">
        <v>44753.50874872685</v>
      </c>
      <c r="C492" s="1175">
        <v>1.0116603977444</v>
      </c>
      <c r="D492" s="1172">
        <v>389514.00574167905</v>
      </c>
      <c r="E492" s="1173">
        <v>385024.46731150115</v>
      </c>
      <c r="F492" s="1174">
        <v>18.94616942392107</v>
      </c>
      <c r="G492" s="1172">
        <v>0.0</v>
      </c>
      <c r="H492" s="1172">
        <v>106.00574167903392</v>
      </c>
      <c r="I492" s="1172"/>
      <c r="J492" s="1172">
        <v>389514.00574167905</v>
      </c>
      <c r="K492" s="1172">
        <v>389408.0</v>
      </c>
      <c r="L492" s="1098"/>
      <c r="M492" s="1100"/>
      <c r="N492" s="1096"/>
      <c r="O492" s="1098"/>
      <c r="P492" s="1096"/>
      <c r="Q492" s="1096"/>
    </row>
    <row r="493">
      <c r="A493" s="1126"/>
      <c r="B493" s="1170">
        <v>44754.50874819444</v>
      </c>
      <c r="C493" s="1175">
        <v>1.00010501102616</v>
      </c>
      <c r="D493" s="1172">
        <v>389505.6463809851</v>
      </c>
      <c r="E493" s="1173">
        <v>389464.7482881142</v>
      </c>
      <c r="F493" s="1174">
        <v>19.82692655973927</v>
      </c>
      <c r="G493" s="1172">
        <v>0.0</v>
      </c>
      <c r="H493" s="1172">
        <v>97.64638098508162</v>
      </c>
      <c r="I493" s="1172"/>
      <c r="J493" s="1172">
        <v>389505.6463809851</v>
      </c>
      <c r="K493" s="1172">
        <v>389408.0</v>
      </c>
      <c r="L493" s="1098"/>
      <c r="M493" s="1100"/>
      <c r="N493" s="1096"/>
      <c r="O493" s="1098"/>
      <c r="P493" s="1096"/>
      <c r="Q493" s="1096"/>
    </row>
    <row r="494">
      <c r="A494" s="1126"/>
      <c r="B494" s="1170">
        <v>44755.82778976852</v>
      </c>
      <c r="C494" s="1175">
        <v>1.00771608204018</v>
      </c>
      <c r="D494" s="1172">
        <v>389314.75626599934</v>
      </c>
      <c r="E494" s="1173">
        <v>386333.7731772712</v>
      </c>
      <c r="F494" s="1174">
        <v>19.609016788368148</v>
      </c>
      <c r="G494" s="1172">
        <v>0.0</v>
      </c>
      <c r="H494" s="1172">
        <v>100.75626599932627</v>
      </c>
      <c r="I494" s="1172"/>
      <c r="J494" s="1172">
        <v>389314.75626599934</v>
      </c>
      <c r="K494" s="1172">
        <v>389214.0</v>
      </c>
      <c r="L494" s="1098"/>
      <c r="M494" s="1100"/>
      <c r="N494" s="1096"/>
      <c r="O494" s="1098"/>
      <c r="P494" s="1096"/>
      <c r="Q494" s="1096"/>
    </row>
    <row r="495">
      <c r="A495" s="1126"/>
      <c r="B495" s="1170">
        <v>44756.50875420139</v>
      </c>
      <c r="C495" s="1175">
        <v>1.00240275941432</v>
      </c>
      <c r="D495" s="1172">
        <v>389314.4692341893</v>
      </c>
      <c r="E495" s="1173">
        <v>388381.2824514334</v>
      </c>
      <c r="F495" s="1174">
        <v>19.63974725792178</v>
      </c>
      <c r="G495" s="1172">
        <v>0.0</v>
      </c>
      <c r="H495" s="1172">
        <v>100.46923418931428</v>
      </c>
      <c r="I495" s="1172"/>
      <c r="J495" s="1172">
        <v>389314.4692341893</v>
      </c>
      <c r="K495" s="1172">
        <v>389214.0</v>
      </c>
      <c r="L495" s="1098"/>
      <c r="M495" s="1100"/>
      <c r="N495" s="1096"/>
      <c r="O495" s="1098"/>
      <c r="P495" s="1096"/>
      <c r="Q495" s="1096"/>
    </row>
    <row r="496">
      <c r="A496" s="1126"/>
      <c r="B496" s="1170">
        <v>44757.923873391206</v>
      </c>
      <c r="C496" s="1175">
        <v>1.00760743614288</v>
      </c>
      <c r="D496" s="1172">
        <v>396211.93696255924</v>
      </c>
      <c r="E496" s="1173">
        <v>393220.53683849145</v>
      </c>
      <c r="F496" s="1174">
        <v>18.756569895266267</v>
      </c>
      <c r="G496" s="1172">
        <v>206879.0427836078</v>
      </c>
      <c r="H496" s="1172">
        <v>116.89417895145985</v>
      </c>
      <c r="I496" s="1172"/>
      <c r="J496" s="1172">
        <v>396211.93696255924</v>
      </c>
      <c r="K496" s="1172">
        <v>189216.0</v>
      </c>
      <c r="L496" s="1098"/>
      <c r="M496" s="1100"/>
      <c r="N496" s="1096"/>
      <c r="O496" s="1098"/>
      <c r="P496" s="1096"/>
      <c r="Q496" s="1096"/>
    </row>
    <row r="497">
      <c r="A497" s="1126"/>
      <c r="B497" s="1170">
        <v>44758.74617694445</v>
      </c>
      <c r="C497" s="1175">
        <v>1.00806451612903</v>
      </c>
      <c r="D497" s="1172">
        <v>395233.67651674844</v>
      </c>
      <c r="E497" s="1173">
        <v>392071.8071046153</v>
      </c>
      <c r="F497" s="1174">
        <v>18.908932778359247</v>
      </c>
      <c r="G497" s="1172">
        <v>305900.12263635115</v>
      </c>
      <c r="H497" s="1172">
        <v>116.55388039729132</v>
      </c>
      <c r="I497" s="1172"/>
      <c r="J497" s="1172">
        <v>395233.67651674844</v>
      </c>
      <c r="K497" s="1172">
        <v>89217.0</v>
      </c>
      <c r="L497" s="1098"/>
      <c r="M497" s="1100"/>
      <c r="N497" s="1096"/>
      <c r="O497" s="1098"/>
      <c r="P497" s="1096"/>
      <c r="Q497" s="1096"/>
    </row>
    <row r="498">
      <c r="A498" s="1126"/>
      <c r="B498" s="1170">
        <v>44759.50875555555</v>
      </c>
      <c r="C498" s="1175">
        <v>1.00806451612903</v>
      </c>
      <c r="D498" s="1172">
        <v>401084.6629165859</v>
      </c>
      <c r="E498" s="1173">
        <v>397875.98561325413</v>
      </c>
      <c r="F498" s="1174">
        <v>18.829218293513314</v>
      </c>
      <c r="G498" s="1172">
        <v>311742.8429732748</v>
      </c>
      <c r="H498" s="1172">
        <v>124.81994331110182</v>
      </c>
      <c r="I498" s="1172"/>
      <c r="J498" s="1172">
        <v>401084.6629165859</v>
      </c>
      <c r="K498" s="1172">
        <v>89217.0</v>
      </c>
      <c r="L498" s="1098"/>
      <c r="M498" s="1100"/>
      <c r="N498" s="1096"/>
      <c r="O498" s="1098"/>
      <c r="P498" s="1096"/>
      <c r="Q498" s="1096"/>
    </row>
    <row r="499">
      <c r="A499" s="1126"/>
      <c r="B499" s="1170">
        <v>44760.68482363426</v>
      </c>
      <c r="C499" s="1175">
        <v>1.01777130475228</v>
      </c>
      <c r="D499" s="1172">
        <v>412114.07462610264</v>
      </c>
      <c r="E499" s="1173">
        <v>404918.15076905605</v>
      </c>
      <c r="F499" s="1174">
        <v>18.69853162130144</v>
      </c>
      <c r="G499" s="1172">
        <v>0.0</v>
      </c>
      <c r="H499" s="1172">
        <v>135.87566496231238</v>
      </c>
      <c r="I499" s="1172"/>
      <c r="J499" s="1172">
        <v>412114.07462610264</v>
      </c>
      <c r="K499" s="1172">
        <v>411249.0</v>
      </c>
      <c r="L499" s="1098"/>
      <c r="M499" s="1100"/>
      <c r="N499" s="1096"/>
      <c r="O499" s="1098"/>
      <c r="P499" s="1096"/>
      <c r="Q499" s="1096"/>
    </row>
    <row r="500">
      <c r="A500" s="1126"/>
      <c r="B500" s="1170">
        <v>44761.57981171296</v>
      </c>
      <c r="C500" s="1175">
        <v>1.02645692730119</v>
      </c>
      <c r="D500" s="1172">
        <v>416879.10368900205</v>
      </c>
      <c r="E500" s="1173">
        <v>406134.04479141725</v>
      </c>
      <c r="F500" s="1174">
        <v>18.85112232955642</v>
      </c>
      <c r="G500" s="1172">
        <v>415408.00989225216</v>
      </c>
      <c r="H500" s="1172">
        <v>142.99228051702983</v>
      </c>
      <c r="I500" s="1172"/>
      <c r="J500" s="1172">
        <v>416879.10368900205</v>
      </c>
      <c r="K500" s="1172">
        <v>608.0</v>
      </c>
      <c r="L500" s="1098"/>
      <c r="M500" s="1100"/>
      <c r="N500" s="1096"/>
      <c r="O500" s="1098"/>
      <c r="P500" s="1096"/>
      <c r="Q500" s="1096"/>
    </row>
    <row r="501">
      <c r="A501" s="1126"/>
      <c r="B501" s="1170">
        <v>44762.50875064815</v>
      </c>
      <c r="C501" s="1175">
        <v>1.02469620319316</v>
      </c>
      <c r="D501" s="1172">
        <v>441917.660080124</v>
      </c>
      <c r="E501" s="1173">
        <v>431267.00255453226</v>
      </c>
      <c r="F501" s="1174">
        <v>18.72591404800783</v>
      </c>
      <c r="G501" s="1172">
        <v>101712.7981076023</v>
      </c>
      <c r="H501" s="1172">
        <v>143.35776528555002</v>
      </c>
      <c r="I501" s="1172"/>
      <c r="J501" s="1172">
        <v>441917.660080124</v>
      </c>
      <c r="K501" s="1172">
        <v>339325.6</v>
      </c>
      <c r="L501" s="1098"/>
      <c r="M501" s="1100"/>
      <c r="N501" s="1096"/>
      <c r="O501" s="1098"/>
      <c r="P501" s="1096"/>
      <c r="Q501" s="1096"/>
    </row>
    <row r="502">
      <c r="A502" s="1126"/>
      <c r="B502" s="1170">
        <v>44763.508753449074</v>
      </c>
      <c r="C502" s="1175">
        <v>1.01700534639711</v>
      </c>
      <c r="D502" s="1172">
        <v>438587.7010881614</v>
      </c>
      <c r="E502" s="1173">
        <v>431254.0761382645</v>
      </c>
      <c r="F502" s="1174">
        <v>19.047876394942335</v>
      </c>
      <c r="G502" s="1172">
        <v>0.0</v>
      </c>
      <c r="H502" s="1172">
        <v>139.72104747378265</v>
      </c>
      <c r="I502" s="1172"/>
      <c r="J502" s="1172">
        <v>438587.7010881614</v>
      </c>
      <c r="K502" s="1172">
        <v>437733.0</v>
      </c>
      <c r="L502" s="1098"/>
      <c r="M502" s="1100"/>
      <c r="N502" s="1096"/>
      <c r="O502" s="1098"/>
      <c r="P502" s="1096"/>
      <c r="Q502" s="1096"/>
    </row>
    <row r="503">
      <c r="A503" s="1126"/>
      <c r="B503" s="1170">
        <v>44764.508759212964</v>
      </c>
      <c r="C503" s="1175">
        <v>1.01582451428351</v>
      </c>
      <c r="D503" s="1172">
        <v>438635.756316576</v>
      </c>
      <c r="E503" s="1173">
        <v>431802.6885046757</v>
      </c>
      <c r="F503" s="1174">
        <v>18.693359464706013</v>
      </c>
      <c r="G503" s="1172">
        <v>0.0</v>
      </c>
      <c r="H503" s="1172">
        <v>150.89586189162227</v>
      </c>
      <c r="I503" s="1172"/>
      <c r="J503" s="1172">
        <v>438635.756316576</v>
      </c>
      <c r="K503" s="1172">
        <v>437733.0</v>
      </c>
      <c r="L503" s="1098"/>
      <c r="M503" s="1100"/>
      <c r="N503" s="1096"/>
      <c r="O503" s="1098"/>
      <c r="P503" s="1096"/>
      <c r="Q503" s="1096"/>
    </row>
    <row r="504">
      <c r="A504" s="1126"/>
      <c r="B504" s="1170">
        <v>44765.664480057865</v>
      </c>
      <c r="C504" s="1175">
        <v>1.0213002377587</v>
      </c>
      <c r="D504" s="1172">
        <v>442574.4554979619</v>
      </c>
      <c r="E504" s="1173">
        <v>433344.1226540945</v>
      </c>
      <c r="F504" s="1174">
        <v>19.802628055265966</v>
      </c>
      <c r="G504" s="1172">
        <v>0.0</v>
      </c>
      <c r="H504" s="1172">
        <v>141.21414184292342</v>
      </c>
      <c r="I504" s="1172"/>
      <c r="J504" s="1172">
        <v>442574.4554979619</v>
      </c>
      <c r="K504" s="1172">
        <v>441724.0</v>
      </c>
      <c r="L504" s="1098"/>
      <c r="M504" s="1100"/>
      <c r="N504" s="1096"/>
      <c r="O504" s="1098"/>
      <c r="P504" s="1096"/>
      <c r="Q504" s="1096"/>
    </row>
    <row r="505">
      <c r="A505" s="1126"/>
      <c r="B505" s="1170">
        <v>44766.50876111111</v>
      </c>
      <c r="C505" s="1175">
        <v>1.0213002377587</v>
      </c>
      <c r="D505" s="1172">
        <v>442601.502710918</v>
      </c>
      <c r="E505" s="1173">
        <v>433370.60577037715</v>
      </c>
      <c r="F505" s="1174">
        <v>19.550752113475998</v>
      </c>
      <c r="G505" s="1172">
        <v>0.0</v>
      </c>
      <c r="H505" s="1172">
        <v>147.6595536298903</v>
      </c>
      <c r="I505" s="1172"/>
      <c r="J505" s="1172">
        <v>442601.502710918</v>
      </c>
      <c r="K505" s="1172">
        <v>441724.0</v>
      </c>
      <c r="L505" s="1098"/>
      <c r="M505" s="1100"/>
      <c r="N505" s="1096"/>
      <c r="O505" s="1098"/>
      <c r="P505" s="1096"/>
      <c r="Q505" s="1096"/>
    </row>
    <row r="506">
      <c r="A506" s="1126"/>
      <c r="B506" s="1170">
        <v>44767.508756111114</v>
      </c>
      <c r="C506" s="1175">
        <v>1.02455972107386</v>
      </c>
      <c r="D506" s="1172">
        <v>443859.0605609458</v>
      </c>
      <c r="E506" s="1173">
        <v>433219.3150202401</v>
      </c>
      <c r="F506" s="1174">
        <v>20.182855904913986</v>
      </c>
      <c r="G506" s="1172">
        <v>0.0</v>
      </c>
      <c r="H506" s="1172">
        <v>141.65675996860244</v>
      </c>
      <c r="I506" s="1172"/>
      <c r="J506" s="1172">
        <v>443859.0605609458</v>
      </c>
      <c r="K506" s="1172">
        <v>443010.0</v>
      </c>
      <c r="L506" s="1098"/>
      <c r="M506" s="1100"/>
      <c r="N506" s="1096"/>
      <c r="O506" s="1098"/>
      <c r="P506" s="1096"/>
      <c r="Q506" s="1096"/>
    </row>
    <row r="507">
      <c r="A507" s="1126"/>
      <c r="B507" s="1170">
        <v>44768.5087500463</v>
      </c>
      <c r="C507" s="1175">
        <v>1.01956857975116</v>
      </c>
      <c r="D507" s="1172">
        <v>444945.7732941716</v>
      </c>
      <c r="E507" s="1173">
        <v>436405.92906733835</v>
      </c>
      <c r="F507" s="1174">
        <v>21.052261785491268</v>
      </c>
      <c r="G507" s="1172">
        <v>0.0</v>
      </c>
      <c r="H507" s="1172">
        <v>131.19903972264376</v>
      </c>
      <c r="I507" s="1172"/>
      <c r="J507" s="1172">
        <v>444945.7732941716</v>
      </c>
      <c r="K507" s="1172">
        <v>444145.0</v>
      </c>
      <c r="L507" s="1098"/>
      <c r="M507" s="1100"/>
      <c r="N507" s="1096"/>
      <c r="O507" s="1098"/>
      <c r="P507" s="1096"/>
      <c r="Q507" s="1096"/>
    </row>
    <row r="508">
      <c r="A508" s="1126"/>
      <c r="B508" s="1170">
        <v>44769.508752326394</v>
      </c>
      <c r="C508" s="1175">
        <v>1.01465465721414</v>
      </c>
      <c r="D508" s="1172">
        <v>444957.5991224603</v>
      </c>
      <c r="E508" s="1173">
        <v>438531.0765183363</v>
      </c>
      <c r="F508" s="1174">
        <v>20.88135408853831</v>
      </c>
      <c r="G508" s="1172">
        <v>0.0</v>
      </c>
      <c r="H508" s="1172">
        <v>134.6154538065563</v>
      </c>
      <c r="I508" s="1172"/>
      <c r="J508" s="1172">
        <v>444957.5991224603</v>
      </c>
      <c r="K508" s="1172">
        <v>444145.0</v>
      </c>
      <c r="L508" s="1098"/>
      <c r="M508" s="1100"/>
      <c r="N508" s="1096"/>
      <c r="O508" s="1098"/>
      <c r="P508" s="1096"/>
      <c r="Q508" s="1096"/>
    </row>
    <row r="509">
      <c r="A509" s="1126"/>
      <c r="B509" s="1170">
        <v>44770.50875119213</v>
      </c>
      <c r="C509" s="1175">
        <v>1.02041336945597</v>
      </c>
      <c r="D509" s="1172">
        <v>445022.2880874471</v>
      </c>
      <c r="E509" s="1173">
        <v>436119.61721425626</v>
      </c>
      <c r="F509" s="1174">
        <v>19.371310973642636</v>
      </c>
      <c r="G509" s="1172">
        <v>0.0</v>
      </c>
      <c r="H509" s="1172">
        <v>149.58949204785685</v>
      </c>
      <c r="I509" s="1172"/>
      <c r="J509" s="1172">
        <v>445022.2880874471</v>
      </c>
      <c r="K509" s="1172">
        <v>444145.0</v>
      </c>
      <c r="L509" s="1098"/>
      <c r="M509" s="1100"/>
      <c r="N509" s="1096"/>
      <c r="O509" s="1098"/>
      <c r="P509" s="1096"/>
      <c r="Q509" s="1096"/>
    </row>
    <row r="510">
      <c r="A510" s="1126"/>
      <c r="B510" s="1170">
        <v>44771.50875018518</v>
      </c>
      <c r="C510" s="1175">
        <v>1.02080919544923</v>
      </c>
      <c r="D510" s="1172">
        <v>454195.8741091282</v>
      </c>
      <c r="E510" s="1173">
        <v>444937.09121541475</v>
      </c>
      <c r="F510" s="1174">
        <v>18.86613295958096</v>
      </c>
      <c r="G510" s="1172">
        <v>0.0</v>
      </c>
      <c r="H510" s="1172">
        <v>159.54279312076756</v>
      </c>
      <c r="I510" s="1172"/>
      <c r="J510" s="1172">
        <v>454195.8741091282</v>
      </c>
      <c r="K510" s="1172">
        <v>453261.0</v>
      </c>
      <c r="L510" s="1098"/>
      <c r="M510" s="1100"/>
      <c r="N510" s="1096"/>
      <c r="O510" s="1098"/>
      <c r="P510" s="1096"/>
      <c r="Q510" s="1096"/>
    </row>
    <row r="511">
      <c r="A511" s="1126"/>
      <c r="B511" s="1170">
        <v>44772.508753993054</v>
      </c>
      <c r="C511" s="1175">
        <v>1.02262872850434</v>
      </c>
      <c r="D511" s="1172">
        <v>453542.20183835103</v>
      </c>
      <c r="E511" s="1173">
        <v>443506.21999607375</v>
      </c>
      <c r="F511" s="1174">
        <v>19.04502581892369</v>
      </c>
      <c r="G511" s="1172">
        <v>449054.9902372551</v>
      </c>
      <c r="H511" s="1172">
        <v>155.94546173349252</v>
      </c>
      <c r="I511" s="1172"/>
      <c r="J511" s="1172">
        <v>453542.20183835103</v>
      </c>
      <c r="K511" s="1172">
        <v>3552.935000000056</v>
      </c>
      <c r="L511" s="1098"/>
      <c r="M511" s="1100"/>
      <c r="N511" s="1096"/>
      <c r="O511" s="1098"/>
      <c r="P511" s="1096"/>
      <c r="Q511" s="1096"/>
    </row>
    <row r="512">
      <c r="A512" s="1126"/>
      <c r="B512" s="1170">
        <v>44773.5087494676</v>
      </c>
      <c r="C512" s="1175">
        <v>1.02262872850434</v>
      </c>
      <c r="D512" s="1172">
        <v>452236.8982750819</v>
      </c>
      <c r="E512" s="1173">
        <v>442229.80019005266</v>
      </c>
      <c r="F512" s="1174">
        <v>19.04567489071744</v>
      </c>
      <c r="G512" s="1172">
        <v>447747.34132263024</v>
      </c>
      <c r="H512" s="1172">
        <v>157.0315756472811</v>
      </c>
      <c r="I512" s="1172"/>
      <c r="J512" s="1172">
        <v>452236.8982750819</v>
      </c>
      <c r="K512" s="1172">
        <v>3552.935000000056</v>
      </c>
      <c r="L512" s="1098"/>
      <c r="M512" s="1100"/>
      <c r="N512" s="1096"/>
      <c r="O512" s="1098"/>
      <c r="P512" s="1096"/>
      <c r="Q512" s="1096"/>
    </row>
    <row r="513">
      <c r="A513" s="1126"/>
      <c r="B513" s="1170">
        <v>44774.508752800924</v>
      </c>
      <c r="C513" s="1175">
        <v>1.02525300681076</v>
      </c>
      <c r="D513" s="1172">
        <v>452100.1465815905</v>
      </c>
      <c r="E513" s="1173">
        <v>440964.46787113755</v>
      </c>
      <c r="F513" s="1174">
        <v>19.3924039563063</v>
      </c>
      <c r="G513" s="1172">
        <v>318930.05318993505</v>
      </c>
      <c r="H513" s="1172">
        <v>155.77171936066438</v>
      </c>
      <c r="I513" s="1172"/>
      <c r="J513" s="1172">
        <v>452100.1465815905</v>
      </c>
      <c r="K513" s="1172">
        <v>132253.2966</v>
      </c>
      <c r="L513" s="1098"/>
      <c r="M513" s="1100"/>
      <c r="N513" s="1096"/>
      <c r="O513" s="1098"/>
      <c r="P513" s="1096"/>
      <c r="Q513" s="1096"/>
    </row>
    <row r="514">
      <c r="A514" s="1126"/>
      <c r="B514" s="1170">
        <v>44775.508875706015</v>
      </c>
      <c r="C514" s="1175">
        <v>1.02397955317628</v>
      </c>
      <c r="D514" s="1172">
        <v>451099.68742669997</v>
      </c>
      <c r="E514" s="1173">
        <v>440535.8349465424</v>
      </c>
      <c r="F514" s="1174">
        <v>19.836190391358652</v>
      </c>
      <c r="G514" s="1172">
        <v>436857.06350515754</v>
      </c>
      <c r="H514" s="1172">
        <v>145.03770846109262</v>
      </c>
      <c r="I514" s="1172"/>
      <c r="J514" s="1172">
        <v>451099.68742669997</v>
      </c>
      <c r="K514" s="1172">
        <v>13372.461894842447</v>
      </c>
      <c r="L514" s="1098"/>
      <c r="M514" s="1100"/>
      <c r="N514" s="1096"/>
      <c r="O514" s="1098"/>
      <c r="P514" s="1096"/>
      <c r="Q514" s="1096"/>
    </row>
    <row r="515">
      <c r="A515" s="1126"/>
      <c r="B515" s="1170">
        <v>44776.77379886574</v>
      </c>
      <c r="C515" s="1175">
        <v>1.01542945050035</v>
      </c>
      <c r="D515" s="1172">
        <v>457328.1291297316</v>
      </c>
      <c r="E515" s="1173">
        <v>450379.0282076066</v>
      </c>
      <c r="F515" s="1174">
        <v>19.564661808679276</v>
      </c>
      <c r="G515" s="1172">
        <v>0.0</v>
      </c>
      <c r="H515" s="1172">
        <v>152.9976141242397</v>
      </c>
      <c r="I515" s="1172"/>
      <c r="J515" s="1172">
        <v>457328.1291297316</v>
      </c>
      <c r="K515" s="1172">
        <v>448205.54</v>
      </c>
      <c r="L515" s="1098"/>
      <c r="M515" s="1100"/>
      <c r="N515" s="1096"/>
      <c r="O515" s="1098"/>
      <c r="P515" s="1096"/>
      <c r="Q515" s="1096"/>
    </row>
    <row r="516">
      <c r="A516" s="1126"/>
      <c r="B516" s="1170">
        <v>44777.50875890046</v>
      </c>
      <c r="C516" s="1175">
        <v>1.01867952647701</v>
      </c>
      <c r="D516" s="1172">
        <v>457042.8066803767</v>
      </c>
      <c r="E516" s="1173">
        <v>448662.0127342781</v>
      </c>
      <c r="F516" s="1174">
        <v>19.937116031070577</v>
      </c>
      <c r="G516" s="1172">
        <v>0.0</v>
      </c>
      <c r="H516" s="1172">
        <v>150.14805073865827</v>
      </c>
      <c r="I516" s="1172"/>
      <c r="J516" s="1172">
        <v>457042.8066803767</v>
      </c>
      <c r="K516" s="1172">
        <v>448205.54</v>
      </c>
      <c r="L516" s="1098"/>
      <c r="M516" s="1100"/>
      <c r="N516" s="1096"/>
      <c r="O516" s="1098"/>
      <c r="P516" s="1096"/>
      <c r="Q516" s="1096"/>
    </row>
    <row r="517">
      <c r="A517" s="1126"/>
      <c r="B517" s="1170">
        <v>44778.50875414352</v>
      </c>
      <c r="C517" s="1175">
        <v>1.02289442297503</v>
      </c>
      <c r="D517" s="1172">
        <v>457083.7389902841</v>
      </c>
      <c r="E517" s="1173">
        <v>446853.2907442022</v>
      </c>
      <c r="F517" s="1174">
        <v>19.763340371409573</v>
      </c>
      <c r="G517" s="1172">
        <v>0.0</v>
      </c>
      <c r="H517" s="1172">
        <v>153.37729519151716</v>
      </c>
      <c r="I517" s="1172"/>
      <c r="J517" s="1172">
        <v>457083.7389902841</v>
      </c>
      <c r="K517" s="1172">
        <v>448205.54</v>
      </c>
      <c r="L517" s="1098"/>
      <c r="M517" s="1100"/>
      <c r="N517" s="1096"/>
      <c r="O517" s="1098"/>
      <c r="P517" s="1096"/>
      <c r="Q517" s="1096"/>
    </row>
    <row r="518">
      <c r="A518" s="1126"/>
      <c r="B518" s="1170">
        <v>44779.508750740744</v>
      </c>
      <c r="C518" s="1175">
        <v>1.01873452796936</v>
      </c>
      <c r="D518" s="1172">
        <v>457212.2533400187</v>
      </c>
      <c r="E518" s="1173">
        <v>448804.1200010942</v>
      </c>
      <c r="F518" s="1174">
        <v>19.71496044741183</v>
      </c>
      <c r="G518" s="1172">
        <v>0.0</v>
      </c>
      <c r="H518" s="1172">
        <v>158.25407622289862</v>
      </c>
      <c r="I518" s="1172"/>
      <c r="J518" s="1172">
        <v>457212.2533400187</v>
      </c>
      <c r="K518" s="1172">
        <v>448205.54</v>
      </c>
      <c r="L518" s="1098"/>
      <c r="M518" s="1100"/>
      <c r="N518" s="1096"/>
      <c r="O518" s="1098"/>
      <c r="P518" s="1096"/>
      <c r="Q518" s="1096"/>
    </row>
    <row r="519">
      <c r="A519" s="1126"/>
      <c r="B519" s="1170">
        <v>44780.50876077546</v>
      </c>
      <c r="C519" s="1175">
        <v>1.01873452796936</v>
      </c>
      <c r="D519" s="1172">
        <v>457172.3567692303</v>
      </c>
      <c r="E519" s="1173">
        <v>448764.95712824253</v>
      </c>
      <c r="F519" s="1174">
        <v>19.897615277395207</v>
      </c>
      <c r="G519" s="1172">
        <v>0.0</v>
      </c>
      <c r="H519" s="1172">
        <v>155.38831735526662</v>
      </c>
      <c r="I519" s="1172"/>
      <c r="J519" s="1172">
        <v>457172.3567692303</v>
      </c>
      <c r="K519" s="1172">
        <v>448205.54</v>
      </c>
      <c r="L519" s="1098"/>
      <c r="M519" s="1100"/>
      <c r="N519" s="1096"/>
      <c r="O519" s="1098"/>
      <c r="P519" s="1096"/>
      <c r="Q519" s="1096"/>
    </row>
    <row r="520">
      <c r="A520" s="1126"/>
      <c r="B520" s="1170">
        <v>44781.508754849536</v>
      </c>
      <c r="C520" s="1175">
        <v>1.01754760850873</v>
      </c>
      <c r="D520" s="1172">
        <v>457495.4152038698</v>
      </c>
      <c r="E520" s="1173">
        <v>449605.90676868043</v>
      </c>
      <c r="F520" s="1174">
        <v>18.977265972988576</v>
      </c>
      <c r="G520" s="1172">
        <v>0.0</v>
      </c>
      <c r="H520" s="1172">
        <v>163.4690140544481</v>
      </c>
      <c r="I520" s="1172"/>
      <c r="J520" s="1172">
        <v>457495.4152038698</v>
      </c>
      <c r="K520" s="1172">
        <v>448205.54</v>
      </c>
      <c r="L520" s="1098"/>
      <c r="M520" s="1100"/>
      <c r="N520" s="1096"/>
      <c r="O520" s="1098"/>
      <c r="P520" s="1096"/>
      <c r="Q520" s="1096"/>
    </row>
    <row r="521">
      <c r="A521" s="1126"/>
      <c r="B521" s="1170">
        <v>44782.50874982639</v>
      </c>
      <c r="C521" s="1175">
        <v>1.02390406428479</v>
      </c>
      <c r="D521" s="1172">
        <v>457364.0377902159</v>
      </c>
      <c r="E521" s="1173">
        <v>446686.41696396674</v>
      </c>
      <c r="F521" s="1174">
        <v>19.45171485684961</v>
      </c>
      <c r="G521" s="1172">
        <v>0.0</v>
      </c>
      <c r="H521" s="1172">
        <v>160.76199171751014</v>
      </c>
      <c r="I521" s="1172"/>
      <c r="J521" s="1172">
        <v>457364.0377902159</v>
      </c>
      <c r="K521" s="1172">
        <v>448205.54</v>
      </c>
      <c r="L521" s="1098"/>
      <c r="M521" s="1100"/>
      <c r="N521" s="1096"/>
      <c r="O521" s="1098"/>
      <c r="P521" s="1096"/>
      <c r="Q521" s="1096"/>
    </row>
    <row r="522">
      <c r="A522" s="1126"/>
      <c r="B522" s="1181">
        <v>44783.508755243056</v>
      </c>
      <c r="C522" s="1182">
        <v>1.02228269592303</v>
      </c>
      <c r="D522" s="1183">
        <v>457128.4660686904</v>
      </c>
      <c r="E522" s="1184">
        <v>447164.43689379306</v>
      </c>
      <c r="F522" s="1185">
        <v>19.827898253683248</v>
      </c>
      <c r="G522" s="1183">
        <v>0.0</v>
      </c>
      <c r="H522" s="1183">
        <v>156.5929339469337</v>
      </c>
      <c r="I522" s="1183"/>
      <c r="J522" s="1183">
        <v>457128.4660686904</v>
      </c>
      <c r="K522" s="1183">
        <v>448205.54</v>
      </c>
      <c r="L522" s="1098"/>
      <c r="M522" s="1100"/>
      <c r="N522" s="1096"/>
      <c r="O522" s="1098"/>
      <c r="P522" s="1096"/>
      <c r="Q522" s="1096"/>
    </row>
    <row r="523">
      <c r="A523" s="1126"/>
      <c r="B523" s="1170">
        <v>44784.50876619213</v>
      </c>
      <c r="C523" s="1175">
        <v>1.03284978749116</v>
      </c>
      <c r="D523" s="1172">
        <v>457669.24183944706</v>
      </c>
      <c r="E523" s="1173">
        <v>443113.07160274184</v>
      </c>
      <c r="F523" s="1174">
        <v>18.709057150473473</v>
      </c>
      <c r="G523" s="1172">
        <v>0.0</v>
      </c>
      <c r="H523" s="1172">
        <v>173.9069738016184</v>
      </c>
      <c r="I523" s="1172"/>
      <c r="J523" s="1172">
        <v>457669.24183944706</v>
      </c>
      <c r="K523" s="1172">
        <v>448205.54</v>
      </c>
      <c r="L523" s="1098"/>
      <c r="M523" s="1100"/>
      <c r="N523" s="1096"/>
      <c r="O523" s="1098"/>
      <c r="P523" s="1096"/>
      <c r="Q523" s="1096"/>
    </row>
    <row r="524">
      <c r="A524" s="1126"/>
      <c r="B524" s="1170">
        <v>44785.50875190972</v>
      </c>
      <c r="C524" s="1175">
        <v>1.02974416006343</v>
      </c>
      <c r="D524" s="1172">
        <v>457589.2881167322</v>
      </c>
      <c r="E524" s="1173">
        <v>444371.8215294813</v>
      </c>
      <c r="F524" s="1174">
        <v>19.092658990298233</v>
      </c>
      <c r="G524" s="1172">
        <v>0.0</v>
      </c>
      <c r="H524" s="1172">
        <v>174.58787524618424</v>
      </c>
      <c r="I524" s="1172"/>
      <c r="J524" s="1172">
        <v>457589.2881167322</v>
      </c>
      <c r="K524" s="1172">
        <v>448205.54</v>
      </c>
      <c r="L524" s="1098"/>
      <c r="M524" s="1100"/>
      <c r="N524" s="1096"/>
      <c r="O524" s="1098"/>
      <c r="P524" s="1096"/>
      <c r="Q524" s="1096"/>
    </row>
    <row r="525">
      <c r="A525" s="1126"/>
      <c r="B525" s="1170">
        <v>44786.50875177083</v>
      </c>
      <c r="C525" s="1175">
        <v>1.02625467330722</v>
      </c>
      <c r="D525" s="1172">
        <v>457787.3204221533</v>
      </c>
      <c r="E525" s="1173">
        <v>446075.74740379275</v>
      </c>
      <c r="F525" s="1174">
        <v>18.637370116254537</v>
      </c>
      <c r="G525" s="1172">
        <v>0.0</v>
      </c>
      <c r="H525" s="1172">
        <v>184.6045694760497</v>
      </c>
      <c r="I525" s="1172"/>
      <c r="J525" s="1172">
        <v>457787.3204221533</v>
      </c>
      <c r="K525" s="1172">
        <v>448205.54</v>
      </c>
      <c r="L525" s="1098"/>
      <c r="M525" s="1100"/>
      <c r="N525" s="1096"/>
      <c r="O525" s="1098"/>
      <c r="P525" s="1096"/>
      <c r="Q525" s="1096"/>
    </row>
    <row r="526">
      <c r="A526" s="1126"/>
      <c r="B526" s="1170">
        <v>44787.508753587965</v>
      </c>
      <c r="C526" s="1175">
        <v>1.02625467330722</v>
      </c>
      <c r="D526" s="1172">
        <v>457851.988683541</v>
      </c>
      <c r="E526" s="1173">
        <v>446138.7612570494</v>
      </c>
      <c r="F526" s="1174">
        <v>18.52415695570598</v>
      </c>
      <c r="G526" s="1172">
        <v>0.0</v>
      </c>
      <c r="H526" s="1172">
        <v>185.13057434394824</v>
      </c>
      <c r="I526" s="1172"/>
      <c r="J526" s="1172">
        <v>457851.988683541</v>
      </c>
      <c r="K526" s="1172">
        <v>448205.54</v>
      </c>
      <c r="L526" s="1098"/>
      <c r="M526" s="1100"/>
      <c r="N526" s="1096"/>
      <c r="O526" s="1098"/>
      <c r="P526" s="1096"/>
      <c r="Q526" s="1096"/>
    </row>
    <row r="527">
      <c r="A527" s="1126"/>
      <c r="B527" s="1170">
        <v>44788.50874820602</v>
      </c>
      <c r="C527" s="1175">
        <v>1.02027073904331</v>
      </c>
      <c r="D527" s="1172">
        <v>462665.0998545905</v>
      </c>
      <c r="E527" s="1173">
        <v>453472.86965068063</v>
      </c>
      <c r="F527" s="1174">
        <v>19.136718722783225</v>
      </c>
      <c r="G527" s="1172">
        <v>0.0</v>
      </c>
      <c r="H527" s="1172">
        <v>175.94769301460383</v>
      </c>
      <c r="I527" s="1172"/>
      <c r="J527" s="1172">
        <v>462665.0998545905</v>
      </c>
      <c r="K527" s="1172">
        <v>453400.0</v>
      </c>
      <c r="L527" s="1098"/>
      <c r="M527" s="1100"/>
      <c r="N527" s="1096"/>
      <c r="O527" s="1098"/>
      <c r="P527" s="1096"/>
      <c r="Q527" s="1096"/>
    </row>
    <row r="528">
      <c r="A528" s="1126"/>
      <c r="B528" s="1170">
        <v>44789.5087584838</v>
      </c>
      <c r="C528" s="1175">
        <v>1.0137361244868</v>
      </c>
      <c r="D528" s="1172">
        <v>462710.8125258639</v>
      </c>
      <c r="E528" s="1173">
        <v>456441.0810161367</v>
      </c>
      <c r="F528" s="1174">
        <v>19.201126651350904</v>
      </c>
      <c r="G528" s="1172">
        <v>0.0</v>
      </c>
      <c r="H528" s="1172">
        <v>174.89328101933052</v>
      </c>
      <c r="I528" s="1172"/>
      <c r="J528" s="1172">
        <v>462710.8125258639</v>
      </c>
      <c r="K528" s="1172">
        <v>453400.0</v>
      </c>
      <c r="L528" s="1098"/>
      <c r="M528" s="1100"/>
      <c r="N528" s="1096"/>
      <c r="O528" s="1098"/>
      <c r="P528" s="1096"/>
      <c r="Q528" s="1096"/>
    </row>
    <row r="529">
      <c r="A529" s="1126"/>
      <c r="B529" s="1170">
        <v>44790.50875641203</v>
      </c>
      <c r="C529" s="1175">
        <v>1.01733746507989</v>
      </c>
      <c r="D529" s="1172">
        <v>464143.153958786</v>
      </c>
      <c r="E529" s="1173">
        <v>456233.226329021</v>
      </c>
      <c r="F529" s="1174">
        <v>19.477370218767508</v>
      </c>
      <c r="G529" s="1172">
        <v>0.0</v>
      </c>
      <c r="H529" s="1172">
        <v>174.35488149955063</v>
      </c>
      <c r="I529" s="1172"/>
      <c r="J529" s="1172">
        <v>464143.153958786</v>
      </c>
      <c r="K529" s="1172">
        <v>454825.0</v>
      </c>
      <c r="L529" s="1098"/>
      <c r="M529" s="1100"/>
      <c r="N529" s="1096"/>
      <c r="O529" s="1098"/>
      <c r="P529" s="1096"/>
      <c r="Q529" s="1096"/>
    </row>
    <row r="530">
      <c r="A530" s="1126"/>
      <c r="B530" s="1170">
        <v>44791.508763819445</v>
      </c>
      <c r="C530" s="1175">
        <v>1.0163056071613</v>
      </c>
      <c r="D530" s="1172">
        <v>463727.14497077564</v>
      </c>
      <c r="E530" s="1173">
        <v>456287.10665686266</v>
      </c>
      <c r="F530" s="1174">
        <v>19.691361349303516</v>
      </c>
      <c r="G530" s="1172">
        <v>0.0</v>
      </c>
      <c r="H530" s="1172">
        <v>171.73246301567107</v>
      </c>
      <c r="I530" s="1172"/>
      <c r="J530" s="1172">
        <v>463727.14497077564</v>
      </c>
      <c r="K530" s="1172">
        <v>454825.0</v>
      </c>
      <c r="L530" s="1098"/>
      <c r="M530" s="1100"/>
      <c r="N530" s="1096"/>
      <c r="O530" s="1098"/>
      <c r="P530" s="1096"/>
      <c r="Q530" s="1096"/>
    </row>
    <row r="531">
      <c r="A531" s="1126"/>
      <c r="B531" s="1170">
        <v>44792.51074386574</v>
      </c>
      <c r="C531" s="1175">
        <v>1.00884962894511</v>
      </c>
      <c r="D531" s="1172">
        <v>452922.21574542864</v>
      </c>
      <c r="E531" s="1173">
        <v>448949.1820689081</v>
      </c>
      <c r="F531" s="1174">
        <v>20.847048807057252</v>
      </c>
      <c r="G531" s="1172">
        <v>0.0</v>
      </c>
      <c r="H531" s="1172">
        <v>160.3040208751472</v>
      </c>
      <c r="I531" s="1172"/>
      <c r="J531" s="1172">
        <v>452922.21574542864</v>
      </c>
      <c r="K531" s="1172">
        <v>444908.0</v>
      </c>
      <c r="L531" s="1098"/>
      <c r="M531" s="1100"/>
      <c r="N531" s="1096"/>
      <c r="O531" s="1098"/>
      <c r="P531" s="1096"/>
      <c r="Q531" s="1096"/>
    </row>
    <row r="532">
      <c r="A532" s="1126"/>
      <c r="B532" s="1170">
        <v>44793.50923980324</v>
      </c>
      <c r="C532" s="1175">
        <v>1.00369963686147</v>
      </c>
      <c r="D532" s="1172">
        <v>449265.16329932224</v>
      </c>
      <c r="E532" s="1173">
        <v>447609.1719074016</v>
      </c>
      <c r="F532" s="1174">
        <v>21.181570658671188</v>
      </c>
      <c r="G532" s="1172">
        <v>0.0</v>
      </c>
      <c r="H532" s="1172">
        <v>150.8333093940263</v>
      </c>
      <c r="I532" s="1172"/>
      <c r="J532" s="1172">
        <v>449265.16329932224</v>
      </c>
      <c r="K532" s="1172">
        <v>441471.0</v>
      </c>
      <c r="L532" s="1098"/>
      <c r="M532" s="1100"/>
      <c r="N532" s="1096"/>
      <c r="O532" s="1098"/>
      <c r="P532" s="1096"/>
      <c r="Q532" s="1096"/>
    </row>
    <row r="533">
      <c r="A533" s="1126"/>
      <c r="B533" s="1170">
        <v>44794.50875890046</v>
      </c>
      <c r="C533" s="1175">
        <v>1.00369963686147</v>
      </c>
      <c r="D533" s="1172">
        <v>449265.16329932224</v>
      </c>
      <c r="E533" s="1173">
        <v>447609.1719074016</v>
      </c>
      <c r="F533" s="1174">
        <v>21.181570658671188</v>
      </c>
      <c r="G533" s="1172">
        <v>0.0</v>
      </c>
      <c r="H533" s="1172">
        <v>150.8333093940263</v>
      </c>
      <c r="I533" s="1172"/>
      <c r="J533" s="1172">
        <v>449265.16329932224</v>
      </c>
      <c r="K533" s="1172">
        <v>441471.0</v>
      </c>
      <c r="L533" s="1098"/>
      <c r="M533" s="1100"/>
      <c r="N533" s="1096"/>
      <c r="O533" s="1098"/>
      <c r="P533" s="1096"/>
      <c r="Q533" s="1096"/>
    </row>
    <row r="534">
      <c r="A534" s="1126"/>
      <c r="B534" s="1170">
        <v>44795.508988263886</v>
      </c>
      <c r="C534" s="1175">
        <v>1.00115132402263</v>
      </c>
      <c r="D534" s="1172">
        <v>449107.0400227149</v>
      </c>
      <c r="E534" s="1173">
        <v>448590.56692668697</v>
      </c>
      <c r="F534" s="1174">
        <v>21.23936124589969</v>
      </c>
      <c r="G534" s="1172">
        <v>0.0</v>
      </c>
      <c r="H534" s="1172">
        <v>144.0580818752187</v>
      </c>
      <c r="I534" s="1172"/>
      <c r="J534" s="1172">
        <v>449107.0400227149</v>
      </c>
      <c r="K534" s="1172">
        <v>441471.0</v>
      </c>
      <c r="L534" s="1098"/>
      <c r="M534" s="1100"/>
      <c r="N534" s="1096"/>
      <c r="O534" s="1098"/>
      <c r="P534" s="1096"/>
      <c r="Q534" s="1096"/>
    </row>
    <row r="535">
      <c r="A535" s="1126"/>
      <c r="B535" s="1170">
        <v>44796.508753587965</v>
      </c>
      <c r="C535" s="1175">
        <v>0.99318969823917</v>
      </c>
      <c r="D535" s="1172">
        <v>449369.44067770557</v>
      </c>
      <c r="E535" s="1173">
        <v>452450.7669324344</v>
      </c>
      <c r="F535" s="1174">
        <v>21.006623829082308</v>
      </c>
      <c r="G535" s="1172">
        <v>0.0</v>
      </c>
      <c r="H535" s="1172">
        <v>148.1252411685279</v>
      </c>
      <c r="I535" s="1172"/>
      <c r="J535" s="1172">
        <v>449369.44067770557</v>
      </c>
      <c r="K535" s="1172">
        <v>441471.0</v>
      </c>
      <c r="L535" s="1098"/>
      <c r="M535" s="1100"/>
      <c r="N535" s="1096"/>
      <c r="O535" s="1098"/>
      <c r="P535" s="1096"/>
      <c r="Q535" s="1096"/>
    </row>
    <row r="536">
      <c r="A536" s="1126"/>
      <c r="B536" s="1170">
        <v>44797.508748865745</v>
      </c>
      <c r="C536" s="1175">
        <v>0.9950080446400401</v>
      </c>
      <c r="D536" s="1172">
        <v>449362.7753223159</v>
      </c>
      <c r="E536" s="1173">
        <v>451617.2283661083</v>
      </c>
      <c r="F536" s="1174">
        <v>21.067870603186</v>
      </c>
      <c r="G536" s="1172">
        <v>0.0</v>
      </c>
      <c r="H536" s="1172">
        <v>151.1098064924644</v>
      </c>
      <c r="I536" s="1172"/>
      <c r="J536" s="1172">
        <v>449362.7753223159</v>
      </c>
      <c r="K536" s="1172">
        <v>441471.0</v>
      </c>
      <c r="L536" s="1098"/>
      <c r="M536" s="1100"/>
      <c r="N536" s="1096"/>
      <c r="O536" s="1098"/>
      <c r="P536" s="1096"/>
      <c r="Q536" s="1096"/>
    </row>
    <row r="537">
      <c r="A537" s="1126"/>
      <c r="B537" s="1170">
        <v>44798.50876677083</v>
      </c>
      <c r="C537" s="1175">
        <v>1.00084972141348</v>
      </c>
      <c r="D537" s="1172">
        <v>449611.43724535755</v>
      </c>
      <c r="E537" s="1173">
        <v>449229.7171351363</v>
      </c>
      <c r="F537" s="1174">
        <v>20.736788239318173</v>
      </c>
      <c r="G537" s="1172">
        <v>0.0</v>
      </c>
      <c r="H537" s="1172">
        <v>157.14371099844314</v>
      </c>
      <c r="I537" s="1172"/>
      <c r="J537" s="1172">
        <v>449611.43724535755</v>
      </c>
      <c r="K537" s="1172">
        <v>441471.0</v>
      </c>
      <c r="L537" s="1098"/>
      <c r="M537" s="1100"/>
      <c r="N537" s="1096"/>
      <c r="O537" s="1098"/>
      <c r="P537" s="1096"/>
      <c r="Q537" s="1096"/>
    </row>
    <row r="538">
      <c r="A538" s="1126"/>
      <c r="B538" s="1170">
        <v>44799.83064667824</v>
      </c>
      <c r="C538" s="1175">
        <v>0.9967903351209099</v>
      </c>
      <c r="D538" s="1172">
        <v>449296.8914541633</v>
      </c>
      <c r="E538" s="1173">
        <v>450743.6274446461</v>
      </c>
      <c r="F538" s="1174">
        <v>21.699879872334574</v>
      </c>
      <c r="G538" s="1172">
        <v>0.0</v>
      </c>
      <c r="H538" s="1172">
        <v>145.51888505689126</v>
      </c>
      <c r="I538" s="1172"/>
      <c r="J538" s="1172">
        <v>449296.8914541633</v>
      </c>
      <c r="K538" s="1172">
        <v>441560.0</v>
      </c>
      <c r="L538" s="1098"/>
      <c r="M538" s="1100"/>
      <c r="N538" s="1096"/>
      <c r="O538" s="1098"/>
      <c r="P538" s="1096"/>
      <c r="Q538" s="1096"/>
    </row>
    <row r="539">
      <c r="A539" s="1126"/>
      <c r="B539" s="1170">
        <v>44800.50875263889</v>
      </c>
      <c r="C539" s="1175">
        <v>0.99650029097808</v>
      </c>
      <c r="D539" s="1172">
        <v>449050.93410890567</v>
      </c>
      <c r="E539" s="1173">
        <v>450628.0009894984</v>
      </c>
      <c r="F539" s="1174">
        <v>22.225892931948614</v>
      </c>
      <c r="G539" s="1172">
        <v>0.0</v>
      </c>
      <c r="H539" s="1172">
        <v>138.77440262522356</v>
      </c>
      <c r="I539" s="1172"/>
      <c r="J539" s="1172">
        <v>449050.93410890567</v>
      </c>
      <c r="K539" s="1172">
        <v>441560.0</v>
      </c>
      <c r="L539" s="1098"/>
      <c r="M539" s="1100"/>
      <c r="N539" s="1096"/>
      <c r="O539" s="1098"/>
      <c r="P539" s="1096"/>
      <c r="Q539" s="1096"/>
    </row>
    <row r="540">
      <c r="A540" s="1126"/>
      <c r="B540" s="1170">
        <v>44801.50874826389</v>
      </c>
      <c r="C540" s="1175">
        <v>0.99650029097808</v>
      </c>
      <c r="D540" s="1172">
        <v>449041.14977085515</v>
      </c>
      <c r="E540" s="1173">
        <v>450618.18228885264</v>
      </c>
      <c r="F540" s="1174">
        <v>22.426992324533256</v>
      </c>
      <c r="G540" s="1172">
        <v>0.0</v>
      </c>
      <c r="H540" s="1172">
        <v>137.56228857212636</v>
      </c>
      <c r="I540" s="1172"/>
      <c r="J540" s="1172">
        <v>449041.14977085515</v>
      </c>
      <c r="K540" s="1172">
        <v>441560.0</v>
      </c>
      <c r="L540" s="1098"/>
      <c r="M540" s="1100"/>
      <c r="N540" s="1096"/>
      <c r="O540" s="1098"/>
      <c r="P540" s="1096"/>
      <c r="Q540" s="1096"/>
    </row>
    <row r="541">
      <c r="A541" s="1126"/>
      <c r="B541" s="1170">
        <v>44802.50874793981</v>
      </c>
      <c r="C541" s="1175">
        <v>0.9952863239696799</v>
      </c>
      <c r="D541" s="1172">
        <v>448917.213320975</v>
      </c>
      <c r="E541" s="1173">
        <v>451043.28524326306</v>
      </c>
      <c r="F541" s="1174">
        <v>22.607726027467653</v>
      </c>
      <c r="G541" s="1172">
        <v>0.0</v>
      </c>
      <c r="H541" s="1172">
        <v>134.19077038272346</v>
      </c>
      <c r="I541" s="1172"/>
      <c r="J541" s="1172">
        <v>448917.213320975</v>
      </c>
      <c r="K541" s="1172">
        <v>441560.0</v>
      </c>
      <c r="L541" s="1098"/>
      <c r="M541" s="1100"/>
      <c r="N541" s="1096"/>
      <c r="O541" s="1098"/>
      <c r="P541" s="1096"/>
      <c r="Q541" s="1096"/>
    </row>
    <row r="542">
      <c r="A542" s="1126"/>
      <c r="B542" s="1170">
        <v>44803.50874853009</v>
      </c>
      <c r="C542" s="1175">
        <v>1.00350020872804</v>
      </c>
      <c r="D542" s="1172">
        <v>449303.03948396735</v>
      </c>
      <c r="E542" s="1173">
        <v>447735.8704822488</v>
      </c>
      <c r="F542" s="1174">
        <v>21.990134821142323</v>
      </c>
      <c r="G542" s="1172">
        <v>0.0</v>
      </c>
      <c r="H542" s="1172">
        <v>147.00264207186456</v>
      </c>
      <c r="I542" s="1172"/>
      <c r="J542" s="1172">
        <v>449303.03948396735</v>
      </c>
      <c r="K542" s="1172">
        <v>441560.0</v>
      </c>
      <c r="L542" s="1098"/>
      <c r="M542" s="1100"/>
      <c r="N542" s="1096"/>
      <c r="O542" s="1098"/>
      <c r="P542" s="1096"/>
      <c r="Q542" s="1096"/>
    </row>
    <row r="543">
      <c r="A543" s="1126"/>
      <c r="B543" s="1170">
        <v>44804.508754282404</v>
      </c>
      <c r="C543" s="1175">
        <v>0.9995352161245</v>
      </c>
      <c r="D543" s="1172">
        <v>449203.179659323</v>
      </c>
      <c r="E543" s="1173">
        <v>449412.05913786555</v>
      </c>
      <c r="F543" s="1174">
        <v>22.226790750878052</v>
      </c>
      <c r="G543" s="1172">
        <v>0.0</v>
      </c>
      <c r="H543" s="1172">
        <v>145.05877084839256</v>
      </c>
      <c r="I543" s="1172"/>
      <c r="J543" s="1172">
        <v>449203.179659323</v>
      </c>
      <c r="K543" s="1172">
        <v>441560.0</v>
      </c>
      <c r="L543" s="1098"/>
      <c r="M543" s="1100"/>
      <c r="N543" s="1096"/>
      <c r="O543" s="1098"/>
      <c r="P543" s="1096"/>
      <c r="Q543" s="1096"/>
    </row>
    <row r="544">
      <c r="A544" s="1126"/>
      <c r="B544" s="1170">
        <v>44805.50875642362</v>
      </c>
      <c r="C544" s="1175">
        <v>1.00312171477638</v>
      </c>
      <c r="D544" s="1172">
        <v>449368.8692301754</v>
      </c>
      <c r="E544" s="1173">
        <v>447970.43330913293</v>
      </c>
      <c r="F544" s="1174">
        <v>22.53102296164879</v>
      </c>
      <c r="G544" s="1172">
        <v>0.0</v>
      </c>
      <c r="H544" s="1172">
        <v>143.0705125066847</v>
      </c>
      <c r="I544" s="1172"/>
      <c r="J544" s="1172">
        <v>449368.8692301754</v>
      </c>
      <c r="K544" s="1172">
        <v>441896.0</v>
      </c>
      <c r="L544" s="1098"/>
      <c r="M544" s="1100"/>
      <c r="N544" s="1096"/>
      <c r="O544" s="1098"/>
      <c r="P544" s="1096"/>
      <c r="Q544" s="1096"/>
    </row>
    <row r="545">
      <c r="A545" s="1126"/>
      <c r="B545" s="1170">
        <v>44806.508755891206</v>
      </c>
      <c r="C545" s="1175">
        <v>0.99772817295019</v>
      </c>
      <c r="D545" s="1172">
        <v>449445.2205606173</v>
      </c>
      <c r="E545" s="1173">
        <v>450468.6073278349</v>
      </c>
      <c r="F545" s="1174">
        <v>22.3126078868342</v>
      </c>
      <c r="G545" s="1172">
        <v>0.0</v>
      </c>
      <c r="H545" s="1172">
        <v>147.22126316298488</v>
      </c>
      <c r="I545" s="1172"/>
      <c r="J545" s="1172">
        <v>449445.2205606173</v>
      </c>
      <c r="K545" s="1172">
        <v>441896.0</v>
      </c>
      <c r="L545" s="1098"/>
      <c r="M545" s="1100"/>
      <c r="N545" s="1096"/>
      <c r="O545" s="1098"/>
      <c r="P545" s="1096"/>
      <c r="Q545" s="1096"/>
    </row>
    <row r="546">
      <c r="A546" s="1126"/>
      <c r="B546" s="1170">
        <v>44807.508772280096</v>
      </c>
      <c r="C546" s="1175">
        <v>0.99530019249106</v>
      </c>
      <c r="D546" s="1172">
        <v>449827.8782607268</v>
      </c>
      <c r="E546" s="1173">
        <v>451951.96550187265</v>
      </c>
      <c r="F546" s="1174">
        <v>22.679250887839444</v>
      </c>
      <c r="G546" s="1172">
        <v>0.0</v>
      </c>
      <c r="H546" s="1172">
        <v>143.48951651177086</v>
      </c>
      <c r="I546" s="1172"/>
      <c r="J546" s="1172">
        <v>449827.8782607268</v>
      </c>
      <c r="K546" s="1172">
        <v>442431.0</v>
      </c>
      <c r="L546" s="1098"/>
      <c r="M546" s="1100"/>
      <c r="N546" s="1096"/>
      <c r="O546" s="1098"/>
      <c r="P546" s="1096"/>
      <c r="Q546" s="1096"/>
    </row>
    <row r="547">
      <c r="A547" s="1126"/>
      <c r="B547" s="1170">
        <v>44808.50874936343</v>
      </c>
      <c r="C547" s="1175">
        <v>0.99530019249106</v>
      </c>
      <c r="D547" s="1172">
        <v>450114.11993744393</v>
      </c>
      <c r="E547" s="1173">
        <v>452239.5588117873</v>
      </c>
      <c r="F547" s="1174">
        <v>22.754812809682036</v>
      </c>
      <c r="G547" s="1172">
        <v>0.0</v>
      </c>
      <c r="H547" s="1172">
        <v>143.46692556122227</v>
      </c>
      <c r="I547" s="1172"/>
      <c r="J547" s="1172">
        <v>450114.11993744393</v>
      </c>
      <c r="K547" s="1172">
        <v>442783.0</v>
      </c>
      <c r="L547" s="1098"/>
      <c r="M547" s="1100"/>
      <c r="N547" s="1096"/>
      <c r="O547" s="1098"/>
      <c r="P547" s="1096"/>
      <c r="Q547" s="1096"/>
    </row>
    <row r="548">
      <c r="A548" s="1126"/>
      <c r="B548" s="1170">
        <v>44809.50875375</v>
      </c>
      <c r="C548" s="1175">
        <v>0.99176733931634</v>
      </c>
      <c r="D548" s="1172">
        <v>450164.59706140397</v>
      </c>
      <c r="E548" s="1173">
        <v>453901.41338160844</v>
      </c>
      <c r="F548" s="1174">
        <v>22.772866113063436</v>
      </c>
      <c r="G548" s="1172">
        <v>0.0</v>
      </c>
      <c r="H548" s="1172">
        <v>144.4669993731684</v>
      </c>
      <c r="I548" s="1172"/>
      <c r="J548" s="1172">
        <v>450164.59706140397</v>
      </c>
      <c r="K548" s="1172">
        <v>442783.0</v>
      </c>
      <c r="L548" s="1098"/>
      <c r="M548" s="1100"/>
      <c r="N548" s="1096"/>
      <c r="O548" s="1098"/>
      <c r="P548" s="1096"/>
      <c r="Q548" s="1096"/>
    </row>
    <row r="549">
      <c r="A549" s="1126"/>
      <c r="B549" s="1170">
        <v>44810.50875231481</v>
      </c>
      <c r="C549" s="1175">
        <v>0.99403973773256</v>
      </c>
      <c r="D549" s="1172">
        <v>450237.8965566647</v>
      </c>
      <c r="E549" s="1173">
        <v>452937.52298441646</v>
      </c>
      <c r="F549" s="1174">
        <v>22.594591796590766</v>
      </c>
      <c r="G549" s="1172">
        <v>0.0</v>
      </c>
      <c r="H549" s="1172">
        <v>152.88919997531363</v>
      </c>
      <c r="I549" s="1172"/>
      <c r="J549" s="1172">
        <v>450237.8965566647</v>
      </c>
      <c r="K549" s="1172">
        <v>442783.0</v>
      </c>
      <c r="L549" s="1098"/>
      <c r="M549" s="1100"/>
      <c r="N549" s="1096"/>
      <c r="O549" s="1098"/>
      <c r="P549" s="1096"/>
      <c r="Q549" s="1096"/>
    </row>
    <row r="550">
      <c r="A550" s="1126"/>
      <c r="B550" s="1170">
        <v>44811.508760625</v>
      </c>
      <c r="C550" s="1175">
        <v>0.9901421448063101</v>
      </c>
      <c r="D550" s="1172">
        <v>449661.30452341796</v>
      </c>
      <c r="E550" s="1173">
        <v>454138.1324712523</v>
      </c>
      <c r="F550" s="1174">
        <v>23.938328295893797</v>
      </c>
      <c r="G550" s="1172">
        <v>0.0</v>
      </c>
      <c r="H550" s="1172">
        <v>140.1030850110287</v>
      </c>
      <c r="I550" s="1172"/>
      <c r="J550" s="1172">
        <v>449661.30452341796</v>
      </c>
      <c r="K550" s="1172">
        <v>442783.0</v>
      </c>
      <c r="L550" s="1098"/>
      <c r="M550" s="1100"/>
      <c r="N550" s="1096"/>
      <c r="O550" s="1098"/>
      <c r="P550" s="1096"/>
      <c r="Q550" s="1096"/>
    </row>
    <row r="551">
      <c r="A551" s="1126"/>
      <c r="B551" s="1170">
        <v>44812.508746817126</v>
      </c>
      <c r="C551" s="1175">
        <v>1.0</v>
      </c>
      <c r="D551" s="1172">
        <v>455785.9418041138</v>
      </c>
      <c r="E551" s="1173">
        <v>455785.9418041138</v>
      </c>
      <c r="F551" s="1174">
        <v>23.754603675295723</v>
      </c>
      <c r="G551" s="1172">
        <v>0.0</v>
      </c>
      <c r="H551" s="1172">
        <v>149.242321155485</v>
      </c>
      <c r="I551" s="1172"/>
      <c r="J551" s="1172">
        <v>455785.9418041138</v>
      </c>
      <c r="K551" s="1172">
        <v>448750.0</v>
      </c>
      <c r="L551" s="1098"/>
      <c r="M551" s="1100"/>
      <c r="N551" s="1096"/>
      <c r="O551" s="1098"/>
      <c r="P551" s="1096"/>
      <c r="Q551" s="1096"/>
    </row>
    <row r="552">
      <c r="A552" s="1126"/>
      <c r="B552" s="1170">
        <v>44813.50874791667</v>
      </c>
      <c r="C552" s="1175">
        <v>1.0093139491225</v>
      </c>
      <c r="D552" s="1172">
        <v>456231.8315927636</v>
      </c>
      <c r="E552" s="1173">
        <v>452021.72425082664</v>
      </c>
      <c r="F552" s="1174">
        <v>21.988952884007414</v>
      </c>
      <c r="G552" s="1172">
        <v>0.0</v>
      </c>
      <c r="H552" s="1172">
        <v>156.50529564992263</v>
      </c>
      <c r="I552" s="1172"/>
      <c r="J552" s="1172">
        <v>456231.8315927636</v>
      </c>
      <c r="K552" s="1172">
        <v>448750.0</v>
      </c>
      <c r="L552" s="1098"/>
      <c r="M552" s="1100"/>
      <c r="N552" s="1096"/>
      <c r="O552" s="1098"/>
      <c r="P552" s="1096"/>
      <c r="Q552" s="1096"/>
    </row>
    <row r="553">
      <c r="A553" s="1126"/>
      <c r="B553" s="1170">
        <v>44814.50874640046</v>
      </c>
      <c r="C553" s="1175">
        <v>1.01507384662234</v>
      </c>
      <c r="D553" s="1172">
        <v>456306.42624842055</v>
      </c>
      <c r="E553" s="1173">
        <v>449530.27581863233</v>
      </c>
      <c r="F553" s="1174">
        <v>21.407701147544042</v>
      </c>
      <c r="G553" s="1172">
        <v>0.0</v>
      </c>
      <c r="H553" s="1172">
        <v>158.87183572904937</v>
      </c>
      <c r="I553" s="1172"/>
      <c r="J553" s="1172">
        <v>456306.42624842055</v>
      </c>
      <c r="K553" s="1172">
        <v>448750.0</v>
      </c>
      <c r="L553" s="1098"/>
      <c r="M553" s="1100"/>
      <c r="N553" s="1096"/>
      <c r="O553" s="1098"/>
      <c r="P553" s="1096"/>
      <c r="Q553" s="1096"/>
    </row>
    <row r="554">
      <c r="A554" s="1126"/>
      <c r="B554" s="1170">
        <v>44815.508749664354</v>
      </c>
      <c r="C554" s="1175">
        <v>1.01525007132132</v>
      </c>
      <c r="D554" s="1172">
        <v>456380.14142405504</v>
      </c>
      <c r="E554" s="1173">
        <v>449524.85531972325</v>
      </c>
      <c r="F554" s="1174">
        <v>21.106093198865622</v>
      </c>
      <c r="G554" s="1172">
        <v>0.0</v>
      </c>
      <c r="H554" s="1172">
        <v>162.59870945809362</v>
      </c>
      <c r="I554" s="1172"/>
      <c r="J554" s="1172">
        <v>456380.14142405504</v>
      </c>
      <c r="K554" s="1172">
        <v>448750.0</v>
      </c>
      <c r="L554" s="1098"/>
      <c r="M554" s="1100"/>
      <c r="N554" s="1096"/>
      <c r="O554" s="1098"/>
      <c r="P554" s="1096"/>
      <c r="Q554" s="1096"/>
    </row>
    <row r="555">
      <c r="A555" s="1126"/>
      <c r="B555" s="1170">
        <v>44816.50874960648</v>
      </c>
      <c r="C555" s="1175">
        <v>1.0175921327917</v>
      </c>
      <c r="D555" s="1172">
        <v>456467.56487362715</v>
      </c>
      <c r="E555" s="1173">
        <v>448576.15361209324</v>
      </c>
      <c r="F555" s="1174">
        <v>20.6594551701794</v>
      </c>
      <c r="G555" s="1172">
        <v>0.0</v>
      </c>
      <c r="H555" s="1172">
        <v>160.93894443592995</v>
      </c>
      <c r="I555" s="1172"/>
      <c r="J555" s="1172">
        <v>456467.56487362715</v>
      </c>
      <c r="K555" s="1172">
        <v>448750.0</v>
      </c>
      <c r="L555" s="1098"/>
      <c r="M555" s="1100"/>
      <c r="N555" s="1096"/>
      <c r="O555" s="1098"/>
      <c r="P555" s="1096"/>
      <c r="Q555" s="1096"/>
    </row>
    <row r="556">
      <c r="A556" s="1126"/>
      <c r="B556" s="1170">
        <v>44817.50875385417</v>
      </c>
      <c r="C556" s="1175">
        <v>1.01502542131168</v>
      </c>
      <c r="D556" s="1172">
        <v>451955.0401631502</v>
      </c>
      <c r="E556" s="1173">
        <v>445264.74970361363</v>
      </c>
      <c r="F556" s="1174">
        <v>20.198728220289258</v>
      </c>
      <c r="G556" s="1172">
        <v>0.0</v>
      </c>
      <c r="H556" s="1172">
        <v>158.84769216747443</v>
      </c>
      <c r="I556" s="1172"/>
      <c r="J556" s="1172">
        <v>451955.0401631502</v>
      </c>
      <c r="K556" s="1172">
        <v>444377.0</v>
      </c>
      <c r="L556" s="1098"/>
      <c r="M556" s="1100"/>
      <c r="N556" s="1096"/>
      <c r="O556" s="1098"/>
      <c r="P556" s="1096"/>
      <c r="Q556" s="1096"/>
    </row>
    <row r="557">
      <c r="A557" s="1126"/>
      <c r="B557" s="1170">
        <v>44818.50875070602</v>
      </c>
      <c r="C557" s="1175">
        <v>0.9991497235852301</v>
      </c>
      <c r="D557" s="1172">
        <v>451319.2251372234</v>
      </c>
      <c r="E557" s="1173">
        <v>451703.29779781465</v>
      </c>
      <c r="F557" s="1174">
        <v>22.15542746623832</v>
      </c>
      <c r="G557" s="1172">
        <v>0.0</v>
      </c>
      <c r="H557" s="1172">
        <v>148.05115537229477</v>
      </c>
      <c r="I557" s="1172"/>
      <c r="J557" s="1172">
        <v>451319.2251372234</v>
      </c>
      <c r="K557" s="1172">
        <v>444377.0</v>
      </c>
      <c r="L557" s="1098"/>
      <c r="M557" s="1100"/>
      <c r="N557" s="1096"/>
      <c r="O557" s="1098"/>
      <c r="P557" s="1096"/>
      <c r="Q557" s="1096"/>
    </row>
    <row r="558">
      <c r="A558" s="1126"/>
      <c r="B558" s="1170">
        <v>44819.50875862269</v>
      </c>
      <c r="C558" s="1175">
        <v>0.99888524406762</v>
      </c>
      <c r="D558" s="1172">
        <v>451319.69249632803</v>
      </c>
      <c r="E558" s="1173">
        <v>451823.36527315417</v>
      </c>
      <c r="F558" s="1174">
        <v>22.389292033094254</v>
      </c>
      <c r="G558" s="1172">
        <v>0.0</v>
      </c>
      <c r="H558" s="1172">
        <v>147.0009237444745</v>
      </c>
      <c r="I558" s="1172"/>
      <c r="J558" s="1172">
        <v>451319.69249632803</v>
      </c>
      <c r="K558" s="1172">
        <v>444483.0</v>
      </c>
      <c r="L558" s="1098"/>
      <c r="M558" s="1100"/>
      <c r="N558" s="1096"/>
      <c r="O558" s="1098"/>
      <c r="P558" s="1096"/>
      <c r="Q558" s="1096"/>
    </row>
    <row r="559">
      <c r="A559" s="1126"/>
      <c r="B559" s="1170">
        <v>44820.50875028935</v>
      </c>
      <c r="C559" s="1175">
        <v>0.99705271218279</v>
      </c>
      <c r="D559" s="1172">
        <v>451069.0941455956</v>
      </c>
      <c r="E559" s="1173">
        <v>452402.45438788895</v>
      </c>
      <c r="F559" s="1174">
        <v>22.82542169348798</v>
      </c>
      <c r="G559" s="1172">
        <v>0.0</v>
      </c>
      <c r="H559" s="1172">
        <v>135.10367680954337</v>
      </c>
      <c r="I559" s="1172"/>
      <c r="J559" s="1172">
        <v>451069.0941455956</v>
      </c>
      <c r="K559" s="1172">
        <v>444483.0</v>
      </c>
      <c r="L559" s="1098"/>
      <c r="M559" s="1100"/>
      <c r="N559" s="1096"/>
      <c r="O559" s="1098"/>
      <c r="P559" s="1096"/>
      <c r="Q559" s="1096"/>
    </row>
    <row r="560">
      <c r="A560" s="1126"/>
      <c r="B560" s="1170">
        <v>44821.50877328704</v>
      </c>
      <c r="C560" s="1175">
        <v>1.00161460273962</v>
      </c>
      <c r="D560" s="1172">
        <v>451201.29414135223</v>
      </c>
      <c r="E560" s="1173">
        <v>450473.9576551947</v>
      </c>
      <c r="F560" s="1174">
        <v>22.683543143036545</v>
      </c>
      <c r="G560" s="1172">
        <v>0.0</v>
      </c>
      <c r="H560" s="1172">
        <v>132.3052338984314</v>
      </c>
      <c r="I560" s="1172"/>
      <c r="J560" s="1172">
        <v>451201.29414135223</v>
      </c>
      <c r="K560" s="1172">
        <v>444483.0</v>
      </c>
      <c r="L560" s="1098"/>
      <c r="M560" s="1100"/>
      <c r="N560" s="1096"/>
      <c r="O560" s="1098"/>
      <c r="P560" s="1096"/>
      <c r="Q560" s="1096"/>
    </row>
    <row r="561">
      <c r="A561" s="1126"/>
      <c r="B561" s="1170">
        <v>44822.50875707176</v>
      </c>
      <c r="C561" s="1175">
        <v>1.00161460273962</v>
      </c>
      <c r="D561" s="1172">
        <v>452869.9414912663</v>
      </c>
      <c r="E561" s="1173">
        <v>452139.9151455807</v>
      </c>
      <c r="F561" s="1174">
        <v>22.830959835161025</v>
      </c>
      <c r="G561" s="1172">
        <v>0.0</v>
      </c>
      <c r="H561" s="1172">
        <v>131.62603418916115</v>
      </c>
      <c r="I561" s="1172"/>
      <c r="J561" s="1172">
        <v>452869.9414912663</v>
      </c>
      <c r="K561" s="1172">
        <v>446160.0</v>
      </c>
      <c r="L561" s="1098"/>
      <c r="M561" s="1100"/>
      <c r="N561" s="1096"/>
      <c r="O561" s="1098"/>
      <c r="P561" s="1096"/>
      <c r="Q561" s="1096"/>
    </row>
    <row r="562">
      <c r="A562" s="1126"/>
      <c r="B562" s="1170">
        <v>44823.5495125</v>
      </c>
      <c r="C562" s="1175">
        <v>0.99709546092233</v>
      </c>
      <c r="D562" s="1172">
        <v>453476.3464338483</v>
      </c>
      <c r="E562" s="1173">
        <v>454797.32303101156</v>
      </c>
      <c r="F562" s="1174">
        <v>24.166277949165476</v>
      </c>
      <c r="G562" s="1172">
        <v>0.0</v>
      </c>
      <c r="H562" s="1172">
        <v>121.50258626743303</v>
      </c>
      <c r="I562" s="1172"/>
      <c r="J562" s="1172">
        <v>453476.3464338483</v>
      </c>
      <c r="K562" s="1172">
        <v>447044.0</v>
      </c>
      <c r="L562" s="1098"/>
      <c r="M562" s="1100"/>
      <c r="N562" s="1096"/>
      <c r="O562" s="1098"/>
      <c r="P562" s="1096"/>
      <c r="Q562" s="1096"/>
    </row>
    <row r="563">
      <c r="A563" s="1126"/>
      <c r="B563" s="1170">
        <v>44824.50874741898</v>
      </c>
      <c r="C563" s="1175">
        <v>1.00092986384351</v>
      </c>
      <c r="D563" s="1172">
        <v>453509.64541540074</v>
      </c>
      <c r="E563" s="1173">
        <v>453088.3349548101</v>
      </c>
      <c r="F563" s="1174">
        <v>23.603976528340638</v>
      </c>
      <c r="G563" s="1172">
        <v>0.0</v>
      </c>
      <c r="H563" s="1172">
        <v>124.75471394077674</v>
      </c>
      <c r="I563" s="1172"/>
      <c r="J563" s="1172">
        <v>453509.64541540074</v>
      </c>
      <c r="K563" s="1172">
        <v>447044.0</v>
      </c>
      <c r="L563" s="1098"/>
      <c r="M563" s="1100"/>
      <c r="N563" s="1096"/>
      <c r="O563" s="1098"/>
      <c r="P563" s="1096"/>
      <c r="Q563" s="1096"/>
    </row>
    <row r="564">
      <c r="A564" s="1126"/>
      <c r="B564" s="1170">
        <v>44825.50875304398</v>
      </c>
      <c r="C564" s="1175">
        <v>0.99130624423803</v>
      </c>
      <c r="D564" s="1172">
        <v>453503.83454367676</v>
      </c>
      <c r="E564" s="1173">
        <v>457481.0631726259</v>
      </c>
      <c r="F564" s="1174">
        <v>23.874386607560712</v>
      </c>
      <c r="G564" s="1172">
        <v>0.0</v>
      </c>
      <c r="H564" s="1172">
        <v>123.60849830062274</v>
      </c>
      <c r="I564" s="1172"/>
      <c r="J564" s="1172">
        <v>453503.83454367676</v>
      </c>
      <c r="K564" s="1172">
        <v>447044.0</v>
      </c>
      <c r="L564" s="1098"/>
      <c r="M564" s="1100"/>
      <c r="N564" s="1096"/>
      <c r="O564" s="1098"/>
      <c r="P564" s="1096"/>
      <c r="Q564" s="1096"/>
    </row>
    <row r="565">
      <c r="A565" s="1126"/>
      <c r="B565" s="1170">
        <v>44826.725991168976</v>
      </c>
      <c r="C565" s="1175">
        <v>0.9821610095829398</v>
      </c>
      <c r="D565" s="1172">
        <v>456746.26214458</v>
      </c>
      <c r="E565" s="1173">
        <v>465042.14450391446</v>
      </c>
      <c r="F565" s="1174">
        <v>24.15855310051373</v>
      </c>
      <c r="G565" s="1172">
        <v>0.0</v>
      </c>
      <c r="H565" s="1172">
        <v>116.94711695121968</v>
      </c>
      <c r="I565" s="1172"/>
      <c r="J565" s="1172">
        <v>456746.26214458</v>
      </c>
      <c r="K565" s="1172">
        <v>450241.0</v>
      </c>
      <c r="L565" s="1098"/>
      <c r="M565" s="1100"/>
      <c r="N565" s="1096"/>
      <c r="O565" s="1098"/>
      <c r="P565" s="1096"/>
      <c r="Q565" s="1096"/>
    </row>
    <row r="566">
      <c r="A566" s="1126"/>
      <c r="B566" s="1170">
        <v>44827.508750787034</v>
      </c>
      <c r="C566" s="1175">
        <v>0.97566877215988</v>
      </c>
      <c r="D566" s="1172">
        <v>457463.5575436335</v>
      </c>
      <c r="E566" s="1173">
        <v>468871.7837416552</v>
      </c>
      <c r="F566" s="1174">
        <v>23.94557445196611</v>
      </c>
      <c r="G566" s="1172">
        <v>0.0</v>
      </c>
      <c r="H566" s="1172">
        <v>121.29214470671141</v>
      </c>
      <c r="I566" s="1172"/>
      <c r="J566" s="1172">
        <v>457463.5575436335</v>
      </c>
      <c r="K566" s="1172">
        <v>450241.0</v>
      </c>
      <c r="L566" s="1098"/>
      <c r="M566" s="1100"/>
      <c r="N566" s="1096"/>
      <c r="O566" s="1098"/>
      <c r="P566" s="1096"/>
      <c r="Q566" s="1096"/>
    </row>
    <row r="567">
      <c r="A567" s="1126"/>
      <c r="B567" s="1170">
        <v>44828.50874923611</v>
      </c>
      <c r="C567" s="1175">
        <v>0.96899975968806</v>
      </c>
      <c r="D567" s="1172">
        <v>457622.9296445893</v>
      </c>
      <c r="E567" s="1173">
        <v>472263.20240977884</v>
      </c>
      <c r="F567" s="1174">
        <v>24.052096604298494</v>
      </c>
      <c r="G567" s="1172">
        <v>0.0</v>
      </c>
      <c r="H567" s="1172">
        <v>122.50011762887476</v>
      </c>
      <c r="I567" s="1172"/>
      <c r="J567" s="1172">
        <v>457622.9296445893</v>
      </c>
      <c r="K567" s="1172">
        <v>450241.0</v>
      </c>
      <c r="L567" s="1098"/>
      <c r="M567" s="1100"/>
      <c r="N567" s="1096"/>
      <c r="O567" s="1098"/>
      <c r="P567" s="1096"/>
      <c r="Q567" s="1096"/>
    </row>
    <row r="568">
      <c r="A568" s="1126"/>
      <c r="B568" s="1170">
        <v>44829.50875469907</v>
      </c>
      <c r="C568" s="1175">
        <v>0.96899975968806</v>
      </c>
      <c r="D568" s="1172">
        <v>457422.52243847476</v>
      </c>
      <c r="E568" s="1173">
        <v>472056.38377632626</v>
      </c>
      <c r="F568" s="1174">
        <v>24.011013047553497</v>
      </c>
      <c r="G568" s="1172">
        <v>0.0</v>
      </c>
      <c r="H568" s="1172">
        <v>122.25956586942169</v>
      </c>
      <c r="I568" s="1172"/>
      <c r="J568" s="1172">
        <v>457422.52243847476</v>
      </c>
      <c r="K568" s="1172">
        <v>450241.0</v>
      </c>
      <c r="L568" s="1098"/>
      <c r="M568" s="1100"/>
      <c r="N568" s="1096"/>
      <c r="O568" s="1098"/>
      <c r="P568" s="1096"/>
      <c r="Q568" s="1096"/>
    </row>
    <row r="569">
      <c r="A569" s="1126"/>
      <c r="B569" s="1170">
        <v>44830.50874921297</v>
      </c>
      <c r="C569" s="1175">
        <v>0.96859148394995</v>
      </c>
      <c r="D569" s="1172">
        <v>457234.0070340704</v>
      </c>
      <c r="E569" s="1173">
        <v>472060.73418016656</v>
      </c>
      <c r="F569" s="1174">
        <v>23.92460179336874</v>
      </c>
      <c r="G569" s="1172">
        <v>0.0</v>
      </c>
      <c r="H569" s="1172">
        <v>121.09464479655053</v>
      </c>
      <c r="I569" s="1172"/>
      <c r="J569" s="1172">
        <v>457234.0070340704</v>
      </c>
      <c r="K569" s="1172">
        <v>450241.0</v>
      </c>
      <c r="L569" s="1098"/>
      <c r="M569" s="1100"/>
      <c r="N569" s="1096"/>
      <c r="O569" s="1098"/>
      <c r="P569" s="1096"/>
      <c r="Q569" s="1096"/>
    </row>
    <row r="570">
      <c r="A570" s="1126"/>
      <c r="B570" s="1170">
        <v>44831.50875114583</v>
      </c>
      <c r="C570" s="1175">
        <v>0.96232960751387</v>
      </c>
      <c r="D570" s="1172">
        <v>459234.3682548762</v>
      </c>
      <c r="E570" s="1173">
        <v>477211.0976002131</v>
      </c>
      <c r="F570" s="1174">
        <v>22.736804160249346</v>
      </c>
      <c r="G570" s="1172">
        <v>0.0</v>
      </c>
      <c r="H570" s="1172">
        <v>127.8443611984115</v>
      </c>
      <c r="I570" s="1172"/>
      <c r="J570" s="1172">
        <v>459234.3682548762</v>
      </c>
      <c r="K570" s="1172">
        <v>451995.0</v>
      </c>
      <c r="L570" s="1098"/>
      <c r="M570" s="1100"/>
      <c r="N570" s="1096"/>
      <c r="O570" s="1098"/>
      <c r="P570" s="1096"/>
      <c r="Q570" s="1096"/>
    </row>
    <row r="571">
      <c r="A571" s="1126"/>
      <c r="B571" s="1170">
        <v>44832.720925138885</v>
      </c>
      <c r="C571" s="1175">
        <v>0.95954924214801</v>
      </c>
      <c r="D571" s="1172">
        <v>461996.39224916644</v>
      </c>
      <c r="E571" s="1173">
        <v>481472.3121608216</v>
      </c>
      <c r="F571" s="1174">
        <v>23.793762421817725</v>
      </c>
      <c r="G571" s="1172">
        <v>0.0</v>
      </c>
      <c r="H571" s="1172">
        <v>122.60408433592669</v>
      </c>
      <c r="I571" s="1172"/>
      <c r="J571" s="1172">
        <v>461996.39224916644</v>
      </c>
      <c r="K571" s="1172">
        <v>455071.0</v>
      </c>
      <c r="L571" s="1098"/>
      <c r="M571" s="1100"/>
      <c r="N571" s="1096"/>
      <c r="O571" s="1098"/>
      <c r="P571" s="1096"/>
      <c r="Q571" s="1096"/>
    </row>
    <row r="572">
      <c r="A572" s="1126"/>
      <c r="B572" s="1170">
        <v>44833.508798877316</v>
      </c>
      <c r="C572" s="1175">
        <v>0.9677881395627899</v>
      </c>
      <c r="D572" s="1172">
        <v>461927.177405281</v>
      </c>
      <c r="E572" s="1173">
        <v>477301.96157803945</v>
      </c>
      <c r="F572" s="1174">
        <v>23.756106493563475</v>
      </c>
      <c r="G572" s="1172">
        <v>0.0</v>
      </c>
      <c r="H572" s="1172">
        <v>123.18639678470537</v>
      </c>
      <c r="I572" s="1172"/>
      <c r="J572" s="1172">
        <v>461927.177405281</v>
      </c>
      <c r="K572" s="1172">
        <v>455071.0</v>
      </c>
      <c r="L572" s="1098"/>
      <c r="M572" s="1100"/>
      <c r="N572" s="1096"/>
      <c r="O572" s="1098"/>
      <c r="P572" s="1096"/>
      <c r="Q572" s="1096"/>
    </row>
    <row r="573">
      <c r="A573" s="1126"/>
      <c r="B573" s="1170">
        <v>44834.50875263889</v>
      </c>
      <c r="C573" s="1175">
        <v>0.9822854639432501</v>
      </c>
      <c r="D573" s="1172">
        <v>461973.2237792653</v>
      </c>
      <c r="E573" s="1173">
        <v>470304.4488968993</v>
      </c>
      <c r="F573" s="1174">
        <v>23.638986579957646</v>
      </c>
      <c r="G573" s="1172">
        <v>0.0</v>
      </c>
      <c r="H573" s="1172">
        <v>123.93354564694059</v>
      </c>
      <c r="I573" s="1172"/>
      <c r="J573" s="1172">
        <v>461973.2237792653</v>
      </c>
      <c r="K573" s="1172">
        <v>455071.0</v>
      </c>
      <c r="L573" s="1098"/>
      <c r="M573" s="1100"/>
      <c r="N573" s="1096"/>
      <c r="O573" s="1098"/>
      <c r="P573" s="1096"/>
      <c r="Q573" s="1096"/>
    </row>
    <row r="574">
      <c r="A574" s="1126"/>
      <c r="B574" s="1170">
        <v>44835.508753518516</v>
      </c>
      <c r="C574" s="1175">
        <v>0.980199960792</v>
      </c>
      <c r="D574" s="1172">
        <v>461961.670183838</v>
      </c>
      <c r="E574" s="1173">
        <v>471293.2959215523</v>
      </c>
      <c r="F574" s="1174">
        <v>23.89414907994445</v>
      </c>
      <c r="G574" s="1172">
        <v>0.0</v>
      </c>
      <c r="H574" s="1172">
        <v>122.90257519809592</v>
      </c>
      <c r="I574" s="1172"/>
      <c r="J574" s="1172">
        <v>461961.670183838</v>
      </c>
      <c r="K574" s="1172">
        <v>455071.0</v>
      </c>
      <c r="L574" s="1098"/>
      <c r="M574" s="1100"/>
      <c r="N574" s="1096"/>
      <c r="O574" s="1098"/>
      <c r="P574" s="1096"/>
      <c r="Q574" s="1096"/>
    </row>
    <row r="575">
      <c r="A575" s="1126"/>
      <c r="B575" s="1170">
        <v>44836.50874972223</v>
      </c>
      <c r="C575" s="1175">
        <v>0.98033929543015</v>
      </c>
      <c r="D575" s="1172">
        <v>461969.13340738876</v>
      </c>
      <c r="E575" s="1173">
        <v>471233.9243778732</v>
      </c>
      <c r="F575" s="1174">
        <v>23.992121292660613</v>
      </c>
      <c r="G575" s="1172">
        <v>0.0</v>
      </c>
      <c r="H575" s="1172">
        <v>120.68416556920913</v>
      </c>
      <c r="I575" s="1172"/>
      <c r="J575" s="1172">
        <v>461969.13340738876</v>
      </c>
      <c r="K575" s="1172">
        <v>455071.0</v>
      </c>
      <c r="L575" s="1098"/>
      <c r="M575" s="1100"/>
      <c r="N575" s="1096"/>
      <c r="O575" s="1098"/>
      <c r="P575" s="1096"/>
      <c r="Q575" s="1096"/>
    </row>
    <row r="576">
      <c r="A576" s="1126"/>
      <c r="B576" s="1170">
        <v>44837.848993148145</v>
      </c>
      <c r="C576" s="1175">
        <v>0.98044790782221</v>
      </c>
      <c r="D576" s="1172">
        <v>462396.1208433553</v>
      </c>
      <c r="E576" s="1173">
        <v>471617.2242852132</v>
      </c>
      <c r="F576" s="1174">
        <v>23.606967498974356</v>
      </c>
      <c r="G576" s="1172">
        <v>0.0</v>
      </c>
      <c r="H576" s="1172">
        <v>122.36464477405369</v>
      </c>
      <c r="I576" s="1172"/>
      <c r="J576" s="1172">
        <v>462396.1208433553</v>
      </c>
      <c r="K576" s="1172">
        <v>455560.0</v>
      </c>
      <c r="L576" s="1098"/>
      <c r="M576" s="1100"/>
      <c r="N576" s="1096"/>
      <c r="O576" s="1098"/>
      <c r="P576" s="1096"/>
      <c r="Q576" s="1096"/>
    </row>
    <row r="577">
      <c r="A577" s="1126"/>
      <c r="B577" s="1170">
        <v>44838.50876309028</v>
      </c>
      <c r="C577" s="1175">
        <v>0.98584912170702</v>
      </c>
      <c r="D577" s="1172">
        <v>462702.41807892924</v>
      </c>
      <c r="E577" s="1173">
        <v>469344.048588033</v>
      </c>
      <c r="F577" s="1174">
        <v>23.21899704939521</v>
      </c>
      <c r="G577" s="1172">
        <v>0.0</v>
      </c>
      <c r="H577" s="1172">
        <v>124.47736333877833</v>
      </c>
      <c r="I577" s="1172"/>
      <c r="J577" s="1172">
        <v>462702.41807892924</v>
      </c>
      <c r="K577" s="1172">
        <v>455839.0</v>
      </c>
      <c r="L577" s="1098"/>
      <c r="M577" s="1100"/>
      <c r="N577" s="1096"/>
      <c r="O577" s="1098"/>
      <c r="P577" s="1096"/>
      <c r="Q577" s="1096"/>
    </row>
    <row r="578">
      <c r="A578" s="1126"/>
      <c r="B578" s="1170">
        <v>44839.50875130787</v>
      </c>
      <c r="C578" s="1175">
        <v>0.99463592843793</v>
      </c>
      <c r="D578" s="1172">
        <v>462676.08679284854</v>
      </c>
      <c r="E578" s="1173">
        <v>465171.2989289243</v>
      </c>
      <c r="F578" s="1174">
        <v>23.00290963104385</v>
      </c>
      <c r="G578" s="1172">
        <v>0.0</v>
      </c>
      <c r="H578" s="1172">
        <v>124.24144057233349</v>
      </c>
      <c r="I578" s="1172"/>
      <c r="J578" s="1172">
        <v>462676.08679284854</v>
      </c>
      <c r="K578" s="1172">
        <v>455839.0</v>
      </c>
      <c r="L578" s="1098"/>
      <c r="M578" s="1100"/>
      <c r="N578" s="1096"/>
      <c r="O578" s="1098"/>
      <c r="P578" s="1096"/>
      <c r="Q578" s="1096"/>
    </row>
    <row r="579">
      <c r="A579" s="1126"/>
      <c r="B579" s="1170">
        <v>44840.5087547338</v>
      </c>
      <c r="C579" s="1175">
        <v>0.9896375056780499</v>
      </c>
      <c r="D579" s="1172">
        <v>462684.7937028233</v>
      </c>
      <c r="E579" s="1173">
        <v>467529.56617768336</v>
      </c>
      <c r="F579" s="1174">
        <v>22.987963217986266</v>
      </c>
      <c r="G579" s="1172">
        <v>0.0</v>
      </c>
      <c r="H579" s="1172">
        <v>125.37836418909872</v>
      </c>
      <c r="I579" s="1172"/>
      <c r="J579" s="1172">
        <v>462684.7937028233</v>
      </c>
      <c r="K579" s="1172">
        <v>455839.0</v>
      </c>
      <c r="L579" s="1098"/>
      <c r="M579" s="1100"/>
      <c r="N579" s="1096"/>
      <c r="O579" s="1098"/>
      <c r="P579" s="1096"/>
      <c r="Q579" s="1096"/>
    </row>
    <row r="580">
      <c r="A580" s="1126"/>
      <c r="B580" s="1170">
        <v>44841.508751319445</v>
      </c>
      <c r="C580" s="1175">
        <v>0.9802239811797</v>
      </c>
      <c r="D580" s="1172">
        <v>463186.91609276505</v>
      </c>
      <c r="E580" s="1173">
        <v>472531.7121249364</v>
      </c>
      <c r="F580" s="1174">
        <v>23.207796145903846</v>
      </c>
      <c r="G580" s="1172">
        <v>0.0</v>
      </c>
      <c r="H580" s="1172">
        <v>125.18155365591055</v>
      </c>
      <c r="I580" s="1172"/>
      <c r="J580" s="1172">
        <v>463186.91609276505</v>
      </c>
      <c r="K580" s="1172">
        <v>456407.0</v>
      </c>
      <c r="L580" s="1098"/>
      <c r="M580" s="1100"/>
      <c r="N580" s="1096"/>
      <c r="O580" s="1098"/>
      <c r="P580" s="1096"/>
      <c r="Q580" s="1096"/>
    </row>
    <row r="581">
      <c r="A581" s="1126"/>
      <c r="B581" s="1170">
        <v>44842.50876008102</v>
      </c>
      <c r="C581" s="1175">
        <v>0.97450025190832</v>
      </c>
      <c r="D581" s="1172">
        <v>463373.8970295976</v>
      </c>
      <c r="E581" s="1173">
        <v>475499.0017931687</v>
      </c>
      <c r="F581" s="1174">
        <v>23.745323280465044</v>
      </c>
      <c r="G581" s="1172">
        <v>0.0</v>
      </c>
      <c r="H581" s="1172">
        <v>122.63482005397591</v>
      </c>
      <c r="I581" s="1172"/>
      <c r="J581" s="1172">
        <v>463373.8970295976</v>
      </c>
      <c r="K581" s="1172">
        <v>456657.0</v>
      </c>
      <c r="L581" s="1098"/>
      <c r="M581" s="1100"/>
      <c r="N581" s="1096"/>
      <c r="O581" s="1098"/>
      <c r="P581" s="1096"/>
      <c r="Q581" s="1096"/>
    </row>
    <row r="582">
      <c r="A582" s="1126"/>
      <c r="B582" s="1170">
        <v>44843.50876996528</v>
      </c>
      <c r="C582" s="1175">
        <v>0.97450025190832</v>
      </c>
      <c r="D582" s="1172">
        <v>463321.65639668657</v>
      </c>
      <c r="E582" s="1173">
        <v>475445.3941796163</v>
      </c>
      <c r="F582" s="1174">
        <v>23.864504430340887</v>
      </c>
      <c r="G582" s="1172">
        <v>0.0</v>
      </c>
      <c r="H582" s="1172">
        <v>121.56065107294508</v>
      </c>
      <c r="I582" s="1172"/>
      <c r="J582" s="1172">
        <v>463321.65639668657</v>
      </c>
      <c r="K582" s="1172">
        <v>456657.0</v>
      </c>
      <c r="L582" s="1098"/>
      <c r="M582" s="1100"/>
      <c r="N582" s="1096"/>
      <c r="O582" s="1098"/>
      <c r="P582" s="1096"/>
      <c r="Q582" s="1096"/>
    </row>
    <row r="583">
      <c r="A583" s="1126"/>
      <c r="B583" s="1170">
        <v>44844.50874553241</v>
      </c>
      <c r="C583" s="1175">
        <v>0.97070037973799</v>
      </c>
      <c r="D583" s="1172">
        <v>463354.59335879097</v>
      </c>
      <c r="E583" s="1173">
        <v>477340.488404732</v>
      </c>
      <c r="F583" s="1174">
        <v>23.97210106100425</v>
      </c>
      <c r="G583" s="1172">
        <v>0.0</v>
      </c>
      <c r="H583" s="1172">
        <v>121.21027405271195</v>
      </c>
      <c r="I583" s="1172"/>
      <c r="J583" s="1172">
        <v>463354.59335879097</v>
      </c>
      <c r="K583" s="1172">
        <v>456744.0</v>
      </c>
      <c r="L583" s="1098"/>
      <c r="M583" s="1100"/>
      <c r="N583" s="1096"/>
      <c r="O583" s="1098"/>
      <c r="P583" s="1096"/>
      <c r="Q583" s="1096"/>
    </row>
    <row r="584">
      <c r="A584" s="1126"/>
      <c r="B584" s="1170">
        <v>44845.50875342592</v>
      </c>
      <c r="C584" s="1175">
        <v>0.97116513594855</v>
      </c>
      <c r="D584" s="1172">
        <v>463145.1565477868</v>
      </c>
      <c r="E584" s="1173">
        <v>476896.3993908479</v>
      </c>
      <c r="F584" s="1174">
        <v>24.297031668403</v>
      </c>
      <c r="G584" s="1172">
        <v>0.0</v>
      </c>
      <c r="H584" s="1172">
        <v>118.1724454947894</v>
      </c>
      <c r="I584" s="1172"/>
      <c r="J584" s="1172">
        <v>463145.1565477868</v>
      </c>
      <c r="K584" s="1172">
        <v>456742.0</v>
      </c>
      <c r="L584" s="1098"/>
      <c r="M584" s="1100"/>
      <c r="N584" s="1096"/>
      <c r="O584" s="1098"/>
      <c r="P584" s="1096"/>
      <c r="Q584" s="1096"/>
    </row>
    <row r="585">
      <c r="A585" s="1126"/>
      <c r="B585" s="1170">
        <v>44846.508748576394</v>
      </c>
      <c r="C585" s="1175">
        <v>0.9703302130748102</v>
      </c>
      <c r="D585" s="1172">
        <v>463177.7902249299</v>
      </c>
      <c r="E585" s="1173">
        <v>477340.37751663825</v>
      </c>
      <c r="F585" s="1174">
        <v>24.16210859527936</v>
      </c>
      <c r="G585" s="1172">
        <v>0.0</v>
      </c>
      <c r="H585" s="1172">
        <v>120.23080470220113</v>
      </c>
      <c r="I585" s="1172"/>
      <c r="J585" s="1172">
        <v>463177.7902249299</v>
      </c>
      <c r="K585" s="1172">
        <v>456742.0</v>
      </c>
      <c r="L585" s="1098"/>
      <c r="M585" s="1100"/>
      <c r="N585" s="1096"/>
      <c r="O585" s="1098"/>
      <c r="P585" s="1096"/>
      <c r="Q585" s="1096"/>
    </row>
    <row r="586">
      <c r="A586" s="1126"/>
      <c r="B586" s="1170">
        <v>44847.50875710648</v>
      </c>
      <c r="C586" s="1175">
        <v>0.97240036056605</v>
      </c>
      <c r="D586" s="1172">
        <v>462951.8021287383</v>
      </c>
      <c r="E586" s="1173">
        <v>476091.76312856015</v>
      </c>
      <c r="F586" s="1174">
        <v>24.381440760851657</v>
      </c>
      <c r="G586" s="1172">
        <v>0.0</v>
      </c>
      <c r="H586" s="1172">
        <v>117.61275568225969</v>
      </c>
      <c r="I586" s="1172"/>
      <c r="J586" s="1172">
        <v>462951.8021287383</v>
      </c>
      <c r="K586" s="1172">
        <v>456742.0</v>
      </c>
      <c r="L586" s="1098"/>
      <c r="M586" s="1100"/>
      <c r="N586" s="1096"/>
      <c r="O586" s="1098"/>
      <c r="P586" s="1096"/>
      <c r="Q586" s="1096"/>
    </row>
    <row r="587">
      <c r="A587" s="1126"/>
      <c r="B587" s="1170">
        <v>44848.508760509256</v>
      </c>
      <c r="C587" s="1175">
        <v>0.97435687574417</v>
      </c>
      <c r="D587" s="1172">
        <v>463312.9093060506</v>
      </c>
      <c r="E587" s="1173">
        <v>475506.3784531649</v>
      </c>
      <c r="F587" s="1174">
        <v>23.53076698333244</v>
      </c>
      <c r="G587" s="1172">
        <v>0.0</v>
      </c>
      <c r="H587" s="1172">
        <v>122.66136751180089</v>
      </c>
      <c r="I587" s="1172"/>
      <c r="J587" s="1172">
        <v>463312.9093060506</v>
      </c>
      <c r="K587" s="1172">
        <v>456742.0</v>
      </c>
      <c r="L587" s="1098"/>
      <c r="M587" s="1100"/>
      <c r="N587" s="1096"/>
      <c r="O587" s="1098"/>
      <c r="P587" s="1096"/>
      <c r="Q587" s="1096"/>
    </row>
    <row r="588">
      <c r="A588" s="1126"/>
      <c r="B588" s="1170">
        <v>44849.508760983794</v>
      </c>
      <c r="C588" s="1175">
        <v>0.97214985106664</v>
      </c>
      <c r="D588" s="1172">
        <v>463202.2519449875</v>
      </c>
      <c r="E588" s="1173">
        <v>476472.0700587089</v>
      </c>
      <c r="F588" s="1174">
        <v>24.24778109662842</v>
      </c>
      <c r="G588" s="1172">
        <v>0.0</v>
      </c>
      <c r="H588" s="1172">
        <v>118.19323794682957</v>
      </c>
      <c r="I588" s="1172"/>
      <c r="J588" s="1172">
        <v>463202.2519449875</v>
      </c>
      <c r="K588" s="1172">
        <v>456742.0</v>
      </c>
      <c r="L588" s="1098"/>
      <c r="M588" s="1100"/>
      <c r="N588" s="1096"/>
      <c r="O588" s="1098"/>
      <c r="P588" s="1096"/>
      <c r="Q588" s="1096"/>
    </row>
    <row r="589">
      <c r="A589" s="1126"/>
      <c r="B589" s="1170">
        <v>44850.50874908565</v>
      </c>
      <c r="C589" s="1175">
        <v>0.9721498510666399</v>
      </c>
      <c r="D589" s="1172">
        <v>465133.96240204724</v>
      </c>
      <c r="E589" s="1173">
        <v>478459.1201569425</v>
      </c>
      <c r="F589" s="1174">
        <v>24.294151728166536</v>
      </c>
      <c r="G589" s="1172">
        <v>0.0</v>
      </c>
      <c r="H589" s="1172">
        <v>118.75927974099386</v>
      </c>
      <c r="I589" s="1172"/>
      <c r="J589" s="1172">
        <v>465133.96240204724</v>
      </c>
      <c r="K589" s="1172">
        <v>458487.28</v>
      </c>
      <c r="L589" s="1098"/>
      <c r="M589" s="1100"/>
      <c r="N589" s="1096"/>
      <c r="O589" s="1098"/>
      <c r="P589" s="1096"/>
      <c r="Q589" s="1096"/>
    </row>
    <row r="590">
      <c r="A590" s="1126"/>
      <c r="B590" s="1170">
        <v>44851.680281863424</v>
      </c>
      <c r="C590" s="1175">
        <v>0.97822758856139</v>
      </c>
      <c r="D590" s="1172">
        <v>464715.24104099994</v>
      </c>
      <c r="E590" s="1173">
        <v>475058.40816084907</v>
      </c>
      <c r="F590" s="1174">
        <v>23.709551483469706</v>
      </c>
      <c r="G590" s="1172">
        <v>0.0</v>
      </c>
      <c r="H590" s="1172">
        <v>123.08183265681664</v>
      </c>
      <c r="I590" s="1172"/>
      <c r="J590" s="1172">
        <v>464715.24104099994</v>
      </c>
      <c r="K590" s="1172">
        <v>457795.0</v>
      </c>
      <c r="L590" s="1098"/>
      <c r="M590" s="1100"/>
      <c r="N590" s="1096"/>
      <c r="O590" s="1098"/>
      <c r="P590" s="1096"/>
      <c r="Q590" s="1096"/>
    </row>
    <row r="591">
      <c r="A591" s="1126"/>
      <c r="B591" s="1170">
        <v>44852.508768935186</v>
      </c>
      <c r="C591" s="1175">
        <v>0.9850246699428599</v>
      </c>
      <c r="D591" s="1172">
        <v>464708.2256847324</v>
      </c>
      <c r="E591" s="1173">
        <v>471773.1848398168</v>
      </c>
      <c r="F591" s="1174">
        <v>23.789812909702228</v>
      </c>
      <c r="G591" s="1172">
        <v>0.0</v>
      </c>
      <c r="H591" s="1172">
        <v>122.33028769637279</v>
      </c>
      <c r="I591" s="1172"/>
      <c r="J591" s="1172">
        <v>464708.2256847324</v>
      </c>
      <c r="K591" s="1172">
        <v>457795.0</v>
      </c>
      <c r="L591" s="1098"/>
      <c r="M591" s="1100"/>
      <c r="N591" s="1096"/>
      <c r="O591" s="1098"/>
      <c r="P591" s="1096"/>
      <c r="Q591" s="1096"/>
    </row>
    <row r="592">
      <c r="A592" s="1126"/>
      <c r="B592" s="1170">
        <v>44853.50874871528</v>
      </c>
      <c r="C592" s="1175">
        <v>0.98169916418133</v>
      </c>
      <c r="D592" s="1172">
        <v>464564.08268241724</v>
      </c>
      <c r="E592" s="1173">
        <v>473224.48631178366</v>
      </c>
      <c r="F592" s="1174">
        <v>24.113865458043747</v>
      </c>
      <c r="G592" s="1172">
        <v>0.0</v>
      </c>
      <c r="H592" s="1172">
        <v>120.54349835588654</v>
      </c>
      <c r="I592" s="1172"/>
      <c r="J592" s="1172">
        <v>464564.08268241724</v>
      </c>
      <c r="K592" s="1172">
        <v>457795.0</v>
      </c>
      <c r="L592" s="1098"/>
      <c r="M592" s="1100"/>
      <c r="N592" s="1096"/>
      <c r="O592" s="1098"/>
      <c r="P592" s="1096"/>
      <c r="Q592" s="1096"/>
    </row>
    <row r="593">
      <c r="A593" s="1126"/>
      <c r="B593" s="1170">
        <v>44854.951688587964</v>
      </c>
      <c r="C593" s="1175">
        <v>0.9784506038997098</v>
      </c>
      <c r="D593" s="1172">
        <v>464128.53340335685</v>
      </c>
      <c r="E593" s="1173">
        <v>474350.50022303377</v>
      </c>
      <c r="F593" s="1174">
        <v>24.36046965450046</v>
      </c>
      <c r="G593" s="1172">
        <v>0.0</v>
      </c>
      <c r="H593" s="1172">
        <v>118.46562609816942</v>
      </c>
      <c r="I593" s="1172"/>
      <c r="J593" s="1172">
        <v>464128.53340335685</v>
      </c>
      <c r="K593" s="1172">
        <v>457558.0</v>
      </c>
      <c r="L593" s="1098"/>
      <c r="M593" s="1100"/>
      <c r="N593" s="1096"/>
      <c r="O593" s="1098"/>
      <c r="P593" s="1096"/>
      <c r="Q593" s="1096"/>
    </row>
    <row r="594">
      <c r="A594" s="1126"/>
      <c r="B594" s="1170">
        <v>44855.50876353009</v>
      </c>
      <c r="C594" s="1175">
        <v>0.97500477752341</v>
      </c>
      <c r="D594" s="1172">
        <v>464068.3576281391</v>
      </c>
      <c r="E594" s="1173">
        <v>475965.214044294</v>
      </c>
      <c r="F594" s="1174">
        <v>24.40029572076281</v>
      </c>
      <c r="G594" s="1172">
        <v>0.0</v>
      </c>
      <c r="H594" s="1172">
        <v>118.27746021743786</v>
      </c>
      <c r="I594" s="1172"/>
      <c r="J594" s="1172">
        <v>464068.3576281391</v>
      </c>
      <c r="K594" s="1172">
        <v>457558.0</v>
      </c>
      <c r="L594" s="1098"/>
      <c r="M594" s="1100"/>
      <c r="N594" s="1096"/>
      <c r="O594" s="1098"/>
      <c r="P594" s="1096"/>
      <c r="Q594" s="1096"/>
    </row>
    <row r="595">
      <c r="A595" s="1126"/>
      <c r="B595" s="1170">
        <v>44856.508753483795</v>
      </c>
      <c r="C595" s="1175">
        <v>0.98578498058004</v>
      </c>
      <c r="D595" s="1172">
        <v>464259.77733931533</v>
      </c>
      <c r="E595" s="1173">
        <v>470954.40332854626</v>
      </c>
      <c r="F595" s="1174">
        <v>24.23935133712481</v>
      </c>
      <c r="G595" s="1172">
        <v>0.0</v>
      </c>
      <c r="H595" s="1172">
        <v>120.10731479831142</v>
      </c>
      <c r="I595" s="1172"/>
      <c r="J595" s="1172">
        <v>464259.77733931533</v>
      </c>
      <c r="K595" s="1172">
        <v>457558.0</v>
      </c>
      <c r="L595" s="1098"/>
      <c r="M595" s="1100"/>
      <c r="N595" s="1096"/>
      <c r="O595" s="1098"/>
      <c r="P595" s="1096"/>
      <c r="Q595" s="1096"/>
    </row>
    <row r="596">
      <c r="A596" s="1126"/>
      <c r="B596" s="1170">
        <v>44857.508753483795</v>
      </c>
      <c r="C596" s="1175">
        <v>0.9857849805800399</v>
      </c>
      <c r="D596" s="1172">
        <v>464215.92849126057</v>
      </c>
      <c r="E596" s="1173">
        <v>470909.9221801026</v>
      </c>
      <c r="F596" s="1174">
        <v>24.193561824412182</v>
      </c>
      <c r="G596" s="1172">
        <v>0.0</v>
      </c>
      <c r="H596" s="1172">
        <v>120.96365440009066</v>
      </c>
      <c r="I596" s="1172"/>
      <c r="J596" s="1172">
        <v>464215.92849126057</v>
      </c>
      <c r="K596" s="1172">
        <v>457558.0</v>
      </c>
      <c r="L596" s="1098"/>
      <c r="M596" s="1100"/>
      <c r="N596" s="1096"/>
      <c r="O596" s="1098"/>
      <c r="P596" s="1096"/>
      <c r="Q596" s="1096"/>
    </row>
    <row r="597">
      <c r="A597" s="1126"/>
      <c r="B597" s="1170">
        <v>44858.508752662034</v>
      </c>
      <c r="C597" s="1175">
        <v>0.98263970434337</v>
      </c>
      <c r="D597" s="1172">
        <v>464259.49911058735</v>
      </c>
      <c r="E597" s="1173">
        <v>472461.57168137206</v>
      </c>
      <c r="F597" s="1174">
        <v>23.95152130239298</v>
      </c>
      <c r="G597" s="1172">
        <v>0.0</v>
      </c>
      <c r="H597" s="1172">
        <v>124.24778725028598</v>
      </c>
      <c r="I597" s="1172"/>
      <c r="J597" s="1172">
        <v>464259.49911058735</v>
      </c>
      <c r="K597" s="1172">
        <v>457558.0</v>
      </c>
      <c r="L597" s="1098"/>
      <c r="M597" s="1100"/>
      <c r="N597" s="1096"/>
      <c r="O597" s="1098"/>
      <c r="P597" s="1096"/>
      <c r="Q597" s="1096"/>
    </row>
    <row r="598">
      <c r="A598" s="1126"/>
      <c r="B598" s="1170">
        <v>44859.5087474537</v>
      </c>
      <c r="C598" s="1175">
        <v>0.98634990368293</v>
      </c>
      <c r="D598" s="1172">
        <v>464248.2115599378</v>
      </c>
      <c r="E598" s="1173">
        <v>470672.9425597167</v>
      </c>
      <c r="F598" s="1174">
        <v>24.08676063165721</v>
      </c>
      <c r="G598" s="1172">
        <v>0.0</v>
      </c>
      <c r="H598" s="1172">
        <v>123.97487943083404</v>
      </c>
      <c r="I598" s="1172"/>
      <c r="J598" s="1172">
        <v>464248.2115599378</v>
      </c>
      <c r="K598" s="1172">
        <v>457558.0</v>
      </c>
      <c r="L598" s="1098"/>
      <c r="M598" s="1100"/>
      <c r="N598" s="1096"/>
      <c r="O598" s="1098"/>
      <c r="P598" s="1096"/>
      <c r="Q598" s="1096"/>
    </row>
    <row r="599">
      <c r="A599" s="1126"/>
      <c r="B599" s="1170">
        <v>44860.50906590278</v>
      </c>
      <c r="C599" s="1175">
        <v>1.00331193268981</v>
      </c>
      <c r="D599" s="1172">
        <v>464987.9040512041</v>
      </c>
      <c r="E599" s="1173">
        <v>463452.9789799307</v>
      </c>
      <c r="F599" s="1174">
        <v>22.56102205310673</v>
      </c>
      <c r="G599" s="1172">
        <v>0.0</v>
      </c>
      <c r="H599" s="1172">
        <v>141.4902388854387</v>
      </c>
      <c r="I599" s="1172"/>
      <c r="J599" s="1172">
        <v>464987.9040512041</v>
      </c>
      <c r="K599" s="1172">
        <v>457857.0</v>
      </c>
      <c r="L599" s="1098"/>
      <c r="M599" s="1100"/>
      <c r="N599" s="1096"/>
      <c r="O599" s="1098"/>
      <c r="P599" s="1096"/>
      <c r="Q599" s="1096"/>
    </row>
    <row r="600">
      <c r="A600" s="1126"/>
      <c r="B600" s="1170">
        <v>44861.508761006946</v>
      </c>
      <c r="C600" s="1175">
        <v>1.00499987437502</v>
      </c>
      <c r="D600" s="1172">
        <v>465414.83512949635</v>
      </c>
      <c r="E600" s="1173">
        <v>463099.3963247252</v>
      </c>
      <c r="F600" s="1174">
        <v>22.608783672021225</v>
      </c>
      <c r="G600" s="1172">
        <v>0.0</v>
      </c>
      <c r="H600" s="1172">
        <v>142.85551372279468</v>
      </c>
      <c r="I600" s="1172"/>
      <c r="J600" s="1172">
        <v>465414.83512949635</v>
      </c>
      <c r="K600" s="1172">
        <v>458265.0</v>
      </c>
      <c r="L600" s="1098"/>
      <c r="M600" s="1100"/>
      <c r="N600" s="1096"/>
      <c r="O600" s="1098"/>
      <c r="P600" s="1096"/>
      <c r="Q600" s="1096"/>
    </row>
    <row r="601">
      <c r="A601" s="1126"/>
      <c r="B601" s="1170">
        <v>44862.508752395835</v>
      </c>
      <c r="C601" s="1175">
        <v>0.99639504273538</v>
      </c>
      <c r="D601" s="1172">
        <v>465281.10783542873</v>
      </c>
      <c r="E601" s="1173">
        <v>466964.49488357885</v>
      </c>
      <c r="F601" s="1174">
        <v>23.044213983248852</v>
      </c>
      <c r="G601" s="1172">
        <v>0.0</v>
      </c>
      <c r="H601" s="1172">
        <v>138.94198392477534</v>
      </c>
      <c r="I601" s="1172"/>
      <c r="J601" s="1172">
        <v>465281.10783542873</v>
      </c>
      <c r="K601" s="1172">
        <v>458265.0</v>
      </c>
      <c r="L601" s="1098"/>
      <c r="M601" s="1100"/>
      <c r="N601" s="1096"/>
      <c r="O601" s="1098"/>
      <c r="P601" s="1096"/>
      <c r="Q601" s="1096"/>
    </row>
    <row r="602">
      <c r="A602" s="1126"/>
      <c r="B602" s="1170">
        <v>44863.50875075231</v>
      </c>
      <c r="C602" s="1175">
        <v>0.9965032700254799</v>
      </c>
      <c r="D602" s="1172">
        <v>465532.0009911659</v>
      </c>
      <c r="E602" s="1173">
        <v>467165.5527826443</v>
      </c>
      <c r="F602" s="1174">
        <v>22.24388433252044</v>
      </c>
      <c r="G602" s="1172">
        <v>0.0</v>
      </c>
      <c r="H602" s="1172">
        <v>150.49775005748612</v>
      </c>
      <c r="I602" s="1172"/>
      <c r="J602" s="1172">
        <v>465532.0009911659</v>
      </c>
      <c r="K602" s="1172">
        <v>458265.0</v>
      </c>
      <c r="L602" s="1098"/>
      <c r="M602" s="1100"/>
      <c r="N602" s="1096"/>
      <c r="O602" s="1098"/>
      <c r="P602" s="1096"/>
      <c r="Q602" s="1096"/>
    </row>
    <row r="603">
      <c r="A603" s="1126"/>
      <c r="B603" s="1170">
        <v>44864.508747245374</v>
      </c>
      <c r="C603" s="1175">
        <v>0.99650327002548</v>
      </c>
      <c r="D603" s="1172">
        <v>465410.56160805206</v>
      </c>
      <c r="E603" s="1173">
        <v>467043.68726873497</v>
      </c>
      <c r="F603" s="1174">
        <v>22.45970828293033</v>
      </c>
      <c r="G603" s="1172">
        <v>0.0</v>
      </c>
      <c r="H603" s="1172">
        <v>147.76730039038205</v>
      </c>
      <c r="I603" s="1172"/>
      <c r="J603" s="1172">
        <v>465410.56160805206</v>
      </c>
      <c r="K603" s="1172">
        <v>458265.0</v>
      </c>
      <c r="L603" s="1098"/>
      <c r="M603" s="1100"/>
      <c r="N603" s="1096"/>
      <c r="O603" s="1098"/>
      <c r="P603" s="1096"/>
      <c r="Q603" s="1096"/>
    </row>
    <row r="604">
      <c r="A604" s="1126"/>
      <c r="B604" s="1170">
        <v>44865.50875</v>
      </c>
      <c r="C604" s="1175">
        <v>0.9933939303630901</v>
      </c>
      <c r="D604" s="1172">
        <v>465672.12930546736</v>
      </c>
      <c r="E604" s="1173">
        <v>468768.8489653465</v>
      </c>
      <c r="F604" s="1174">
        <v>22.40389144734375</v>
      </c>
      <c r="G604" s="1172">
        <v>0.0</v>
      </c>
      <c r="H604" s="1172">
        <v>150.05979644981187</v>
      </c>
      <c r="I604" s="1172"/>
      <c r="J604" s="1172">
        <v>465672.12930546736</v>
      </c>
      <c r="K604" s="1172">
        <v>458265.0</v>
      </c>
      <c r="L604" s="1098"/>
      <c r="M604" s="1100"/>
      <c r="N604" s="1096"/>
      <c r="O604" s="1098"/>
      <c r="P604" s="1096"/>
      <c r="Q604" s="1096"/>
    </row>
    <row r="605">
      <c r="A605" s="1126"/>
      <c r="B605" s="1170">
        <v>44866.508753622686</v>
      </c>
      <c r="C605" s="1175">
        <v>0.99282682618084</v>
      </c>
      <c r="D605" s="1172">
        <v>465561.1687994299</v>
      </c>
      <c r="E605" s="1173">
        <v>468924.8482440074</v>
      </c>
      <c r="F605" s="1174">
        <v>22.602232983246616</v>
      </c>
      <c r="G605" s="1172">
        <v>0.0</v>
      </c>
      <c r="H605" s="1172">
        <v>147.8465386499231</v>
      </c>
      <c r="I605" s="1172"/>
      <c r="J605" s="1172">
        <v>465561.1687994299</v>
      </c>
      <c r="K605" s="1172">
        <v>458265.0</v>
      </c>
      <c r="L605" s="1098"/>
      <c r="M605" s="1100"/>
      <c r="N605" s="1096"/>
      <c r="O605" s="1098"/>
      <c r="P605" s="1096"/>
      <c r="Q605" s="1096"/>
    </row>
    <row r="606">
      <c r="A606" s="1126"/>
      <c r="B606" s="1170">
        <v>44867.59070451389</v>
      </c>
      <c r="C606" s="1175">
        <v>0.98935943923107</v>
      </c>
      <c r="D606" s="1172">
        <v>465576.0922742317</v>
      </c>
      <c r="E606" s="1173">
        <v>470583.36314664106</v>
      </c>
      <c r="F606" s="1174">
        <v>22.80284180496202</v>
      </c>
      <c r="G606" s="1172">
        <v>0.0</v>
      </c>
      <c r="H606" s="1172">
        <v>143.58672147479652</v>
      </c>
      <c r="I606" s="1172"/>
      <c r="J606" s="1172">
        <v>465576.0922742317</v>
      </c>
      <c r="K606" s="1172">
        <v>458596.0</v>
      </c>
      <c r="L606" s="1098"/>
      <c r="M606" s="1100"/>
      <c r="N606" s="1096"/>
      <c r="O606" s="1098"/>
      <c r="P606" s="1096"/>
      <c r="Q606" s="1096"/>
    </row>
    <row r="607">
      <c r="A607" s="1126"/>
      <c r="B607" s="1170">
        <v>44868.50874866898</v>
      </c>
      <c r="C607" s="1175">
        <v>0.97433788868774</v>
      </c>
      <c r="D607" s="1172">
        <v>465702.1219086434</v>
      </c>
      <c r="E607" s="1173">
        <v>477967.78439547436</v>
      </c>
      <c r="F607" s="1174">
        <v>22.9695533348119</v>
      </c>
      <c r="G607" s="1172">
        <v>0.0</v>
      </c>
      <c r="H607" s="1172">
        <v>142.55812687244844</v>
      </c>
      <c r="I607" s="1172"/>
      <c r="J607" s="1172">
        <v>465702.1219086434</v>
      </c>
      <c r="K607" s="1172">
        <v>458596.0</v>
      </c>
      <c r="L607" s="1098"/>
      <c r="M607" s="1100"/>
      <c r="N607" s="1096"/>
      <c r="O607" s="1098"/>
      <c r="P607" s="1096"/>
      <c r="Q607" s="1096"/>
    </row>
    <row r="608">
      <c r="A608" s="1126"/>
      <c r="B608" s="1170">
        <v>44869.50877773148</v>
      </c>
      <c r="C608" s="1175">
        <v>0.9780027618797998</v>
      </c>
      <c r="D608" s="1172">
        <v>466170.7417066784</v>
      </c>
      <c r="E608" s="1173">
        <v>476655.85402914486</v>
      </c>
      <c r="F608" s="1174">
        <v>22.61004622249913</v>
      </c>
      <c r="G608" s="1172">
        <v>0.0</v>
      </c>
      <c r="H608" s="1172">
        <v>146.60217815594464</v>
      </c>
      <c r="I608" s="1172"/>
      <c r="J608" s="1172">
        <v>466170.7417066784</v>
      </c>
      <c r="K608" s="1172">
        <v>458915.0</v>
      </c>
      <c r="L608" s="1098"/>
      <c r="M608" s="1100"/>
      <c r="N608" s="1096"/>
      <c r="O608" s="1098"/>
      <c r="P608" s="1096"/>
      <c r="Q608" s="1096"/>
    </row>
    <row r="609">
      <c r="A609" s="1126"/>
      <c r="B609" s="1170">
        <v>44870.50875253472</v>
      </c>
      <c r="C609" s="1175">
        <v>0.9983527180152701</v>
      </c>
      <c r="D609" s="1172">
        <v>466366.0374848152</v>
      </c>
      <c r="E609" s="1173">
        <v>467135.54144666734</v>
      </c>
      <c r="F609" s="1174">
        <v>21.834726746778962</v>
      </c>
      <c r="G609" s="1172">
        <v>0.0</v>
      </c>
      <c r="H609" s="1172">
        <v>151.7870222210371</v>
      </c>
      <c r="I609" s="1172"/>
      <c r="J609" s="1172">
        <v>466366.0374848152</v>
      </c>
      <c r="K609" s="1172">
        <v>458848.0</v>
      </c>
      <c r="L609" s="1098"/>
      <c r="M609" s="1100"/>
      <c r="N609" s="1096"/>
      <c r="O609" s="1098"/>
      <c r="P609" s="1096"/>
      <c r="Q609" s="1096"/>
    </row>
    <row r="610">
      <c r="A610" s="1126"/>
      <c r="B610" s="1170">
        <v>44871.50874550926</v>
      </c>
      <c r="C610" s="1175">
        <v>0.9906796855186399</v>
      </c>
      <c r="D610" s="1172">
        <v>467331.3405043361</v>
      </c>
      <c r="E610" s="1173">
        <v>471727.99375580123</v>
      </c>
      <c r="F610" s="1174">
        <v>21.980597158190317</v>
      </c>
      <c r="G610" s="1172">
        <v>0.0</v>
      </c>
      <c r="H610" s="1172">
        <v>150.37046956641305</v>
      </c>
      <c r="I610" s="1172"/>
      <c r="J610" s="1172">
        <v>467331.3405043361</v>
      </c>
      <c r="K610" s="1172">
        <v>459699.0</v>
      </c>
      <c r="L610" s="1098"/>
      <c r="M610" s="1100"/>
      <c r="N610" s="1096"/>
      <c r="O610" s="1098"/>
      <c r="P610" s="1096"/>
      <c r="Q610" s="1096"/>
    </row>
    <row r="611">
      <c r="A611" s="1126"/>
      <c r="B611" s="1170">
        <v>44872.61841732639</v>
      </c>
      <c r="C611" s="1175">
        <v>0.99948126922127</v>
      </c>
      <c r="D611" s="1172">
        <v>467321.1247115937</v>
      </c>
      <c r="E611" s="1173">
        <v>467563.66437532095</v>
      </c>
      <c r="F611" s="1174">
        <v>22.54297983626147</v>
      </c>
      <c r="G611" s="1172">
        <v>0.0</v>
      </c>
      <c r="H611" s="1172">
        <v>145.81799780758672</v>
      </c>
      <c r="I611" s="1172"/>
      <c r="J611" s="1172">
        <v>467321.1247115937</v>
      </c>
      <c r="K611" s="1172">
        <v>460254.0</v>
      </c>
      <c r="L611" s="1098"/>
      <c r="M611" s="1100"/>
      <c r="N611" s="1096"/>
      <c r="O611" s="1098"/>
      <c r="P611" s="1096"/>
      <c r="Q611" s="1096"/>
    </row>
    <row r="612">
      <c r="A612" s="1126"/>
      <c r="B612" s="1170">
        <v>44873.508751608795</v>
      </c>
      <c r="C612" s="1175">
        <v>0.99948126922127</v>
      </c>
      <c r="D612" s="1172">
        <v>467321.1247115937</v>
      </c>
      <c r="E612" s="1173">
        <v>467563.66437532095</v>
      </c>
      <c r="F612" s="1174">
        <v>22.54297983626147</v>
      </c>
      <c r="G612" s="1172">
        <v>0.0</v>
      </c>
      <c r="H612" s="1172">
        <v>145.81799780758672</v>
      </c>
      <c r="I612" s="1172"/>
      <c r="J612" s="1172">
        <v>467321.1247115937</v>
      </c>
      <c r="K612" s="1172">
        <v>460254.0</v>
      </c>
      <c r="L612" s="1098"/>
      <c r="M612" s="1100"/>
      <c r="N612" s="1096"/>
      <c r="O612" s="1098"/>
      <c r="P612" s="1096"/>
      <c r="Q612" s="1096"/>
    </row>
    <row r="613">
      <c r="A613" s="1126"/>
      <c r="B613" s="1170">
        <v>44874.50877207176</v>
      </c>
      <c r="C613" s="1175">
        <v>1.00511402013444</v>
      </c>
      <c r="D613" s="1172">
        <v>465671.0443055855</v>
      </c>
      <c r="E613" s="1173">
        <v>463301.71003216057</v>
      </c>
      <c r="F613" s="1174">
        <v>26.419163576981894</v>
      </c>
      <c r="G613" s="1172">
        <v>0.0</v>
      </c>
      <c r="H613" s="1172">
        <v>109.55404199478703</v>
      </c>
      <c r="I613" s="1172"/>
      <c r="J613" s="1172">
        <v>465671.0443055855</v>
      </c>
      <c r="K613" s="1172">
        <v>460247.554214</v>
      </c>
      <c r="L613" s="1098"/>
      <c r="M613" s="1100"/>
      <c r="N613" s="1096"/>
      <c r="O613" s="1098"/>
      <c r="P613" s="1096"/>
      <c r="Q613" s="1096"/>
    </row>
    <row r="614">
      <c r="A614" s="1126"/>
      <c r="B614" s="1170">
        <v>44875.50874953704</v>
      </c>
      <c r="C614" s="1175">
        <v>0.99586715132201</v>
      </c>
      <c r="D614" s="1172">
        <v>465260.0397602169</v>
      </c>
      <c r="E614" s="1173">
        <v>467190.86892522353</v>
      </c>
      <c r="F614" s="1174">
        <v>28.350554204868377</v>
      </c>
      <c r="G614" s="1172">
        <v>0.0</v>
      </c>
      <c r="H614" s="1172">
        <v>108.93666583415288</v>
      </c>
      <c r="I614" s="1172"/>
      <c r="J614" s="1172">
        <v>465260.0397602169</v>
      </c>
      <c r="K614" s="1172">
        <v>460247.554214</v>
      </c>
      <c r="L614" s="1098"/>
      <c r="M614" s="1100"/>
      <c r="N614" s="1096"/>
      <c r="O614" s="1098"/>
      <c r="P614" s="1096"/>
      <c r="Q614" s="1096"/>
    </row>
    <row r="615">
      <c r="A615" s="1126"/>
      <c r="B615" s="1170">
        <v>44876.50875173611</v>
      </c>
      <c r="C615" s="1175">
        <v>1.02737966815637</v>
      </c>
      <c r="D615" s="1172">
        <v>467000.0197789713</v>
      </c>
      <c r="E615" s="1173">
        <v>454554.46925186046</v>
      </c>
      <c r="F615" s="1174">
        <v>26.943837242955766</v>
      </c>
      <c r="G615" s="1172">
        <v>0.0</v>
      </c>
      <c r="H615" s="1172">
        <v>117.8093386116202</v>
      </c>
      <c r="I615" s="1172"/>
      <c r="J615" s="1172">
        <v>467000.0197789713</v>
      </c>
      <c r="K615" s="1172">
        <v>461647.554214</v>
      </c>
      <c r="L615" s="1098"/>
      <c r="M615" s="1100"/>
      <c r="N615" s="1096"/>
      <c r="O615" s="1098"/>
      <c r="P615" s="1096"/>
      <c r="Q615" s="1096"/>
    </row>
    <row r="616">
      <c r="A616" s="1126"/>
      <c r="B616" s="1170">
        <v>44877.7999980787</v>
      </c>
      <c r="C616" s="1175">
        <v>1.03615024593026</v>
      </c>
      <c r="D616" s="1172">
        <v>466797.93597249844</v>
      </c>
      <c r="E616" s="1173">
        <v>450511.82278435427</v>
      </c>
      <c r="F616" s="1174">
        <v>27.64992415590666</v>
      </c>
      <c r="G616" s="1172">
        <v>0.0</v>
      </c>
      <c r="H616" s="1172">
        <v>117.42320632522895</v>
      </c>
      <c r="I616" s="1172"/>
      <c r="J616" s="1172">
        <v>466797.93597249844</v>
      </c>
      <c r="K616" s="1172">
        <v>462147.554214</v>
      </c>
      <c r="L616" s="1098"/>
      <c r="M616" s="1100"/>
      <c r="N616" s="1096"/>
      <c r="O616" s="1098"/>
      <c r="P616" s="1096"/>
      <c r="Q616" s="1096"/>
    </row>
    <row r="617">
      <c r="A617" s="1126"/>
      <c r="B617" s="1170">
        <v>44878.50874636574</v>
      </c>
      <c r="C617" s="1175">
        <v>1.03615024593026</v>
      </c>
      <c r="D617" s="1172">
        <v>466019.6966600146</v>
      </c>
      <c r="E617" s="1173">
        <v>449760.73546324373</v>
      </c>
      <c r="F617" s="1174">
        <v>28.10809614934689</v>
      </c>
      <c r="G617" s="1172">
        <v>0.0</v>
      </c>
      <c r="H617" s="1172">
        <v>113.42066750272747</v>
      </c>
      <c r="I617" s="1172"/>
      <c r="J617" s="1172">
        <v>466019.6966600146</v>
      </c>
      <c r="K617" s="1172">
        <v>462147.554214</v>
      </c>
      <c r="L617" s="1098"/>
      <c r="M617" s="1100"/>
      <c r="N617" s="1096"/>
      <c r="O617" s="1098"/>
      <c r="P617" s="1096"/>
      <c r="Q617" s="1096"/>
    </row>
    <row r="618">
      <c r="A618" s="1126"/>
      <c r="B618" s="1170">
        <v>44879.50875923611</v>
      </c>
      <c r="C618" s="1175">
        <v>1.02980142339153</v>
      </c>
      <c r="D618" s="1172">
        <v>466191.0538598661</v>
      </c>
      <c r="E618" s="1173">
        <v>452699.9509522143</v>
      </c>
      <c r="F618" s="1174">
        <v>27.761173818467192</v>
      </c>
      <c r="G618" s="1172">
        <v>0.0</v>
      </c>
      <c r="H618" s="1172">
        <v>116.38707643342549</v>
      </c>
      <c r="I618" s="1172"/>
      <c r="J618" s="1172">
        <v>466191.0538598661</v>
      </c>
      <c r="K618" s="1172">
        <v>462147.554214</v>
      </c>
      <c r="L618" s="1098"/>
      <c r="M618" s="1100"/>
      <c r="N618" s="1096"/>
      <c r="O618" s="1098"/>
      <c r="P618" s="1096"/>
      <c r="Q618" s="1096"/>
    </row>
    <row r="619">
      <c r="A619" s="1126"/>
      <c r="B619" s="1170">
        <v>44880.90886016204</v>
      </c>
      <c r="C619" s="1175">
        <v>1.03622969896491</v>
      </c>
      <c r="D619" s="1172">
        <v>473134.5714720765</v>
      </c>
      <c r="E619" s="1173">
        <v>456592.3674496984</v>
      </c>
      <c r="F619" s="1174">
        <v>28.204153063866908</v>
      </c>
      <c r="G619" s="1172">
        <v>0.0</v>
      </c>
      <c r="H619" s="1172">
        <v>105.87966498326259</v>
      </c>
      <c r="I619" s="1172"/>
      <c r="J619" s="1172">
        <v>473134.5714720765</v>
      </c>
      <c r="K619" s="1172">
        <v>468895.554214</v>
      </c>
      <c r="L619" s="1098"/>
      <c r="M619" s="1100"/>
      <c r="N619" s="1096"/>
      <c r="O619" s="1098"/>
      <c r="P619" s="1096"/>
      <c r="Q619" s="1096"/>
    </row>
    <row r="620">
      <c r="A620" s="1126"/>
      <c r="B620" s="1170">
        <v>44881.50875987268</v>
      </c>
      <c r="C620" s="1175">
        <v>1.04353742490444</v>
      </c>
      <c r="D620" s="1172">
        <v>472989.54094505904</v>
      </c>
      <c r="E620" s="1173">
        <v>453255.9443072894</v>
      </c>
      <c r="F620" s="1174">
        <v>28.282798823923724</v>
      </c>
      <c r="G620" s="1172">
        <v>0.0</v>
      </c>
      <c r="H620" s="1172">
        <v>104.19181247801257</v>
      </c>
      <c r="I620" s="1172"/>
      <c r="J620" s="1172">
        <v>472989.54094505904</v>
      </c>
      <c r="K620" s="1172">
        <v>468895.554214</v>
      </c>
      <c r="L620" s="1098"/>
      <c r="M620" s="1100"/>
      <c r="N620" s="1096"/>
      <c r="O620" s="1098"/>
      <c r="P620" s="1096"/>
      <c r="Q620" s="1096"/>
    </row>
    <row r="621">
      <c r="A621" s="1126"/>
      <c r="B621" s="1170">
        <v>44882.50875925926</v>
      </c>
      <c r="C621" s="1175">
        <v>1.03621681386127</v>
      </c>
      <c r="D621" s="1172">
        <v>472916.67780252994</v>
      </c>
      <c r="E621" s="1173">
        <v>456387.7669966516</v>
      </c>
      <c r="F621" s="1174">
        <v>28.57462506744537</v>
      </c>
      <c r="G621" s="1172">
        <v>0.0</v>
      </c>
      <c r="H621" s="1172">
        <v>101.11017687004858</v>
      </c>
      <c r="I621" s="1172"/>
      <c r="J621" s="1172">
        <v>472916.67780252994</v>
      </c>
      <c r="K621" s="1172">
        <v>468895.554214</v>
      </c>
      <c r="L621" s="1098"/>
      <c r="M621" s="1100"/>
      <c r="N621" s="1096"/>
      <c r="O621" s="1098"/>
      <c r="P621" s="1096"/>
      <c r="Q621" s="1096"/>
    </row>
    <row r="622">
      <c r="A622" s="1126"/>
      <c r="B622" s="1170">
        <v>44883.50875083334</v>
      </c>
      <c r="C622" s="1175">
        <v>1.03707544723879</v>
      </c>
      <c r="D622" s="1172">
        <v>472981.79682803736</v>
      </c>
      <c r="E622" s="1173">
        <v>456072.69759143353</v>
      </c>
      <c r="F622" s="1174">
        <v>28.2027002720367</v>
      </c>
      <c r="G622" s="1172">
        <v>0.0</v>
      </c>
      <c r="H622" s="1172">
        <v>103.23778629789788</v>
      </c>
      <c r="I622" s="1172"/>
      <c r="J622" s="1172">
        <v>472981.79682803736</v>
      </c>
      <c r="K622" s="1172">
        <v>468895.554214</v>
      </c>
      <c r="L622" s="1098"/>
      <c r="M622" s="1100"/>
      <c r="N622" s="1096"/>
      <c r="O622" s="1098"/>
      <c r="P622" s="1096"/>
      <c r="Q622" s="1096"/>
    </row>
    <row r="623">
      <c r="A623" s="1126"/>
      <c r="B623" s="1170">
        <v>44884.50878091435</v>
      </c>
      <c r="C623" s="1175">
        <v>1.03454982598872</v>
      </c>
      <c r="D623" s="1172">
        <v>472995.8455738195</v>
      </c>
      <c r="E623" s="1173">
        <v>457199.67631503585</v>
      </c>
      <c r="F623" s="1174">
        <v>28.411740693495062</v>
      </c>
      <c r="G623" s="1172">
        <v>0.0</v>
      </c>
      <c r="H623" s="1172">
        <v>102.35574698969567</v>
      </c>
      <c r="I623" s="1172"/>
      <c r="J623" s="1172">
        <v>472995.8455738195</v>
      </c>
      <c r="K623" s="1172">
        <v>468895.554214</v>
      </c>
      <c r="L623" s="1098"/>
      <c r="M623" s="1100"/>
      <c r="N623" s="1096"/>
      <c r="O623" s="1098"/>
      <c r="P623" s="1096"/>
      <c r="Q623" s="1096"/>
    </row>
    <row r="624">
      <c r="A624" s="1126"/>
      <c r="B624" s="1170">
        <v>44885.508749016204</v>
      </c>
      <c r="C624" s="1175">
        <v>1.03454982598872</v>
      </c>
      <c r="D624" s="1172">
        <v>473079.3114730174</v>
      </c>
      <c r="E624" s="1173">
        <v>457280.35478706413</v>
      </c>
      <c r="F624" s="1174">
        <v>28.461835474712604</v>
      </c>
      <c r="G624" s="1172">
        <v>0.0</v>
      </c>
      <c r="H624" s="1172">
        <v>101.23773509618056</v>
      </c>
      <c r="I624" s="1172"/>
      <c r="J624" s="1172">
        <v>473079.3114730174</v>
      </c>
      <c r="K624" s="1172">
        <v>468998.554214</v>
      </c>
      <c r="L624" s="1098"/>
      <c r="M624" s="1100"/>
      <c r="N624" s="1096"/>
      <c r="O624" s="1098"/>
      <c r="P624" s="1096"/>
      <c r="Q624" s="1096"/>
    </row>
    <row r="625">
      <c r="A625" s="1126"/>
      <c r="B625" s="1170">
        <v>44886.58512945602</v>
      </c>
      <c r="C625" s="1175">
        <v>1.02347336154708</v>
      </c>
      <c r="D625" s="1172">
        <v>464147.2409526916</v>
      </c>
      <c r="E625" s="1173">
        <v>453502.0239814427</v>
      </c>
      <c r="F625" s="1174">
        <v>28.836791087781123</v>
      </c>
      <c r="G625" s="1172">
        <v>0.0</v>
      </c>
      <c r="H625" s="1172">
        <v>95.20233309178839</v>
      </c>
      <c r="I625" s="1172"/>
      <c r="J625" s="1172">
        <v>464147.2409526916</v>
      </c>
      <c r="K625" s="1172">
        <v>460367.554214</v>
      </c>
      <c r="L625" s="1098"/>
      <c r="M625" s="1100"/>
      <c r="N625" s="1096"/>
      <c r="O625" s="1098"/>
      <c r="P625" s="1096"/>
      <c r="Q625" s="1096"/>
    </row>
    <row r="626">
      <c r="A626" s="1126"/>
      <c r="B626" s="1170">
        <v>44887.50876010417</v>
      </c>
      <c r="C626" s="1175">
        <v>1.02773972285971</v>
      </c>
      <c r="D626" s="1172">
        <v>464015.6349868099</v>
      </c>
      <c r="E626" s="1173">
        <v>451491.3889828793</v>
      </c>
      <c r="F626" s="1174">
        <v>29.409884426346192</v>
      </c>
      <c r="G626" s="1172">
        <v>0.0</v>
      </c>
      <c r="H626" s="1172">
        <v>92.31228290436034</v>
      </c>
      <c r="I626" s="1172"/>
      <c r="J626" s="1172">
        <v>464015.6349868099</v>
      </c>
      <c r="K626" s="1172">
        <v>460367.554214</v>
      </c>
      <c r="L626" s="1098"/>
      <c r="M626" s="1100"/>
      <c r="N626" s="1096"/>
      <c r="O626" s="1098"/>
      <c r="P626" s="1096"/>
      <c r="Q626" s="1096"/>
    </row>
    <row r="627">
      <c r="A627" s="1126"/>
      <c r="B627" s="1170">
        <v>44888.50875887732</v>
      </c>
      <c r="C627" s="1175">
        <v>1.03033406521396</v>
      </c>
      <c r="D627" s="1172">
        <v>464255.7248453572</v>
      </c>
      <c r="E627" s="1173">
        <v>450587.57205018686</v>
      </c>
      <c r="F627" s="1174">
        <v>27.96999006489325</v>
      </c>
      <c r="G627" s="1172">
        <v>0.0</v>
      </c>
      <c r="H627" s="1172">
        <v>99.2220538224367</v>
      </c>
      <c r="I627" s="1172"/>
      <c r="J627" s="1172">
        <v>464255.7248453572</v>
      </c>
      <c r="K627" s="1172">
        <v>460367.554214</v>
      </c>
      <c r="L627" s="1098"/>
      <c r="M627" s="1100"/>
      <c r="N627" s="1096"/>
      <c r="O627" s="1098"/>
      <c r="P627" s="1096"/>
      <c r="Q627" s="1096"/>
    </row>
    <row r="628">
      <c r="A628" s="1126"/>
      <c r="B628" s="1170">
        <v>44889.508751180554</v>
      </c>
      <c r="C628" s="1175">
        <v>1.04206178175892</v>
      </c>
      <c r="D628" s="1172">
        <v>464189.58061103994</v>
      </c>
      <c r="E628" s="1173">
        <v>445453.03237925464</v>
      </c>
      <c r="F628" s="1174">
        <v>28.04108999965289</v>
      </c>
      <c r="G628" s="1172">
        <v>0.0</v>
      </c>
      <c r="H628" s="1172">
        <v>101.20291425494322</v>
      </c>
      <c r="I628" s="1172"/>
      <c r="J628" s="1172">
        <v>464189.58061103994</v>
      </c>
      <c r="K628" s="1172">
        <v>460367.554214</v>
      </c>
      <c r="L628" s="1098"/>
      <c r="M628" s="1100"/>
      <c r="N628" s="1096"/>
      <c r="O628" s="1098"/>
      <c r="P628" s="1096"/>
      <c r="Q628" s="1096"/>
    </row>
    <row r="629">
      <c r="A629" s="1126"/>
      <c r="B629" s="1170">
        <v>44890.50875190972</v>
      </c>
      <c r="C629" s="1175">
        <v>1.04095643076859</v>
      </c>
      <c r="D629" s="1172">
        <v>464099.0138480367</v>
      </c>
      <c r="E629" s="1173">
        <v>445839.0381481858</v>
      </c>
      <c r="F629" s="1174">
        <v>28.1476802880819</v>
      </c>
      <c r="G629" s="1172">
        <v>0.0</v>
      </c>
      <c r="H629" s="1172">
        <v>100.45951551372495</v>
      </c>
      <c r="I629" s="1172"/>
      <c r="J629" s="1172">
        <v>464099.0138480367</v>
      </c>
      <c r="K629" s="1172">
        <v>460367.554214</v>
      </c>
      <c r="L629" s="1098"/>
      <c r="M629" s="1100"/>
      <c r="N629" s="1096"/>
      <c r="O629" s="1098"/>
      <c r="P629" s="1096"/>
      <c r="Q629" s="1096"/>
    </row>
    <row r="630">
      <c r="A630" s="1126"/>
      <c r="B630" s="1186">
        <v>44891.50875</v>
      </c>
      <c r="C630" s="1175">
        <v>1.04144969797959</v>
      </c>
      <c r="D630" s="1172">
        <v>464141.2507134032</v>
      </c>
      <c r="E630" s="1173">
        <v>445668.42893500876</v>
      </c>
      <c r="F630" s="1174">
        <v>28.04028644219724</v>
      </c>
      <c r="G630" s="1172">
        <v>0.0</v>
      </c>
      <c r="H630" s="1172">
        <v>102.79120546634846</v>
      </c>
      <c r="I630" s="1172"/>
      <c r="J630" s="1172">
        <v>464141.2507134032</v>
      </c>
      <c r="K630" s="1172">
        <v>460367.554214</v>
      </c>
      <c r="L630" s="1098"/>
      <c r="M630" s="1100"/>
      <c r="N630" s="1096"/>
      <c r="O630" s="1098"/>
      <c r="P630" s="1096"/>
      <c r="Q630" s="1096"/>
    </row>
    <row r="631">
      <c r="A631" s="1126"/>
      <c r="B631" s="1170">
        <v>44892.5087458912</v>
      </c>
      <c r="C631" s="1175">
        <v>1.04144969797959</v>
      </c>
      <c r="D631" s="1172">
        <v>464141.2507134032</v>
      </c>
      <c r="E631" s="1173">
        <v>445668.42893500876</v>
      </c>
      <c r="F631" s="1174">
        <v>28.04028644219724</v>
      </c>
      <c r="G631" s="1172">
        <v>0.0</v>
      </c>
      <c r="H631" s="1172">
        <v>102.79120546634846</v>
      </c>
      <c r="I631" s="1172"/>
      <c r="J631" s="1172">
        <v>464141.2507134032</v>
      </c>
      <c r="K631" s="1172">
        <v>460367.554214</v>
      </c>
      <c r="L631" s="1098"/>
      <c r="M631" s="1100"/>
      <c r="N631" s="1096"/>
      <c r="O631" s="1098"/>
      <c r="P631" s="1096"/>
      <c r="Q631" s="1096"/>
    </row>
    <row r="632">
      <c r="A632" s="1126"/>
      <c r="B632" s="1170">
        <v>44893.50875090278</v>
      </c>
      <c r="C632" s="1175">
        <v>1.04638302013346</v>
      </c>
      <c r="D632" s="1172">
        <v>466022.59445021057</v>
      </c>
      <c r="E632" s="1173">
        <v>448608.26214079297</v>
      </c>
      <c r="F632" s="1174">
        <v>27.65207236014741</v>
      </c>
      <c r="G632" s="1172">
        <v>39988.98880740398</v>
      </c>
      <c r="H632" s="1172">
        <v>106.39444612757126</v>
      </c>
      <c r="I632" s="1172"/>
      <c r="J632" s="1172">
        <v>466022.59445021057</v>
      </c>
      <c r="K632" s="1172">
        <v>422270.554214</v>
      </c>
      <c r="L632" s="1098"/>
      <c r="M632" s="1100"/>
      <c r="N632" s="1096"/>
      <c r="O632" s="1098"/>
      <c r="P632" s="1096"/>
      <c r="Q632" s="1096"/>
    </row>
    <row r="633">
      <c r="A633" s="1126"/>
      <c r="B633" s="1170">
        <v>44895.67186008102</v>
      </c>
      <c r="C633" s="1175">
        <v>1.03881857241397</v>
      </c>
      <c r="D633" s="1172">
        <v>466022.59445021057</v>
      </c>
      <c r="E633" s="1173">
        <v>448608.26214079297</v>
      </c>
      <c r="F633" s="1174">
        <v>27.65207236014741</v>
      </c>
      <c r="G633" s="1172">
        <v>39988.98880740398</v>
      </c>
      <c r="H633" s="1172">
        <v>106.39444612757126</v>
      </c>
      <c r="I633" s="1172"/>
      <c r="J633" s="1172">
        <v>466022.59445021057</v>
      </c>
      <c r="K633" s="1172">
        <v>422270.554214</v>
      </c>
      <c r="L633" s="1098"/>
      <c r="M633" s="1100"/>
      <c r="N633" s="1096"/>
      <c r="O633" s="1098"/>
      <c r="P633" s="1096"/>
      <c r="Q633" s="1096"/>
    </row>
    <row r="634">
      <c r="A634" s="1126"/>
      <c r="B634" s="1170">
        <v>44896.50875421296</v>
      </c>
      <c r="C634" s="1175">
        <v>1.04487530458115</v>
      </c>
      <c r="D634" s="1172">
        <v>466622.7128561516</v>
      </c>
      <c r="E634" s="1173">
        <v>446582.2005844061</v>
      </c>
      <c r="F634" s="1174">
        <v>27.305520369094065</v>
      </c>
      <c r="G634" s="1172">
        <v>40548.66408326247</v>
      </c>
      <c r="H634" s="1172">
        <v>107.63829176953297</v>
      </c>
      <c r="I634" s="1172"/>
      <c r="J634" s="1172">
        <v>466622.7128561516</v>
      </c>
      <c r="K634" s="1172">
        <v>422270.554214</v>
      </c>
      <c r="L634" s="1098"/>
      <c r="M634" s="1100"/>
      <c r="N634" s="1096"/>
      <c r="O634" s="1098"/>
      <c r="P634" s="1096"/>
      <c r="Q634" s="1096"/>
    </row>
    <row r="635">
      <c r="A635" s="1126"/>
      <c r="B635" s="1170">
        <v>44897.508749976856</v>
      </c>
      <c r="C635" s="1175">
        <v>1.05199263184361</v>
      </c>
      <c r="D635" s="1172">
        <v>466341.8104880074</v>
      </c>
      <c r="E635" s="1173">
        <v>443293.7991882572</v>
      </c>
      <c r="F635" s="1174">
        <v>27.47136552120865</v>
      </c>
      <c r="G635" s="1172">
        <v>40279.60849167354</v>
      </c>
      <c r="H635" s="1172">
        <v>107.60171130184054</v>
      </c>
      <c r="I635" s="1172"/>
      <c r="J635" s="1172">
        <v>466341.8104880074</v>
      </c>
      <c r="K635" s="1172">
        <v>422270.554214</v>
      </c>
      <c r="L635" s="1098"/>
      <c r="M635" s="1100"/>
      <c r="N635" s="1096"/>
      <c r="O635" s="1098"/>
      <c r="P635" s="1096"/>
      <c r="Q635" s="1096"/>
    </row>
    <row r="636">
      <c r="A636" s="1126"/>
      <c r="B636" s="1170">
        <v>44898.50874821759</v>
      </c>
      <c r="C636" s="1175">
        <v>1.05374522126542</v>
      </c>
      <c r="D636" s="1172">
        <v>466270.54300509376</v>
      </c>
      <c r="E636" s="1173">
        <v>442488.88022966264</v>
      </c>
      <c r="F636" s="1174">
        <v>27.502810392972844</v>
      </c>
      <c r="G636" s="1172">
        <v>40227.406895302986</v>
      </c>
      <c r="H636" s="1172">
        <v>106.6730234382556</v>
      </c>
      <c r="I636" s="1172"/>
      <c r="J636" s="1172">
        <v>466270.54300509376</v>
      </c>
      <c r="K636" s="1172">
        <v>422270.554214</v>
      </c>
      <c r="L636" s="1098"/>
      <c r="M636" s="1100"/>
      <c r="N636" s="1096"/>
      <c r="O636" s="1098"/>
      <c r="P636" s="1096"/>
      <c r="Q636" s="1096"/>
    </row>
    <row r="637">
      <c r="A637" s="1126"/>
      <c r="B637" s="1170">
        <v>44899.50874706019</v>
      </c>
      <c r="C637" s="1175">
        <v>1.05374966280011</v>
      </c>
      <c r="D637" s="1172">
        <v>466368.57415124605</v>
      </c>
      <c r="E637" s="1173">
        <v>442580.0459209384</v>
      </c>
      <c r="F637" s="1174">
        <v>27.418260605895878</v>
      </c>
      <c r="G637" s="1172">
        <v>40359.939992258995</v>
      </c>
      <c r="H637" s="1172">
        <v>105.77345855046838</v>
      </c>
      <c r="I637" s="1172"/>
      <c r="J637" s="1172">
        <v>466368.57415124605</v>
      </c>
      <c r="K637" s="1172">
        <v>422270.554214</v>
      </c>
      <c r="L637" s="1098"/>
      <c r="M637" s="1100"/>
      <c r="N637" s="1096"/>
      <c r="O637" s="1098"/>
      <c r="P637" s="1096"/>
      <c r="Q637" s="1096"/>
    </row>
    <row r="638">
      <c r="A638" s="1126"/>
      <c r="B638" s="1170">
        <v>44900.50876700231</v>
      </c>
      <c r="C638" s="1175">
        <v>1.0544496721716</v>
      </c>
      <c r="D638" s="1172">
        <v>467435.97587279126</v>
      </c>
      <c r="E638" s="1173">
        <v>443298.5169506708</v>
      </c>
      <c r="F638" s="1174">
        <v>27.01420783258838</v>
      </c>
      <c r="G638" s="1172">
        <v>41057.361016263676</v>
      </c>
      <c r="H638" s="1172">
        <v>108.87828163492887</v>
      </c>
      <c r="I638" s="1172"/>
      <c r="J638" s="1172">
        <v>467435.97587279126</v>
      </c>
      <c r="K638" s="1172">
        <v>422270.554214</v>
      </c>
      <c r="L638" s="1098"/>
      <c r="M638" s="1100"/>
      <c r="N638" s="1096"/>
      <c r="O638" s="1098"/>
      <c r="P638" s="1096"/>
      <c r="Q638" s="1096"/>
    </row>
    <row r="639">
      <c r="A639" s="1126"/>
      <c r="B639" s="1170">
        <v>44901.50875241898</v>
      </c>
      <c r="C639" s="1175">
        <v>1.05049961761814</v>
      </c>
      <c r="D639" s="1172">
        <v>467590.5254805099</v>
      </c>
      <c r="E639" s="1173">
        <v>445112.5137396105</v>
      </c>
      <c r="F639" s="1174">
        <v>27.544007053195077</v>
      </c>
      <c r="G639" s="1172">
        <v>41450.8540953521</v>
      </c>
      <c r="H639" s="1172">
        <v>105.378787818978</v>
      </c>
      <c r="I639" s="1172"/>
      <c r="J639" s="1172">
        <v>467590.5254805099</v>
      </c>
      <c r="K639" s="1172">
        <v>422270.554214</v>
      </c>
      <c r="L639" s="1098"/>
      <c r="M639" s="1100"/>
      <c r="N639" s="1096"/>
      <c r="O639" s="1098"/>
      <c r="P639" s="1096"/>
      <c r="Q639" s="1096"/>
    </row>
    <row r="640">
      <c r="A640" s="1126"/>
      <c r="B640" s="1170">
        <v>44902.50874561342</v>
      </c>
      <c r="C640" s="1175">
        <v>1.04941484628171</v>
      </c>
      <c r="D640" s="1172">
        <v>467082.3587145355</v>
      </c>
      <c r="E640" s="1173">
        <v>445088.3846073869</v>
      </c>
      <c r="F640" s="1174">
        <v>27.76941485219009</v>
      </c>
      <c r="G640" s="1172">
        <v>41069.71016195524</v>
      </c>
      <c r="H640" s="1172">
        <v>103.32422578734845</v>
      </c>
      <c r="I640" s="1172"/>
      <c r="J640" s="1172">
        <v>467082.3587145355</v>
      </c>
      <c r="K640" s="1172">
        <v>422270.554214</v>
      </c>
      <c r="L640" s="1098"/>
      <c r="M640" s="1100"/>
      <c r="N640" s="1096"/>
      <c r="O640" s="1098"/>
      <c r="P640" s="1096"/>
      <c r="Q640" s="1096"/>
    </row>
    <row r="641">
      <c r="A641" s="1126"/>
      <c r="B641" s="1170">
        <v>44903.50875324074</v>
      </c>
      <c r="C641" s="1175">
        <v>1.0497045606514</v>
      </c>
      <c r="D641" s="1172">
        <v>456066.5740068555</v>
      </c>
      <c r="E641" s="1173">
        <v>434471.3656610588</v>
      </c>
      <c r="F641" s="1174">
        <v>27.09661855972959</v>
      </c>
      <c r="G641" s="1172">
        <v>41096.80381079617</v>
      </c>
      <c r="H641" s="1172">
        <v>102.51494514830338</v>
      </c>
      <c r="I641" s="1172"/>
      <c r="J641" s="1172">
        <v>456066.5740068555</v>
      </c>
      <c r="K641" s="1172">
        <v>411270.554214</v>
      </c>
      <c r="L641" s="1098"/>
      <c r="M641" s="1100"/>
      <c r="N641" s="1096"/>
      <c r="O641" s="1098"/>
      <c r="P641" s="1096"/>
      <c r="Q641" s="1096"/>
    </row>
    <row r="642">
      <c r="A642" s="1126"/>
      <c r="B642" s="1170">
        <v>44904.50874993055</v>
      </c>
      <c r="C642" s="1175">
        <v>1.05618703805019</v>
      </c>
      <c r="D642" s="1172">
        <v>457097.9868665775</v>
      </c>
      <c r="E642" s="1173">
        <v>432781.28816125105</v>
      </c>
      <c r="F642" s="1174">
        <v>26.546113824475313</v>
      </c>
      <c r="G642" s="1172">
        <v>42083.04696406807</v>
      </c>
      <c r="H642" s="1172">
        <v>106.67755583133199</v>
      </c>
      <c r="I642" s="1172"/>
      <c r="J642" s="1172">
        <v>457097.9868665775</v>
      </c>
      <c r="K642" s="1172">
        <v>411270.554214</v>
      </c>
      <c r="L642" s="1098"/>
      <c r="M642" s="1100"/>
      <c r="N642" s="1096"/>
      <c r="O642" s="1098"/>
      <c r="P642" s="1096"/>
      <c r="Q642" s="1096"/>
    </row>
    <row r="643">
      <c r="A643" s="1126"/>
      <c r="B643" s="1170">
        <v>44905.50874863426</v>
      </c>
      <c r="C643" s="1175">
        <v>1.05414955430557</v>
      </c>
      <c r="D643" s="1172">
        <v>456991.8964923952</v>
      </c>
      <c r="E643" s="1173">
        <v>433517.13675337326</v>
      </c>
      <c r="F643" s="1174">
        <v>26.620624163580526</v>
      </c>
      <c r="G643" s="1172">
        <v>41955.51781479258</v>
      </c>
      <c r="H643" s="1172">
        <v>105.15526964147884</v>
      </c>
      <c r="I643" s="1172"/>
      <c r="J643" s="1172">
        <v>456991.8964923952</v>
      </c>
      <c r="K643" s="1172">
        <v>411270.554214</v>
      </c>
      <c r="L643" s="1098"/>
      <c r="M643" s="1100"/>
      <c r="N643" s="1096"/>
      <c r="O643" s="1098"/>
      <c r="P643" s="1096"/>
      <c r="Q643" s="1096"/>
    </row>
    <row r="644">
      <c r="A644" s="1126"/>
      <c r="B644" s="1170">
        <v>44906.5087550926</v>
      </c>
      <c r="C644" s="1175">
        <v>1.05414955430557</v>
      </c>
      <c r="D644" s="1172">
        <v>456936.24235088506</v>
      </c>
      <c r="E644" s="1173">
        <v>433464.3414538042</v>
      </c>
      <c r="F644" s="1174">
        <v>26.63206955352572</v>
      </c>
      <c r="G644" s="1172">
        <v>41932.37972420636</v>
      </c>
      <c r="H644" s="1172">
        <v>105.71897681968763</v>
      </c>
      <c r="I644" s="1172"/>
      <c r="J644" s="1172">
        <v>456936.24235088506</v>
      </c>
      <c r="K644" s="1172">
        <v>411270.554214</v>
      </c>
      <c r="L644" s="1098"/>
      <c r="M644" s="1100"/>
      <c r="N644" s="1096"/>
      <c r="O644" s="1098"/>
      <c r="P644" s="1096"/>
      <c r="Q644" s="1096"/>
    </row>
    <row r="645">
      <c r="A645" s="1126"/>
      <c r="B645" s="1170">
        <v>44907.508752037036</v>
      </c>
      <c r="C645" s="1175">
        <v>1.05555491049422</v>
      </c>
      <c r="D645" s="1172">
        <v>456643.77407250024</v>
      </c>
      <c r="E645" s="1173">
        <v>432610.1555992911</v>
      </c>
      <c r="F645" s="1174">
        <v>26.883231684378355</v>
      </c>
      <c r="G645" s="1172">
        <v>41730.39252550657</v>
      </c>
      <c r="H645" s="1172">
        <v>104.28817694043106</v>
      </c>
      <c r="I645" s="1172"/>
      <c r="J645" s="1172">
        <v>456643.77407250024</v>
      </c>
      <c r="K645" s="1172">
        <v>411270.554214</v>
      </c>
      <c r="L645" s="1098"/>
      <c r="M645" s="1100"/>
      <c r="N645" s="1096"/>
      <c r="O645" s="1098"/>
      <c r="P645" s="1096"/>
      <c r="Q645" s="1096"/>
    </row>
    <row r="646">
      <c r="A646" s="1126"/>
      <c r="B646" s="1170">
        <v>44908.508757083335</v>
      </c>
      <c r="C646" s="1175">
        <v>1.0530173158167397</v>
      </c>
      <c r="D646" s="1172">
        <v>457628.5031610311</v>
      </c>
      <c r="E646" s="1173">
        <v>434587.82328388013</v>
      </c>
      <c r="F646" s="1174">
        <v>26.303257654832674</v>
      </c>
      <c r="G646" s="1172">
        <v>42742.50106503142</v>
      </c>
      <c r="H646" s="1172">
        <v>106.41806320882652</v>
      </c>
      <c r="I646" s="1172"/>
      <c r="J646" s="1172">
        <v>457628.5031610311</v>
      </c>
      <c r="K646" s="1172">
        <v>411270.554214</v>
      </c>
      <c r="L646" s="1098"/>
      <c r="M646" s="1100"/>
      <c r="N646" s="1096"/>
      <c r="O646" s="1098"/>
      <c r="P646" s="1096"/>
      <c r="Q646" s="1096"/>
    </row>
    <row r="647">
      <c r="A647" s="1126"/>
      <c r="B647" s="1170">
        <v>44909.508749155095</v>
      </c>
      <c r="C647" s="1175">
        <v>1.0657379116013</v>
      </c>
      <c r="D647" s="1172">
        <v>466323.6402393571</v>
      </c>
      <c r="E647" s="1173">
        <v>437559.39913847414</v>
      </c>
      <c r="F647" s="1174">
        <v>26.148054185808583</v>
      </c>
      <c r="G647" s="1172">
        <v>62535.7319003663</v>
      </c>
      <c r="H647" s="1172">
        <v>107.68291070696601</v>
      </c>
      <c r="I647" s="1172"/>
      <c r="J647" s="1172">
        <v>466323.6402393571</v>
      </c>
      <c r="K647" s="1172">
        <v>400129.357595</v>
      </c>
      <c r="L647" s="1098"/>
      <c r="M647" s="1100"/>
      <c r="N647" s="1096"/>
      <c r="O647" s="1098"/>
      <c r="P647" s="1096"/>
      <c r="Q647" s="1096"/>
    </row>
    <row r="648">
      <c r="A648" s="1126"/>
      <c r="B648" s="1170">
        <v>44910.52202188657</v>
      </c>
      <c r="C648" s="1175">
        <v>1.06111378747589</v>
      </c>
      <c r="D648" s="1172">
        <v>465787.5799123865</v>
      </c>
      <c r="E648" s="1173">
        <v>438961.0100349109</v>
      </c>
      <c r="F648" s="1174">
        <v>26.320857040102382</v>
      </c>
      <c r="G648" s="1172">
        <v>62050.21452412828</v>
      </c>
      <c r="H648" s="1172">
        <v>104.7107116657484</v>
      </c>
      <c r="I648" s="1172"/>
      <c r="J648" s="1172">
        <v>465787.5799123865</v>
      </c>
      <c r="K648" s="1172">
        <v>400129.357595</v>
      </c>
      <c r="L648" s="1098"/>
      <c r="M648" s="1100"/>
      <c r="N648" s="1096"/>
      <c r="O648" s="1098"/>
      <c r="P648" s="1096"/>
      <c r="Q648" s="1096"/>
    </row>
    <row r="649">
      <c r="A649" s="1126"/>
      <c r="B649" s="1170">
        <v>44911.50874747685</v>
      </c>
      <c r="C649" s="1175">
        <v>1.06219355715876</v>
      </c>
      <c r="D649" s="1172">
        <v>463280.89150574175</v>
      </c>
      <c r="E649" s="1173">
        <v>436154.86874629743</v>
      </c>
      <c r="F649" s="1174">
        <v>27.228513631735417</v>
      </c>
      <c r="G649" s="1172">
        <v>59658.98535410679</v>
      </c>
      <c r="H649" s="1172">
        <v>98.4552955840628</v>
      </c>
      <c r="I649" s="1172"/>
      <c r="J649" s="1172">
        <v>463280.89150574175</v>
      </c>
      <c r="K649" s="1172">
        <v>400129.357595</v>
      </c>
      <c r="L649" s="1098"/>
      <c r="M649" s="1100"/>
      <c r="N649" s="1096"/>
      <c r="O649" s="1098"/>
      <c r="P649" s="1096"/>
      <c r="Q649" s="1096"/>
    </row>
    <row r="650">
      <c r="A650" s="1126"/>
      <c r="B650" s="1170">
        <v>44912.50874875</v>
      </c>
      <c r="C650" s="1175">
        <v>1.05944997595049</v>
      </c>
      <c r="D650" s="1172">
        <v>462139.7126044424</v>
      </c>
      <c r="E650" s="1173">
        <v>436207.20477135485</v>
      </c>
      <c r="F650" s="1174">
        <v>27.60600331986676</v>
      </c>
      <c r="G650" s="1172">
        <v>58698.251362880415</v>
      </c>
      <c r="H650" s="1172">
        <v>96.16165248854325</v>
      </c>
      <c r="I650" s="1172"/>
      <c r="J650" s="1172">
        <v>462139.7126044424</v>
      </c>
      <c r="K650" s="1172">
        <v>400129.357595</v>
      </c>
      <c r="L650" s="1098"/>
      <c r="M650" s="1100"/>
      <c r="N650" s="1096"/>
      <c r="O650" s="1098"/>
      <c r="P650" s="1096"/>
      <c r="Q650" s="1096"/>
    </row>
    <row r="651">
      <c r="A651" s="1126"/>
      <c r="B651" s="1170">
        <v>44913.50875011574</v>
      </c>
      <c r="C651" s="1175">
        <v>1.05944997595049</v>
      </c>
      <c r="D651" s="1172">
        <v>462077.68545720534</v>
      </c>
      <c r="E651" s="1173">
        <v>436148.65821545786</v>
      </c>
      <c r="F651" s="1174">
        <v>27.62481913026873</v>
      </c>
      <c r="G651" s="1172">
        <v>58650.39786843314</v>
      </c>
      <c r="H651" s="1172">
        <v>96.03639015777257</v>
      </c>
      <c r="I651" s="1172"/>
      <c r="J651" s="1172">
        <v>462077.68545720534</v>
      </c>
      <c r="K651" s="1172">
        <v>400129.357595</v>
      </c>
      <c r="L651" s="1098"/>
      <c r="M651" s="1100"/>
      <c r="N651" s="1096"/>
      <c r="O651" s="1098"/>
      <c r="P651" s="1096"/>
      <c r="Q651" s="1096"/>
    </row>
    <row r="652">
      <c r="A652" s="1126"/>
      <c r="B652" s="1170">
        <v>44914.50874584491</v>
      </c>
      <c r="C652" s="1175">
        <v>1.06342704252432</v>
      </c>
      <c r="D652" s="1172">
        <v>462253.72658172844</v>
      </c>
      <c r="E652" s="1173">
        <v>434683.06531348807</v>
      </c>
      <c r="F652" s="1174">
        <v>27.569414104867846</v>
      </c>
      <c r="G652" s="1172">
        <v>58790.65434149069</v>
      </c>
      <c r="H652" s="1172">
        <v>96.41393030757874</v>
      </c>
      <c r="I652" s="1172"/>
      <c r="J652" s="1172">
        <v>462253.72658172844</v>
      </c>
      <c r="K652" s="1172">
        <v>400129.357595</v>
      </c>
      <c r="L652" s="1098"/>
      <c r="M652" s="1100"/>
      <c r="N652" s="1096"/>
      <c r="O652" s="1098"/>
      <c r="P652" s="1096"/>
      <c r="Q652" s="1096"/>
    </row>
    <row r="653">
      <c r="A653" s="1126"/>
      <c r="B653" s="1170">
        <v>44915.50874914352</v>
      </c>
      <c r="C653" s="1175">
        <v>1.06277266761253</v>
      </c>
      <c r="D653" s="1172">
        <v>462295.5931748092</v>
      </c>
      <c r="E653" s="1173">
        <v>434990.10396394087</v>
      </c>
      <c r="F653" s="1174">
        <v>27.53678866548562</v>
      </c>
      <c r="G653" s="1172">
        <v>58865.64020611624</v>
      </c>
      <c r="H653" s="1172">
        <v>98.18862758541233</v>
      </c>
      <c r="I653" s="1172"/>
      <c r="J653" s="1172">
        <v>462295.5931748092</v>
      </c>
      <c r="K653" s="1172">
        <v>400129.357595</v>
      </c>
      <c r="L653" s="1098"/>
      <c r="M653" s="1100"/>
      <c r="N653" s="1096"/>
      <c r="O653" s="1098"/>
      <c r="P653" s="1096"/>
      <c r="Q653" s="1096"/>
    </row>
    <row r="654">
      <c r="A654" s="1126"/>
      <c r="B654" s="1170">
        <v>44916.50874913194</v>
      </c>
      <c r="C654" s="1175">
        <v>1.06154858707883</v>
      </c>
      <c r="D654" s="1172">
        <v>462627.70077719324</v>
      </c>
      <c r="E654" s="1173">
        <v>435804.54668613186</v>
      </c>
      <c r="F654" s="1174">
        <v>27.423843831764685</v>
      </c>
      <c r="G654" s="1172">
        <v>59150.5403052078</v>
      </c>
      <c r="H654" s="1172">
        <v>98.86362917871877</v>
      </c>
      <c r="I654" s="1172"/>
      <c r="J654" s="1172">
        <v>462627.70077719324</v>
      </c>
      <c r="K654" s="1172">
        <v>400129.357595</v>
      </c>
      <c r="L654" s="1098"/>
      <c r="M654" s="1100"/>
      <c r="N654" s="1096"/>
      <c r="O654" s="1098"/>
      <c r="P654" s="1096"/>
      <c r="Q654" s="1096"/>
    </row>
    <row r="655">
      <c r="A655" s="1126"/>
      <c r="B655" s="1170">
        <v>44917.5087555787</v>
      </c>
      <c r="C655" s="1175">
        <v>1.06438236020402</v>
      </c>
      <c r="D655" s="1172">
        <v>462540.95212717337</v>
      </c>
      <c r="E655" s="1173">
        <v>434562.7750149052</v>
      </c>
      <c r="F655" s="1174">
        <v>27.47098382796586</v>
      </c>
      <c r="G655" s="1172">
        <v>59037.96597968876</v>
      </c>
      <c r="H655" s="1172">
        <v>98.90996818960909</v>
      </c>
      <c r="I655" s="1172"/>
      <c r="J655" s="1172">
        <v>462540.95212717337</v>
      </c>
      <c r="K655" s="1172">
        <v>400129.357595</v>
      </c>
      <c r="L655" s="1098"/>
      <c r="M655" s="1100"/>
      <c r="N655" s="1096"/>
      <c r="O655" s="1098"/>
      <c r="P655" s="1096"/>
      <c r="Q655" s="1096"/>
    </row>
    <row r="656">
      <c r="A656" s="1126"/>
      <c r="B656" s="1170">
        <v>44918.50874958333</v>
      </c>
      <c r="C656" s="1175">
        <v>1.06174131946841</v>
      </c>
      <c r="D656" s="1172">
        <v>464053.55650109274</v>
      </c>
      <c r="E656" s="1173">
        <v>437068.3781369966</v>
      </c>
      <c r="F656" s="1174">
        <v>27.517005101728333</v>
      </c>
      <c r="G656" s="1172">
        <v>60503.85710596098</v>
      </c>
      <c r="H656" s="1172">
        <v>99.43296258714689</v>
      </c>
      <c r="I656" s="1172"/>
      <c r="J656" s="1172">
        <v>464053.55650109274</v>
      </c>
      <c r="K656" s="1172">
        <v>400129.357595</v>
      </c>
      <c r="L656" s="1098"/>
      <c r="M656" s="1100"/>
      <c r="N656" s="1096"/>
      <c r="O656" s="1098"/>
      <c r="P656" s="1096"/>
      <c r="Q656" s="1096"/>
    </row>
    <row r="657">
      <c r="A657" s="1126"/>
      <c r="B657" s="1170">
        <v>44919.508745127314</v>
      </c>
      <c r="C657" s="1175">
        <v>1.06671559335522</v>
      </c>
      <c r="D657" s="1172">
        <v>464067.96340464</v>
      </c>
      <c r="E657" s="1173">
        <v>435043.76076942164</v>
      </c>
      <c r="F657" s="1174">
        <v>27.555411241812592</v>
      </c>
      <c r="G657" s="1172">
        <v>60421.403901258105</v>
      </c>
      <c r="H657" s="1172">
        <v>99.05587295870421</v>
      </c>
      <c r="I657" s="1172"/>
      <c r="J657" s="1172">
        <v>464067.96340464</v>
      </c>
      <c r="K657" s="1172">
        <v>400129.357595</v>
      </c>
      <c r="L657" s="1098"/>
      <c r="M657" s="1100"/>
      <c r="N657" s="1096"/>
      <c r="O657" s="1098"/>
      <c r="P657" s="1096"/>
      <c r="Q657" s="1096"/>
    </row>
    <row r="658">
      <c r="A658" s="1126"/>
      <c r="B658" s="1170">
        <v>44920.50874326389</v>
      </c>
      <c r="C658" s="1175">
        <v>1.06671559335522</v>
      </c>
      <c r="D658" s="1172">
        <v>464006.08992597414</v>
      </c>
      <c r="E658" s="1173">
        <v>434985.75704373204</v>
      </c>
      <c r="F658" s="1174">
        <v>27.57004711710056</v>
      </c>
      <c r="G658" s="1172">
        <v>60381.27688925362</v>
      </c>
      <c r="H658" s="1172">
        <v>99.04933836651135</v>
      </c>
      <c r="I658" s="1172"/>
      <c r="J658" s="1172">
        <v>464006.08992597414</v>
      </c>
      <c r="K658" s="1172">
        <v>400129.357595</v>
      </c>
      <c r="L658" s="1098"/>
      <c r="M658" s="1100"/>
      <c r="N658" s="1096"/>
      <c r="O658" s="1098"/>
      <c r="P658" s="1096"/>
      <c r="Q658" s="1096"/>
    </row>
    <row r="659">
      <c r="A659" s="1126"/>
      <c r="B659" s="1170">
        <v>44921.50875327546</v>
      </c>
      <c r="C659" s="1175">
        <v>1.06241361249313</v>
      </c>
      <c r="D659" s="1172">
        <v>464077.93035191426</v>
      </c>
      <c r="E659" s="1173">
        <v>436814.74417753203</v>
      </c>
      <c r="F659" s="1174">
        <v>27.527125061926988</v>
      </c>
      <c r="G659" s="1172">
        <v>60484.79043771995</v>
      </c>
      <c r="H659" s="1172">
        <v>99.14373332368011</v>
      </c>
      <c r="I659" s="1172"/>
      <c r="J659" s="1172">
        <v>464077.93035191426</v>
      </c>
      <c r="K659" s="1172">
        <v>400129.357595</v>
      </c>
      <c r="L659" s="1098"/>
      <c r="M659" s="1100"/>
      <c r="N659" s="1096"/>
      <c r="O659" s="1098"/>
      <c r="P659" s="1096"/>
      <c r="Q659" s="1096"/>
    </row>
    <row r="660">
      <c r="A660" s="1126"/>
      <c r="B660" s="1170">
        <v>44923.50875363426</v>
      </c>
      <c r="C660" s="1175">
        <v>1.06394636859145</v>
      </c>
      <c r="D660" s="1172">
        <v>463374.43289591686</v>
      </c>
      <c r="E660" s="1173">
        <v>435524.23935557436</v>
      </c>
      <c r="F660" s="1174">
        <v>27.77934020565492</v>
      </c>
      <c r="G660" s="1172">
        <v>59844.77819103362</v>
      </c>
      <c r="H660" s="1172">
        <v>97.26948505449309</v>
      </c>
      <c r="I660" s="1172"/>
      <c r="J660" s="1172">
        <v>463374.43289591686</v>
      </c>
      <c r="K660" s="1172">
        <v>400129.357595</v>
      </c>
      <c r="L660" s="1098"/>
      <c r="M660" s="1100"/>
      <c r="N660" s="1096"/>
      <c r="O660" s="1098"/>
      <c r="P660" s="1096"/>
      <c r="Q660" s="1096"/>
    </row>
    <row r="661">
      <c r="A661" s="1126"/>
      <c r="B661" s="1170">
        <v>44924.5087515162</v>
      </c>
      <c r="C661" s="1175">
        <v>1.06471553994919</v>
      </c>
      <c r="D661" s="1172">
        <v>463058.8412988548</v>
      </c>
      <c r="E661" s="1173">
        <v>434913.1988070285</v>
      </c>
      <c r="F661" s="1174">
        <v>27.890333381650386</v>
      </c>
      <c r="G661" s="1172">
        <v>59566.021753648696</v>
      </c>
      <c r="H661" s="1172">
        <v>97.47475316851197</v>
      </c>
      <c r="I661" s="1172"/>
      <c r="J661" s="1172">
        <v>463058.8412988548</v>
      </c>
      <c r="K661" s="1172">
        <v>400129.357595</v>
      </c>
      <c r="L661" s="1098"/>
      <c r="M661" s="1100"/>
      <c r="N661" s="1096"/>
      <c r="O661" s="1098"/>
      <c r="P661" s="1096"/>
      <c r="Q661" s="1096"/>
    </row>
    <row r="662">
      <c r="A662" s="1126"/>
      <c r="B662" s="1170">
        <v>44925.50875908565</v>
      </c>
      <c r="C662" s="1175">
        <v>1.06638912112474</v>
      </c>
      <c r="D662" s="1172">
        <v>462677.68245742156</v>
      </c>
      <c r="E662" s="1173">
        <v>433873.22065835306</v>
      </c>
      <c r="F662" s="1174">
        <v>28.04163965324444</v>
      </c>
      <c r="G662" s="1172">
        <v>59195.85095161986</v>
      </c>
      <c r="H662" s="1172">
        <v>96.77545947431912</v>
      </c>
      <c r="I662" s="1172"/>
      <c r="J662" s="1172">
        <v>462677.68245742156</v>
      </c>
      <c r="K662" s="1172">
        <v>400129.357595</v>
      </c>
      <c r="L662" s="1098"/>
      <c r="M662" s="1100"/>
      <c r="N662" s="1096"/>
      <c r="O662" s="1098"/>
      <c r="P662" s="1096"/>
      <c r="Q662" s="1096"/>
    </row>
    <row r="663">
      <c r="A663" s="1126"/>
      <c r="B663" s="1176">
        <v>44926.508750671295</v>
      </c>
      <c r="C663" s="1177">
        <v>1.07264947638616</v>
      </c>
      <c r="D663" s="1178">
        <v>462878.0331102733</v>
      </c>
      <c r="E663" s="1179">
        <v>431527.7668057468</v>
      </c>
      <c r="F663" s="1180">
        <v>27.931457997974597</v>
      </c>
      <c r="G663" s="1178">
        <v>59455.096096671645</v>
      </c>
      <c r="H663" s="1178">
        <v>97.3658735228223</v>
      </c>
      <c r="I663" s="1178"/>
      <c r="J663" s="1178">
        <v>462878.0331102733</v>
      </c>
      <c r="K663" s="1178">
        <v>400129.357595</v>
      </c>
      <c r="L663" s="1098"/>
      <c r="M663" s="1100"/>
      <c r="N663" s="1096"/>
      <c r="O663" s="1098"/>
      <c r="P663" s="1096"/>
      <c r="Q663" s="1096"/>
    </row>
    <row r="664">
      <c r="A664" s="1126"/>
      <c r="B664" s="1176">
        <v>44927.50875034722</v>
      </c>
      <c r="C664" s="1177">
        <v>1.07264947638616</v>
      </c>
      <c r="D664" s="1178">
        <v>462816.2895379115</v>
      </c>
      <c r="E664" s="1179">
        <v>431470.2050637975</v>
      </c>
      <c r="F664" s="1180">
        <v>27.955621516172084</v>
      </c>
      <c r="G664" s="1178">
        <v>59395.782025973254</v>
      </c>
      <c r="H664" s="1178">
        <v>97.26823065350752</v>
      </c>
      <c r="I664" s="1178"/>
      <c r="J664" s="1178">
        <v>462816.2895379115</v>
      </c>
      <c r="K664" s="1178">
        <v>400129.357595</v>
      </c>
      <c r="L664" s="1098"/>
      <c r="M664" s="1100"/>
      <c r="N664" s="1096"/>
      <c r="O664" s="1098"/>
      <c r="P664" s="1096"/>
      <c r="Q664" s="1096"/>
    </row>
    <row r="665">
      <c r="A665" s="1126"/>
      <c r="B665" s="1176">
        <v>44928.5087464699</v>
      </c>
      <c r="C665" s="1177">
        <v>1.06837036126944</v>
      </c>
      <c r="D665" s="1178">
        <v>463513.82482173655</v>
      </c>
      <c r="E665" s="1179">
        <v>433851.2576022686</v>
      </c>
      <c r="F665" s="1180">
        <v>27.704701780211455</v>
      </c>
      <c r="G665" s="1178">
        <v>60024.05521292176</v>
      </c>
      <c r="H665" s="1178">
        <v>98.92036133635945</v>
      </c>
      <c r="I665" s="1178"/>
      <c r="J665" s="1178">
        <v>463513.82482173655</v>
      </c>
      <c r="K665" s="1178">
        <v>400129.357595</v>
      </c>
      <c r="L665" s="1098"/>
      <c r="M665" s="1100"/>
      <c r="N665" s="1096"/>
      <c r="O665" s="1098"/>
      <c r="P665" s="1096"/>
      <c r="Q665" s="1096"/>
    </row>
    <row r="666">
      <c r="A666" s="1126"/>
      <c r="B666" s="1170">
        <v>44929.508758275464</v>
      </c>
      <c r="C666" s="1175">
        <v>1.05494579688496</v>
      </c>
      <c r="D666" s="1172">
        <v>463575.2112786443</v>
      </c>
      <c r="E666" s="1173">
        <v>439430.3599744057</v>
      </c>
      <c r="F666" s="1174">
        <v>27.69094940977983</v>
      </c>
      <c r="G666" s="1172">
        <v>60061.818787513206</v>
      </c>
      <c r="H666" s="1172">
        <v>98.84691155439361</v>
      </c>
      <c r="I666" s="1172"/>
      <c r="J666" s="1172">
        <v>463575.2112786443</v>
      </c>
      <c r="K666" s="1172">
        <v>400129.357595</v>
      </c>
      <c r="L666" s="1098"/>
      <c r="M666" s="1100"/>
      <c r="N666" s="1096"/>
      <c r="O666" s="1098"/>
      <c r="P666" s="1096"/>
      <c r="Q666" s="1096"/>
    </row>
    <row r="667">
      <c r="A667" s="1126"/>
      <c r="B667" s="1170">
        <v>44930.50876225694</v>
      </c>
      <c r="C667" s="1175">
        <v>1.06131086750489</v>
      </c>
      <c r="D667" s="1172">
        <v>463999.7459189777</v>
      </c>
      <c r="E667" s="1173">
        <v>437194.9445969843</v>
      </c>
      <c r="F667" s="1174">
        <v>27.54789115605774</v>
      </c>
      <c r="G667" s="1172">
        <v>60429.01356779366</v>
      </c>
      <c r="H667" s="1172">
        <v>101.48330329844747</v>
      </c>
      <c r="I667" s="1172"/>
      <c r="J667" s="1172">
        <v>463999.7459189777</v>
      </c>
      <c r="K667" s="1172">
        <v>400129.357595</v>
      </c>
      <c r="L667" s="1098"/>
      <c r="M667" s="1100"/>
      <c r="N667" s="1096"/>
      <c r="O667" s="1098"/>
      <c r="P667" s="1096"/>
      <c r="Q667" s="1096"/>
    </row>
    <row r="668">
      <c r="A668" s="1126"/>
      <c r="B668" s="1170">
        <v>44931.50875603009</v>
      </c>
      <c r="C668" s="1175">
        <v>1.06198148753871</v>
      </c>
      <c r="D668" s="1172">
        <v>463994.0150120713</v>
      </c>
      <c r="E668" s="1173">
        <v>436913.4683199065</v>
      </c>
      <c r="F668" s="1174">
        <v>27.56555794541188</v>
      </c>
      <c r="G668" s="1172">
        <v>60389.53867559509</v>
      </c>
      <c r="H668" s="1172">
        <v>101.65296386030093</v>
      </c>
      <c r="I668" s="1172"/>
      <c r="J668" s="1172">
        <v>463994.0150120713</v>
      </c>
      <c r="K668" s="1172">
        <v>400129.357595</v>
      </c>
      <c r="L668" s="1098"/>
      <c r="M668" s="1100"/>
      <c r="N668" s="1096"/>
      <c r="O668" s="1098"/>
      <c r="P668" s="1096"/>
      <c r="Q668" s="1096"/>
    </row>
    <row r="669">
      <c r="A669" s="1126"/>
      <c r="B669" s="1170">
        <v>44932.508751643516</v>
      </c>
      <c r="C669" s="1175">
        <v>1.05136993502534</v>
      </c>
      <c r="D669" s="1172">
        <v>463728.3513590448</v>
      </c>
      <c r="E669" s="1173">
        <v>441070.584111641</v>
      </c>
      <c r="F669" s="1174">
        <v>27.67722529625513</v>
      </c>
      <c r="G669" s="1172">
        <v>60111.45222696708</v>
      </c>
      <c r="H669" s="1172">
        <v>101.1221649167254</v>
      </c>
      <c r="I669" s="1172"/>
      <c r="J669" s="1172">
        <v>463728.3513590448</v>
      </c>
      <c r="K669" s="1172">
        <v>400129.357595</v>
      </c>
      <c r="L669" s="1098"/>
      <c r="M669" s="1100"/>
      <c r="N669" s="1096"/>
      <c r="O669" s="1098"/>
      <c r="P669" s="1096"/>
      <c r="Q669" s="1096"/>
    </row>
    <row r="670">
      <c r="A670" s="1126"/>
      <c r="B670" s="1170">
        <v>44933.508747824075</v>
      </c>
      <c r="C670" s="1175">
        <v>1.06635045821079</v>
      </c>
      <c r="D670" s="1172">
        <v>464398.87494615716</v>
      </c>
      <c r="E670" s="1173">
        <v>435503.0481492581</v>
      </c>
      <c r="F670" s="1174">
        <v>27.444106429677664</v>
      </c>
      <c r="G670" s="1172">
        <v>60709.71368346704</v>
      </c>
      <c r="H670" s="1172">
        <v>102.65399662415909</v>
      </c>
      <c r="I670" s="1172"/>
      <c r="J670" s="1172">
        <v>464398.87494615716</v>
      </c>
      <c r="K670" s="1172">
        <v>400129.357595</v>
      </c>
      <c r="L670" s="1098"/>
      <c r="M670" s="1100"/>
      <c r="N670" s="1096"/>
      <c r="O670" s="1098"/>
      <c r="P670" s="1096"/>
      <c r="Q670" s="1096"/>
    </row>
    <row r="671">
      <c r="A671" s="1126"/>
      <c r="B671" s="1170">
        <v>44935.508748761575</v>
      </c>
      <c r="C671" s="1175">
        <v>1.06640504196304</v>
      </c>
      <c r="D671" s="1172">
        <v>465841.94449592347</v>
      </c>
      <c r="E671" s="1173">
        <v>436833.96661216166</v>
      </c>
      <c r="F671" s="1174">
        <v>26.960140952050864</v>
      </c>
      <c r="G671" s="1172">
        <v>61991.558102031675</v>
      </c>
      <c r="H671" s="1172">
        <v>107.47135906347677</v>
      </c>
      <c r="I671" s="1172"/>
      <c r="J671" s="1172">
        <v>465841.94449592347</v>
      </c>
      <c r="K671" s="1172">
        <v>400129.357595</v>
      </c>
      <c r="L671" s="1098"/>
      <c r="M671" s="1100"/>
      <c r="N671" s="1096"/>
      <c r="O671" s="1098"/>
      <c r="P671" s="1096"/>
      <c r="Q671" s="1096"/>
    </row>
    <row r="672">
      <c r="A672" s="1126"/>
      <c r="B672" s="1170">
        <v>44936.50876640047</v>
      </c>
      <c r="C672" s="1175">
        <v>1.07410116529235</v>
      </c>
      <c r="D672" s="1172">
        <v>465809.262056928</v>
      </c>
      <c r="E672" s="1173">
        <v>433673.5468768843</v>
      </c>
      <c r="F672" s="1174">
        <v>26.964192950938195</v>
      </c>
      <c r="G672" s="1172">
        <v>61977.893887734295</v>
      </c>
      <c r="H672" s="1172">
        <v>108.28209505837103</v>
      </c>
      <c r="I672" s="1172"/>
      <c r="J672" s="1172">
        <v>465809.262056928</v>
      </c>
      <c r="K672" s="1172">
        <v>400129.357595</v>
      </c>
      <c r="L672" s="1098"/>
      <c r="M672" s="1100"/>
      <c r="N672" s="1096"/>
      <c r="O672" s="1098"/>
      <c r="P672" s="1096"/>
      <c r="Q672" s="1096"/>
    </row>
    <row r="673">
      <c r="A673" s="1126"/>
      <c r="B673" s="1170">
        <v>44937.50875679398</v>
      </c>
      <c r="C673" s="1175">
        <v>1.07441621594906</v>
      </c>
      <c r="D673" s="1172">
        <v>466469.37147223315</v>
      </c>
      <c r="E673" s="1173">
        <v>434160.76986532495</v>
      </c>
      <c r="F673" s="1174">
        <v>26.742137968664146</v>
      </c>
      <c r="G673" s="1172">
        <v>62581.09078608311</v>
      </c>
      <c r="H673" s="1172">
        <v>108.50174270363118</v>
      </c>
      <c r="I673" s="1172"/>
      <c r="J673" s="1172">
        <v>466469.37147223315</v>
      </c>
      <c r="K673" s="1172">
        <v>400129.357595</v>
      </c>
      <c r="L673" s="1098"/>
      <c r="M673" s="1100"/>
      <c r="N673" s="1096"/>
      <c r="O673" s="1098"/>
      <c r="P673" s="1096"/>
      <c r="Q673" s="1096"/>
    </row>
    <row r="674">
      <c r="A674" s="1126"/>
      <c r="B674" s="1170">
        <v>44938.508756655094</v>
      </c>
      <c r="C674" s="1175">
        <v>1.07588542680913</v>
      </c>
      <c r="D674" s="1172">
        <v>468086.68825128395</v>
      </c>
      <c r="E674" s="1173">
        <v>435071.1298688554</v>
      </c>
      <c r="F674" s="1174">
        <v>25.743027165205756</v>
      </c>
      <c r="G674" s="1172">
        <v>22793.777526068072</v>
      </c>
      <c r="H674" s="1172">
        <v>113.6724648263761</v>
      </c>
      <c r="I674" s="1172"/>
      <c r="J674" s="1172">
        <v>468086.68825128395</v>
      </c>
      <c r="K674" s="1172">
        <v>441478.357595</v>
      </c>
      <c r="L674" s="1098"/>
      <c r="M674" s="1100"/>
      <c r="N674" s="1096"/>
      <c r="O674" s="1098"/>
      <c r="P674" s="1096"/>
      <c r="Q674" s="1096"/>
    </row>
    <row r="675">
      <c r="A675" s="1126"/>
      <c r="B675" s="1193">
        <v>44939.50877785879</v>
      </c>
      <c r="C675" s="646">
        <v>1.0846645783258</v>
      </c>
      <c r="D675" s="646">
        <v>469242.5744126766</v>
      </c>
      <c r="E675" s="646">
        <v>432615.37602432014</v>
      </c>
      <c r="F675" s="646">
        <v>24.69745104538436</v>
      </c>
      <c r="G675" s="646">
        <v>23817.43041633258</v>
      </c>
      <c r="H675" s="646">
        <v>114.86946799201844</v>
      </c>
      <c r="J675" s="646">
        <v>469242.5744126766</v>
      </c>
      <c r="K675" s="646">
        <v>441478.357595</v>
      </c>
      <c r="L675" s="1098"/>
      <c r="M675" s="1100"/>
      <c r="N675" s="1096"/>
      <c r="O675" s="1098"/>
      <c r="P675" s="1096"/>
      <c r="Q675" s="1096"/>
    </row>
    <row r="676">
      <c r="A676" s="1126"/>
      <c r="B676" s="1193">
        <v>44940.508749988425</v>
      </c>
      <c r="C676" s="646">
        <v>1.08435054450663</v>
      </c>
      <c r="D676" s="646">
        <v>459835.09768801485</v>
      </c>
      <c r="E676" s="646">
        <v>424064.9852739603</v>
      </c>
      <c r="F676" s="646">
        <v>22.389285310353127</v>
      </c>
      <c r="G676" s="646">
        <v>0.0</v>
      </c>
      <c r="H676" s="646">
        <v>123.97372060093915</v>
      </c>
      <c r="J676" s="646">
        <v>459835.09768801485</v>
      </c>
      <c r="K676" s="646">
        <v>455569.357595</v>
      </c>
      <c r="L676" s="1098"/>
      <c r="M676" s="1100"/>
      <c r="N676" s="1096"/>
      <c r="O676" s="1098"/>
      <c r="P676" s="1096"/>
      <c r="Q676" s="1096"/>
    </row>
    <row r="677">
      <c r="A677" s="1126"/>
      <c r="B677" s="1170">
        <v>44941.50875565972</v>
      </c>
      <c r="C677" s="1175">
        <v>1.08435054450663</v>
      </c>
      <c r="D677" s="1172">
        <v>459874.63798767055</v>
      </c>
      <c r="E677" s="1173">
        <v>424101.4497732461</v>
      </c>
      <c r="F677" s="1174">
        <v>22.208749492717384</v>
      </c>
      <c r="G677" s="1172">
        <v>0.0</v>
      </c>
      <c r="H677" s="1172">
        <v>124.31976702183945</v>
      </c>
      <c r="I677" s="1172"/>
      <c r="J677" s="1172">
        <v>459874.63798767055</v>
      </c>
      <c r="K677" s="1172">
        <v>455569.357595</v>
      </c>
      <c r="L677" s="1098"/>
      <c r="M677" s="1100"/>
      <c r="N677" s="1096"/>
      <c r="O677" s="1098"/>
      <c r="P677" s="1096"/>
      <c r="Q677" s="1096"/>
    </row>
    <row r="678">
      <c r="A678" s="1126"/>
      <c r="B678" s="1170">
        <v>44942.50876383102</v>
      </c>
      <c r="C678" s="1175">
        <v>1.08239633890262</v>
      </c>
      <c r="D678" s="1172">
        <v>460250.86712445144</v>
      </c>
      <c r="E678" s="1173">
        <v>425214.73011547094</v>
      </c>
      <c r="F678" s="1174">
        <v>22.088817280294595</v>
      </c>
      <c r="G678" s="1172">
        <v>0.0</v>
      </c>
      <c r="H678" s="1172">
        <v>125.56385904432231</v>
      </c>
      <c r="I678" s="1172"/>
      <c r="J678" s="1172">
        <v>460250.86712445144</v>
      </c>
      <c r="K678" s="1172">
        <v>455569.357595</v>
      </c>
      <c r="L678" s="1098"/>
      <c r="M678" s="1100"/>
      <c r="N678" s="1096"/>
      <c r="O678" s="1098"/>
      <c r="P678" s="1096"/>
      <c r="Q678" s="1096"/>
    </row>
    <row r="679">
      <c r="A679" s="1126"/>
      <c r="B679" s="1170">
        <v>44943.50875277778</v>
      </c>
      <c r="C679" s="1175">
        <v>1.08158387142131</v>
      </c>
      <c r="D679" s="1172">
        <v>460151.05647315335</v>
      </c>
      <c r="E679" s="1173">
        <v>425441.86228338315</v>
      </c>
      <c r="F679" s="1174">
        <v>21.771322240838135</v>
      </c>
      <c r="G679" s="1172">
        <v>0.0</v>
      </c>
      <c r="H679" s="1172">
        <v>126.95711527426057</v>
      </c>
      <c r="I679" s="1172"/>
      <c r="J679" s="1172">
        <v>460151.05647315335</v>
      </c>
      <c r="K679" s="1172">
        <v>455569.357595</v>
      </c>
      <c r="L679" s="1098"/>
      <c r="M679" s="1100"/>
      <c r="N679" s="1096"/>
      <c r="O679" s="1098"/>
      <c r="P679" s="1096"/>
      <c r="Q679" s="1096"/>
    </row>
    <row r="680">
      <c r="A680" s="1126"/>
      <c r="B680" s="1170">
        <v>44944.508749953704</v>
      </c>
      <c r="C680" s="1175">
        <v>1.08608529245019</v>
      </c>
      <c r="D680" s="1172">
        <v>460236.2700594298</v>
      </c>
      <c r="E680" s="1173">
        <v>423757.02282197797</v>
      </c>
      <c r="F680" s="1174">
        <v>21.70206698057446</v>
      </c>
      <c r="G680" s="1172">
        <v>0.0</v>
      </c>
      <c r="H680" s="1172">
        <v>118.78607159920232</v>
      </c>
      <c r="I680" s="1172"/>
      <c r="J680" s="1172">
        <v>460236.2700594298</v>
      </c>
      <c r="K680" s="1172">
        <v>455587.27</v>
      </c>
      <c r="L680" s="1098"/>
      <c r="M680" s="1100"/>
      <c r="N680" s="1096"/>
      <c r="O680" s="1098"/>
      <c r="P680" s="1096"/>
      <c r="Q680" s="1096"/>
    </row>
    <row r="681">
      <c r="A681" s="1126"/>
      <c r="B681" s="1170">
        <v>44945.508756724535</v>
      </c>
      <c r="C681" s="1175">
        <v>1.08228036472848</v>
      </c>
      <c r="D681" s="1172">
        <v>459987.5555576855</v>
      </c>
      <c r="E681" s="1173">
        <v>425017.0016464136</v>
      </c>
      <c r="F681" s="1174">
        <v>22.129621706694806</v>
      </c>
      <c r="G681" s="1172">
        <v>0.0</v>
      </c>
      <c r="H681" s="1172">
        <v>114.89642538603493</v>
      </c>
      <c r="I681" s="1172"/>
      <c r="J681" s="1172">
        <v>459987.5555576855</v>
      </c>
      <c r="K681" s="1172">
        <v>455587.27</v>
      </c>
      <c r="L681" s="1098"/>
      <c r="M681" s="1100"/>
      <c r="N681" s="1096"/>
      <c r="O681" s="1098"/>
      <c r="P681" s="1096"/>
      <c r="Q681" s="1096"/>
    </row>
    <row r="682">
      <c r="A682" s="1126"/>
      <c r="B682" s="1170">
        <v>44946.50875037037</v>
      </c>
      <c r="C682" s="1175">
        <v>1.08399673933781</v>
      </c>
      <c r="D682" s="1172">
        <v>460055.062411993</v>
      </c>
      <c r="E682" s="1173">
        <v>424406.3157358117</v>
      </c>
      <c r="F682" s="1174">
        <v>21.93394660116011</v>
      </c>
      <c r="G682" s="1172">
        <v>0.0</v>
      </c>
      <c r="H682" s="1172">
        <v>117.08726965496972</v>
      </c>
      <c r="I682" s="1172"/>
      <c r="J682" s="1172">
        <v>460055.062411993</v>
      </c>
      <c r="K682" s="1172">
        <v>455587.27</v>
      </c>
      <c r="L682" s="1098"/>
      <c r="M682" s="1100"/>
      <c r="N682" s="1096"/>
      <c r="O682" s="1098"/>
      <c r="P682" s="1096"/>
      <c r="Q682" s="1096"/>
    </row>
    <row r="683">
      <c r="A683" s="1126"/>
      <c r="B683" s="1170">
        <v>44947.50875065972</v>
      </c>
      <c r="C683" s="1175">
        <v>1.08773803787286</v>
      </c>
      <c r="D683" s="1172">
        <v>460196.28848824155</v>
      </c>
      <c r="E683" s="1173">
        <v>423076.39566249266</v>
      </c>
      <c r="F683" s="1174">
        <v>20.210261583387616</v>
      </c>
      <c r="G683" s="1172">
        <v>0.0</v>
      </c>
      <c r="H683" s="1172">
        <v>0.0</v>
      </c>
      <c r="I683" s="1172"/>
      <c r="J683" s="1172">
        <v>460196.28848824155</v>
      </c>
      <c r="K683" s="1172">
        <v>455587.27</v>
      </c>
      <c r="L683" s="1098"/>
      <c r="M683" s="1100"/>
      <c r="N683" s="1096"/>
      <c r="O683" s="1098"/>
      <c r="P683" s="1096"/>
      <c r="Q683" s="1096"/>
    </row>
    <row r="684">
      <c r="A684" s="1126"/>
      <c r="B684" s="1170">
        <v>44948.508743287035</v>
      </c>
      <c r="C684" s="1175">
        <v>1.08773803787286</v>
      </c>
      <c r="D684" s="1172">
        <v>460356.85277528816</v>
      </c>
      <c r="E684" s="1173">
        <v>423224.0086735818</v>
      </c>
      <c r="F684" s="1174">
        <v>20.11939509551754</v>
      </c>
      <c r="G684" s="1172">
        <v>0.0</v>
      </c>
      <c r="H684" s="1172">
        <v>122.67487034604342</v>
      </c>
      <c r="I684" s="1172"/>
      <c r="J684" s="1172">
        <v>460356.85277528816</v>
      </c>
      <c r="K684" s="1172">
        <v>455587.27</v>
      </c>
      <c r="L684" s="1098"/>
      <c r="M684" s="1100"/>
      <c r="N684" s="1096"/>
      <c r="O684" s="1098"/>
      <c r="P684" s="1096"/>
      <c r="Q684" s="1096"/>
    </row>
    <row r="685">
      <c r="A685" s="1126"/>
      <c r="B685" s="1170">
        <v>44949.508750312496</v>
      </c>
      <c r="C685" s="1175">
        <v>1.09067548805001</v>
      </c>
      <c r="D685" s="1172">
        <v>460396.4834469425</v>
      </c>
      <c r="E685" s="1173">
        <v>422120.5010026156</v>
      </c>
      <c r="F685" s="1174">
        <v>20.106713162988996</v>
      </c>
      <c r="G685" s="1172">
        <v>0.0</v>
      </c>
      <c r="H685" s="1172">
        <v>123.46999374057637</v>
      </c>
      <c r="I685" s="1172"/>
      <c r="J685" s="1172">
        <v>460396.4834469425</v>
      </c>
      <c r="K685" s="1172">
        <v>455587.27</v>
      </c>
      <c r="L685" s="1098"/>
      <c r="M685" s="1100"/>
      <c r="N685" s="1096"/>
      <c r="O685" s="1098"/>
      <c r="P685" s="1096"/>
      <c r="Q685" s="1096"/>
    </row>
    <row r="686">
      <c r="A686" s="1126"/>
      <c r="B686" s="1170">
        <v>44950.50874755787</v>
      </c>
      <c r="C686" s="1175">
        <v>1.08547696943514</v>
      </c>
      <c r="D686" s="1172">
        <v>460525.34924604517</v>
      </c>
      <c r="E686" s="1173">
        <v>424260.82009431586</v>
      </c>
      <c r="F686" s="1174">
        <v>20.10352116352985</v>
      </c>
      <c r="G686" s="1172">
        <v>0.0</v>
      </c>
      <c r="H686" s="1172">
        <v>122.42341497737891</v>
      </c>
      <c r="I686" s="1172"/>
      <c r="J686" s="1172">
        <v>460525.34924604517</v>
      </c>
      <c r="K686" s="1172">
        <v>455587.27</v>
      </c>
      <c r="L686" s="1098"/>
      <c r="M686" s="1100"/>
      <c r="N686" s="1096"/>
      <c r="O686" s="1098"/>
      <c r="P686" s="1096"/>
      <c r="Q686" s="1096"/>
    </row>
    <row r="687">
      <c r="A687" s="1126"/>
      <c r="B687" s="1170">
        <v>44951.508752361115</v>
      </c>
      <c r="C687" s="1175">
        <v>1.08651955191934</v>
      </c>
      <c r="D687" s="1172">
        <v>460422.48726149276</v>
      </c>
      <c r="E687" s="1173">
        <v>423759.0446008588</v>
      </c>
      <c r="F687" s="1174">
        <v>20.353403403242126</v>
      </c>
      <c r="G687" s="1172">
        <v>0.0</v>
      </c>
      <c r="H687" s="1172">
        <v>116.71809559488156</v>
      </c>
      <c r="I687" s="1172"/>
      <c r="J687" s="1172">
        <v>460422.48726149276</v>
      </c>
      <c r="K687" s="1172">
        <v>455587.27</v>
      </c>
      <c r="L687" s="1098"/>
      <c r="M687" s="1100"/>
      <c r="N687" s="1096"/>
      <c r="O687" s="1098"/>
      <c r="P687" s="1096"/>
      <c r="Q687" s="1096"/>
    </row>
    <row r="688">
      <c r="A688" s="1126"/>
      <c r="B688" s="1170">
        <v>44952.508765949075</v>
      </c>
      <c r="C688" s="1175">
        <v>1.08990400125557</v>
      </c>
      <c r="D688" s="1172">
        <v>460482.8244390349</v>
      </c>
      <c r="E688" s="1173">
        <v>422498.5172167075</v>
      </c>
      <c r="F688" s="1174">
        <v>20.077152054586634</v>
      </c>
      <c r="G688" s="1172">
        <v>0.0</v>
      </c>
      <c r="H688" s="1172">
        <v>120.74800334900661</v>
      </c>
      <c r="I688" s="1172"/>
      <c r="J688" s="1172">
        <v>460482.8244390349</v>
      </c>
      <c r="K688" s="1172">
        <v>455587.27</v>
      </c>
      <c r="L688" s="1098"/>
      <c r="M688" s="1100"/>
      <c r="N688" s="1096"/>
      <c r="O688" s="1098"/>
      <c r="P688" s="1096"/>
      <c r="Q688" s="1096"/>
    </row>
    <row r="689">
      <c r="A689" s="1126"/>
      <c r="B689" s="1170">
        <v>44953.50874828704</v>
      </c>
      <c r="C689" s="1175">
        <v>1.08874940799251</v>
      </c>
      <c r="D689" s="1172">
        <v>460447.10530225455</v>
      </c>
      <c r="E689" s="1173">
        <v>422913.75951354107</v>
      </c>
      <c r="F689" s="1174">
        <v>20.053489379500054</v>
      </c>
      <c r="G689" s="1172">
        <v>0.0</v>
      </c>
      <c r="H689" s="1172">
        <v>119.02092116769707</v>
      </c>
      <c r="I689" s="1172"/>
      <c r="J689" s="1172">
        <v>460447.10530225455</v>
      </c>
      <c r="K689" s="1172">
        <v>455587.27</v>
      </c>
      <c r="L689" s="1098"/>
      <c r="M689" s="1100"/>
      <c r="N689" s="1096"/>
      <c r="O689" s="1098"/>
      <c r="P689" s="1096"/>
      <c r="Q689" s="1096"/>
    </row>
    <row r="690">
      <c r="A690" s="1126"/>
      <c r="B690" s="1170">
        <v>44954.50874733797</v>
      </c>
      <c r="C690" s="1175">
        <v>1.08724960641564</v>
      </c>
      <c r="D690" s="1172">
        <v>460511.6609691323</v>
      </c>
      <c r="E690" s="1173">
        <v>423556.5211996823</v>
      </c>
      <c r="F690" s="1174">
        <v>20.028852477846932</v>
      </c>
      <c r="G690" s="1172">
        <v>0.0</v>
      </c>
      <c r="H690" s="1172">
        <v>119.51072900004047</v>
      </c>
      <c r="I690" s="1172"/>
      <c r="J690" s="1172">
        <v>460511.6609691323</v>
      </c>
      <c r="K690" s="1172">
        <v>455587.27</v>
      </c>
      <c r="L690" s="1098"/>
      <c r="M690" s="1100"/>
      <c r="N690" s="1096"/>
      <c r="O690" s="1098"/>
      <c r="P690" s="1096"/>
      <c r="Q690" s="1096"/>
    </row>
    <row r="691">
      <c r="A691" s="1126"/>
      <c r="B691" s="1170">
        <v>44955.50877043982</v>
      </c>
      <c r="C691" s="1175">
        <v>1.08724960641564</v>
      </c>
      <c r="D691" s="1172">
        <v>460561.4212792786</v>
      </c>
      <c r="E691" s="1173">
        <v>423602.28834445996</v>
      </c>
      <c r="F691" s="1174">
        <v>19.702999858512026</v>
      </c>
      <c r="G691" s="1172">
        <v>0.0</v>
      </c>
      <c r="H691" s="1172">
        <v>120.94114905426451</v>
      </c>
      <c r="I691" s="1172"/>
      <c r="J691" s="1172">
        <v>460561.4212792786</v>
      </c>
      <c r="K691" s="1172">
        <v>455587.27</v>
      </c>
      <c r="L691" s="1098"/>
      <c r="M691" s="1100"/>
      <c r="N691" s="1096"/>
      <c r="O691" s="1098"/>
      <c r="P691" s="1096"/>
      <c r="Q691" s="1096"/>
    </row>
    <row r="692">
      <c r="A692" s="1126"/>
      <c r="B692" s="1170">
        <v>44956.508761296296</v>
      </c>
      <c r="C692" s="1175">
        <v>1.09063980202706</v>
      </c>
      <c r="D692" s="1172">
        <v>460420.72279471165</v>
      </c>
      <c r="E692" s="1173">
        <v>422156.53778541274</v>
      </c>
      <c r="F692" s="1174">
        <v>19.789938966914498</v>
      </c>
      <c r="G692" s="1172">
        <v>0.0</v>
      </c>
      <c r="H692" s="1172">
        <v>119.63935168760108</v>
      </c>
      <c r="I692" s="1172"/>
      <c r="J692" s="1172">
        <v>460420.72279471165</v>
      </c>
      <c r="K692" s="1172">
        <v>455587.27</v>
      </c>
      <c r="L692" s="1098"/>
      <c r="M692" s="1100"/>
      <c r="N692" s="1096"/>
      <c r="O692" s="1098"/>
      <c r="P692" s="1096"/>
      <c r="Q692" s="1096"/>
    </row>
    <row r="693">
      <c r="A693" s="1126"/>
      <c r="B693" s="1170">
        <v>44957.50875028935</v>
      </c>
      <c r="C693" s="1175">
        <v>1.0823049632341</v>
      </c>
      <c r="D693" s="1172">
        <v>460321.8682436186</v>
      </c>
      <c r="E693" s="1173">
        <v>425316.2314511645</v>
      </c>
      <c r="F693" s="1174">
        <v>20.13567476125131</v>
      </c>
      <c r="G693" s="1172">
        <v>0.0</v>
      </c>
      <c r="H693" s="1172">
        <v>118.30511326252663</v>
      </c>
      <c r="I693" s="1172"/>
      <c r="J693" s="1172">
        <v>460321.8682436186</v>
      </c>
      <c r="K693" s="1172">
        <v>455587.27</v>
      </c>
      <c r="L693" s="1098"/>
      <c r="M693" s="1100"/>
      <c r="N693" s="1096"/>
      <c r="O693" s="1098"/>
      <c r="P693" s="1096"/>
      <c r="Q693" s="1096"/>
    </row>
    <row r="694">
      <c r="A694" s="1126"/>
      <c r="B694" s="1170">
        <v>44958.50874747685</v>
      </c>
      <c r="C694" s="1175">
        <v>1.08845196008429</v>
      </c>
      <c r="D694" s="1172">
        <v>460336.2278952509</v>
      </c>
      <c r="E694" s="1173">
        <v>422927.46467157116</v>
      </c>
      <c r="F694" s="1174">
        <v>19.990638552460585</v>
      </c>
      <c r="G694" s="1172">
        <v>0.0</v>
      </c>
      <c r="H694" s="1172">
        <v>118.83437333034628</v>
      </c>
      <c r="I694" s="1172"/>
      <c r="J694" s="1172">
        <v>460336.2278952509</v>
      </c>
      <c r="K694" s="1172">
        <v>455587.27</v>
      </c>
      <c r="L694" s="1098"/>
      <c r="M694" s="1100"/>
      <c r="N694" s="1096"/>
      <c r="O694" s="1098"/>
      <c r="P694" s="1096"/>
      <c r="Q694" s="1096"/>
    </row>
    <row r="695">
      <c r="A695" s="1126"/>
      <c r="B695" s="1170">
        <v>44959.50875712963</v>
      </c>
      <c r="C695" s="1175">
        <v>1.09933116691805</v>
      </c>
      <c r="D695" s="1172">
        <v>460524.5800786929</v>
      </c>
      <c r="E695" s="1173">
        <v>418913.42112110136</v>
      </c>
      <c r="F695" s="1174">
        <v>19.3470138611773</v>
      </c>
      <c r="G695" s="1172">
        <v>0.0</v>
      </c>
      <c r="H695" s="1172">
        <v>125.93225417759082</v>
      </c>
      <c r="I695" s="1172"/>
      <c r="J695" s="1172">
        <v>460524.5800786929</v>
      </c>
      <c r="K695" s="1172">
        <v>455587.27</v>
      </c>
      <c r="L695" s="1098"/>
      <c r="M695" s="1100"/>
      <c r="N695" s="1096"/>
      <c r="O695" s="1098"/>
      <c r="P695" s="1096"/>
      <c r="Q695" s="1096"/>
    </row>
    <row r="696">
      <c r="A696" s="1126"/>
      <c r="B696" s="1170">
        <v>44960.508750127316</v>
      </c>
      <c r="C696" s="1175">
        <v>1.09297979080367</v>
      </c>
      <c r="D696" s="1172">
        <v>460481.08389999805</v>
      </c>
      <c r="E696" s="1173">
        <v>421307.95809262444</v>
      </c>
      <c r="F696" s="1174">
        <v>19.644041362051144</v>
      </c>
      <c r="G696" s="1172">
        <v>0.0</v>
      </c>
      <c r="H696" s="1172">
        <v>123.9526007045207</v>
      </c>
      <c r="I696" s="1172"/>
      <c r="J696" s="1172">
        <v>460481.08389999805</v>
      </c>
      <c r="K696" s="1172">
        <v>455587.27</v>
      </c>
      <c r="L696" s="1098"/>
      <c r="M696" s="1100"/>
      <c r="N696" s="1096"/>
      <c r="O696" s="1098"/>
      <c r="P696" s="1096"/>
      <c r="Q696" s="1096"/>
    </row>
    <row r="697">
      <c r="A697" s="1126"/>
      <c r="B697" s="1170">
        <v>44961.508755682866</v>
      </c>
      <c r="C697" s="1175">
        <v>1.08113952105519</v>
      </c>
      <c r="D697" s="1172">
        <v>460578.1915437978</v>
      </c>
      <c r="E697" s="1173">
        <v>426011.7982684366</v>
      </c>
      <c r="F697" s="1174">
        <v>19.715979673028723</v>
      </c>
      <c r="G697" s="1172">
        <v>0.0</v>
      </c>
      <c r="H697" s="1172">
        <v>125.20137658717977</v>
      </c>
      <c r="I697" s="1172"/>
      <c r="J697" s="1172">
        <v>460578.1915437978</v>
      </c>
      <c r="K697" s="1172">
        <v>455587.27</v>
      </c>
      <c r="L697" s="1098"/>
      <c r="M697" s="1100"/>
      <c r="N697" s="1096"/>
      <c r="O697" s="1098"/>
      <c r="P697" s="1096"/>
      <c r="Q697" s="1096"/>
    </row>
    <row r="698">
      <c r="A698" s="1126"/>
      <c r="B698" s="1170">
        <v>44962.508749988425</v>
      </c>
      <c r="C698" s="1175">
        <v>1.08264711550329</v>
      </c>
      <c r="D698" s="1172">
        <v>460683.2980013119</v>
      </c>
      <c r="E698" s="1173">
        <v>425515.6563984878</v>
      </c>
      <c r="F698" s="1174">
        <v>19.674118483825115</v>
      </c>
      <c r="G698" s="1172">
        <v>0.0</v>
      </c>
      <c r="H698" s="1172">
        <v>125.78058636770673</v>
      </c>
      <c r="I698" s="1172"/>
      <c r="J698" s="1172">
        <v>460683.2980013119</v>
      </c>
      <c r="K698" s="1172">
        <v>455587.27</v>
      </c>
      <c r="L698" s="1098"/>
      <c r="M698" s="1100"/>
      <c r="N698" s="1096"/>
      <c r="O698" s="1098"/>
      <c r="P698" s="1096"/>
      <c r="Q698" s="1096"/>
    </row>
    <row r="699">
      <c r="A699" s="1126"/>
      <c r="B699" s="1170">
        <v>44963.50874394676</v>
      </c>
      <c r="C699" s="1175">
        <v>1.07758504570577</v>
      </c>
      <c r="D699" s="1172">
        <v>460465.5344287553</v>
      </c>
      <c r="E699" s="1173">
        <v>427312.4764154192</v>
      </c>
      <c r="F699" s="1174">
        <v>20.18286282617564</v>
      </c>
      <c r="G699" s="1172">
        <v>0.0</v>
      </c>
      <c r="H699" s="1172">
        <v>122.76513869464682</v>
      </c>
      <c r="I699" s="1172"/>
      <c r="J699" s="1172">
        <v>460465.5344287553</v>
      </c>
      <c r="K699" s="1172">
        <v>455587.27</v>
      </c>
      <c r="L699" s="1098"/>
      <c r="M699" s="1100"/>
      <c r="N699" s="1096"/>
      <c r="O699" s="1098"/>
      <c r="P699" s="1096"/>
      <c r="Q699" s="1096"/>
    </row>
    <row r="700">
      <c r="A700" s="1126"/>
      <c r="B700" s="1170">
        <v>44964.50875146991</v>
      </c>
      <c r="C700" s="1175">
        <v>1.07110417987695</v>
      </c>
      <c r="D700" s="1172">
        <v>460488.7756629771</v>
      </c>
      <c r="E700" s="1173">
        <v>429919.6887793666</v>
      </c>
      <c r="F700" s="1174">
        <v>20.01043005822462</v>
      </c>
      <c r="G700" s="1172">
        <v>0.0</v>
      </c>
      <c r="H700" s="1172">
        <v>124.0034407793451</v>
      </c>
      <c r="I700" s="1172"/>
      <c r="J700" s="1172">
        <v>460488.7756629771</v>
      </c>
      <c r="K700" s="1172">
        <v>455587.27</v>
      </c>
      <c r="L700" s="1098"/>
      <c r="M700" s="1100"/>
      <c r="N700" s="1096"/>
      <c r="O700" s="1098"/>
      <c r="P700" s="1096"/>
      <c r="Q700" s="1096"/>
    </row>
    <row r="701">
      <c r="A701" s="1126"/>
      <c r="B701" s="1170">
        <v>44965.50875349537</v>
      </c>
      <c r="C701" s="1175">
        <v>1.07458016153089</v>
      </c>
      <c r="D701" s="1172">
        <v>460659.40985483705</v>
      </c>
      <c r="E701" s="1173">
        <v>428687.80417327187</v>
      </c>
      <c r="F701" s="1174">
        <v>19.891226987437474</v>
      </c>
      <c r="G701" s="1172">
        <v>0.0</v>
      </c>
      <c r="H701" s="1172">
        <v>125.96192520056911</v>
      </c>
      <c r="I701" s="1172"/>
      <c r="J701" s="1172">
        <v>460659.40985483705</v>
      </c>
      <c r="K701" s="1172">
        <v>455587.27</v>
      </c>
      <c r="L701" s="1098"/>
      <c r="M701" s="1100"/>
      <c r="N701" s="1096"/>
      <c r="O701" s="1098"/>
      <c r="P701" s="1096"/>
      <c r="Q701" s="1096"/>
    </row>
    <row r="702">
      <c r="A702" s="1126"/>
      <c r="B702" s="1170">
        <v>44966.50874942129</v>
      </c>
      <c r="C702" s="1175">
        <v>1.07611235043383</v>
      </c>
      <c r="D702" s="1172">
        <v>460564.5301007065</v>
      </c>
      <c r="E702" s="1173">
        <v>427989.26145121554</v>
      </c>
      <c r="F702" s="1174">
        <v>20.293771095995705</v>
      </c>
      <c r="G702" s="1172">
        <v>0.0</v>
      </c>
      <c r="H702" s="1172">
        <v>123.05094603681952</v>
      </c>
      <c r="I702" s="1172"/>
      <c r="J702" s="1172">
        <v>460564.5301007065</v>
      </c>
      <c r="K702" s="1172">
        <v>455587.27</v>
      </c>
      <c r="L702" s="1098"/>
      <c r="M702" s="1100"/>
      <c r="N702" s="1096"/>
      <c r="O702" s="1098"/>
      <c r="P702" s="1096"/>
      <c r="Q702" s="1096"/>
    </row>
    <row r="703">
      <c r="A703" s="1126"/>
      <c r="B703" s="1170">
        <v>44967.50874921297</v>
      </c>
      <c r="C703" s="1175">
        <v>1.06981506107039</v>
      </c>
      <c r="D703" s="1172">
        <v>460294.3552538189</v>
      </c>
      <c r="E703" s="1173">
        <v>430256.00592431106</v>
      </c>
      <c r="F703" s="1174">
        <v>21.076991481143118</v>
      </c>
      <c r="G703" s="1172">
        <v>0.0</v>
      </c>
      <c r="H703" s="1172">
        <v>116.44186703686394</v>
      </c>
      <c r="I703" s="1172"/>
      <c r="J703" s="1172">
        <v>460294.3552538189</v>
      </c>
      <c r="K703" s="1172">
        <v>455587.27</v>
      </c>
      <c r="L703" s="1098"/>
      <c r="M703" s="1100"/>
      <c r="N703" s="1096"/>
      <c r="O703" s="1098"/>
      <c r="P703" s="1096"/>
      <c r="Q703" s="1096"/>
    </row>
    <row r="704">
      <c r="A704" s="1126"/>
      <c r="B704" s="1170">
        <v>44968.50877195602</v>
      </c>
      <c r="C704" s="1175">
        <v>1.06884997087384</v>
      </c>
      <c r="D704" s="1172">
        <v>460222.42242249934</v>
      </c>
      <c r="E704" s="1173">
        <v>430577.19508215337</v>
      </c>
      <c r="F704" s="1174">
        <v>21.222030692592025</v>
      </c>
      <c r="G704" s="1172">
        <v>0.0</v>
      </c>
      <c r="H704" s="1172">
        <v>114.52019200390302</v>
      </c>
      <c r="I704" s="1172"/>
      <c r="J704" s="1172">
        <v>460222.42242249934</v>
      </c>
      <c r="K704" s="1172">
        <v>455587.27</v>
      </c>
      <c r="L704" s="1098"/>
      <c r="M704" s="1100"/>
      <c r="N704" s="1096"/>
      <c r="O704" s="1098"/>
      <c r="P704" s="1096"/>
      <c r="Q704" s="1096"/>
    </row>
    <row r="705">
      <c r="A705" s="1126"/>
      <c r="B705" s="1170">
        <v>44969.50875317129</v>
      </c>
      <c r="C705" s="1175">
        <v>1.07003256109083</v>
      </c>
      <c r="D705" s="1172">
        <v>460264.90364026424</v>
      </c>
      <c r="E705" s="1173">
        <v>430141.0259619142</v>
      </c>
      <c r="F705" s="1174">
        <v>21.02205389152683</v>
      </c>
      <c r="G705" s="1172">
        <v>0.0</v>
      </c>
      <c r="H705" s="1172">
        <v>115.86624239132362</v>
      </c>
      <c r="I705" s="1172"/>
      <c r="J705" s="1172">
        <v>460264.90364026424</v>
      </c>
      <c r="K705" s="1172">
        <v>455587.27</v>
      </c>
      <c r="L705" s="1098"/>
      <c r="M705" s="1100"/>
      <c r="N705" s="1096"/>
      <c r="O705" s="1098"/>
      <c r="P705" s="1096"/>
      <c r="Q705" s="1096"/>
    </row>
    <row r="706">
      <c r="A706" s="1126"/>
      <c r="B706" s="1170">
        <v>44970.50875407408</v>
      </c>
      <c r="C706" s="1175">
        <v>1.06788547996113</v>
      </c>
      <c r="D706" s="1172">
        <v>460080.7981837396</v>
      </c>
      <c r="E706" s="1173">
        <v>430833.46184319886</v>
      </c>
      <c r="F706" s="1174">
        <v>21.26788132716698</v>
      </c>
      <c r="G706" s="1172">
        <v>0.0</v>
      </c>
      <c r="H706" s="1172">
        <v>112.05058364379408</v>
      </c>
      <c r="I706" s="1172"/>
      <c r="J706" s="1172">
        <v>460080.7981837396</v>
      </c>
      <c r="K706" s="1172">
        <v>455587.27</v>
      </c>
      <c r="L706" s="1098"/>
      <c r="M706" s="1100"/>
      <c r="N706" s="1096"/>
      <c r="O706" s="1098"/>
      <c r="P706" s="1096"/>
      <c r="Q706" s="1096"/>
    </row>
    <row r="707">
      <c r="A707" s="1126"/>
      <c r="B707" s="1170">
        <v>44971.50874831018</v>
      </c>
      <c r="C707" s="1175">
        <v>1.07582408124623</v>
      </c>
      <c r="D707" s="1172">
        <v>460062.92749811447</v>
      </c>
      <c r="E707" s="1173">
        <v>427637.6923680492</v>
      </c>
      <c r="F707" s="1174">
        <v>21.08016272277792</v>
      </c>
      <c r="G707" s="1172">
        <v>0.0</v>
      </c>
      <c r="H707" s="1172">
        <v>113.84510539145613</v>
      </c>
      <c r="I707" s="1172"/>
      <c r="J707" s="1172">
        <v>460062.92749811447</v>
      </c>
      <c r="K707" s="1172">
        <v>455587.27</v>
      </c>
      <c r="L707" s="1098"/>
      <c r="M707" s="1100"/>
      <c r="N707" s="1096"/>
      <c r="O707" s="1098"/>
      <c r="P707" s="1096"/>
      <c r="Q707" s="1096"/>
    </row>
    <row r="708">
      <c r="A708" s="1126"/>
      <c r="B708" s="1170">
        <v>44972.50874528935</v>
      </c>
      <c r="C708" s="1175">
        <v>1.07291187209174</v>
      </c>
      <c r="D708" s="1172">
        <v>460194.1959982585</v>
      </c>
      <c r="E708" s="1173">
        <v>428920.7790208041</v>
      </c>
      <c r="F708" s="1174">
        <v>20.682502479042153</v>
      </c>
      <c r="G708" s="1172">
        <v>0.0</v>
      </c>
      <c r="H708" s="1172">
        <v>117.32573289274504</v>
      </c>
      <c r="I708" s="1172"/>
      <c r="J708" s="1172">
        <v>460194.1959982585</v>
      </c>
      <c r="K708" s="1172">
        <v>455587.27</v>
      </c>
      <c r="L708" s="1098"/>
      <c r="M708" s="1100"/>
      <c r="N708" s="1096"/>
      <c r="O708" s="1098"/>
      <c r="P708" s="1096"/>
      <c r="Q708" s="1096"/>
    </row>
    <row r="709">
      <c r="A709" s="1126"/>
      <c r="B709" s="1170">
        <v>44973.50874875</v>
      </c>
      <c r="C709" s="1175">
        <v>1.07081514732275</v>
      </c>
      <c r="D709" s="1172">
        <v>460518.1862356145</v>
      </c>
      <c r="E709" s="1173">
        <v>430063.19754348</v>
      </c>
      <c r="F709" s="1174">
        <v>18.716356216175704</v>
      </c>
      <c r="G709" s="1172">
        <v>0.0</v>
      </c>
      <c r="H709" s="1172">
        <v>127.05974846126796</v>
      </c>
      <c r="I709" s="1172"/>
      <c r="J709" s="1172">
        <v>460518.1862356145</v>
      </c>
      <c r="K709" s="1172">
        <v>455587.27</v>
      </c>
      <c r="L709" s="1098"/>
      <c r="M709" s="1100"/>
      <c r="N709" s="1096"/>
      <c r="O709" s="1098"/>
      <c r="P709" s="1096"/>
      <c r="Q709" s="1096"/>
    </row>
    <row r="710">
      <c r="A710" s="1126"/>
      <c r="B710" s="1170">
        <v>44974.50876434028</v>
      </c>
      <c r="C710" s="1175">
        <v>1.06391806979728</v>
      </c>
      <c r="D710" s="1172">
        <v>460324.80891570816</v>
      </c>
      <c r="E710" s="1173">
        <v>432669.41504567064</v>
      </c>
      <c r="F710" s="1174">
        <v>19.365710224819153</v>
      </c>
      <c r="G710" s="1172">
        <v>0.0</v>
      </c>
      <c r="H710" s="1172">
        <v>125.5235661053722</v>
      </c>
      <c r="I710" s="1172"/>
      <c r="J710" s="1172">
        <v>460324.80891570816</v>
      </c>
      <c r="K710" s="1172">
        <v>455587.27</v>
      </c>
      <c r="L710" s="1098"/>
      <c r="M710" s="1100"/>
      <c r="N710" s="1096"/>
      <c r="O710" s="1098"/>
      <c r="P710" s="1096"/>
      <c r="Q710" s="1096"/>
    </row>
    <row r="711">
      <c r="A711" s="1126"/>
      <c r="B711" s="1170">
        <v>44975.50874871528</v>
      </c>
      <c r="C711" s="1175">
        <v>1.07164940775295</v>
      </c>
      <c r="D711" s="1172">
        <v>460448.40183007426</v>
      </c>
      <c r="E711" s="1173">
        <v>429663.2821321193</v>
      </c>
      <c r="F711" s="1174">
        <v>18.80182856982892</v>
      </c>
      <c r="G711" s="1172">
        <v>0.0</v>
      </c>
      <c r="H711" s="1172">
        <v>127.41700550189975</v>
      </c>
      <c r="I711" s="1172"/>
      <c r="J711" s="1172">
        <v>460448.40183007426</v>
      </c>
      <c r="K711" s="1172">
        <v>455587.27</v>
      </c>
      <c r="L711" s="1098"/>
      <c r="M711" s="1100"/>
      <c r="N711" s="1096"/>
      <c r="O711" s="1098"/>
      <c r="P711" s="1096"/>
      <c r="Q711" s="1096"/>
    </row>
    <row r="712">
      <c r="A712" s="1126"/>
      <c r="B712" s="1170">
        <v>44976.50874631944</v>
      </c>
      <c r="C712" s="1175">
        <v>1.07164940775295</v>
      </c>
      <c r="D712" s="1172">
        <v>460444.7177988914</v>
      </c>
      <c r="E712" s="1173">
        <v>429659.8444115773</v>
      </c>
      <c r="F712" s="1174">
        <v>18.66959641130796</v>
      </c>
      <c r="G712" s="1172">
        <v>0.0</v>
      </c>
      <c r="H712" s="1172">
        <v>127.9316289222471</v>
      </c>
      <c r="I712" s="1172"/>
      <c r="J712" s="1172">
        <v>460444.7177988914</v>
      </c>
      <c r="K712" s="1172">
        <v>455587.27</v>
      </c>
      <c r="L712" s="1098"/>
      <c r="M712" s="1100"/>
      <c r="N712" s="1096"/>
      <c r="O712" s="1098"/>
      <c r="P712" s="1096"/>
      <c r="Q712" s="1096"/>
    </row>
    <row r="713">
      <c r="A713" s="1126"/>
      <c r="B713" s="1170">
        <v>44977.508760509256</v>
      </c>
      <c r="C713" s="1175">
        <v>1.06855416073619</v>
      </c>
      <c r="D713" s="1172">
        <v>460631.6830763026</v>
      </c>
      <c r="E713" s="1173">
        <v>431079.3968168598</v>
      </c>
      <c r="F713" s="1174">
        <v>18.511412638625405</v>
      </c>
      <c r="G713" s="1172">
        <v>0.0</v>
      </c>
      <c r="H713" s="1172">
        <v>129.1077610475893</v>
      </c>
      <c r="I713" s="1172"/>
      <c r="J713" s="1172">
        <v>460631.6830763026</v>
      </c>
      <c r="K713" s="1172">
        <v>455587.27</v>
      </c>
      <c r="L713" s="1098"/>
      <c r="M713" s="1100"/>
      <c r="N713" s="1096"/>
      <c r="O713" s="1098"/>
      <c r="P713" s="1096"/>
      <c r="Q713" s="1096"/>
    </row>
    <row r="714">
      <c r="A714" s="1126"/>
      <c r="B714" s="1170">
        <v>44978.50875666666</v>
      </c>
      <c r="C714" s="1175">
        <v>1.06570043160867</v>
      </c>
      <c r="D714" s="1172">
        <v>460868.8821379455</v>
      </c>
      <c r="E714" s="1173">
        <v>432456.3155541431</v>
      </c>
      <c r="F714" s="1174">
        <v>18.64719124897071</v>
      </c>
      <c r="G714" s="1172">
        <v>0.0</v>
      </c>
      <c r="H714" s="1172">
        <v>126.70090193569514</v>
      </c>
      <c r="I714" s="1172"/>
      <c r="J714" s="1172">
        <v>460868.8821379455</v>
      </c>
      <c r="K714" s="1172">
        <v>455587.27</v>
      </c>
      <c r="L714" s="1098"/>
      <c r="M714" s="1100"/>
      <c r="N714" s="1096"/>
      <c r="O714" s="1098"/>
      <c r="P714" s="1096"/>
      <c r="Q714" s="1096"/>
    </row>
    <row r="715">
      <c r="A715" s="1126"/>
      <c r="B715" s="1170">
        <v>44979.50874567129</v>
      </c>
      <c r="C715" s="1175">
        <v>1.06401089547157</v>
      </c>
      <c r="D715" s="1172">
        <v>460701.00075487344</v>
      </c>
      <c r="E715" s="1173">
        <v>432985.2285494601</v>
      </c>
      <c r="F715" s="1174">
        <v>19.042549007410045</v>
      </c>
      <c r="G715" s="1172">
        <v>0.0</v>
      </c>
      <c r="H715" s="1172">
        <v>124.02872551967414</v>
      </c>
      <c r="I715" s="1172"/>
      <c r="J715" s="1172">
        <v>460701.00075487344</v>
      </c>
      <c r="K715" s="1172">
        <v>455587.27</v>
      </c>
      <c r="L715" s="1098"/>
      <c r="M715" s="1100"/>
      <c r="N715" s="1096"/>
      <c r="O715" s="1098"/>
      <c r="P715" s="1096"/>
      <c r="Q715" s="1096"/>
    </row>
    <row r="716">
      <c r="A716" s="1126"/>
      <c r="B716" s="1170">
        <v>44980.5087481713</v>
      </c>
      <c r="C716" s="1175">
        <v>1.05911223094578</v>
      </c>
      <c r="D716" s="1172">
        <v>460689.46067281876</v>
      </c>
      <c r="E716" s="1173">
        <v>434976.9998042853</v>
      </c>
      <c r="F716" s="1174">
        <v>18.989431421887804</v>
      </c>
      <c r="G716" s="1172">
        <v>0.0</v>
      </c>
      <c r="H716" s="1172">
        <v>125.57252053050465</v>
      </c>
      <c r="I716" s="1172"/>
      <c r="J716" s="1172">
        <v>460689.46067281876</v>
      </c>
      <c r="K716" s="1172">
        <v>455587.27</v>
      </c>
      <c r="L716" s="1098"/>
      <c r="M716" s="1100"/>
      <c r="N716" s="1096"/>
      <c r="O716" s="1098"/>
      <c r="P716" s="1096"/>
      <c r="Q716" s="1096"/>
    </row>
    <row r="717">
      <c r="A717" s="1126"/>
      <c r="B717" s="1170">
        <v>44981.50875100694</v>
      </c>
      <c r="C717" s="1175">
        <v>1.05873434661269</v>
      </c>
      <c r="D717" s="1172">
        <v>460614.64566223754</v>
      </c>
      <c r="E717" s="1173">
        <v>435061.58757947735</v>
      </c>
      <c r="F717" s="1174">
        <v>19.293566525363172</v>
      </c>
      <c r="G717" s="1172">
        <v>0.0</v>
      </c>
      <c r="H717" s="1172">
        <v>124.33653027680717</v>
      </c>
      <c r="I717" s="1172"/>
      <c r="J717" s="1172">
        <v>460614.64566223754</v>
      </c>
      <c r="K717" s="1172">
        <v>455587.27</v>
      </c>
      <c r="L717" s="1098"/>
      <c r="M717" s="1100"/>
      <c r="N717" s="1096"/>
      <c r="O717" s="1098"/>
      <c r="P717" s="1096"/>
      <c r="Q717" s="1096"/>
    </row>
    <row r="718">
      <c r="A718" s="1126"/>
      <c r="B718" s="1170">
        <v>44982.508749664354</v>
      </c>
      <c r="C718" s="1175">
        <v>1.05725009250938</v>
      </c>
      <c r="D718" s="1172">
        <v>460389.06973545504</v>
      </c>
      <c r="E718" s="1173">
        <v>435459.00160928146</v>
      </c>
      <c r="F718" s="1174">
        <v>20.052280467092412</v>
      </c>
      <c r="G718" s="1172">
        <v>0.0</v>
      </c>
      <c r="H718" s="1172">
        <v>120.43474958227962</v>
      </c>
      <c r="I718" s="1172"/>
      <c r="J718" s="1172">
        <v>460389.06973545504</v>
      </c>
      <c r="K718" s="1172">
        <v>455587.27</v>
      </c>
      <c r="L718" s="1098"/>
      <c r="M718" s="1100"/>
      <c r="N718" s="1096"/>
      <c r="O718" s="1098"/>
      <c r="P718" s="1096"/>
      <c r="Q718" s="1096"/>
    </row>
    <row r="719">
      <c r="A719" s="1126"/>
      <c r="B719" s="1170">
        <v>44983.508752407404</v>
      </c>
      <c r="C719" s="1175">
        <v>1.05725009250938</v>
      </c>
      <c r="D719" s="1172">
        <v>460432.43621765333</v>
      </c>
      <c r="E719" s="1173">
        <v>435500.0197964687</v>
      </c>
      <c r="F719" s="1174">
        <v>19.809645130869438</v>
      </c>
      <c r="G719" s="1172">
        <v>0.0</v>
      </c>
      <c r="H719" s="1172">
        <v>120.82755017490767</v>
      </c>
      <c r="I719" s="1172"/>
      <c r="J719" s="1172">
        <v>460432.43621765333</v>
      </c>
      <c r="K719" s="1172">
        <v>455587.27</v>
      </c>
      <c r="L719" s="1098"/>
      <c r="M719" s="1100"/>
      <c r="N719" s="1096"/>
      <c r="O719" s="1098"/>
      <c r="P719" s="1096"/>
      <c r="Q719" s="1096"/>
    </row>
    <row r="720">
      <c r="A720" s="1126"/>
      <c r="B720" s="1170">
        <v>44984.50875201389</v>
      </c>
      <c r="C720" s="1175">
        <v>1.05508826868456</v>
      </c>
      <c r="D720" s="1172">
        <v>460430.0346333815</v>
      </c>
      <c r="E720" s="1173">
        <v>436390.06166510266</v>
      </c>
      <c r="F720" s="1174">
        <v>19.66954279150088</v>
      </c>
      <c r="G720" s="1172">
        <v>0.0</v>
      </c>
      <c r="H720" s="1172">
        <v>123.48167199524065</v>
      </c>
      <c r="I720" s="1172"/>
      <c r="J720" s="1172">
        <v>460430.0346333815</v>
      </c>
      <c r="K720" s="1172">
        <v>455587.27</v>
      </c>
      <c r="L720" s="1098"/>
      <c r="M720" s="1100"/>
      <c r="N720" s="1096"/>
      <c r="O720" s="1098"/>
      <c r="P720" s="1096"/>
      <c r="Q720" s="1096"/>
    </row>
    <row r="721">
      <c r="A721" s="1126"/>
      <c r="B721" s="1170">
        <v>44985.508753483795</v>
      </c>
      <c r="C721" s="1175">
        <v>1.06127369824168</v>
      </c>
      <c r="D721" s="1172">
        <v>460433.9377835337</v>
      </c>
      <c r="E721" s="1173">
        <v>433850.3239516643</v>
      </c>
      <c r="F721" s="1174">
        <v>19.69559061046689</v>
      </c>
      <c r="G721" s="1172">
        <v>0.0</v>
      </c>
      <c r="H721" s="1172">
        <v>122.6670805603378</v>
      </c>
      <c r="I721" s="1172"/>
      <c r="J721" s="1172">
        <v>460433.9377835337</v>
      </c>
      <c r="K721" s="1172">
        <v>455587.27</v>
      </c>
      <c r="L721" s="1098"/>
      <c r="M721" s="1100"/>
      <c r="N721" s="1096"/>
      <c r="O721" s="1098"/>
      <c r="P721" s="1096"/>
      <c r="Q721" s="1096"/>
    </row>
    <row r="722">
      <c r="A722" s="1126"/>
      <c r="B722" s="1170">
        <v>44986.50875436343</v>
      </c>
      <c r="C722" s="1175">
        <v>1.065393876116</v>
      </c>
      <c r="D722" s="1172">
        <v>460433.3994117615</v>
      </c>
      <c r="E722" s="1173">
        <v>432171.9973558676</v>
      </c>
      <c r="F722" s="1174">
        <v>19.360989259684274</v>
      </c>
      <c r="G722" s="1172">
        <v>0.0</v>
      </c>
      <c r="H722" s="1172">
        <v>124.8490277078378</v>
      </c>
      <c r="I722" s="1172"/>
      <c r="J722" s="1172">
        <v>460433.3994117615</v>
      </c>
      <c r="K722" s="1172">
        <v>455587.27</v>
      </c>
      <c r="L722" s="1098"/>
      <c r="M722" s="1100"/>
      <c r="N722" s="1096"/>
      <c r="O722" s="1098"/>
      <c r="P722" s="1096"/>
      <c r="Q722" s="1096"/>
    </row>
    <row r="723">
      <c r="A723" s="1126"/>
      <c r="B723" s="1170">
        <v>44987.50874871528</v>
      </c>
      <c r="C723" s="1175">
        <v>1.06227028405107</v>
      </c>
      <c r="D723" s="1172">
        <v>460290.6208309266</v>
      </c>
      <c r="E723" s="1173">
        <v>433308.38463781925</v>
      </c>
      <c r="F723" s="1174">
        <v>19.672165451678527</v>
      </c>
      <c r="G723" s="1172">
        <v>0.0</v>
      </c>
      <c r="H723" s="1172">
        <v>123.80624215220638</v>
      </c>
      <c r="I723" s="1172"/>
      <c r="J723" s="1172">
        <v>460290.6208309266</v>
      </c>
      <c r="K723" s="1172">
        <v>455587.27</v>
      </c>
      <c r="L723" s="1098"/>
      <c r="M723" s="1100"/>
      <c r="N723" s="1096"/>
      <c r="O723" s="1098"/>
      <c r="P723" s="1096"/>
      <c r="Q723" s="1096"/>
    </row>
    <row r="724">
      <c r="A724" s="1126"/>
      <c r="B724" s="1170">
        <v>44988.50875421296</v>
      </c>
      <c r="C724" s="1175">
        <v>1.06126806676225</v>
      </c>
      <c r="D724" s="1172">
        <v>460032.7555409992</v>
      </c>
      <c r="E724" s="1173">
        <v>433474.60453086236</v>
      </c>
      <c r="F724" s="1174">
        <v>20.56614742708997</v>
      </c>
      <c r="G724" s="1172">
        <v>0.0</v>
      </c>
      <c r="H724" s="1172">
        <v>118.1649856381505</v>
      </c>
      <c r="I724" s="1172"/>
      <c r="J724" s="1172">
        <v>460032.7555409992</v>
      </c>
      <c r="K724" s="1172">
        <v>455587.27</v>
      </c>
      <c r="L724" s="1098"/>
      <c r="M724" s="1100"/>
      <c r="N724" s="1096"/>
      <c r="O724" s="1098"/>
      <c r="P724" s="1096"/>
      <c r="Q724" s="1096"/>
    </row>
    <row r="725">
      <c r="A725" s="1126"/>
      <c r="B725" s="1170">
        <v>44989.508751817135</v>
      </c>
      <c r="C725" s="1175">
        <v>1.06415016435799</v>
      </c>
      <c r="D725" s="1172">
        <v>460051.9154887359</v>
      </c>
      <c r="E725" s="1173">
        <v>432318.6058673296</v>
      </c>
      <c r="F725" s="1174">
        <v>20.583634400275987</v>
      </c>
      <c r="G725" s="1172">
        <v>0.0</v>
      </c>
      <c r="H725" s="1172">
        <v>118.26673879545383</v>
      </c>
      <c r="I725" s="1172"/>
      <c r="J725" s="1172">
        <v>460051.9154887359</v>
      </c>
      <c r="K725" s="1172">
        <v>455587.27</v>
      </c>
      <c r="L725" s="1098"/>
      <c r="M725" s="1100"/>
      <c r="N725" s="1096"/>
      <c r="O725" s="1098"/>
      <c r="P725" s="1096"/>
      <c r="Q725" s="1096"/>
    </row>
    <row r="726">
      <c r="A726" s="1126"/>
      <c r="B726" s="1170">
        <v>44990.50875342592</v>
      </c>
      <c r="C726" s="1175">
        <v>1.06503418227208</v>
      </c>
      <c r="D726" s="1172">
        <v>460076.35882443713</v>
      </c>
      <c r="E726" s="1173">
        <v>431982.71612554055</v>
      </c>
      <c r="F726" s="1174">
        <v>20.52517590644408</v>
      </c>
      <c r="G726" s="1172">
        <v>0.0</v>
      </c>
      <c r="H726" s="1172">
        <v>118.42179647044675</v>
      </c>
      <c r="I726" s="1172"/>
      <c r="J726" s="1172">
        <v>460076.35882443713</v>
      </c>
      <c r="K726" s="1172">
        <v>455587.27</v>
      </c>
      <c r="L726" s="1098"/>
      <c r="M726" s="1100"/>
      <c r="N726" s="1096"/>
      <c r="O726" s="1098"/>
      <c r="P726" s="1096"/>
      <c r="Q726" s="1096"/>
    </row>
    <row r="727">
      <c r="A727" s="1126"/>
      <c r="B727" s="1170">
        <v>44991.508746481486</v>
      </c>
      <c r="C727" s="1175">
        <v>1.06339198649067</v>
      </c>
      <c r="D727" s="1172">
        <v>459996.724063227</v>
      </c>
      <c r="E727" s="1173">
        <v>432574.9393516451</v>
      </c>
      <c r="F727" s="1174">
        <v>20.533184235492477</v>
      </c>
      <c r="G727" s="1172">
        <v>0.0</v>
      </c>
      <c r="H727" s="1172">
        <v>118.1063127049572</v>
      </c>
      <c r="I727" s="1172"/>
      <c r="J727" s="1172">
        <v>459996.724063227</v>
      </c>
      <c r="K727" s="1172">
        <v>455587.27</v>
      </c>
      <c r="L727" s="1098"/>
      <c r="M727" s="1100"/>
      <c r="N727" s="1096"/>
      <c r="O727" s="1098"/>
      <c r="P727" s="1096"/>
      <c r="Q727" s="1096"/>
    </row>
    <row r="728">
      <c r="A728" s="1126"/>
      <c r="B728" s="1170">
        <v>44992.508745439816</v>
      </c>
      <c r="C728" s="1175">
        <v>1.06605830272858</v>
      </c>
      <c r="D728" s="1172">
        <v>459969.93859398074</v>
      </c>
      <c r="E728" s="1173">
        <v>431467.90134900325</v>
      </c>
      <c r="F728" s="1174">
        <v>20.537858404861314</v>
      </c>
      <c r="G728" s="1172">
        <v>0.0</v>
      </c>
      <c r="H728" s="1172">
        <v>118.02092140693992</v>
      </c>
      <c r="I728" s="1172"/>
      <c r="J728" s="1172">
        <v>459969.93859398074</v>
      </c>
      <c r="K728" s="1172">
        <v>455587.27</v>
      </c>
      <c r="L728" s="1098"/>
      <c r="M728" s="1100"/>
      <c r="N728" s="1096"/>
      <c r="O728" s="1098"/>
      <c r="P728" s="1096"/>
      <c r="Q728" s="1096"/>
    </row>
    <row r="729">
      <c r="A729" s="1126"/>
      <c r="B729" s="1170">
        <v>44993.50875446759</v>
      </c>
      <c r="C729" s="1175">
        <v>1.05426624650643</v>
      </c>
      <c r="D729" s="1172">
        <v>459810.06914735097</v>
      </c>
      <c r="E729" s="1173">
        <v>436142.26545812737</v>
      </c>
      <c r="F729" s="1174">
        <v>20.793053020792897</v>
      </c>
      <c r="G729" s="1172">
        <v>0.0</v>
      </c>
      <c r="H729" s="1172">
        <v>117.53438294824826</v>
      </c>
      <c r="I729" s="1172"/>
      <c r="J729" s="1172">
        <v>459810.06914735097</v>
      </c>
      <c r="K729" s="1172">
        <v>455587.27</v>
      </c>
      <c r="L729" s="1098"/>
      <c r="M729" s="1100"/>
      <c r="N729" s="1096"/>
      <c r="O729" s="1098"/>
      <c r="P729" s="1096"/>
      <c r="Q729" s="1096"/>
    </row>
    <row r="730">
      <c r="A730" s="1126"/>
      <c r="B730" s="1170">
        <v>44994.508746273146</v>
      </c>
      <c r="C730" s="1175">
        <v>1.05584468102404</v>
      </c>
      <c r="D730" s="1172">
        <v>459683.2252417912</v>
      </c>
      <c r="E730" s="1173">
        <v>435370.1197755287</v>
      </c>
      <c r="F730" s="1174">
        <v>21.226356827694964</v>
      </c>
      <c r="G730" s="1172">
        <v>0.0</v>
      </c>
      <c r="H730" s="1172">
        <v>115.61420622744109</v>
      </c>
      <c r="I730" s="1172"/>
      <c r="J730" s="1172">
        <v>459683.2252417912</v>
      </c>
      <c r="K730" s="1172">
        <v>455587.27</v>
      </c>
      <c r="L730" s="1098"/>
      <c r="M730" s="1100"/>
      <c r="N730" s="1096"/>
      <c r="O730" s="1098"/>
      <c r="P730" s="1096"/>
      <c r="Q730" s="1096"/>
    </row>
    <row r="731">
      <c r="A731" s="1126"/>
      <c r="B731" s="1170">
        <v>44995.50875116898</v>
      </c>
      <c r="C731" s="1175">
        <v>1.0594567105988</v>
      </c>
      <c r="D731" s="1172">
        <v>459286.494420517</v>
      </c>
      <c r="E731" s="1173">
        <v>433511.3363536396</v>
      </c>
      <c r="F731" s="1174">
        <v>23.337566737607247</v>
      </c>
      <c r="G731" s="1172">
        <v>0.0</v>
      </c>
      <c r="H731" s="1172">
        <v>104.35465366053356</v>
      </c>
      <c r="I731" s="1172"/>
      <c r="J731" s="1172">
        <v>459286.494420517</v>
      </c>
      <c r="K731" s="1172">
        <v>455587.27</v>
      </c>
      <c r="L731" s="1098"/>
      <c r="M731" s="1100"/>
      <c r="N731" s="1096"/>
      <c r="O731" s="1098"/>
      <c r="P731" s="1096"/>
      <c r="Q731" s="1096"/>
    </row>
    <row r="732">
      <c r="A732" s="1126"/>
      <c r="B732" s="1170">
        <v>44996.89127114583</v>
      </c>
      <c r="C732" s="1175">
        <v>1.06464979409673</v>
      </c>
      <c r="D732" s="1172">
        <v>434050.50369076733</v>
      </c>
      <c r="E732" s="1173">
        <v>407693.22090464906</v>
      </c>
      <c r="F732" s="1174">
        <v>21.22455522117489</v>
      </c>
      <c r="G732" s="1172">
        <v>0.0</v>
      </c>
      <c r="H732" s="1172">
        <v>321403.3495194201</v>
      </c>
      <c r="I732" s="1172"/>
      <c r="J732" s="1172">
        <v>434050.50369076733</v>
      </c>
      <c r="K732" s="1172">
        <v>108823.0</v>
      </c>
      <c r="L732" s="1098"/>
      <c r="M732" s="1100"/>
      <c r="N732" s="1096"/>
      <c r="O732" s="1098"/>
      <c r="P732" s="1096"/>
      <c r="Q732" s="1096"/>
    </row>
    <row r="733">
      <c r="A733" s="1126"/>
      <c r="B733" s="1170">
        <v>44997.508745370375</v>
      </c>
      <c r="C733" s="1175">
        <v>1.06464979409673</v>
      </c>
      <c r="D733" s="1172">
        <v>434735.7617356147</v>
      </c>
      <c r="E733" s="1173">
        <v>408336.8673399811</v>
      </c>
      <c r="F733" s="1174">
        <v>21.126628542750723</v>
      </c>
      <c r="G733" s="1172">
        <v>0.0</v>
      </c>
      <c r="H733" s="1172">
        <v>323605.7617356147</v>
      </c>
      <c r="I733" s="1172"/>
      <c r="J733" s="1172">
        <v>434735.7617356147</v>
      </c>
      <c r="K733" s="1172">
        <v>111130.0</v>
      </c>
      <c r="L733" s="1098"/>
      <c r="M733" s="1100"/>
      <c r="N733" s="1096"/>
      <c r="O733" s="1098"/>
      <c r="P733" s="1096"/>
      <c r="Q733" s="1096"/>
    </row>
    <row r="734">
      <c r="A734" s="1126"/>
      <c r="B734" s="1170">
        <v>44998.508755428236</v>
      </c>
      <c r="C734" s="1175">
        <v>1.06677135249539</v>
      </c>
      <c r="D734" s="1172">
        <v>454334.8549196288</v>
      </c>
      <c r="E734" s="1173">
        <v>425897.1276805001</v>
      </c>
      <c r="F734" s="1174">
        <v>20.431628781563763</v>
      </c>
      <c r="G734" s="1172">
        <v>0.0</v>
      </c>
      <c r="H734" s="1172">
        <v>188384.32853197286</v>
      </c>
      <c r="I734" s="1172"/>
      <c r="J734" s="1172">
        <v>454334.8549196288</v>
      </c>
      <c r="K734" s="1172">
        <v>265950.52638765593</v>
      </c>
      <c r="L734" s="1098"/>
      <c r="M734" s="1100"/>
      <c r="N734" s="1096"/>
      <c r="O734" s="1098"/>
      <c r="P734" s="1096"/>
      <c r="Q734" s="1096"/>
    </row>
    <row r="735">
      <c r="A735" s="1126"/>
      <c r="B735" s="1170">
        <v>44999.50875260417</v>
      </c>
      <c r="C735" s="1175">
        <v>1.07055492214389</v>
      </c>
      <c r="D735" s="1172">
        <v>466168.7166475416</v>
      </c>
      <c r="E735" s="1173">
        <v>435445.8673768868</v>
      </c>
      <c r="F735" s="1174">
        <v>18.903328128970056</v>
      </c>
      <c r="G735" s="1172">
        <v>0.0</v>
      </c>
      <c r="H735" s="1172">
        <v>199669.08079679887</v>
      </c>
      <c r="I735" s="1172"/>
      <c r="J735" s="1172">
        <v>466168.7166475416</v>
      </c>
      <c r="K735" s="1172">
        <v>266499.63585074275</v>
      </c>
      <c r="L735" s="1098"/>
      <c r="M735" s="1100"/>
      <c r="N735" s="1096"/>
      <c r="O735" s="1098"/>
      <c r="P735" s="1096"/>
      <c r="Q735" s="1096"/>
    </row>
    <row r="736">
      <c r="A736" s="1126"/>
      <c r="B736" s="1170">
        <v>45000.50875982639</v>
      </c>
      <c r="C736" s="1175">
        <v>1.06755373264825</v>
      </c>
      <c r="D736" s="1172">
        <v>464829.2615114697</v>
      </c>
      <c r="E736" s="1173">
        <v>435415.3306722848</v>
      </c>
      <c r="F736" s="1174">
        <v>18.930893623196496</v>
      </c>
      <c r="G736" s="1172">
        <v>0.0</v>
      </c>
      <c r="H736" s="1172">
        <v>198765.18829222917</v>
      </c>
      <c r="I736" s="1172"/>
      <c r="J736" s="1172">
        <v>464829.2615114697</v>
      </c>
      <c r="K736" s="1172">
        <v>266064.0732192405</v>
      </c>
      <c r="L736" s="1098"/>
      <c r="M736" s="1100"/>
      <c r="N736" s="1096"/>
      <c r="O736" s="1098"/>
      <c r="P736" s="1096"/>
      <c r="Q736" s="1096"/>
    </row>
    <row r="737">
      <c r="A737" s="1126"/>
      <c r="B737" s="1170">
        <v>45001.773229293976</v>
      </c>
      <c r="C737" s="1175">
        <v>1.06129509840859</v>
      </c>
      <c r="D737" s="1172">
        <v>462103.770700922</v>
      </c>
      <c r="E737" s="1173">
        <v>435414.96742408944</v>
      </c>
      <c r="F737" s="1174">
        <v>18.649678478381002</v>
      </c>
      <c r="G737" s="1172">
        <v>0.0</v>
      </c>
      <c r="H737" s="1172">
        <v>196948.01306888333</v>
      </c>
      <c r="I737" s="1172"/>
      <c r="J737" s="1172">
        <v>462103.770700922</v>
      </c>
      <c r="K737" s="1172">
        <v>265155.7576320387</v>
      </c>
      <c r="L737" s="1098"/>
      <c r="M737" s="1100"/>
      <c r="N737" s="1096"/>
      <c r="O737" s="1098"/>
      <c r="P737" s="1096"/>
      <c r="Q737" s="1096"/>
    </row>
    <row r="738">
      <c r="A738" s="1126"/>
      <c r="B738" s="1170">
        <v>45002.50874863426</v>
      </c>
      <c r="C738" s="1175">
        <v>1.06330718306534</v>
      </c>
      <c r="D738" s="1172">
        <v>472808.8883596518</v>
      </c>
      <c r="E738" s="1173">
        <v>444658.7927644967</v>
      </c>
      <c r="F738" s="1174">
        <v>17.642191322930984</v>
      </c>
      <c r="G738" s="1172">
        <v>0.0</v>
      </c>
      <c r="H738" s="1172">
        <v>207361.116881379</v>
      </c>
      <c r="I738" s="1172"/>
      <c r="J738" s="1172">
        <v>472808.8883596518</v>
      </c>
      <c r="K738" s="1172">
        <v>265447.7714782728</v>
      </c>
      <c r="L738" s="1098"/>
      <c r="M738" s="1100"/>
      <c r="N738" s="1096"/>
      <c r="O738" s="1098"/>
      <c r="P738" s="1096"/>
      <c r="Q738" s="1096"/>
    </row>
    <row r="739">
      <c r="A739" s="1126"/>
      <c r="B739" s="1170">
        <v>45003.508747141204</v>
      </c>
      <c r="C739" s="1175">
        <v>1.07794978263143</v>
      </c>
      <c r="D739" s="1172">
        <v>482985.2112843713</v>
      </c>
      <c r="E739" s="1173">
        <v>448059.1017007631</v>
      </c>
      <c r="F739" s="1174">
        <v>17.53547486457242</v>
      </c>
      <c r="G739" s="1172">
        <v>0.0</v>
      </c>
      <c r="H739" s="1172">
        <v>122712.98982389944</v>
      </c>
      <c r="I739" s="1172"/>
      <c r="J739" s="1172">
        <v>482985.2112843713</v>
      </c>
      <c r="K739" s="1172">
        <v>360272.22146047186</v>
      </c>
      <c r="L739" s="1098"/>
      <c r="M739" s="1100"/>
      <c r="N739" s="1096"/>
      <c r="O739" s="1098"/>
      <c r="P739" s="1096"/>
      <c r="Q739" s="1096"/>
    </row>
    <row r="740">
      <c r="A740" s="1126"/>
      <c r="B740" s="1170">
        <v>45004.50874447917</v>
      </c>
      <c r="C740" s="1175">
        <v>1.07755021114596</v>
      </c>
      <c r="D740" s="1172">
        <v>479684.42040822626</v>
      </c>
      <c r="E740" s="1173">
        <v>445162.0123558682</v>
      </c>
      <c r="F740" s="1174">
        <v>17.744194875025922</v>
      </c>
      <c r="G740" s="1172">
        <v>0.0</v>
      </c>
      <c r="H740" s="1172">
        <v>119504.55030690512</v>
      </c>
      <c r="I740" s="1172"/>
      <c r="J740" s="1172">
        <v>479684.42040822626</v>
      </c>
      <c r="K740" s="1172">
        <v>360179.87010132114</v>
      </c>
      <c r="L740" s="1098"/>
      <c r="M740" s="1100"/>
      <c r="N740" s="1096"/>
      <c r="O740" s="1098"/>
      <c r="P740" s="1096"/>
      <c r="Q740" s="1096"/>
    </row>
    <row r="741">
      <c r="A741" s="1126"/>
      <c r="B741" s="1170">
        <v>45005.50875100694</v>
      </c>
      <c r="C741" s="1175">
        <v>1.06889452790135</v>
      </c>
      <c r="D741" s="1172">
        <v>478542.8975473277</v>
      </c>
      <c r="E741" s="1173">
        <v>447698.89362881385</v>
      </c>
      <c r="F741" s="1174">
        <v>16.957527272066095</v>
      </c>
      <c r="G741" s="1172">
        <v>0.0</v>
      </c>
      <c r="H741" s="1172">
        <v>52990.599891600286</v>
      </c>
      <c r="I741" s="1172"/>
      <c r="J741" s="1172">
        <v>478542.8975473277</v>
      </c>
      <c r="K741" s="1172">
        <v>425552.2976557274</v>
      </c>
      <c r="L741" s="1098"/>
      <c r="M741" s="1100"/>
      <c r="N741" s="1096"/>
      <c r="O741" s="1098"/>
      <c r="P741" s="1096"/>
      <c r="Q741" s="1096"/>
    </row>
    <row r="742">
      <c r="A742" s="1126"/>
      <c r="B742" s="1170">
        <v>45006.50877252315</v>
      </c>
      <c r="C742" s="1175">
        <v>1.07472336620554</v>
      </c>
      <c r="D742" s="1172">
        <v>478937.38206007885</v>
      </c>
      <c r="E742" s="1173">
        <v>445637.8237602051</v>
      </c>
      <c r="F742" s="1174">
        <v>17.10483296259328</v>
      </c>
      <c r="G742" s="1172">
        <v>0.0</v>
      </c>
      <c r="H742" s="1172">
        <v>52037.88832245722</v>
      </c>
      <c r="I742" s="1172"/>
      <c r="J742" s="1172">
        <v>478937.38206007885</v>
      </c>
      <c r="K742" s="1172">
        <v>426899.49373762164</v>
      </c>
      <c r="L742" s="1098"/>
      <c r="M742" s="1100"/>
      <c r="N742" s="1096"/>
      <c r="O742" s="1098"/>
      <c r="P742" s="1096"/>
      <c r="Q742" s="1096"/>
    </row>
    <row r="743">
      <c r="A743" s="1126"/>
      <c r="B743" s="1094"/>
      <c r="C743" s="1099"/>
      <c r="D743" s="1096"/>
      <c r="E743" s="1097"/>
      <c r="F743" s="1097"/>
      <c r="G743" s="1097"/>
      <c r="H743" s="1097"/>
      <c r="I743" s="1098"/>
      <c r="J743" s="1099"/>
      <c r="K743" s="1096"/>
      <c r="L743" s="1098"/>
      <c r="M743" s="1100"/>
      <c r="N743" s="1096"/>
      <c r="O743" s="1098"/>
      <c r="P743" s="1096"/>
      <c r="Q743" s="1096"/>
    </row>
    <row r="744">
      <c r="A744" s="1126"/>
      <c r="B744" s="1094"/>
      <c r="C744" s="1099"/>
      <c r="D744" s="1096"/>
      <c r="E744" s="1097"/>
      <c r="F744" s="1097"/>
      <c r="G744" s="1097"/>
      <c r="H744" s="1097"/>
      <c r="I744" s="1098"/>
      <c r="J744" s="1099"/>
      <c r="K744" s="1096"/>
      <c r="L744" s="1098"/>
      <c r="M744" s="1100"/>
      <c r="N744" s="1096"/>
      <c r="O744" s="1098"/>
      <c r="P744" s="1096"/>
      <c r="Q744" s="1096"/>
    </row>
    <row r="745">
      <c r="A745" s="1126"/>
      <c r="B745" s="1094"/>
      <c r="C745" s="1099"/>
      <c r="D745" s="1096"/>
      <c r="E745" s="1097"/>
      <c r="F745" s="1097"/>
      <c r="G745" s="1097"/>
      <c r="H745" s="1097"/>
      <c r="I745" s="1098"/>
      <c r="J745" s="1099"/>
      <c r="K745" s="1096"/>
      <c r="L745" s="1098"/>
      <c r="M745" s="1100"/>
      <c r="N745" s="1096"/>
      <c r="O745" s="1098"/>
      <c r="P745" s="1096"/>
      <c r="Q745" s="1096"/>
    </row>
    <row r="746">
      <c r="A746" s="1126"/>
      <c r="B746" s="1094"/>
      <c r="C746" s="1099"/>
      <c r="D746" s="1096"/>
      <c r="E746" s="1097"/>
      <c r="F746" s="1097"/>
      <c r="G746" s="1097"/>
      <c r="H746" s="1097"/>
      <c r="I746" s="1098"/>
      <c r="J746" s="1099"/>
      <c r="K746" s="1096"/>
      <c r="L746" s="1098"/>
      <c r="M746" s="1100"/>
      <c r="N746" s="1096"/>
      <c r="O746" s="1098"/>
      <c r="P746" s="1096"/>
      <c r="Q746" s="1096"/>
    </row>
    <row r="747">
      <c r="A747" s="1126"/>
      <c r="B747" s="1094"/>
      <c r="C747" s="1099"/>
      <c r="D747" s="1096"/>
      <c r="E747" s="1097"/>
      <c r="F747" s="1097"/>
      <c r="G747" s="1097"/>
      <c r="H747" s="1097"/>
      <c r="I747" s="1098"/>
      <c r="J747" s="1099"/>
      <c r="K747" s="1096"/>
      <c r="L747" s="1098"/>
      <c r="M747" s="1100"/>
      <c r="N747" s="1096"/>
      <c r="O747" s="1098"/>
      <c r="P747" s="1096"/>
      <c r="Q747" s="1096"/>
    </row>
    <row r="748">
      <c r="A748" s="1126"/>
      <c r="B748" s="1094"/>
      <c r="C748" s="1099"/>
      <c r="D748" s="1096"/>
      <c r="E748" s="1097"/>
      <c r="F748" s="1097"/>
      <c r="G748" s="1097"/>
      <c r="H748" s="1097"/>
      <c r="I748" s="1098"/>
      <c r="J748" s="1099"/>
      <c r="K748" s="1096"/>
      <c r="L748" s="1098"/>
      <c r="M748" s="1100"/>
      <c r="N748" s="1096"/>
      <c r="O748" s="1098"/>
      <c r="P748" s="1096"/>
      <c r="Q748" s="1096"/>
    </row>
    <row r="749">
      <c r="A749" s="1126"/>
      <c r="B749" s="1094"/>
      <c r="C749" s="1099"/>
      <c r="D749" s="1096"/>
      <c r="E749" s="1097"/>
      <c r="F749" s="1097"/>
      <c r="G749" s="1097"/>
      <c r="H749" s="1097"/>
      <c r="I749" s="1098"/>
      <c r="J749" s="1099"/>
      <c r="K749" s="1096"/>
      <c r="L749" s="1098"/>
      <c r="M749" s="1100"/>
      <c r="N749" s="1096"/>
      <c r="O749" s="1098"/>
      <c r="P749" s="1096"/>
      <c r="Q749" s="1096"/>
    </row>
    <row r="750">
      <c r="A750" s="1126"/>
      <c r="B750" s="1094"/>
      <c r="C750" s="1099"/>
      <c r="D750" s="1096"/>
      <c r="E750" s="1097"/>
      <c r="F750" s="1097"/>
      <c r="G750" s="1097"/>
      <c r="H750" s="1097"/>
      <c r="I750" s="1098"/>
      <c r="J750" s="1099"/>
      <c r="K750" s="1096"/>
      <c r="L750" s="1098"/>
      <c r="M750" s="1100"/>
      <c r="N750" s="1096"/>
      <c r="O750" s="1098"/>
      <c r="P750" s="1096"/>
      <c r="Q750" s="1096"/>
    </row>
    <row r="751">
      <c r="A751" s="1126"/>
      <c r="B751" s="1094"/>
      <c r="C751" s="1099"/>
      <c r="D751" s="1096"/>
      <c r="E751" s="1097"/>
      <c r="F751" s="1097"/>
      <c r="G751" s="1097"/>
      <c r="H751" s="1097"/>
      <c r="I751" s="1098"/>
      <c r="J751" s="1099"/>
      <c r="K751" s="1096"/>
      <c r="L751" s="1098"/>
      <c r="M751" s="1100"/>
      <c r="N751" s="1096"/>
      <c r="O751" s="1098"/>
      <c r="P751" s="1096"/>
      <c r="Q751" s="1096"/>
    </row>
    <row r="752">
      <c r="A752" s="1126"/>
      <c r="B752" s="1094"/>
      <c r="C752" s="1099"/>
      <c r="D752" s="1096"/>
      <c r="E752" s="1097"/>
      <c r="F752" s="1097"/>
      <c r="G752" s="1097"/>
      <c r="H752" s="1097"/>
      <c r="I752" s="1098"/>
      <c r="J752" s="1099"/>
      <c r="K752" s="1096"/>
      <c r="L752" s="1098"/>
      <c r="M752" s="1100"/>
      <c r="N752" s="1096"/>
      <c r="O752" s="1098"/>
      <c r="P752" s="1096"/>
      <c r="Q752" s="1096"/>
    </row>
    <row r="753">
      <c r="A753" s="1126"/>
      <c r="B753" s="1094"/>
      <c r="C753" s="1099"/>
      <c r="D753" s="1096"/>
      <c r="E753" s="1097"/>
      <c r="F753" s="1097"/>
      <c r="G753" s="1097"/>
      <c r="H753" s="1097"/>
      <c r="I753" s="1098"/>
      <c r="J753" s="1099"/>
      <c r="K753" s="1096"/>
      <c r="L753" s="1098"/>
      <c r="M753" s="1100"/>
      <c r="N753" s="1096"/>
      <c r="O753" s="1098"/>
      <c r="P753" s="1096"/>
      <c r="Q753" s="1096"/>
    </row>
    <row r="754">
      <c r="A754" s="1126"/>
      <c r="B754" s="1094"/>
      <c r="C754" s="1099"/>
      <c r="D754" s="1096"/>
      <c r="E754" s="1097"/>
      <c r="F754" s="1097"/>
      <c r="G754" s="1097"/>
      <c r="H754" s="1097"/>
      <c r="I754" s="1098"/>
      <c r="J754" s="1099"/>
      <c r="K754" s="1096"/>
      <c r="L754" s="1098"/>
      <c r="M754" s="1100"/>
      <c r="N754" s="1096"/>
      <c r="O754" s="1098"/>
      <c r="P754" s="1096"/>
      <c r="Q754" s="1096"/>
    </row>
    <row r="755">
      <c r="A755" s="1126"/>
      <c r="B755" s="1094"/>
      <c r="C755" s="1099"/>
      <c r="D755" s="1096"/>
      <c r="E755" s="1097"/>
      <c r="F755" s="1097"/>
      <c r="G755" s="1097"/>
      <c r="H755" s="1097"/>
      <c r="I755" s="1098"/>
      <c r="J755" s="1099"/>
      <c r="K755" s="1096"/>
      <c r="L755" s="1098"/>
      <c r="M755" s="1100"/>
      <c r="N755" s="1096"/>
      <c r="O755" s="1098"/>
      <c r="P755" s="1096"/>
      <c r="Q755" s="1096"/>
    </row>
    <row r="756">
      <c r="A756" s="1126"/>
      <c r="B756" s="1094"/>
      <c r="C756" s="1099"/>
      <c r="D756" s="1096"/>
      <c r="E756" s="1097"/>
      <c r="F756" s="1097"/>
      <c r="G756" s="1097"/>
      <c r="H756" s="1097"/>
      <c r="I756" s="1098"/>
      <c r="J756" s="1099"/>
      <c r="K756" s="1096"/>
      <c r="L756" s="1098"/>
      <c r="M756" s="1100"/>
      <c r="N756" s="1096"/>
      <c r="O756" s="1098"/>
      <c r="P756" s="1096"/>
      <c r="Q756" s="1096"/>
    </row>
    <row r="757">
      <c r="A757" s="1126"/>
      <c r="B757" s="1094"/>
      <c r="C757" s="1099"/>
      <c r="D757" s="1096"/>
      <c r="E757" s="1097"/>
      <c r="F757" s="1097"/>
      <c r="G757" s="1097"/>
      <c r="H757" s="1097"/>
      <c r="I757" s="1098"/>
      <c r="J757" s="1099"/>
      <c r="K757" s="1096"/>
      <c r="L757" s="1098"/>
      <c r="M757" s="1100"/>
      <c r="N757" s="1096"/>
      <c r="O757" s="1098"/>
      <c r="P757" s="1096"/>
      <c r="Q757" s="1096"/>
    </row>
    <row r="758">
      <c r="A758" s="1126"/>
      <c r="B758" s="1094"/>
      <c r="C758" s="1099"/>
      <c r="D758" s="1096"/>
      <c r="E758" s="1097"/>
      <c r="F758" s="1097"/>
      <c r="G758" s="1097"/>
      <c r="H758" s="1097"/>
      <c r="I758" s="1098"/>
      <c r="J758" s="1099"/>
      <c r="K758" s="1096"/>
      <c r="L758" s="1098"/>
      <c r="M758" s="1100"/>
      <c r="N758" s="1096"/>
      <c r="O758" s="1098"/>
      <c r="P758" s="1096"/>
      <c r="Q758" s="1096"/>
    </row>
    <row r="759">
      <c r="A759" s="1126"/>
      <c r="B759" s="1094"/>
      <c r="C759" s="1099"/>
      <c r="D759" s="1096"/>
      <c r="E759" s="1097"/>
      <c r="F759" s="1097"/>
      <c r="G759" s="1097"/>
      <c r="H759" s="1097"/>
      <c r="I759" s="1098"/>
      <c r="J759" s="1099"/>
      <c r="K759" s="1096"/>
      <c r="L759" s="1098"/>
      <c r="M759" s="1100"/>
      <c r="N759" s="1096"/>
      <c r="O759" s="1098"/>
      <c r="P759" s="1096"/>
      <c r="Q759" s="1096"/>
    </row>
    <row r="760">
      <c r="A760" s="1126"/>
      <c r="B760" s="1094"/>
      <c r="C760" s="1099"/>
      <c r="D760" s="1096"/>
      <c r="E760" s="1097"/>
      <c r="F760" s="1097"/>
      <c r="G760" s="1097"/>
      <c r="H760" s="1097"/>
      <c r="I760" s="1098"/>
      <c r="J760" s="1099"/>
      <c r="K760" s="1096"/>
      <c r="L760" s="1098"/>
      <c r="M760" s="1100"/>
      <c r="N760" s="1096"/>
      <c r="O760" s="1098"/>
      <c r="P760" s="1096"/>
      <c r="Q760" s="1096"/>
    </row>
    <row r="761">
      <c r="A761" s="1126"/>
      <c r="B761" s="1094"/>
      <c r="C761" s="1099"/>
      <c r="D761" s="1096"/>
      <c r="E761" s="1097"/>
      <c r="F761" s="1097"/>
      <c r="G761" s="1097"/>
      <c r="H761" s="1097"/>
      <c r="I761" s="1098"/>
      <c r="J761" s="1099"/>
      <c r="K761" s="1096"/>
      <c r="L761" s="1098"/>
      <c r="M761" s="1100"/>
      <c r="N761" s="1096"/>
      <c r="O761" s="1098"/>
      <c r="P761" s="1096"/>
      <c r="Q761" s="1096"/>
    </row>
    <row r="762">
      <c r="A762" s="1126"/>
      <c r="B762" s="1094"/>
      <c r="C762" s="1099"/>
      <c r="D762" s="1096"/>
      <c r="E762" s="1097"/>
      <c r="F762" s="1097"/>
      <c r="G762" s="1097"/>
      <c r="H762" s="1097"/>
      <c r="I762" s="1098"/>
      <c r="J762" s="1099"/>
      <c r="K762" s="1096"/>
      <c r="L762" s="1098"/>
      <c r="M762" s="1100"/>
      <c r="N762" s="1096"/>
      <c r="O762" s="1098"/>
      <c r="P762" s="1096"/>
      <c r="Q762" s="1096"/>
    </row>
    <row r="763">
      <c r="A763" s="1126"/>
      <c r="B763" s="1094"/>
      <c r="C763" s="1099"/>
      <c r="D763" s="1096"/>
      <c r="E763" s="1097"/>
      <c r="F763" s="1097"/>
      <c r="G763" s="1097"/>
      <c r="H763" s="1097"/>
      <c r="I763" s="1098"/>
      <c r="J763" s="1099"/>
      <c r="K763" s="1096"/>
      <c r="L763" s="1098"/>
      <c r="M763" s="1100"/>
      <c r="N763" s="1096"/>
      <c r="O763" s="1098"/>
      <c r="P763" s="1096"/>
      <c r="Q763" s="1096"/>
    </row>
    <row r="764">
      <c r="A764" s="1126"/>
      <c r="B764" s="1094"/>
      <c r="C764" s="1099"/>
      <c r="D764" s="1096"/>
      <c r="E764" s="1097"/>
      <c r="F764" s="1097"/>
      <c r="G764" s="1097"/>
      <c r="H764" s="1097"/>
      <c r="I764" s="1098"/>
      <c r="J764" s="1099"/>
      <c r="K764" s="1096"/>
      <c r="L764" s="1098"/>
      <c r="M764" s="1100"/>
      <c r="N764" s="1096"/>
      <c r="O764" s="1098"/>
      <c r="P764" s="1096"/>
      <c r="Q764" s="1096"/>
    </row>
    <row r="765">
      <c r="A765" s="1126"/>
      <c r="B765" s="1094"/>
      <c r="C765" s="1099"/>
      <c r="D765" s="1096"/>
      <c r="E765" s="1097"/>
      <c r="F765" s="1097"/>
      <c r="G765" s="1097"/>
      <c r="H765" s="1097"/>
      <c r="I765" s="1098"/>
      <c r="J765" s="1099"/>
      <c r="K765" s="1096"/>
      <c r="L765" s="1098"/>
      <c r="M765" s="1100"/>
      <c r="N765" s="1096"/>
      <c r="O765" s="1098"/>
      <c r="P765" s="1096"/>
      <c r="Q765" s="1096"/>
    </row>
    <row r="766">
      <c r="A766" s="1126"/>
      <c r="B766" s="1094"/>
      <c r="C766" s="1099"/>
      <c r="D766" s="1096"/>
      <c r="E766" s="1097"/>
      <c r="F766" s="1097"/>
      <c r="G766" s="1097"/>
      <c r="H766" s="1097"/>
      <c r="I766" s="1098"/>
      <c r="J766" s="1099"/>
      <c r="K766" s="1096"/>
      <c r="L766" s="1098"/>
      <c r="M766" s="1100"/>
      <c r="N766" s="1096"/>
      <c r="O766" s="1098"/>
      <c r="P766" s="1096"/>
      <c r="Q766" s="1096"/>
    </row>
    <row r="767">
      <c r="A767" s="1126"/>
      <c r="B767" s="1094"/>
      <c r="C767" s="1099"/>
      <c r="D767" s="1096"/>
      <c r="E767" s="1097"/>
      <c r="F767" s="1097"/>
      <c r="G767" s="1097"/>
      <c r="H767" s="1097"/>
      <c r="I767" s="1098"/>
      <c r="J767" s="1099"/>
      <c r="K767" s="1096"/>
      <c r="L767" s="1098"/>
      <c r="M767" s="1100"/>
      <c r="N767" s="1096"/>
      <c r="O767" s="1098"/>
      <c r="P767" s="1096"/>
      <c r="Q767" s="1096"/>
    </row>
    <row r="768">
      <c r="A768" s="1126"/>
      <c r="B768" s="1094"/>
      <c r="C768" s="1099"/>
      <c r="D768" s="1096"/>
      <c r="E768" s="1097"/>
      <c r="F768" s="1097"/>
      <c r="G768" s="1097"/>
      <c r="H768" s="1097"/>
      <c r="I768" s="1098"/>
      <c r="J768" s="1099"/>
      <c r="K768" s="1096"/>
      <c r="L768" s="1098"/>
      <c r="M768" s="1100"/>
      <c r="N768" s="1096"/>
      <c r="O768" s="1098"/>
      <c r="P768" s="1096"/>
      <c r="Q768" s="1096"/>
    </row>
    <row r="769">
      <c r="A769" s="1126"/>
      <c r="B769" s="1094"/>
      <c r="C769" s="1099"/>
      <c r="D769" s="1096"/>
      <c r="E769" s="1097"/>
      <c r="F769" s="1097"/>
      <c r="G769" s="1097"/>
      <c r="H769" s="1097"/>
      <c r="I769" s="1098"/>
      <c r="J769" s="1099"/>
      <c r="K769" s="1096"/>
      <c r="L769" s="1098"/>
      <c r="M769" s="1100"/>
      <c r="N769" s="1096"/>
      <c r="O769" s="1098"/>
      <c r="P769" s="1096"/>
      <c r="Q769" s="1096"/>
    </row>
    <row r="770">
      <c r="A770" s="1126"/>
      <c r="B770" s="1094"/>
      <c r="C770" s="1099"/>
      <c r="D770" s="1096"/>
      <c r="E770" s="1097"/>
      <c r="F770" s="1097"/>
      <c r="G770" s="1097"/>
      <c r="H770" s="1097"/>
      <c r="I770" s="1098"/>
      <c r="J770" s="1099"/>
      <c r="K770" s="1096"/>
      <c r="L770" s="1098"/>
      <c r="M770" s="1100"/>
      <c r="N770" s="1096"/>
      <c r="O770" s="1098"/>
      <c r="P770" s="1096"/>
      <c r="Q770" s="1096"/>
    </row>
    <row r="771">
      <c r="A771" s="1126"/>
      <c r="B771" s="1094"/>
      <c r="C771" s="1099"/>
      <c r="D771" s="1096"/>
      <c r="E771" s="1097"/>
      <c r="F771" s="1097"/>
      <c r="G771" s="1097"/>
      <c r="H771" s="1097"/>
      <c r="I771" s="1098"/>
      <c r="J771" s="1099"/>
      <c r="K771" s="1096"/>
      <c r="L771" s="1098"/>
      <c r="M771" s="1100"/>
      <c r="N771" s="1096"/>
      <c r="O771" s="1098"/>
      <c r="P771" s="1096"/>
      <c r="Q771" s="1096"/>
    </row>
    <row r="772">
      <c r="A772" s="1126"/>
      <c r="B772" s="1094"/>
      <c r="C772" s="1099"/>
      <c r="D772" s="1096"/>
      <c r="E772" s="1097"/>
      <c r="F772" s="1097"/>
      <c r="G772" s="1097"/>
      <c r="H772" s="1097"/>
      <c r="I772" s="1098"/>
      <c r="J772" s="1099"/>
      <c r="K772" s="1096"/>
      <c r="L772" s="1098"/>
      <c r="M772" s="1100"/>
      <c r="N772" s="1096"/>
      <c r="O772" s="1098"/>
      <c r="P772" s="1096"/>
      <c r="Q772" s="1096"/>
    </row>
    <row r="773">
      <c r="A773" s="1126"/>
      <c r="B773" s="1094"/>
      <c r="C773" s="1099"/>
      <c r="D773" s="1096"/>
      <c r="E773" s="1097"/>
      <c r="F773" s="1097"/>
      <c r="G773" s="1097"/>
      <c r="H773" s="1097"/>
      <c r="I773" s="1098"/>
      <c r="J773" s="1099"/>
      <c r="K773" s="1096"/>
      <c r="L773" s="1098"/>
      <c r="M773" s="1100"/>
      <c r="N773" s="1096"/>
      <c r="O773" s="1098"/>
      <c r="P773" s="1096"/>
      <c r="Q773" s="1096"/>
    </row>
    <row r="774">
      <c r="A774" s="1126"/>
      <c r="B774" s="1094"/>
      <c r="C774" s="1099"/>
      <c r="D774" s="1096"/>
      <c r="E774" s="1097"/>
      <c r="F774" s="1097"/>
      <c r="G774" s="1097"/>
      <c r="H774" s="1097"/>
      <c r="I774" s="1098"/>
      <c r="J774" s="1099"/>
      <c r="K774" s="1096"/>
      <c r="L774" s="1098"/>
      <c r="M774" s="1100"/>
      <c r="N774" s="1096"/>
      <c r="O774" s="1098"/>
      <c r="P774" s="1096"/>
      <c r="Q774" s="1096"/>
    </row>
    <row r="775">
      <c r="A775" s="1126"/>
      <c r="B775" s="1094"/>
      <c r="C775" s="1099"/>
      <c r="D775" s="1096"/>
      <c r="E775" s="1097"/>
      <c r="F775" s="1097"/>
      <c r="G775" s="1097"/>
      <c r="H775" s="1097"/>
      <c r="I775" s="1098"/>
      <c r="J775" s="1099"/>
      <c r="K775" s="1096"/>
      <c r="L775" s="1098"/>
      <c r="M775" s="1100"/>
      <c r="N775" s="1096"/>
      <c r="O775" s="1098"/>
      <c r="P775" s="1096"/>
      <c r="Q775" s="1096"/>
    </row>
    <row r="776">
      <c r="A776" s="1126"/>
      <c r="B776" s="1094"/>
      <c r="C776" s="1099"/>
      <c r="D776" s="1096"/>
      <c r="E776" s="1097"/>
      <c r="F776" s="1097"/>
      <c r="G776" s="1097"/>
      <c r="H776" s="1097"/>
      <c r="I776" s="1098"/>
      <c r="J776" s="1099"/>
      <c r="K776" s="1096"/>
      <c r="L776" s="1098"/>
      <c r="M776" s="1100"/>
      <c r="N776" s="1096"/>
      <c r="O776" s="1098"/>
      <c r="P776" s="1096"/>
      <c r="Q776" s="1096"/>
    </row>
    <row r="777">
      <c r="A777" s="1126"/>
      <c r="B777" s="1094"/>
      <c r="C777" s="1099"/>
      <c r="D777" s="1096"/>
      <c r="E777" s="1097"/>
      <c r="F777" s="1097"/>
      <c r="G777" s="1097"/>
      <c r="H777" s="1097"/>
      <c r="I777" s="1098"/>
      <c r="J777" s="1099"/>
      <c r="K777" s="1096"/>
      <c r="L777" s="1098"/>
      <c r="M777" s="1100"/>
      <c r="N777" s="1096"/>
      <c r="O777" s="1098"/>
      <c r="P777" s="1096"/>
      <c r="Q777" s="1096"/>
    </row>
    <row r="778">
      <c r="A778" s="1126"/>
      <c r="B778" s="1094"/>
      <c r="C778" s="1099"/>
      <c r="D778" s="1096"/>
      <c r="E778" s="1097"/>
      <c r="F778" s="1097"/>
      <c r="G778" s="1097"/>
      <c r="H778" s="1097"/>
      <c r="I778" s="1098"/>
      <c r="J778" s="1099"/>
      <c r="K778" s="1096"/>
      <c r="L778" s="1098"/>
      <c r="M778" s="1100"/>
      <c r="N778" s="1096"/>
      <c r="O778" s="1098"/>
      <c r="P778" s="1096"/>
      <c r="Q778" s="1096"/>
    </row>
    <row r="779">
      <c r="A779" s="1126"/>
      <c r="B779" s="1094"/>
      <c r="C779" s="1099"/>
      <c r="D779" s="1096"/>
      <c r="E779" s="1097"/>
      <c r="F779" s="1097"/>
      <c r="G779" s="1097"/>
      <c r="H779" s="1097"/>
      <c r="I779" s="1098"/>
      <c r="J779" s="1099"/>
      <c r="K779" s="1096"/>
      <c r="L779" s="1098"/>
      <c r="M779" s="1100"/>
      <c r="N779" s="1096"/>
      <c r="O779" s="1098"/>
      <c r="P779" s="1096"/>
      <c r="Q779" s="1096"/>
    </row>
    <row r="780">
      <c r="A780" s="1126"/>
      <c r="B780" s="1094"/>
      <c r="C780" s="1099"/>
      <c r="D780" s="1096"/>
      <c r="E780" s="1097"/>
      <c r="F780" s="1097"/>
      <c r="G780" s="1097"/>
      <c r="H780" s="1097"/>
      <c r="I780" s="1098"/>
      <c r="J780" s="1099"/>
      <c r="K780" s="1096"/>
      <c r="L780" s="1098"/>
      <c r="M780" s="1100"/>
      <c r="N780" s="1096"/>
      <c r="O780" s="1098"/>
      <c r="P780" s="1096"/>
      <c r="Q780" s="1096"/>
    </row>
    <row r="781">
      <c r="A781" s="1126"/>
      <c r="B781" s="1094"/>
      <c r="C781" s="1099"/>
      <c r="D781" s="1096"/>
      <c r="E781" s="1097"/>
      <c r="F781" s="1097"/>
      <c r="G781" s="1097"/>
      <c r="H781" s="1097"/>
      <c r="I781" s="1098"/>
      <c r="J781" s="1099"/>
      <c r="K781" s="1096"/>
      <c r="L781" s="1098"/>
      <c r="M781" s="1100"/>
      <c r="N781" s="1096"/>
      <c r="O781" s="1098"/>
      <c r="P781" s="1096"/>
      <c r="Q781" s="1096"/>
    </row>
    <row r="782">
      <c r="A782" s="1126"/>
      <c r="B782" s="1094"/>
      <c r="C782" s="1099"/>
      <c r="D782" s="1096"/>
      <c r="E782" s="1097"/>
      <c r="F782" s="1097"/>
      <c r="G782" s="1097"/>
      <c r="H782" s="1097"/>
      <c r="I782" s="1098"/>
      <c r="J782" s="1099"/>
      <c r="K782" s="1096"/>
      <c r="L782" s="1098"/>
      <c r="M782" s="1100"/>
      <c r="N782" s="1096"/>
      <c r="O782" s="1098"/>
      <c r="P782" s="1096"/>
      <c r="Q782" s="1096"/>
    </row>
    <row r="783">
      <c r="A783" s="1126"/>
      <c r="B783" s="1094"/>
      <c r="C783" s="1099"/>
      <c r="D783" s="1096"/>
      <c r="E783" s="1097"/>
      <c r="F783" s="1097"/>
      <c r="G783" s="1097"/>
      <c r="H783" s="1097"/>
      <c r="I783" s="1098"/>
      <c r="J783" s="1099"/>
      <c r="K783" s="1096"/>
      <c r="L783" s="1098"/>
      <c r="M783" s="1100"/>
      <c r="N783" s="1096"/>
      <c r="O783" s="1098"/>
      <c r="P783" s="1096"/>
      <c r="Q783" s="1096"/>
    </row>
    <row r="784">
      <c r="A784" s="1126"/>
      <c r="B784" s="1094"/>
      <c r="C784" s="1099"/>
      <c r="D784" s="1096"/>
      <c r="E784" s="1097"/>
      <c r="F784" s="1097"/>
      <c r="G784" s="1097"/>
      <c r="H784" s="1097"/>
      <c r="I784" s="1098"/>
      <c r="J784" s="1099"/>
      <c r="K784" s="1096"/>
      <c r="L784" s="1098"/>
      <c r="M784" s="1100"/>
      <c r="N784" s="1096"/>
      <c r="O784" s="1098"/>
      <c r="P784" s="1096"/>
      <c r="Q784" s="1096"/>
    </row>
    <row r="785">
      <c r="A785" s="1126"/>
      <c r="B785" s="1094"/>
      <c r="C785" s="1099"/>
      <c r="D785" s="1096"/>
      <c r="E785" s="1097"/>
      <c r="F785" s="1097"/>
      <c r="G785" s="1097"/>
      <c r="H785" s="1097"/>
      <c r="I785" s="1098"/>
      <c r="J785" s="1099"/>
      <c r="K785" s="1096"/>
      <c r="L785" s="1098"/>
      <c r="M785" s="1100"/>
      <c r="N785" s="1096"/>
      <c r="O785" s="1098"/>
      <c r="P785" s="1096"/>
      <c r="Q785" s="1096"/>
    </row>
    <row r="786">
      <c r="A786" s="1126"/>
      <c r="B786" s="1094"/>
      <c r="C786" s="1099"/>
      <c r="D786" s="1096"/>
      <c r="E786" s="1097"/>
      <c r="F786" s="1097"/>
      <c r="G786" s="1097"/>
      <c r="H786" s="1097"/>
      <c r="I786" s="1098"/>
      <c r="J786" s="1099"/>
      <c r="K786" s="1096"/>
      <c r="L786" s="1098"/>
      <c r="M786" s="1100"/>
      <c r="N786" s="1096"/>
      <c r="O786" s="1098"/>
      <c r="P786" s="1096"/>
      <c r="Q786" s="1096"/>
    </row>
    <row r="787">
      <c r="A787" s="1126"/>
      <c r="B787" s="1094"/>
      <c r="C787" s="1099"/>
      <c r="D787" s="1096"/>
      <c r="E787" s="1097"/>
      <c r="F787" s="1097"/>
      <c r="G787" s="1097"/>
      <c r="H787" s="1097"/>
      <c r="I787" s="1098"/>
      <c r="J787" s="1099"/>
      <c r="K787" s="1096"/>
      <c r="L787" s="1098"/>
      <c r="M787" s="1100"/>
      <c r="N787" s="1096"/>
      <c r="O787" s="1098"/>
      <c r="P787" s="1096"/>
      <c r="Q787" s="1096"/>
    </row>
    <row r="788">
      <c r="A788" s="1126"/>
      <c r="B788" s="1094"/>
      <c r="C788" s="1099"/>
      <c r="D788" s="1096"/>
      <c r="E788" s="1097"/>
      <c r="F788" s="1097"/>
      <c r="G788" s="1097"/>
      <c r="H788" s="1097"/>
      <c r="I788" s="1098"/>
      <c r="J788" s="1099"/>
      <c r="K788" s="1096"/>
      <c r="L788" s="1098"/>
      <c r="M788" s="1100"/>
      <c r="N788" s="1096"/>
      <c r="O788" s="1098"/>
      <c r="P788" s="1096"/>
      <c r="Q788" s="1096"/>
    </row>
    <row r="789">
      <c r="A789" s="1126"/>
      <c r="B789" s="1094"/>
      <c r="C789" s="1099"/>
      <c r="D789" s="1096"/>
      <c r="E789" s="1097"/>
      <c r="F789" s="1097"/>
      <c r="G789" s="1097"/>
      <c r="H789" s="1097"/>
      <c r="I789" s="1098"/>
      <c r="J789" s="1099"/>
      <c r="K789" s="1096"/>
      <c r="L789" s="1098"/>
      <c r="M789" s="1100"/>
      <c r="N789" s="1096"/>
      <c r="O789" s="1098"/>
      <c r="P789" s="1096"/>
      <c r="Q789" s="1096"/>
    </row>
    <row r="790">
      <c r="A790" s="1126"/>
      <c r="B790" s="1094"/>
      <c r="C790" s="1099"/>
      <c r="D790" s="1096"/>
      <c r="E790" s="1097"/>
      <c r="F790" s="1097"/>
      <c r="G790" s="1097"/>
      <c r="H790" s="1097"/>
      <c r="I790" s="1098"/>
      <c r="J790" s="1099"/>
      <c r="K790" s="1096"/>
      <c r="L790" s="1098"/>
      <c r="M790" s="1100"/>
      <c r="N790" s="1096"/>
      <c r="O790" s="1098"/>
      <c r="P790" s="1096"/>
      <c r="Q790" s="1096"/>
    </row>
    <row r="791">
      <c r="A791" s="1126"/>
      <c r="B791" s="1094"/>
      <c r="C791" s="1099"/>
      <c r="D791" s="1096"/>
      <c r="E791" s="1097"/>
      <c r="F791" s="1097"/>
      <c r="G791" s="1097"/>
      <c r="H791" s="1097"/>
      <c r="I791" s="1098"/>
      <c r="J791" s="1099"/>
      <c r="K791" s="1096"/>
      <c r="L791" s="1098"/>
      <c r="M791" s="1100"/>
      <c r="N791" s="1096"/>
      <c r="O791" s="1098"/>
      <c r="P791" s="1096"/>
      <c r="Q791" s="1096"/>
    </row>
    <row r="792">
      <c r="A792" s="1126"/>
      <c r="B792" s="1094"/>
      <c r="C792" s="1099"/>
      <c r="D792" s="1096"/>
      <c r="E792" s="1097"/>
      <c r="F792" s="1097"/>
      <c r="G792" s="1097"/>
      <c r="H792" s="1097"/>
      <c r="I792" s="1098"/>
      <c r="J792" s="1099"/>
      <c r="K792" s="1096"/>
      <c r="L792" s="1098"/>
      <c r="M792" s="1100"/>
      <c r="N792" s="1096"/>
      <c r="O792" s="1098"/>
      <c r="P792" s="1096"/>
      <c r="Q792" s="1096"/>
    </row>
    <row r="793">
      <c r="A793" s="1126"/>
      <c r="B793" s="1094"/>
      <c r="C793" s="1099"/>
      <c r="D793" s="1096"/>
      <c r="E793" s="1097"/>
      <c r="F793" s="1097"/>
      <c r="G793" s="1097"/>
      <c r="H793" s="1097"/>
      <c r="I793" s="1098"/>
      <c r="J793" s="1099"/>
      <c r="K793" s="1096"/>
      <c r="L793" s="1098"/>
      <c r="M793" s="1100"/>
      <c r="N793" s="1096"/>
      <c r="O793" s="1098"/>
      <c r="P793" s="1096"/>
      <c r="Q793" s="1096"/>
    </row>
    <row r="794">
      <c r="A794" s="1126"/>
      <c r="B794" s="1094"/>
      <c r="C794" s="1099"/>
      <c r="D794" s="1096"/>
      <c r="E794" s="1097"/>
      <c r="F794" s="1097"/>
      <c r="G794" s="1097"/>
      <c r="H794" s="1097"/>
      <c r="I794" s="1098"/>
      <c r="J794" s="1099"/>
      <c r="K794" s="1096"/>
      <c r="L794" s="1098"/>
      <c r="M794" s="1100"/>
      <c r="N794" s="1096"/>
      <c r="O794" s="1098"/>
      <c r="P794" s="1096"/>
      <c r="Q794" s="1096"/>
    </row>
    <row r="795">
      <c r="A795" s="1126"/>
      <c r="B795" s="1094"/>
      <c r="C795" s="1099"/>
      <c r="D795" s="1096"/>
      <c r="E795" s="1097"/>
      <c r="F795" s="1097"/>
      <c r="G795" s="1097"/>
      <c r="H795" s="1097"/>
      <c r="I795" s="1098"/>
      <c r="J795" s="1099"/>
      <c r="K795" s="1096"/>
      <c r="L795" s="1098"/>
      <c r="M795" s="1100"/>
      <c r="N795" s="1096"/>
      <c r="O795" s="1098"/>
      <c r="P795" s="1096"/>
      <c r="Q795" s="1096"/>
    </row>
    <row r="796">
      <c r="A796" s="1126"/>
      <c r="B796" s="1094"/>
      <c r="C796" s="1099"/>
      <c r="D796" s="1096"/>
      <c r="E796" s="1097"/>
      <c r="F796" s="1097"/>
      <c r="G796" s="1097"/>
      <c r="H796" s="1097"/>
      <c r="I796" s="1098"/>
      <c r="J796" s="1099"/>
      <c r="K796" s="1096"/>
      <c r="L796" s="1098"/>
      <c r="M796" s="1100"/>
      <c r="N796" s="1096"/>
      <c r="O796" s="1098"/>
      <c r="P796" s="1096"/>
      <c r="Q796" s="1096"/>
    </row>
    <row r="797">
      <c r="A797" s="1126"/>
      <c r="B797" s="1094"/>
      <c r="C797" s="1099"/>
      <c r="D797" s="1096"/>
      <c r="E797" s="1097"/>
      <c r="F797" s="1097"/>
      <c r="G797" s="1097"/>
      <c r="H797" s="1097"/>
      <c r="I797" s="1098"/>
      <c r="J797" s="1099"/>
      <c r="K797" s="1096"/>
      <c r="L797" s="1098"/>
      <c r="M797" s="1100"/>
      <c r="N797" s="1096"/>
      <c r="O797" s="1098"/>
      <c r="P797" s="1096"/>
      <c r="Q797" s="1096"/>
    </row>
    <row r="798">
      <c r="A798" s="1126"/>
      <c r="B798" s="1094"/>
      <c r="C798" s="1099"/>
      <c r="D798" s="1096"/>
      <c r="E798" s="1097"/>
      <c r="F798" s="1097"/>
      <c r="G798" s="1097"/>
      <c r="H798" s="1097"/>
      <c r="I798" s="1098"/>
      <c r="J798" s="1099"/>
      <c r="K798" s="1096"/>
      <c r="L798" s="1098"/>
      <c r="M798" s="1100"/>
      <c r="N798" s="1096"/>
      <c r="O798" s="1098"/>
      <c r="P798" s="1096"/>
      <c r="Q798" s="1096"/>
    </row>
    <row r="799">
      <c r="A799" s="1126"/>
      <c r="B799" s="1094"/>
      <c r="C799" s="1099"/>
      <c r="D799" s="1096"/>
      <c r="E799" s="1097"/>
      <c r="F799" s="1097"/>
      <c r="G799" s="1097"/>
      <c r="H799" s="1097"/>
      <c r="I799" s="1098"/>
      <c r="J799" s="1099"/>
      <c r="K799" s="1096"/>
      <c r="L799" s="1098"/>
      <c r="M799" s="1100"/>
      <c r="N799" s="1096"/>
      <c r="O799" s="1098"/>
      <c r="P799" s="1096"/>
      <c r="Q799" s="1096"/>
    </row>
    <row r="800">
      <c r="A800" s="1126"/>
      <c r="B800" s="1094"/>
      <c r="C800" s="1099"/>
      <c r="D800" s="1096"/>
      <c r="E800" s="1097"/>
      <c r="F800" s="1097"/>
      <c r="G800" s="1097"/>
      <c r="H800" s="1097"/>
      <c r="I800" s="1098"/>
      <c r="J800" s="1099"/>
      <c r="K800" s="1096"/>
      <c r="L800" s="1098"/>
      <c r="M800" s="1100"/>
      <c r="N800" s="1096"/>
      <c r="O800" s="1098"/>
      <c r="P800" s="1096"/>
      <c r="Q800" s="1096"/>
    </row>
    <row r="801">
      <c r="A801" s="1126"/>
      <c r="B801" s="1094"/>
      <c r="C801" s="1099"/>
      <c r="D801" s="1096"/>
      <c r="E801" s="1097"/>
      <c r="F801" s="1097"/>
      <c r="G801" s="1097"/>
      <c r="H801" s="1097"/>
      <c r="I801" s="1098"/>
      <c r="J801" s="1099"/>
      <c r="K801" s="1096"/>
      <c r="L801" s="1098"/>
      <c r="M801" s="1100"/>
      <c r="N801" s="1096"/>
      <c r="O801" s="1098"/>
      <c r="P801" s="1096"/>
      <c r="Q801" s="1096"/>
    </row>
    <row r="802">
      <c r="A802" s="1126"/>
      <c r="B802" s="1094"/>
      <c r="C802" s="1099"/>
      <c r="D802" s="1096"/>
      <c r="E802" s="1097"/>
      <c r="F802" s="1097"/>
      <c r="G802" s="1097"/>
      <c r="H802" s="1097"/>
      <c r="I802" s="1098"/>
      <c r="J802" s="1099"/>
      <c r="K802" s="1096"/>
      <c r="L802" s="1098"/>
      <c r="M802" s="1100"/>
      <c r="N802" s="1096"/>
      <c r="O802" s="1098"/>
      <c r="P802" s="1096"/>
      <c r="Q802" s="1096"/>
    </row>
    <row r="803">
      <c r="A803" s="1126"/>
      <c r="B803" s="1094"/>
      <c r="C803" s="1099"/>
      <c r="D803" s="1096"/>
      <c r="E803" s="1097"/>
      <c r="F803" s="1097"/>
      <c r="G803" s="1097"/>
      <c r="H803" s="1097"/>
      <c r="I803" s="1098"/>
      <c r="J803" s="1099"/>
      <c r="K803" s="1096"/>
      <c r="L803" s="1098"/>
      <c r="M803" s="1100"/>
      <c r="N803" s="1096"/>
      <c r="O803" s="1098"/>
      <c r="P803" s="1096"/>
      <c r="Q803" s="1096"/>
    </row>
    <row r="804">
      <c r="A804" s="1126"/>
      <c r="B804" s="1094"/>
      <c r="C804" s="1099"/>
      <c r="D804" s="1096"/>
      <c r="E804" s="1097"/>
      <c r="F804" s="1097"/>
      <c r="G804" s="1097"/>
      <c r="H804" s="1097"/>
      <c r="I804" s="1098"/>
      <c r="J804" s="1099"/>
      <c r="K804" s="1096"/>
      <c r="L804" s="1098"/>
      <c r="M804" s="1100"/>
      <c r="N804" s="1096"/>
      <c r="O804" s="1098"/>
      <c r="P804" s="1096"/>
      <c r="Q804" s="1096"/>
    </row>
    <row r="805">
      <c r="A805" s="1126"/>
      <c r="B805" s="1094"/>
      <c r="C805" s="1099"/>
      <c r="D805" s="1096"/>
      <c r="E805" s="1097"/>
      <c r="F805" s="1097"/>
      <c r="G805" s="1097"/>
      <c r="H805" s="1097"/>
      <c r="I805" s="1098"/>
      <c r="J805" s="1099"/>
      <c r="K805" s="1096"/>
      <c r="L805" s="1098"/>
      <c r="M805" s="1100"/>
      <c r="N805" s="1096"/>
      <c r="O805" s="1098"/>
      <c r="P805" s="1096"/>
      <c r="Q805" s="1096"/>
    </row>
    <row r="806">
      <c r="A806" s="1126"/>
      <c r="B806" s="1094"/>
      <c r="C806" s="1099"/>
      <c r="D806" s="1096"/>
      <c r="E806" s="1097"/>
      <c r="F806" s="1097"/>
      <c r="G806" s="1097"/>
      <c r="H806" s="1097"/>
      <c r="I806" s="1098"/>
      <c r="J806" s="1099"/>
      <c r="K806" s="1096"/>
      <c r="L806" s="1098"/>
      <c r="M806" s="1100"/>
      <c r="N806" s="1096"/>
      <c r="O806" s="1098"/>
      <c r="P806" s="1096"/>
      <c r="Q806" s="1096"/>
    </row>
    <row r="807">
      <c r="A807" s="1126"/>
      <c r="B807" s="1094"/>
      <c r="C807" s="1099"/>
      <c r="D807" s="1096"/>
      <c r="E807" s="1097"/>
      <c r="F807" s="1097"/>
      <c r="G807" s="1097"/>
      <c r="H807" s="1097"/>
      <c r="I807" s="1098"/>
      <c r="J807" s="1099"/>
      <c r="K807" s="1096"/>
      <c r="L807" s="1098"/>
      <c r="M807" s="1100"/>
      <c r="N807" s="1096"/>
      <c r="O807" s="1098"/>
      <c r="P807" s="1096"/>
      <c r="Q807" s="1096"/>
    </row>
    <row r="808">
      <c r="A808" s="1126"/>
      <c r="B808" s="1094"/>
      <c r="C808" s="1099"/>
      <c r="D808" s="1096"/>
      <c r="E808" s="1097"/>
      <c r="F808" s="1097"/>
      <c r="G808" s="1097"/>
      <c r="H808" s="1097"/>
      <c r="I808" s="1098"/>
      <c r="J808" s="1099"/>
      <c r="K808" s="1096"/>
      <c r="L808" s="1098"/>
      <c r="M808" s="1100"/>
      <c r="N808" s="1096"/>
      <c r="O808" s="1098"/>
      <c r="P808" s="1096"/>
      <c r="Q808" s="1096"/>
    </row>
    <row r="809">
      <c r="A809" s="1126"/>
      <c r="B809" s="1094"/>
      <c r="C809" s="1099"/>
      <c r="D809" s="1096"/>
      <c r="E809" s="1097"/>
      <c r="F809" s="1097"/>
      <c r="G809" s="1097"/>
      <c r="H809" s="1097"/>
      <c r="I809" s="1098"/>
      <c r="J809" s="1099"/>
      <c r="K809" s="1096"/>
      <c r="L809" s="1098"/>
      <c r="M809" s="1100"/>
      <c r="N809" s="1096"/>
      <c r="O809" s="1098"/>
      <c r="P809" s="1096"/>
      <c r="Q809" s="1096"/>
    </row>
    <row r="810">
      <c r="A810" s="1126"/>
      <c r="B810" s="1094"/>
      <c r="C810" s="1099"/>
      <c r="D810" s="1096"/>
      <c r="E810" s="1097"/>
      <c r="F810" s="1097"/>
      <c r="G810" s="1097"/>
      <c r="H810" s="1097"/>
      <c r="I810" s="1098"/>
      <c r="J810" s="1099"/>
      <c r="K810" s="1096"/>
      <c r="L810" s="1098"/>
      <c r="M810" s="1100"/>
      <c r="N810" s="1096"/>
      <c r="O810" s="1098"/>
      <c r="P810" s="1096"/>
      <c r="Q810" s="1096"/>
    </row>
    <row r="811">
      <c r="A811" s="1126"/>
      <c r="B811" s="1094"/>
      <c r="C811" s="1099"/>
      <c r="D811" s="1096"/>
      <c r="E811" s="1097"/>
      <c r="F811" s="1097"/>
      <c r="G811" s="1097"/>
      <c r="H811" s="1097"/>
      <c r="I811" s="1098"/>
      <c r="J811" s="1099"/>
      <c r="K811" s="1096"/>
      <c r="L811" s="1098"/>
      <c r="M811" s="1100"/>
      <c r="N811" s="1096"/>
      <c r="O811" s="1098"/>
      <c r="P811" s="1096"/>
      <c r="Q811" s="1096"/>
    </row>
    <row r="812">
      <c r="A812" s="1126"/>
      <c r="B812" s="1094"/>
      <c r="C812" s="1099"/>
      <c r="D812" s="1096"/>
      <c r="E812" s="1097"/>
      <c r="F812" s="1097"/>
      <c r="G812" s="1097"/>
      <c r="H812" s="1097"/>
      <c r="I812" s="1098"/>
      <c r="J812" s="1099"/>
      <c r="K812" s="1096"/>
      <c r="L812" s="1098"/>
      <c r="M812" s="1100"/>
      <c r="N812" s="1096"/>
      <c r="O812" s="1098"/>
      <c r="P812" s="1096"/>
      <c r="Q812" s="1096"/>
    </row>
    <row r="813">
      <c r="A813" s="1126"/>
      <c r="B813" s="1094"/>
      <c r="C813" s="1099"/>
      <c r="D813" s="1096"/>
      <c r="E813" s="1097"/>
      <c r="F813" s="1097"/>
      <c r="G813" s="1097"/>
      <c r="H813" s="1097"/>
      <c r="I813" s="1098"/>
      <c r="J813" s="1099"/>
      <c r="K813" s="1096"/>
      <c r="L813" s="1098"/>
      <c r="M813" s="1100"/>
      <c r="N813" s="1096"/>
      <c r="O813" s="1098"/>
      <c r="P813" s="1096"/>
      <c r="Q813" s="1096"/>
    </row>
    <row r="814">
      <c r="A814" s="1126"/>
      <c r="B814" s="1094"/>
      <c r="C814" s="1099"/>
      <c r="D814" s="1096"/>
      <c r="E814" s="1097"/>
      <c r="F814" s="1097"/>
      <c r="G814" s="1097"/>
      <c r="H814" s="1097"/>
      <c r="I814" s="1098"/>
      <c r="J814" s="1099"/>
      <c r="K814" s="1096"/>
      <c r="L814" s="1098"/>
      <c r="M814" s="1100"/>
      <c r="N814" s="1096"/>
      <c r="O814" s="1098"/>
      <c r="P814" s="1096"/>
      <c r="Q814" s="1096"/>
    </row>
    <row r="815">
      <c r="A815" s="1126"/>
      <c r="B815" s="1094"/>
      <c r="C815" s="1099"/>
      <c r="D815" s="1096"/>
      <c r="E815" s="1097"/>
      <c r="F815" s="1097"/>
      <c r="G815" s="1097"/>
      <c r="H815" s="1097"/>
      <c r="I815" s="1098"/>
      <c r="J815" s="1099"/>
      <c r="K815" s="1096"/>
      <c r="L815" s="1098"/>
      <c r="M815" s="1100"/>
      <c r="N815" s="1096"/>
      <c r="O815" s="1098"/>
      <c r="P815" s="1096"/>
      <c r="Q815" s="1096"/>
    </row>
    <row r="816">
      <c r="A816" s="1126"/>
      <c r="B816" s="1094"/>
      <c r="C816" s="1099"/>
      <c r="D816" s="1096"/>
      <c r="E816" s="1097"/>
      <c r="F816" s="1097"/>
      <c r="G816" s="1097"/>
      <c r="H816" s="1097"/>
      <c r="I816" s="1098"/>
      <c r="J816" s="1099"/>
      <c r="K816" s="1096"/>
      <c r="L816" s="1098"/>
      <c r="M816" s="1100"/>
      <c r="N816" s="1096"/>
      <c r="O816" s="1098"/>
      <c r="P816" s="1096"/>
      <c r="Q816" s="1096"/>
    </row>
    <row r="817">
      <c r="A817" s="1126"/>
      <c r="B817" s="1094"/>
      <c r="C817" s="1099"/>
      <c r="D817" s="1096"/>
      <c r="E817" s="1097"/>
      <c r="F817" s="1097"/>
      <c r="G817" s="1097"/>
      <c r="H817" s="1097"/>
      <c r="I817" s="1098"/>
      <c r="J817" s="1099"/>
      <c r="K817" s="1096"/>
      <c r="L817" s="1098"/>
      <c r="M817" s="1100"/>
      <c r="N817" s="1096"/>
      <c r="O817" s="1098"/>
      <c r="P817" s="1096"/>
      <c r="Q817" s="1096"/>
    </row>
    <row r="818">
      <c r="A818" s="1126"/>
      <c r="B818" s="1094"/>
      <c r="C818" s="1099"/>
      <c r="D818" s="1096"/>
      <c r="E818" s="1097"/>
      <c r="F818" s="1097"/>
      <c r="G818" s="1097"/>
      <c r="H818" s="1097"/>
      <c r="I818" s="1098"/>
      <c r="J818" s="1099"/>
      <c r="K818" s="1096"/>
      <c r="L818" s="1098"/>
      <c r="M818" s="1100"/>
      <c r="N818" s="1096"/>
      <c r="O818" s="1098"/>
      <c r="P818" s="1096"/>
      <c r="Q818" s="1096"/>
    </row>
    <row r="819">
      <c r="A819" s="1126"/>
      <c r="B819" s="1094"/>
      <c r="C819" s="1099"/>
      <c r="D819" s="1096"/>
      <c r="E819" s="1097"/>
      <c r="F819" s="1097"/>
      <c r="G819" s="1097"/>
      <c r="H819" s="1097"/>
      <c r="I819" s="1098"/>
      <c r="J819" s="1099"/>
      <c r="K819" s="1096"/>
      <c r="L819" s="1098"/>
      <c r="M819" s="1100"/>
      <c r="N819" s="1096"/>
      <c r="O819" s="1098"/>
      <c r="P819" s="1096"/>
      <c r="Q819" s="1096"/>
    </row>
    <row r="820">
      <c r="A820" s="1126"/>
      <c r="B820" s="1094"/>
      <c r="C820" s="1099"/>
      <c r="D820" s="1096"/>
      <c r="E820" s="1097"/>
      <c r="F820" s="1097"/>
      <c r="G820" s="1097"/>
      <c r="H820" s="1097"/>
      <c r="I820" s="1098"/>
      <c r="J820" s="1099"/>
      <c r="K820" s="1096"/>
      <c r="L820" s="1098"/>
      <c r="M820" s="1100"/>
      <c r="N820" s="1096"/>
      <c r="O820" s="1098"/>
      <c r="P820" s="1096"/>
      <c r="Q820" s="1096"/>
    </row>
    <row r="821">
      <c r="A821" s="1126"/>
      <c r="B821" s="1094"/>
      <c r="C821" s="1099"/>
      <c r="D821" s="1096"/>
      <c r="E821" s="1097"/>
      <c r="F821" s="1097"/>
      <c r="G821" s="1097"/>
      <c r="H821" s="1097"/>
      <c r="I821" s="1098"/>
      <c r="J821" s="1099"/>
      <c r="K821" s="1096"/>
      <c r="L821" s="1098"/>
      <c r="M821" s="1100"/>
      <c r="N821" s="1096"/>
      <c r="O821" s="1098"/>
      <c r="P821" s="1096"/>
      <c r="Q821" s="1096"/>
    </row>
    <row r="822">
      <c r="A822" s="1126"/>
      <c r="B822" s="1094"/>
      <c r="C822" s="1099"/>
      <c r="D822" s="1096"/>
      <c r="E822" s="1097"/>
      <c r="F822" s="1097"/>
      <c r="G822" s="1097"/>
      <c r="H822" s="1097"/>
      <c r="I822" s="1098"/>
      <c r="J822" s="1099"/>
      <c r="K822" s="1096"/>
      <c r="L822" s="1098"/>
      <c r="M822" s="1100"/>
      <c r="N822" s="1096"/>
      <c r="O822" s="1098"/>
      <c r="P822" s="1096"/>
      <c r="Q822" s="1096"/>
    </row>
    <row r="823">
      <c r="A823" s="1126"/>
      <c r="B823" s="1094"/>
      <c r="C823" s="1099"/>
      <c r="D823" s="1096"/>
      <c r="E823" s="1097"/>
      <c r="F823" s="1097"/>
      <c r="G823" s="1097"/>
      <c r="H823" s="1097"/>
      <c r="I823" s="1098"/>
      <c r="J823" s="1099"/>
      <c r="K823" s="1096"/>
      <c r="L823" s="1098"/>
      <c r="M823" s="1100"/>
      <c r="N823" s="1096"/>
      <c r="O823" s="1098"/>
      <c r="P823" s="1096"/>
      <c r="Q823" s="1096"/>
    </row>
    <row r="824">
      <c r="A824" s="1126"/>
      <c r="B824" s="1094"/>
      <c r="C824" s="1099"/>
      <c r="D824" s="1096"/>
      <c r="E824" s="1097"/>
      <c r="F824" s="1097"/>
      <c r="G824" s="1097"/>
      <c r="H824" s="1097"/>
      <c r="I824" s="1098"/>
      <c r="J824" s="1099"/>
      <c r="K824" s="1096"/>
      <c r="L824" s="1098"/>
      <c r="M824" s="1100"/>
      <c r="N824" s="1096"/>
      <c r="O824" s="1098"/>
      <c r="P824" s="1096"/>
      <c r="Q824" s="1096"/>
    </row>
    <row r="825">
      <c r="A825" s="1126"/>
      <c r="B825" s="1094"/>
      <c r="C825" s="1099"/>
      <c r="D825" s="1096"/>
      <c r="E825" s="1097"/>
      <c r="F825" s="1097"/>
      <c r="G825" s="1097"/>
      <c r="H825" s="1097"/>
      <c r="I825" s="1098"/>
      <c r="J825" s="1099"/>
      <c r="K825" s="1096"/>
      <c r="L825" s="1098"/>
      <c r="M825" s="1100"/>
      <c r="N825" s="1096"/>
      <c r="O825" s="1098"/>
      <c r="P825" s="1096"/>
      <c r="Q825" s="1096"/>
    </row>
    <row r="826">
      <c r="A826" s="1126"/>
      <c r="B826" s="1094"/>
      <c r="C826" s="1099"/>
      <c r="D826" s="1096"/>
      <c r="E826" s="1097"/>
      <c r="F826" s="1097"/>
      <c r="G826" s="1097"/>
      <c r="H826" s="1097"/>
      <c r="I826" s="1098"/>
      <c r="J826" s="1099"/>
      <c r="K826" s="1096"/>
      <c r="L826" s="1098"/>
      <c r="M826" s="1100"/>
      <c r="N826" s="1096"/>
      <c r="O826" s="1098"/>
      <c r="P826" s="1096"/>
      <c r="Q826" s="1096"/>
    </row>
    <row r="827">
      <c r="A827" s="1126"/>
      <c r="B827" s="1094"/>
      <c r="C827" s="1099"/>
      <c r="D827" s="1096"/>
      <c r="E827" s="1097"/>
      <c r="F827" s="1097"/>
      <c r="G827" s="1097"/>
      <c r="H827" s="1097"/>
      <c r="I827" s="1098"/>
      <c r="J827" s="1099"/>
      <c r="K827" s="1096"/>
      <c r="L827" s="1098"/>
      <c r="M827" s="1100"/>
      <c r="N827" s="1096"/>
      <c r="O827" s="1098"/>
      <c r="P827" s="1096"/>
      <c r="Q827" s="1096"/>
    </row>
    <row r="828">
      <c r="A828" s="1126"/>
      <c r="B828" s="1094"/>
      <c r="C828" s="1099"/>
      <c r="D828" s="1096"/>
      <c r="E828" s="1097"/>
      <c r="F828" s="1097"/>
      <c r="G828" s="1097"/>
      <c r="H828" s="1097"/>
      <c r="I828" s="1098"/>
      <c r="J828" s="1099"/>
      <c r="K828" s="1096"/>
      <c r="L828" s="1098"/>
      <c r="M828" s="1100"/>
      <c r="N828" s="1096"/>
      <c r="O828" s="1098"/>
      <c r="P828" s="1096"/>
      <c r="Q828" s="1096"/>
    </row>
    <row r="829">
      <c r="A829" s="1126"/>
      <c r="B829" s="1094"/>
      <c r="C829" s="1099"/>
      <c r="D829" s="1096"/>
      <c r="E829" s="1097"/>
      <c r="F829" s="1097"/>
      <c r="G829" s="1097"/>
      <c r="H829" s="1097"/>
      <c r="I829" s="1098"/>
      <c r="J829" s="1099"/>
      <c r="K829" s="1096"/>
      <c r="L829" s="1098"/>
      <c r="M829" s="1100"/>
      <c r="N829" s="1096"/>
      <c r="O829" s="1098"/>
      <c r="P829" s="1096"/>
      <c r="Q829" s="1096"/>
    </row>
    <row r="830">
      <c r="A830" s="1126"/>
      <c r="B830" s="1094"/>
      <c r="C830" s="1099"/>
      <c r="D830" s="1096"/>
      <c r="E830" s="1097"/>
      <c r="F830" s="1097"/>
      <c r="G830" s="1097"/>
      <c r="H830" s="1097"/>
      <c r="I830" s="1098"/>
      <c r="J830" s="1099"/>
      <c r="K830" s="1096"/>
      <c r="L830" s="1098"/>
      <c r="M830" s="1100"/>
      <c r="N830" s="1096"/>
      <c r="O830" s="1098"/>
      <c r="P830" s="1096"/>
      <c r="Q830" s="1096"/>
    </row>
    <row r="831">
      <c r="A831" s="1126"/>
      <c r="B831" s="1094"/>
      <c r="C831" s="1099"/>
      <c r="D831" s="1096"/>
      <c r="E831" s="1097"/>
      <c r="F831" s="1097"/>
      <c r="G831" s="1097"/>
      <c r="H831" s="1097"/>
      <c r="I831" s="1098"/>
      <c r="J831" s="1099"/>
      <c r="K831" s="1096"/>
      <c r="L831" s="1098"/>
      <c r="M831" s="1100"/>
      <c r="N831" s="1096"/>
      <c r="O831" s="1098"/>
      <c r="P831" s="1096"/>
      <c r="Q831" s="1096"/>
    </row>
    <row r="832">
      <c r="A832" s="1126"/>
      <c r="B832" s="1094"/>
      <c r="C832" s="1099"/>
      <c r="D832" s="1096"/>
      <c r="E832" s="1097"/>
      <c r="F832" s="1097"/>
      <c r="G832" s="1097"/>
      <c r="H832" s="1097"/>
      <c r="I832" s="1098"/>
      <c r="J832" s="1099"/>
      <c r="K832" s="1096"/>
      <c r="L832" s="1098"/>
      <c r="M832" s="1100"/>
      <c r="N832" s="1096"/>
      <c r="O832" s="1098"/>
      <c r="P832" s="1096"/>
      <c r="Q832" s="1096"/>
    </row>
    <row r="833">
      <c r="A833" s="1126"/>
      <c r="B833" s="1094"/>
      <c r="C833" s="1099"/>
      <c r="D833" s="1096"/>
      <c r="E833" s="1097"/>
      <c r="F833" s="1097"/>
      <c r="G833" s="1097"/>
      <c r="H833" s="1097"/>
      <c r="I833" s="1098"/>
      <c r="J833" s="1099"/>
      <c r="K833" s="1096"/>
      <c r="L833" s="1098"/>
      <c r="M833" s="1100"/>
      <c r="N833" s="1096"/>
      <c r="O833" s="1098"/>
      <c r="P833" s="1096"/>
      <c r="Q833" s="1096"/>
    </row>
    <row r="834">
      <c r="A834" s="1126"/>
      <c r="B834" s="1094"/>
      <c r="C834" s="1099"/>
      <c r="D834" s="1096"/>
      <c r="E834" s="1097"/>
      <c r="F834" s="1097"/>
      <c r="G834" s="1097"/>
      <c r="H834" s="1097"/>
      <c r="I834" s="1098"/>
      <c r="J834" s="1099"/>
      <c r="K834" s="1096"/>
      <c r="L834" s="1098"/>
      <c r="M834" s="1100"/>
      <c r="N834" s="1096"/>
      <c r="O834" s="1098"/>
      <c r="P834" s="1096"/>
      <c r="Q834" s="1096"/>
    </row>
    <row r="835">
      <c r="A835" s="1126"/>
      <c r="B835" s="1094"/>
      <c r="C835" s="1099"/>
      <c r="D835" s="1096"/>
      <c r="E835" s="1097"/>
      <c r="F835" s="1097"/>
      <c r="G835" s="1097"/>
      <c r="H835" s="1097"/>
      <c r="I835" s="1098"/>
      <c r="J835" s="1099"/>
      <c r="K835" s="1096"/>
      <c r="L835" s="1098"/>
      <c r="M835" s="1100"/>
      <c r="N835" s="1096"/>
      <c r="O835" s="1098"/>
      <c r="P835" s="1096"/>
      <c r="Q835" s="1096"/>
    </row>
    <row r="836">
      <c r="A836" s="1126"/>
      <c r="B836" s="1094"/>
      <c r="C836" s="1099"/>
      <c r="D836" s="1096"/>
      <c r="E836" s="1097"/>
      <c r="F836" s="1097"/>
      <c r="G836" s="1097"/>
      <c r="H836" s="1097"/>
      <c r="I836" s="1098"/>
      <c r="J836" s="1099"/>
      <c r="K836" s="1096"/>
      <c r="L836" s="1098"/>
      <c r="M836" s="1100"/>
      <c r="N836" s="1096"/>
      <c r="O836" s="1098"/>
      <c r="P836" s="1096"/>
      <c r="Q836" s="1096"/>
    </row>
    <row r="837">
      <c r="A837" s="1126"/>
      <c r="B837" s="1094"/>
      <c r="C837" s="1099"/>
      <c r="D837" s="1096"/>
      <c r="E837" s="1097"/>
      <c r="F837" s="1097"/>
      <c r="G837" s="1097"/>
      <c r="H837" s="1097"/>
      <c r="I837" s="1098"/>
      <c r="J837" s="1099"/>
      <c r="K837" s="1096"/>
      <c r="L837" s="1098"/>
      <c r="M837" s="1100"/>
      <c r="N837" s="1096"/>
      <c r="O837" s="1098"/>
      <c r="P837" s="1096"/>
      <c r="Q837" s="1096"/>
    </row>
    <row r="838">
      <c r="A838" s="1126"/>
      <c r="B838" s="1094"/>
      <c r="C838" s="1099"/>
      <c r="D838" s="1096"/>
      <c r="E838" s="1097"/>
      <c r="F838" s="1097"/>
      <c r="G838" s="1097"/>
      <c r="H838" s="1097"/>
      <c r="I838" s="1098"/>
      <c r="J838" s="1099"/>
      <c r="K838" s="1096"/>
      <c r="L838" s="1098"/>
      <c r="M838" s="1100"/>
      <c r="N838" s="1096"/>
      <c r="O838" s="1098"/>
      <c r="P838" s="1096"/>
      <c r="Q838" s="1096"/>
    </row>
    <row r="839">
      <c r="A839" s="1126"/>
      <c r="B839" s="1094"/>
      <c r="C839" s="1099"/>
      <c r="D839" s="1096"/>
      <c r="E839" s="1097"/>
      <c r="F839" s="1097"/>
      <c r="G839" s="1097"/>
      <c r="H839" s="1097"/>
      <c r="I839" s="1098"/>
      <c r="J839" s="1099"/>
      <c r="K839" s="1096"/>
      <c r="L839" s="1098"/>
      <c r="M839" s="1100"/>
      <c r="N839" s="1096"/>
      <c r="O839" s="1098"/>
      <c r="P839" s="1096"/>
      <c r="Q839" s="1096"/>
    </row>
    <row r="840">
      <c r="A840" s="1126"/>
      <c r="B840" s="1094"/>
      <c r="C840" s="1099"/>
      <c r="D840" s="1096"/>
      <c r="E840" s="1097"/>
      <c r="F840" s="1097"/>
      <c r="G840" s="1097"/>
      <c r="H840" s="1097"/>
      <c r="I840" s="1098"/>
      <c r="J840" s="1099"/>
      <c r="K840" s="1096"/>
      <c r="L840" s="1098"/>
      <c r="M840" s="1100"/>
      <c r="N840" s="1096"/>
      <c r="O840" s="1098"/>
      <c r="P840" s="1096"/>
      <c r="Q840" s="1096"/>
    </row>
    <row r="841">
      <c r="A841" s="1126"/>
      <c r="B841" s="1094"/>
      <c r="C841" s="1099"/>
      <c r="D841" s="1096"/>
      <c r="E841" s="1097"/>
      <c r="F841" s="1097"/>
      <c r="G841" s="1097"/>
      <c r="H841" s="1097"/>
      <c r="I841" s="1098"/>
      <c r="J841" s="1099"/>
      <c r="K841" s="1096"/>
      <c r="L841" s="1098"/>
      <c r="M841" s="1100"/>
      <c r="N841" s="1096"/>
      <c r="O841" s="1098"/>
      <c r="P841" s="1096"/>
      <c r="Q841" s="1096"/>
    </row>
    <row r="842">
      <c r="A842" s="1126"/>
      <c r="B842" s="1094"/>
      <c r="C842" s="1099"/>
      <c r="D842" s="1096"/>
      <c r="E842" s="1097"/>
      <c r="F842" s="1097"/>
      <c r="G842" s="1097"/>
      <c r="H842" s="1097"/>
      <c r="I842" s="1098"/>
      <c r="J842" s="1099"/>
      <c r="K842" s="1096"/>
      <c r="L842" s="1098"/>
      <c r="M842" s="1100"/>
      <c r="N842" s="1096"/>
      <c r="O842" s="1098"/>
      <c r="P842" s="1096"/>
      <c r="Q842" s="1096"/>
    </row>
    <row r="843">
      <c r="A843" s="1126"/>
      <c r="B843" s="1094"/>
      <c r="C843" s="1099"/>
      <c r="D843" s="1096"/>
      <c r="E843" s="1097"/>
      <c r="F843" s="1097"/>
      <c r="G843" s="1097"/>
      <c r="H843" s="1097"/>
      <c r="I843" s="1098"/>
      <c r="J843" s="1099"/>
      <c r="K843" s="1096"/>
      <c r="L843" s="1098"/>
      <c r="M843" s="1100"/>
      <c r="N843" s="1096"/>
      <c r="O843" s="1098"/>
      <c r="P843" s="1096"/>
      <c r="Q843" s="1096"/>
    </row>
    <row r="844">
      <c r="A844" s="1126"/>
      <c r="B844" s="1094"/>
      <c r="C844" s="1099"/>
      <c r="D844" s="1096"/>
      <c r="E844" s="1097"/>
      <c r="F844" s="1097"/>
      <c r="G844" s="1097"/>
      <c r="H844" s="1097"/>
      <c r="I844" s="1098"/>
      <c r="J844" s="1099"/>
      <c r="K844" s="1096"/>
      <c r="L844" s="1098"/>
      <c r="M844" s="1100"/>
      <c r="N844" s="1096"/>
      <c r="O844" s="1098"/>
      <c r="P844" s="1096"/>
      <c r="Q844" s="1096"/>
    </row>
    <row r="845">
      <c r="A845" s="1126"/>
      <c r="B845" s="1094"/>
      <c r="C845" s="1099"/>
      <c r="D845" s="1096"/>
      <c r="E845" s="1097"/>
      <c r="F845" s="1097"/>
      <c r="G845" s="1097"/>
      <c r="H845" s="1097"/>
      <c r="I845" s="1098"/>
      <c r="J845" s="1099"/>
      <c r="K845" s="1096"/>
      <c r="L845" s="1098"/>
      <c r="M845" s="1100"/>
      <c r="N845" s="1096"/>
      <c r="O845" s="1098"/>
      <c r="P845" s="1096"/>
      <c r="Q845" s="1096"/>
    </row>
    <row r="846">
      <c r="A846" s="1126"/>
      <c r="B846" s="1094"/>
      <c r="C846" s="1099"/>
      <c r="D846" s="1096"/>
      <c r="E846" s="1097"/>
      <c r="F846" s="1097"/>
      <c r="G846" s="1097"/>
      <c r="H846" s="1097"/>
      <c r="I846" s="1098"/>
      <c r="J846" s="1099"/>
      <c r="K846" s="1096"/>
      <c r="L846" s="1098"/>
      <c r="M846" s="1100"/>
      <c r="N846" s="1096"/>
      <c r="O846" s="1098"/>
      <c r="P846" s="1096"/>
      <c r="Q846" s="1096"/>
    </row>
    <row r="847">
      <c r="A847" s="1126"/>
      <c r="B847" s="1094"/>
      <c r="C847" s="1099"/>
      <c r="D847" s="1096"/>
      <c r="E847" s="1097"/>
      <c r="F847" s="1097"/>
      <c r="G847" s="1097"/>
      <c r="H847" s="1097"/>
      <c r="I847" s="1098"/>
      <c r="J847" s="1099"/>
      <c r="K847" s="1096"/>
      <c r="L847" s="1098"/>
      <c r="M847" s="1100"/>
      <c r="N847" s="1096"/>
      <c r="O847" s="1098"/>
      <c r="P847" s="1096"/>
      <c r="Q847" s="1096"/>
    </row>
    <row r="848">
      <c r="A848" s="1126"/>
      <c r="B848" s="1094"/>
      <c r="C848" s="1099"/>
      <c r="D848" s="1096"/>
      <c r="E848" s="1097"/>
      <c r="F848" s="1097"/>
      <c r="G848" s="1097"/>
      <c r="H848" s="1097"/>
      <c r="I848" s="1098"/>
      <c r="J848" s="1099"/>
      <c r="K848" s="1096"/>
      <c r="L848" s="1098"/>
      <c r="M848" s="1100"/>
      <c r="N848" s="1096"/>
      <c r="O848" s="1098"/>
      <c r="P848" s="1096"/>
      <c r="Q848" s="1096"/>
    </row>
    <row r="849">
      <c r="A849" s="1126"/>
      <c r="B849" s="1094"/>
      <c r="C849" s="1099"/>
      <c r="D849" s="1096"/>
      <c r="E849" s="1097"/>
      <c r="F849" s="1097"/>
      <c r="G849" s="1097"/>
      <c r="H849" s="1097"/>
      <c r="I849" s="1098"/>
      <c r="J849" s="1099"/>
      <c r="K849" s="1096"/>
      <c r="L849" s="1098"/>
      <c r="M849" s="1100"/>
      <c r="N849" s="1096"/>
      <c r="O849" s="1098"/>
      <c r="P849" s="1096"/>
      <c r="Q849" s="1096"/>
    </row>
    <row r="850">
      <c r="A850" s="1126"/>
      <c r="B850" s="1094"/>
      <c r="C850" s="1099"/>
      <c r="D850" s="1096"/>
      <c r="E850" s="1097"/>
      <c r="F850" s="1097"/>
      <c r="G850" s="1097"/>
      <c r="H850" s="1097"/>
      <c r="I850" s="1098"/>
      <c r="J850" s="1099"/>
      <c r="K850" s="1096"/>
      <c r="L850" s="1098"/>
      <c r="M850" s="1100"/>
      <c r="N850" s="1096"/>
      <c r="O850" s="1098"/>
      <c r="P850" s="1096"/>
      <c r="Q850" s="1096"/>
    </row>
    <row r="851">
      <c r="A851" s="1126"/>
      <c r="B851" s="1094"/>
      <c r="C851" s="1099"/>
      <c r="D851" s="1096"/>
      <c r="E851" s="1097"/>
      <c r="F851" s="1097"/>
      <c r="G851" s="1097"/>
      <c r="H851" s="1097"/>
      <c r="I851" s="1098"/>
      <c r="J851" s="1099"/>
      <c r="K851" s="1096"/>
      <c r="L851" s="1098"/>
      <c r="M851" s="1100"/>
      <c r="N851" s="1096"/>
      <c r="O851" s="1098"/>
      <c r="P851" s="1096"/>
      <c r="Q851" s="1096"/>
    </row>
    <row r="852">
      <c r="A852" s="1126"/>
      <c r="B852" s="1094"/>
      <c r="C852" s="1099"/>
      <c r="D852" s="1096"/>
      <c r="E852" s="1097"/>
      <c r="F852" s="1097"/>
      <c r="G852" s="1097"/>
      <c r="H852" s="1097"/>
      <c r="I852" s="1098"/>
      <c r="J852" s="1099"/>
      <c r="K852" s="1096"/>
      <c r="L852" s="1098"/>
      <c r="M852" s="1100"/>
      <c r="N852" s="1096"/>
      <c r="O852" s="1098"/>
      <c r="P852" s="1096"/>
      <c r="Q852" s="1096"/>
    </row>
    <row r="853">
      <c r="A853" s="1126"/>
      <c r="B853" s="1094"/>
      <c r="C853" s="1099"/>
      <c r="D853" s="1096"/>
      <c r="E853" s="1097"/>
      <c r="F853" s="1097"/>
      <c r="G853" s="1097"/>
      <c r="H853" s="1097"/>
      <c r="I853" s="1098"/>
      <c r="J853" s="1099"/>
      <c r="K853" s="1096"/>
      <c r="L853" s="1098"/>
      <c r="M853" s="1100"/>
      <c r="N853" s="1096"/>
      <c r="O853" s="1098"/>
      <c r="P853" s="1096"/>
      <c r="Q853" s="1096"/>
    </row>
    <row r="854">
      <c r="A854" s="1126"/>
      <c r="B854" s="1094"/>
      <c r="C854" s="1099"/>
      <c r="D854" s="1096"/>
      <c r="E854" s="1097"/>
      <c r="F854" s="1097"/>
      <c r="G854" s="1097"/>
      <c r="H854" s="1097"/>
      <c r="I854" s="1098"/>
      <c r="J854" s="1099"/>
      <c r="K854" s="1096"/>
      <c r="L854" s="1098"/>
      <c r="M854" s="1100"/>
      <c r="N854" s="1096"/>
      <c r="O854" s="1098"/>
      <c r="P854" s="1096"/>
      <c r="Q854" s="1096"/>
    </row>
    <row r="855">
      <c r="A855" s="1126"/>
      <c r="B855" s="1094"/>
      <c r="C855" s="1099"/>
      <c r="D855" s="1096"/>
      <c r="E855" s="1097"/>
      <c r="F855" s="1097"/>
      <c r="G855" s="1097"/>
      <c r="H855" s="1097"/>
      <c r="I855" s="1098"/>
      <c r="J855" s="1099"/>
      <c r="K855" s="1096"/>
      <c r="L855" s="1098"/>
      <c r="M855" s="1100"/>
      <c r="N855" s="1096"/>
      <c r="O855" s="1098"/>
      <c r="P855" s="1096"/>
      <c r="Q855" s="1096"/>
    </row>
    <row r="856">
      <c r="A856" s="1126"/>
      <c r="B856" s="1094"/>
      <c r="C856" s="1099"/>
      <c r="D856" s="1096"/>
      <c r="E856" s="1097"/>
      <c r="F856" s="1097"/>
      <c r="G856" s="1097"/>
      <c r="H856" s="1097"/>
      <c r="I856" s="1098"/>
      <c r="J856" s="1099"/>
      <c r="K856" s="1096"/>
      <c r="L856" s="1098"/>
      <c r="M856" s="1100"/>
      <c r="N856" s="1096"/>
      <c r="O856" s="1098"/>
      <c r="P856" s="1096"/>
      <c r="Q856" s="1096"/>
    </row>
    <row r="857">
      <c r="A857" s="1126"/>
      <c r="B857" s="1094"/>
      <c r="C857" s="1099"/>
      <c r="D857" s="1096"/>
      <c r="E857" s="1097"/>
      <c r="F857" s="1097"/>
      <c r="G857" s="1097"/>
      <c r="H857" s="1097"/>
      <c r="I857" s="1098"/>
      <c r="J857" s="1099"/>
      <c r="K857" s="1096"/>
      <c r="L857" s="1098"/>
      <c r="M857" s="1100"/>
      <c r="N857" s="1096"/>
      <c r="O857" s="1098"/>
      <c r="P857" s="1096"/>
      <c r="Q857" s="1096"/>
    </row>
    <row r="858">
      <c r="A858" s="1126"/>
      <c r="B858" s="1094"/>
      <c r="C858" s="1099"/>
      <c r="D858" s="1096"/>
      <c r="E858" s="1097"/>
      <c r="F858" s="1097"/>
      <c r="G858" s="1097"/>
      <c r="H858" s="1097"/>
      <c r="I858" s="1098"/>
      <c r="J858" s="1099"/>
      <c r="K858" s="1096"/>
      <c r="L858" s="1098"/>
      <c r="M858" s="1100"/>
      <c r="N858" s="1096"/>
      <c r="O858" s="1098"/>
      <c r="P858" s="1096"/>
      <c r="Q858" s="1096"/>
    </row>
    <row r="859">
      <c r="A859" s="1126"/>
      <c r="B859" s="1094"/>
      <c r="C859" s="1099"/>
      <c r="D859" s="1096"/>
      <c r="E859" s="1097"/>
      <c r="F859" s="1097"/>
      <c r="G859" s="1097"/>
      <c r="H859" s="1097"/>
      <c r="I859" s="1098"/>
      <c r="J859" s="1099"/>
      <c r="K859" s="1096"/>
      <c r="L859" s="1098"/>
      <c r="M859" s="1100"/>
      <c r="N859" s="1096"/>
      <c r="O859" s="1098"/>
      <c r="P859" s="1096"/>
      <c r="Q859" s="1096"/>
    </row>
    <row r="860">
      <c r="A860" s="1126"/>
      <c r="B860" s="1094"/>
      <c r="C860" s="1099"/>
      <c r="D860" s="1096"/>
      <c r="E860" s="1097"/>
      <c r="F860" s="1097"/>
      <c r="G860" s="1097"/>
      <c r="H860" s="1097"/>
      <c r="I860" s="1098"/>
      <c r="J860" s="1099"/>
      <c r="K860" s="1096"/>
      <c r="L860" s="1098"/>
      <c r="M860" s="1100"/>
      <c r="N860" s="1096"/>
      <c r="O860" s="1098"/>
      <c r="P860" s="1096"/>
      <c r="Q860" s="1096"/>
    </row>
    <row r="861">
      <c r="A861" s="1126"/>
      <c r="B861" s="1094"/>
      <c r="C861" s="1099"/>
      <c r="D861" s="1096"/>
      <c r="E861" s="1097"/>
      <c r="F861" s="1097"/>
      <c r="G861" s="1097"/>
      <c r="H861" s="1097"/>
      <c r="I861" s="1098"/>
      <c r="J861" s="1099"/>
      <c r="K861" s="1096"/>
      <c r="L861" s="1098"/>
      <c r="M861" s="1100"/>
      <c r="N861" s="1096"/>
      <c r="O861" s="1098"/>
      <c r="P861" s="1096"/>
      <c r="Q861" s="1096"/>
    </row>
    <row r="862">
      <c r="A862" s="1126"/>
      <c r="B862" s="1094"/>
      <c r="C862" s="1099"/>
      <c r="D862" s="1096"/>
      <c r="E862" s="1097"/>
      <c r="F862" s="1097"/>
      <c r="G862" s="1097"/>
      <c r="H862" s="1097"/>
      <c r="I862" s="1098"/>
      <c r="J862" s="1099"/>
      <c r="K862" s="1096"/>
      <c r="L862" s="1098"/>
      <c r="M862" s="1100"/>
      <c r="N862" s="1096"/>
      <c r="O862" s="1098"/>
      <c r="P862" s="1096"/>
      <c r="Q862" s="1096"/>
    </row>
    <row r="863">
      <c r="A863" s="1126"/>
      <c r="B863" s="1094"/>
      <c r="C863" s="1099"/>
      <c r="D863" s="1096"/>
      <c r="E863" s="1097"/>
      <c r="F863" s="1097"/>
      <c r="G863" s="1097"/>
      <c r="H863" s="1097"/>
      <c r="I863" s="1098"/>
      <c r="J863" s="1099"/>
      <c r="K863" s="1096"/>
      <c r="L863" s="1098"/>
      <c r="M863" s="1100"/>
      <c r="N863" s="1096"/>
      <c r="O863" s="1098"/>
      <c r="P863" s="1096"/>
      <c r="Q863" s="1096"/>
    </row>
    <row r="864">
      <c r="A864" s="1126"/>
      <c r="B864" s="1094"/>
      <c r="C864" s="1099"/>
      <c r="D864" s="1096"/>
      <c r="E864" s="1097"/>
      <c r="F864" s="1097"/>
      <c r="G864" s="1097"/>
      <c r="H864" s="1097"/>
      <c r="I864" s="1098"/>
      <c r="J864" s="1099"/>
      <c r="K864" s="1096"/>
      <c r="L864" s="1098"/>
      <c r="M864" s="1100"/>
      <c r="N864" s="1096"/>
      <c r="O864" s="1098"/>
      <c r="P864" s="1096"/>
      <c r="Q864" s="1096"/>
    </row>
    <row r="865">
      <c r="A865" s="1126"/>
      <c r="B865" s="1094"/>
      <c r="C865" s="1099"/>
      <c r="D865" s="1096"/>
      <c r="E865" s="1097"/>
      <c r="F865" s="1097"/>
      <c r="G865" s="1097"/>
      <c r="H865" s="1097"/>
      <c r="I865" s="1098"/>
      <c r="J865" s="1099"/>
      <c r="K865" s="1096"/>
      <c r="L865" s="1098"/>
      <c r="M865" s="1100"/>
      <c r="N865" s="1096"/>
      <c r="O865" s="1098"/>
      <c r="P865" s="1096"/>
      <c r="Q865" s="1096"/>
    </row>
    <row r="866">
      <c r="A866" s="1126"/>
      <c r="B866" s="1094"/>
      <c r="C866" s="1099"/>
      <c r="D866" s="1096"/>
      <c r="E866" s="1097"/>
      <c r="F866" s="1097"/>
      <c r="G866" s="1097"/>
      <c r="H866" s="1097"/>
      <c r="I866" s="1098"/>
      <c r="J866" s="1099"/>
      <c r="K866" s="1096"/>
      <c r="L866" s="1098"/>
      <c r="M866" s="1100"/>
      <c r="N866" s="1096"/>
      <c r="O866" s="1098"/>
      <c r="P866" s="1096"/>
      <c r="Q866" s="1096"/>
    </row>
    <row r="867">
      <c r="A867" s="1126"/>
      <c r="B867" s="1094"/>
      <c r="C867" s="1099"/>
      <c r="D867" s="1096"/>
      <c r="E867" s="1097"/>
      <c r="F867" s="1097"/>
      <c r="G867" s="1097"/>
      <c r="H867" s="1097"/>
      <c r="I867" s="1098"/>
      <c r="J867" s="1099"/>
      <c r="K867" s="1096"/>
      <c r="L867" s="1098"/>
      <c r="M867" s="1100"/>
      <c r="N867" s="1096"/>
      <c r="O867" s="1098"/>
      <c r="P867" s="1096"/>
      <c r="Q867" s="1096"/>
    </row>
    <row r="868">
      <c r="A868" s="1126"/>
      <c r="B868" s="1094"/>
      <c r="C868" s="1099"/>
      <c r="D868" s="1096"/>
      <c r="E868" s="1097"/>
      <c r="F868" s="1097"/>
      <c r="G868" s="1097"/>
      <c r="H868" s="1097"/>
      <c r="I868" s="1098"/>
      <c r="J868" s="1099"/>
      <c r="K868" s="1096"/>
      <c r="L868" s="1098"/>
      <c r="M868" s="1100"/>
      <c r="N868" s="1096"/>
      <c r="O868" s="1098"/>
      <c r="P868" s="1096"/>
      <c r="Q868" s="1096"/>
    </row>
    <row r="869">
      <c r="A869" s="1126"/>
      <c r="B869" s="1094"/>
      <c r="C869" s="1099"/>
      <c r="D869" s="1096"/>
      <c r="E869" s="1097"/>
      <c r="F869" s="1097"/>
      <c r="G869" s="1097"/>
      <c r="H869" s="1097"/>
      <c r="I869" s="1098"/>
      <c r="J869" s="1099"/>
      <c r="K869" s="1096"/>
      <c r="L869" s="1098"/>
      <c r="M869" s="1100"/>
      <c r="N869" s="1096"/>
      <c r="O869" s="1098"/>
      <c r="P869" s="1096"/>
      <c r="Q869" s="1096"/>
    </row>
    <row r="870">
      <c r="A870" s="1126"/>
      <c r="B870" s="1094"/>
      <c r="C870" s="1099"/>
      <c r="D870" s="1096"/>
      <c r="E870" s="1097"/>
      <c r="F870" s="1097"/>
      <c r="G870" s="1097"/>
      <c r="H870" s="1097"/>
      <c r="I870" s="1098"/>
      <c r="J870" s="1099"/>
      <c r="K870" s="1096"/>
      <c r="L870" s="1098"/>
      <c r="M870" s="1100"/>
      <c r="N870" s="1096"/>
      <c r="O870" s="1098"/>
      <c r="P870" s="1096"/>
      <c r="Q870" s="1096"/>
    </row>
    <row r="871">
      <c r="A871" s="1126"/>
      <c r="B871" s="1094"/>
      <c r="C871" s="1099"/>
      <c r="D871" s="1096"/>
      <c r="E871" s="1097"/>
      <c r="F871" s="1097"/>
      <c r="G871" s="1097"/>
      <c r="H871" s="1097"/>
      <c r="I871" s="1098"/>
      <c r="J871" s="1099"/>
      <c r="K871" s="1096"/>
      <c r="L871" s="1098"/>
      <c r="M871" s="1100"/>
      <c r="N871" s="1096"/>
      <c r="O871" s="1098"/>
      <c r="P871" s="1096"/>
      <c r="Q871" s="1096"/>
    </row>
    <row r="872">
      <c r="A872" s="1126"/>
      <c r="B872" s="1094"/>
      <c r="C872" s="1099"/>
      <c r="D872" s="1096"/>
      <c r="E872" s="1097"/>
      <c r="F872" s="1097"/>
      <c r="G872" s="1097"/>
      <c r="H872" s="1097"/>
      <c r="I872" s="1098"/>
      <c r="J872" s="1099"/>
      <c r="K872" s="1096"/>
      <c r="L872" s="1098"/>
      <c r="M872" s="1100"/>
      <c r="N872" s="1096"/>
      <c r="O872" s="1098"/>
      <c r="P872" s="1096"/>
      <c r="Q872" s="1096"/>
    </row>
    <row r="873">
      <c r="A873" s="1126"/>
      <c r="B873" s="1094"/>
      <c r="C873" s="1099"/>
      <c r="D873" s="1096"/>
      <c r="E873" s="1097"/>
      <c r="F873" s="1097"/>
      <c r="G873" s="1097"/>
      <c r="H873" s="1097"/>
      <c r="I873" s="1098"/>
      <c r="J873" s="1099"/>
      <c r="K873" s="1096"/>
      <c r="L873" s="1098"/>
      <c r="M873" s="1100"/>
      <c r="N873" s="1096"/>
      <c r="O873" s="1098"/>
      <c r="P873" s="1096"/>
      <c r="Q873" s="1096"/>
    </row>
    <row r="874">
      <c r="A874" s="1126"/>
      <c r="B874" s="1094"/>
      <c r="C874" s="1099"/>
      <c r="D874" s="1096"/>
      <c r="E874" s="1097"/>
      <c r="F874" s="1097"/>
      <c r="G874" s="1097"/>
      <c r="H874" s="1097"/>
      <c r="I874" s="1098"/>
      <c r="J874" s="1099"/>
      <c r="K874" s="1096"/>
      <c r="L874" s="1098"/>
      <c r="M874" s="1100"/>
      <c r="N874" s="1096"/>
      <c r="O874" s="1098"/>
      <c r="P874" s="1096"/>
      <c r="Q874" s="1096"/>
    </row>
    <row r="875">
      <c r="A875" s="1126"/>
      <c r="B875" s="1094"/>
      <c r="C875" s="1099"/>
      <c r="D875" s="1096"/>
      <c r="E875" s="1097"/>
      <c r="F875" s="1097"/>
      <c r="G875" s="1097"/>
      <c r="H875" s="1097"/>
      <c r="I875" s="1098"/>
      <c r="J875" s="1099"/>
      <c r="K875" s="1096"/>
      <c r="L875" s="1098"/>
      <c r="M875" s="1100"/>
      <c r="N875" s="1096"/>
      <c r="O875" s="1098"/>
      <c r="P875" s="1096"/>
      <c r="Q875" s="1096"/>
    </row>
    <row r="876">
      <c r="A876" s="1126"/>
      <c r="B876" s="1094"/>
      <c r="C876" s="1099"/>
      <c r="D876" s="1096"/>
      <c r="E876" s="1097"/>
      <c r="F876" s="1097"/>
      <c r="G876" s="1097"/>
      <c r="H876" s="1097"/>
      <c r="I876" s="1098"/>
      <c r="J876" s="1099"/>
      <c r="K876" s="1096"/>
      <c r="L876" s="1098"/>
      <c r="M876" s="1100"/>
      <c r="N876" s="1096"/>
      <c r="O876" s="1098"/>
      <c r="P876" s="1096"/>
      <c r="Q876" s="1096"/>
    </row>
    <row r="877">
      <c r="A877" s="1126"/>
      <c r="B877" s="1094"/>
      <c r="C877" s="1099"/>
      <c r="D877" s="1096"/>
      <c r="E877" s="1097"/>
      <c r="F877" s="1097"/>
      <c r="G877" s="1097"/>
      <c r="H877" s="1097"/>
      <c r="I877" s="1098"/>
      <c r="J877" s="1099"/>
      <c r="K877" s="1096"/>
      <c r="L877" s="1098"/>
      <c r="M877" s="1100"/>
      <c r="N877" s="1096"/>
      <c r="O877" s="1098"/>
      <c r="P877" s="1096"/>
      <c r="Q877" s="1096"/>
    </row>
    <row r="878">
      <c r="A878" s="1126"/>
      <c r="B878" s="1094"/>
      <c r="C878" s="1099"/>
      <c r="D878" s="1096"/>
      <c r="E878" s="1097"/>
      <c r="F878" s="1097"/>
      <c r="G878" s="1097"/>
      <c r="H878" s="1097"/>
      <c r="I878" s="1098"/>
      <c r="J878" s="1099"/>
      <c r="K878" s="1096"/>
      <c r="L878" s="1098"/>
      <c r="M878" s="1100"/>
      <c r="N878" s="1096"/>
      <c r="O878" s="1098"/>
      <c r="P878" s="1096"/>
      <c r="Q878" s="1096"/>
    </row>
    <row r="879">
      <c r="A879" s="1126"/>
      <c r="B879" s="1094"/>
      <c r="C879" s="1099"/>
      <c r="D879" s="1096"/>
      <c r="E879" s="1097"/>
      <c r="F879" s="1097"/>
      <c r="G879" s="1097"/>
      <c r="H879" s="1097"/>
      <c r="I879" s="1098"/>
      <c r="J879" s="1099"/>
      <c r="K879" s="1096"/>
      <c r="L879" s="1098"/>
      <c r="M879" s="1100"/>
      <c r="N879" s="1096"/>
      <c r="O879" s="1098"/>
      <c r="P879" s="1096"/>
      <c r="Q879" s="1096"/>
    </row>
    <row r="880">
      <c r="A880" s="1126"/>
      <c r="B880" s="1094"/>
      <c r="C880" s="1099"/>
      <c r="D880" s="1096"/>
      <c r="E880" s="1097"/>
      <c r="F880" s="1097"/>
      <c r="G880" s="1097"/>
      <c r="H880" s="1097"/>
      <c r="I880" s="1098"/>
      <c r="J880" s="1099"/>
      <c r="K880" s="1096"/>
      <c r="L880" s="1098"/>
      <c r="M880" s="1100"/>
      <c r="N880" s="1096"/>
      <c r="O880" s="1098"/>
      <c r="P880" s="1096"/>
      <c r="Q880" s="1096"/>
    </row>
    <row r="881">
      <c r="A881" s="1126"/>
      <c r="B881" s="1094"/>
      <c r="C881" s="1099"/>
      <c r="D881" s="1096"/>
      <c r="E881" s="1097"/>
      <c r="F881" s="1097"/>
      <c r="G881" s="1097"/>
      <c r="H881" s="1097"/>
      <c r="I881" s="1098"/>
      <c r="J881" s="1099"/>
      <c r="K881" s="1096"/>
      <c r="L881" s="1098"/>
      <c r="M881" s="1100"/>
      <c r="N881" s="1096"/>
      <c r="O881" s="1098"/>
      <c r="P881" s="1096"/>
      <c r="Q881" s="1096"/>
    </row>
    <row r="882">
      <c r="A882" s="1126"/>
      <c r="B882" s="1094"/>
      <c r="C882" s="1099"/>
      <c r="D882" s="1096"/>
      <c r="E882" s="1097"/>
      <c r="F882" s="1097"/>
      <c r="G882" s="1097"/>
      <c r="H882" s="1097"/>
      <c r="I882" s="1098"/>
      <c r="J882" s="1099"/>
      <c r="K882" s="1096"/>
      <c r="L882" s="1098"/>
      <c r="M882" s="1100"/>
      <c r="N882" s="1096"/>
      <c r="O882" s="1098"/>
      <c r="P882" s="1096"/>
      <c r="Q882" s="1096"/>
    </row>
    <row r="883">
      <c r="A883" s="1126"/>
      <c r="B883" s="1094"/>
      <c r="C883" s="1099"/>
      <c r="D883" s="1096"/>
      <c r="E883" s="1097"/>
      <c r="F883" s="1097"/>
      <c r="G883" s="1097"/>
      <c r="H883" s="1097"/>
      <c r="I883" s="1098"/>
      <c r="J883" s="1099"/>
      <c r="K883" s="1096"/>
      <c r="L883" s="1098"/>
      <c r="M883" s="1100"/>
      <c r="N883" s="1096"/>
      <c r="O883" s="1098"/>
      <c r="P883" s="1096"/>
      <c r="Q883" s="1096"/>
    </row>
    <row r="884">
      <c r="A884" s="1126"/>
      <c r="B884" s="1094"/>
      <c r="C884" s="1099"/>
      <c r="D884" s="1096"/>
      <c r="E884" s="1097"/>
      <c r="F884" s="1097"/>
      <c r="G884" s="1097"/>
      <c r="H884" s="1097"/>
      <c r="I884" s="1098"/>
      <c r="J884" s="1099"/>
      <c r="K884" s="1096"/>
      <c r="L884" s="1098"/>
      <c r="M884" s="1100"/>
      <c r="N884" s="1096"/>
      <c r="O884" s="1098"/>
      <c r="P884" s="1096"/>
      <c r="Q884" s="1096"/>
    </row>
    <row r="885">
      <c r="A885" s="1126"/>
      <c r="B885" s="1094"/>
      <c r="C885" s="1099"/>
      <c r="D885" s="1096"/>
      <c r="E885" s="1097"/>
      <c r="F885" s="1097"/>
      <c r="G885" s="1097"/>
      <c r="H885" s="1097"/>
      <c r="I885" s="1098"/>
      <c r="J885" s="1099"/>
      <c r="K885" s="1096"/>
      <c r="L885" s="1098"/>
      <c r="M885" s="1100"/>
      <c r="N885" s="1096"/>
      <c r="O885" s="1098"/>
      <c r="P885" s="1096"/>
      <c r="Q885" s="1096"/>
    </row>
    <row r="886">
      <c r="A886" s="1126"/>
      <c r="B886" s="1094"/>
      <c r="C886" s="1099"/>
      <c r="D886" s="1096"/>
      <c r="E886" s="1097"/>
      <c r="F886" s="1097"/>
      <c r="G886" s="1097"/>
      <c r="H886" s="1097"/>
      <c r="I886" s="1098"/>
      <c r="J886" s="1099"/>
      <c r="K886" s="1096"/>
      <c r="L886" s="1098"/>
      <c r="M886" s="1100"/>
      <c r="N886" s="1096"/>
      <c r="O886" s="1098"/>
      <c r="P886" s="1096"/>
      <c r="Q886" s="1096"/>
    </row>
    <row r="887">
      <c r="A887" s="1126"/>
      <c r="B887" s="1094"/>
      <c r="C887" s="1099"/>
      <c r="D887" s="1096"/>
      <c r="E887" s="1097"/>
      <c r="F887" s="1097"/>
      <c r="G887" s="1097"/>
      <c r="H887" s="1097"/>
      <c r="I887" s="1098"/>
      <c r="J887" s="1099"/>
      <c r="K887" s="1096"/>
      <c r="L887" s="1098"/>
      <c r="M887" s="1100"/>
      <c r="N887" s="1096"/>
      <c r="O887" s="1098"/>
      <c r="P887" s="1096"/>
      <c r="Q887" s="1096"/>
    </row>
    <row r="888">
      <c r="A888" s="1126"/>
      <c r="B888" s="1094"/>
      <c r="C888" s="1099"/>
      <c r="D888" s="1096"/>
      <c r="E888" s="1097"/>
      <c r="F888" s="1097"/>
      <c r="G888" s="1097"/>
      <c r="H888" s="1097"/>
      <c r="I888" s="1098"/>
      <c r="J888" s="1099"/>
      <c r="K888" s="1096"/>
      <c r="L888" s="1098"/>
      <c r="M888" s="1100"/>
      <c r="N888" s="1096"/>
      <c r="O888" s="1098"/>
      <c r="P888" s="1096"/>
      <c r="Q888" s="1096"/>
    </row>
    <row r="889">
      <c r="A889" s="1126"/>
      <c r="B889" s="1094"/>
      <c r="C889" s="1099"/>
      <c r="D889" s="1096"/>
      <c r="E889" s="1097"/>
      <c r="F889" s="1097"/>
      <c r="G889" s="1097"/>
      <c r="H889" s="1097"/>
      <c r="I889" s="1098"/>
      <c r="J889" s="1099"/>
      <c r="K889" s="1096"/>
      <c r="L889" s="1098"/>
      <c r="M889" s="1100"/>
      <c r="N889" s="1096"/>
      <c r="O889" s="1098"/>
      <c r="P889" s="1096"/>
      <c r="Q889" s="1096"/>
    </row>
    <row r="890">
      <c r="A890" s="1126"/>
      <c r="B890" s="1094"/>
      <c r="C890" s="1099"/>
      <c r="D890" s="1096"/>
      <c r="E890" s="1097"/>
      <c r="F890" s="1097"/>
      <c r="G890" s="1097"/>
      <c r="H890" s="1097"/>
      <c r="I890" s="1098"/>
      <c r="J890" s="1099"/>
      <c r="K890" s="1096"/>
      <c r="L890" s="1098"/>
      <c r="M890" s="1100"/>
      <c r="N890" s="1096"/>
      <c r="O890" s="1098"/>
      <c r="P890" s="1096"/>
      <c r="Q890" s="1096"/>
    </row>
    <row r="891">
      <c r="A891" s="1126"/>
      <c r="B891" s="1094"/>
      <c r="C891" s="1099"/>
      <c r="D891" s="1096"/>
      <c r="E891" s="1097"/>
      <c r="F891" s="1097"/>
      <c r="G891" s="1097"/>
      <c r="H891" s="1097"/>
      <c r="I891" s="1098"/>
      <c r="J891" s="1099"/>
      <c r="K891" s="1096"/>
      <c r="L891" s="1098"/>
      <c r="M891" s="1100"/>
      <c r="N891" s="1096"/>
      <c r="O891" s="1098"/>
      <c r="P891" s="1096"/>
      <c r="Q891" s="1096"/>
    </row>
    <row r="892">
      <c r="A892" s="1126"/>
      <c r="B892" s="1094"/>
      <c r="C892" s="1099"/>
      <c r="D892" s="1096"/>
      <c r="E892" s="1097"/>
      <c r="F892" s="1097"/>
      <c r="G892" s="1097"/>
      <c r="H892" s="1097"/>
      <c r="I892" s="1098"/>
      <c r="J892" s="1099"/>
      <c r="K892" s="1096"/>
      <c r="L892" s="1098"/>
      <c r="M892" s="1100"/>
      <c r="N892" s="1096"/>
      <c r="O892" s="1098"/>
      <c r="P892" s="1096"/>
      <c r="Q892" s="1096"/>
    </row>
    <row r="893">
      <c r="A893" s="1126"/>
      <c r="B893" s="1094"/>
      <c r="C893" s="1099"/>
      <c r="D893" s="1096"/>
      <c r="E893" s="1097"/>
      <c r="F893" s="1097"/>
      <c r="G893" s="1097"/>
      <c r="H893" s="1097"/>
      <c r="I893" s="1098"/>
      <c r="J893" s="1099"/>
      <c r="K893" s="1096"/>
      <c r="L893" s="1098"/>
      <c r="M893" s="1100"/>
      <c r="N893" s="1096"/>
      <c r="O893" s="1098"/>
      <c r="P893" s="1096"/>
      <c r="Q893" s="1096"/>
    </row>
    <row r="894">
      <c r="A894" s="1126"/>
      <c r="B894" s="1094"/>
      <c r="C894" s="1099"/>
      <c r="D894" s="1096"/>
      <c r="E894" s="1097"/>
      <c r="F894" s="1097"/>
      <c r="G894" s="1097"/>
      <c r="H894" s="1097"/>
      <c r="I894" s="1098"/>
      <c r="J894" s="1099"/>
      <c r="K894" s="1096"/>
      <c r="L894" s="1098"/>
      <c r="M894" s="1100"/>
      <c r="N894" s="1096"/>
      <c r="O894" s="1098"/>
      <c r="P894" s="1096"/>
      <c r="Q894" s="1096"/>
    </row>
    <row r="895">
      <c r="A895" s="1126"/>
      <c r="B895" s="1094"/>
      <c r="C895" s="1099"/>
      <c r="D895" s="1096"/>
      <c r="E895" s="1097"/>
      <c r="F895" s="1097"/>
      <c r="G895" s="1097"/>
      <c r="H895" s="1097"/>
      <c r="I895" s="1098"/>
      <c r="J895" s="1099"/>
      <c r="K895" s="1096"/>
      <c r="L895" s="1098"/>
      <c r="M895" s="1100"/>
      <c r="N895" s="1096"/>
      <c r="O895" s="1098"/>
      <c r="P895" s="1096"/>
      <c r="Q895" s="1096"/>
    </row>
    <row r="896">
      <c r="A896" s="1126"/>
      <c r="B896" s="1094"/>
      <c r="C896" s="1099"/>
      <c r="D896" s="1096"/>
      <c r="E896" s="1097"/>
      <c r="F896" s="1097"/>
      <c r="G896" s="1097"/>
      <c r="H896" s="1097"/>
      <c r="I896" s="1098"/>
      <c r="J896" s="1099"/>
      <c r="K896" s="1096"/>
      <c r="L896" s="1098"/>
      <c r="M896" s="1100"/>
      <c r="N896" s="1096"/>
      <c r="O896" s="1098"/>
      <c r="P896" s="1096"/>
      <c r="Q896" s="1096"/>
    </row>
    <row r="897">
      <c r="A897" s="1126"/>
      <c r="B897" s="1094"/>
      <c r="C897" s="1099"/>
      <c r="D897" s="1096"/>
      <c r="E897" s="1097"/>
      <c r="F897" s="1097"/>
      <c r="G897" s="1097"/>
      <c r="H897" s="1097"/>
      <c r="I897" s="1098"/>
      <c r="J897" s="1099"/>
      <c r="K897" s="1096"/>
      <c r="L897" s="1098"/>
      <c r="M897" s="1100"/>
      <c r="N897" s="1096"/>
      <c r="O897" s="1098"/>
      <c r="P897" s="1096"/>
      <c r="Q897" s="1096"/>
    </row>
    <row r="898">
      <c r="A898" s="1126"/>
      <c r="B898" s="1094"/>
      <c r="C898" s="1099"/>
      <c r="D898" s="1096"/>
      <c r="E898" s="1097"/>
      <c r="F898" s="1097"/>
      <c r="G898" s="1097"/>
      <c r="H898" s="1097"/>
      <c r="I898" s="1098"/>
      <c r="J898" s="1099"/>
      <c r="K898" s="1096"/>
      <c r="L898" s="1098"/>
      <c r="M898" s="1100"/>
      <c r="N898" s="1096"/>
      <c r="O898" s="1098"/>
      <c r="P898" s="1096"/>
      <c r="Q898" s="1096"/>
    </row>
    <row r="899">
      <c r="A899" s="1126"/>
      <c r="B899" s="1094"/>
      <c r="C899" s="1099"/>
      <c r="D899" s="1096"/>
      <c r="E899" s="1097"/>
      <c r="F899" s="1097"/>
      <c r="G899" s="1097"/>
      <c r="H899" s="1097"/>
      <c r="I899" s="1098"/>
      <c r="J899" s="1099"/>
      <c r="K899" s="1096"/>
      <c r="L899" s="1098"/>
      <c r="M899" s="1100"/>
      <c r="N899" s="1096"/>
      <c r="O899" s="1098"/>
      <c r="P899" s="1096"/>
      <c r="Q899" s="1096"/>
    </row>
    <row r="900">
      <c r="A900" s="1126"/>
      <c r="B900" s="1094"/>
      <c r="C900" s="1099"/>
      <c r="D900" s="1096"/>
      <c r="E900" s="1097"/>
      <c r="F900" s="1097"/>
      <c r="G900" s="1097"/>
      <c r="H900" s="1097"/>
      <c r="I900" s="1098"/>
      <c r="J900" s="1099"/>
      <c r="K900" s="1096"/>
      <c r="L900" s="1098"/>
      <c r="M900" s="1100"/>
      <c r="N900" s="1096"/>
      <c r="O900" s="1098"/>
      <c r="P900" s="1096"/>
      <c r="Q900" s="1096"/>
    </row>
    <row r="901">
      <c r="A901" s="1126"/>
      <c r="B901" s="1094"/>
      <c r="C901" s="1099"/>
      <c r="D901" s="1096"/>
      <c r="E901" s="1097"/>
      <c r="F901" s="1097"/>
      <c r="G901" s="1097"/>
      <c r="H901" s="1097"/>
      <c r="I901" s="1098"/>
      <c r="J901" s="1099"/>
      <c r="K901" s="1096"/>
      <c r="L901" s="1098"/>
      <c r="M901" s="1100"/>
      <c r="N901" s="1096"/>
      <c r="O901" s="1098"/>
      <c r="P901" s="1096"/>
      <c r="Q901" s="1096"/>
    </row>
    <row r="902">
      <c r="A902" s="1126"/>
      <c r="B902" s="1094"/>
      <c r="C902" s="1099"/>
      <c r="D902" s="1096"/>
      <c r="E902" s="1097"/>
      <c r="F902" s="1097"/>
      <c r="G902" s="1097"/>
      <c r="H902" s="1097"/>
      <c r="I902" s="1098"/>
      <c r="J902" s="1099"/>
      <c r="K902" s="1096"/>
      <c r="L902" s="1098"/>
      <c r="M902" s="1100"/>
      <c r="N902" s="1096"/>
      <c r="O902" s="1098"/>
      <c r="P902" s="1096"/>
      <c r="Q902" s="1096"/>
    </row>
    <row r="903">
      <c r="A903" s="1126"/>
      <c r="B903" s="1094"/>
      <c r="C903" s="1099"/>
      <c r="D903" s="1096"/>
      <c r="E903" s="1097"/>
      <c r="F903" s="1097"/>
      <c r="G903" s="1097"/>
      <c r="H903" s="1097"/>
      <c r="I903" s="1098"/>
      <c r="J903" s="1099"/>
      <c r="K903" s="1096"/>
      <c r="L903" s="1098"/>
      <c r="M903" s="1100"/>
      <c r="N903" s="1096"/>
      <c r="O903" s="1098"/>
      <c r="P903" s="1096"/>
      <c r="Q903" s="1096"/>
    </row>
    <row r="904">
      <c r="A904" s="1126"/>
      <c r="B904" s="1094"/>
      <c r="C904" s="1099"/>
      <c r="D904" s="1096"/>
      <c r="E904" s="1097"/>
      <c r="F904" s="1097"/>
      <c r="G904" s="1097"/>
      <c r="H904" s="1097"/>
      <c r="I904" s="1098"/>
      <c r="J904" s="1099"/>
      <c r="K904" s="1096"/>
      <c r="L904" s="1098"/>
      <c r="M904" s="1100"/>
      <c r="N904" s="1096"/>
      <c r="O904" s="1098"/>
      <c r="P904" s="1096"/>
      <c r="Q904" s="1096"/>
    </row>
    <row r="905">
      <c r="A905" s="1126"/>
      <c r="B905" s="1094"/>
      <c r="C905" s="1099"/>
      <c r="D905" s="1096"/>
      <c r="E905" s="1097"/>
      <c r="F905" s="1097"/>
      <c r="G905" s="1097"/>
      <c r="H905" s="1097"/>
      <c r="I905" s="1098"/>
      <c r="J905" s="1099"/>
      <c r="K905" s="1096"/>
      <c r="L905" s="1098"/>
      <c r="M905" s="1100"/>
      <c r="N905" s="1096"/>
      <c r="O905" s="1098"/>
      <c r="P905" s="1096"/>
      <c r="Q905" s="1096"/>
    </row>
    <row r="906">
      <c r="A906" s="1126"/>
      <c r="B906" s="1094"/>
      <c r="C906" s="1099"/>
      <c r="D906" s="1096"/>
      <c r="E906" s="1097"/>
      <c r="F906" s="1097"/>
      <c r="G906" s="1097"/>
      <c r="H906" s="1097"/>
      <c r="I906" s="1098"/>
      <c r="J906" s="1099"/>
      <c r="K906" s="1096"/>
      <c r="L906" s="1098"/>
      <c r="M906" s="1100"/>
      <c r="N906" s="1096"/>
      <c r="O906" s="1098"/>
      <c r="P906" s="1096"/>
      <c r="Q906" s="1096"/>
    </row>
    <row r="907">
      <c r="A907" s="1126"/>
      <c r="B907" s="1094"/>
      <c r="C907" s="1099"/>
      <c r="D907" s="1096"/>
      <c r="E907" s="1097"/>
      <c r="F907" s="1097"/>
      <c r="G907" s="1097"/>
      <c r="H907" s="1097"/>
      <c r="I907" s="1098"/>
      <c r="J907" s="1099"/>
      <c r="K907" s="1096"/>
      <c r="L907" s="1098"/>
      <c r="M907" s="1100"/>
      <c r="N907" s="1096"/>
      <c r="O907" s="1098"/>
      <c r="P907" s="1096"/>
      <c r="Q907" s="1096"/>
    </row>
    <row r="908">
      <c r="A908" s="1126"/>
      <c r="B908" s="1094"/>
      <c r="C908" s="1099"/>
      <c r="D908" s="1096"/>
      <c r="E908" s="1097"/>
      <c r="F908" s="1097"/>
      <c r="G908" s="1097"/>
      <c r="H908" s="1097"/>
      <c r="I908" s="1098"/>
      <c r="J908" s="1099"/>
      <c r="K908" s="1096"/>
      <c r="L908" s="1098"/>
      <c r="M908" s="1100"/>
      <c r="N908" s="1096"/>
      <c r="O908" s="1098"/>
      <c r="P908" s="1096"/>
      <c r="Q908" s="1096"/>
    </row>
    <row r="909">
      <c r="A909" s="1126"/>
      <c r="B909" s="1094"/>
      <c r="C909" s="1099"/>
      <c r="D909" s="1096"/>
      <c r="E909" s="1097"/>
      <c r="F909" s="1097"/>
      <c r="G909" s="1097"/>
      <c r="H909" s="1097"/>
      <c r="I909" s="1098"/>
      <c r="J909" s="1099"/>
      <c r="K909" s="1096"/>
      <c r="L909" s="1098"/>
      <c r="M909" s="1100"/>
      <c r="N909" s="1096"/>
      <c r="O909" s="1098"/>
      <c r="P909" s="1096"/>
      <c r="Q909" s="1096"/>
    </row>
    <row r="910">
      <c r="A910" s="1126"/>
      <c r="B910" s="1094"/>
      <c r="C910" s="1099"/>
      <c r="D910" s="1096"/>
      <c r="E910" s="1097"/>
      <c r="F910" s="1097"/>
      <c r="G910" s="1097"/>
      <c r="H910" s="1097"/>
      <c r="I910" s="1098"/>
      <c r="J910" s="1099"/>
      <c r="K910" s="1096"/>
      <c r="L910" s="1098"/>
      <c r="M910" s="1100"/>
      <c r="N910" s="1096"/>
      <c r="O910" s="1098"/>
      <c r="P910" s="1096"/>
      <c r="Q910" s="1096"/>
    </row>
    <row r="911">
      <c r="A911" s="1126"/>
      <c r="B911" s="1094"/>
      <c r="C911" s="1099"/>
      <c r="D911" s="1096"/>
      <c r="E911" s="1097"/>
      <c r="F911" s="1097"/>
      <c r="G911" s="1097"/>
      <c r="H911" s="1097"/>
      <c r="I911" s="1098"/>
      <c r="J911" s="1099"/>
      <c r="K911" s="1096"/>
      <c r="L911" s="1098"/>
      <c r="M911" s="1100"/>
      <c r="N911" s="1096"/>
      <c r="O911" s="1098"/>
      <c r="P911" s="1096"/>
      <c r="Q911" s="1096"/>
    </row>
    <row r="912">
      <c r="A912" s="1126"/>
      <c r="B912" s="1094"/>
      <c r="C912" s="1099"/>
      <c r="D912" s="1096"/>
      <c r="E912" s="1097"/>
      <c r="F912" s="1097"/>
      <c r="G912" s="1097"/>
      <c r="H912" s="1097"/>
      <c r="I912" s="1098"/>
      <c r="J912" s="1099"/>
      <c r="K912" s="1096"/>
      <c r="L912" s="1098"/>
      <c r="M912" s="1100"/>
      <c r="N912" s="1096"/>
      <c r="O912" s="1098"/>
      <c r="P912" s="1096"/>
      <c r="Q912" s="1096"/>
    </row>
    <row r="913">
      <c r="A913" s="1126"/>
      <c r="B913" s="1094"/>
      <c r="C913" s="1099"/>
      <c r="D913" s="1096"/>
      <c r="E913" s="1097"/>
      <c r="F913" s="1097"/>
      <c r="G913" s="1097"/>
      <c r="H913" s="1097"/>
      <c r="I913" s="1098"/>
      <c r="J913" s="1099"/>
      <c r="K913" s="1096"/>
      <c r="L913" s="1098"/>
      <c r="M913" s="1100"/>
      <c r="N913" s="1096"/>
      <c r="O913" s="1098"/>
      <c r="P913" s="1096"/>
      <c r="Q913" s="1096"/>
    </row>
    <row r="914">
      <c r="A914" s="1126"/>
      <c r="B914" s="1094"/>
      <c r="C914" s="1099"/>
      <c r="D914" s="1096"/>
      <c r="E914" s="1097"/>
      <c r="F914" s="1097"/>
      <c r="G914" s="1097"/>
      <c r="H914" s="1097"/>
      <c r="I914" s="1098"/>
      <c r="J914" s="1099"/>
      <c r="K914" s="1096"/>
      <c r="L914" s="1098"/>
      <c r="M914" s="1100"/>
      <c r="N914" s="1096"/>
      <c r="O914" s="1098"/>
      <c r="P914" s="1096"/>
      <c r="Q914" s="1096"/>
    </row>
    <row r="915">
      <c r="A915" s="1126"/>
      <c r="B915" s="1094"/>
      <c r="C915" s="1099"/>
      <c r="D915" s="1096"/>
      <c r="E915" s="1097"/>
      <c r="F915" s="1097"/>
      <c r="G915" s="1097"/>
      <c r="H915" s="1097"/>
      <c r="I915" s="1098"/>
      <c r="J915" s="1099"/>
      <c r="K915" s="1096"/>
      <c r="L915" s="1098"/>
      <c r="M915" s="1100"/>
      <c r="N915" s="1096"/>
      <c r="O915" s="1098"/>
      <c r="P915" s="1096"/>
      <c r="Q915" s="1096"/>
    </row>
    <row r="916">
      <c r="A916" s="1126"/>
      <c r="B916" s="1094"/>
      <c r="C916" s="1099"/>
      <c r="D916" s="1096"/>
      <c r="E916" s="1097"/>
      <c r="F916" s="1097"/>
      <c r="G916" s="1097"/>
      <c r="H916" s="1097"/>
      <c r="I916" s="1098"/>
      <c r="J916" s="1099"/>
      <c r="K916" s="1096"/>
      <c r="L916" s="1098"/>
      <c r="M916" s="1100"/>
      <c r="N916" s="1096"/>
      <c r="O916" s="1098"/>
      <c r="P916" s="1096"/>
      <c r="Q916" s="1096"/>
    </row>
    <row r="917">
      <c r="A917" s="1126"/>
      <c r="B917" s="1094"/>
      <c r="C917" s="1099"/>
      <c r="D917" s="1096"/>
      <c r="E917" s="1097"/>
      <c r="F917" s="1097"/>
      <c r="G917" s="1097"/>
      <c r="H917" s="1097"/>
      <c r="I917" s="1098"/>
      <c r="J917" s="1099"/>
      <c r="K917" s="1096"/>
      <c r="L917" s="1098"/>
      <c r="M917" s="1100"/>
      <c r="N917" s="1096"/>
      <c r="O917" s="1098"/>
      <c r="P917" s="1096"/>
      <c r="Q917" s="1096"/>
    </row>
    <row r="918">
      <c r="A918" s="1126"/>
      <c r="B918" s="1094"/>
      <c r="C918" s="1099"/>
      <c r="D918" s="1096"/>
      <c r="E918" s="1097"/>
      <c r="F918" s="1097"/>
      <c r="G918" s="1097"/>
      <c r="H918" s="1097"/>
      <c r="I918" s="1098"/>
      <c r="J918" s="1099"/>
      <c r="K918" s="1096"/>
      <c r="L918" s="1098"/>
      <c r="M918" s="1100"/>
      <c r="N918" s="1096"/>
      <c r="O918" s="1098"/>
      <c r="P918" s="1096"/>
      <c r="Q918" s="1096"/>
    </row>
    <row r="919">
      <c r="A919" s="1126"/>
      <c r="B919" s="1094"/>
      <c r="C919" s="1099"/>
      <c r="D919" s="1096"/>
      <c r="E919" s="1097"/>
      <c r="F919" s="1097"/>
      <c r="G919" s="1097"/>
      <c r="H919" s="1097"/>
      <c r="I919" s="1098"/>
      <c r="J919" s="1099"/>
      <c r="K919" s="1096"/>
      <c r="L919" s="1098"/>
      <c r="M919" s="1100"/>
      <c r="N919" s="1096"/>
      <c r="O919" s="1098"/>
      <c r="P919" s="1096"/>
      <c r="Q919" s="1096"/>
    </row>
    <row r="920">
      <c r="A920" s="1126"/>
      <c r="B920" s="1094"/>
      <c r="C920" s="1099"/>
      <c r="D920" s="1096"/>
      <c r="E920" s="1097"/>
      <c r="F920" s="1097"/>
      <c r="G920" s="1097"/>
      <c r="H920" s="1097"/>
      <c r="I920" s="1098"/>
      <c r="J920" s="1099"/>
      <c r="K920" s="1096"/>
      <c r="L920" s="1098"/>
      <c r="M920" s="1100"/>
      <c r="N920" s="1096"/>
      <c r="O920" s="1098"/>
      <c r="P920" s="1096"/>
      <c r="Q920" s="1096"/>
    </row>
    <row r="921">
      <c r="A921" s="1126"/>
      <c r="B921" s="1094"/>
      <c r="C921" s="1099"/>
      <c r="D921" s="1096"/>
      <c r="E921" s="1097"/>
      <c r="F921" s="1097"/>
      <c r="G921" s="1097"/>
      <c r="H921" s="1097"/>
      <c r="I921" s="1098"/>
      <c r="J921" s="1099"/>
      <c r="K921" s="1096"/>
      <c r="L921" s="1098"/>
      <c r="M921" s="1100"/>
      <c r="N921" s="1096"/>
      <c r="O921" s="1098"/>
      <c r="P921" s="1096"/>
      <c r="Q921" s="1096"/>
    </row>
    <row r="922">
      <c r="A922" s="1126"/>
      <c r="B922" s="1094"/>
      <c r="C922" s="1099"/>
      <c r="D922" s="1096"/>
      <c r="E922" s="1097"/>
      <c r="F922" s="1097"/>
      <c r="G922" s="1097"/>
      <c r="H922" s="1097"/>
      <c r="I922" s="1098"/>
      <c r="J922" s="1099"/>
      <c r="K922" s="1096"/>
      <c r="L922" s="1098"/>
      <c r="M922" s="1100"/>
      <c r="N922" s="1096"/>
      <c r="O922" s="1098"/>
      <c r="P922" s="1096"/>
      <c r="Q922" s="1096"/>
    </row>
    <row r="923">
      <c r="A923" s="1126"/>
      <c r="B923" s="1094"/>
      <c r="C923" s="1099"/>
      <c r="D923" s="1096"/>
      <c r="E923" s="1097"/>
      <c r="F923" s="1097"/>
      <c r="G923" s="1097"/>
      <c r="H923" s="1097"/>
      <c r="I923" s="1098"/>
      <c r="J923" s="1099"/>
      <c r="K923" s="1096"/>
      <c r="L923" s="1098"/>
      <c r="M923" s="1100"/>
      <c r="N923" s="1096"/>
      <c r="O923" s="1098"/>
      <c r="P923" s="1096"/>
      <c r="Q923" s="1096"/>
    </row>
    <row r="924">
      <c r="A924" s="1126"/>
      <c r="B924" s="1094"/>
      <c r="C924" s="1099"/>
      <c r="D924" s="1096"/>
      <c r="E924" s="1097"/>
      <c r="F924" s="1097"/>
      <c r="G924" s="1097"/>
      <c r="H924" s="1097"/>
      <c r="I924" s="1098"/>
      <c r="J924" s="1099"/>
      <c r="K924" s="1096"/>
      <c r="L924" s="1098"/>
      <c r="M924" s="1100"/>
      <c r="N924" s="1096"/>
      <c r="O924" s="1098"/>
      <c r="P924" s="1096"/>
      <c r="Q924" s="1096"/>
    </row>
    <row r="925">
      <c r="A925" s="1126"/>
      <c r="B925" s="1094"/>
      <c r="C925" s="1099"/>
      <c r="D925" s="1096"/>
      <c r="E925" s="1097"/>
      <c r="F925" s="1097"/>
      <c r="G925" s="1097"/>
      <c r="H925" s="1097"/>
      <c r="I925" s="1098"/>
      <c r="J925" s="1099"/>
      <c r="K925" s="1096"/>
      <c r="L925" s="1098"/>
      <c r="M925" s="1100"/>
      <c r="N925" s="1096"/>
      <c r="O925" s="1098"/>
      <c r="P925" s="1096"/>
      <c r="Q925" s="1096"/>
    </row>
    <row r="926">
      <c r="A926" s="1126"/>
      <c r="B926" s="1094"/>
      <c r="C926" s="1099"/>
      <c r="D926" s="1096"/>
      <c r="E926" s="1097"/>
      <c r="F926" s="1097"/>
      <c r="G926" s="1097"/>
      <c r="H926" s="1097"/>
      <c r="I926" s="1098"/>
      <c r="J926" s="1099"/>
      <c r="K926" s="1096"/>
      <c r="L926" s="1098"/>
      <c r="M926" s="1100"/>
      <c r="N926" s="1096"/>
      <c r="O926" s="1098"/>
      <c r="P926" s="1096"/>
      <c r="Q926" s="1096"/>
    </row>
    <row r="927">
      <c r="A927" s="1126"/>
      <c r="B927" s="1094"/>
      <c r="C927" s="1099"/>
      <c r="D927" s="1096"/>
      <c r="E927" s="1097"/>
      <c r="F927" s="1097"/>
      <c r="G927" s="1097"/>
      <c r="H927" s="1097"/>
      <c r="I927" s="1098"/>
      <c r="J927" s="1099"/>
      <c r="K927" s="1096"/>
      <c r="L927" s="1098"/>
      <c r="M927" s="1100"/>
      <c r="N927" s="1096"/>
      <c r="O927" s="1098"/>
      <c r="P927" s="1096"/>
      <c r="Q927" s="1096"/>
    </row>
    <row r="928">
      <c r="A928" s="1126"/>
      <c r="B928" s="1094"/>
      <c r="C928" s="1099"/>
      <c r="D928" s="1096"/>
      <c r="E928" s="1097"/>
      <c r="F928" s="1097"/>
      <c r="G928" s="1097"/>
      <c r="H928" s="1097"/>
      <c r="I928" s="1098"/>
      <c r="J928" s="1099"/>
      <c r="K928" s="1096"/>
      <c r="L928" s="1098"/>
      <c r="M928" s="1100"/>
      <c r="N928" s="1096"/>
      <c r="O928" s="1098"/>
      <c r="P928" s="1096"/>
      <c r="Q928" s="1096"/>
    </row>
    <row r="929">
      <c r="A929" s="1126"/>
      <c r="B929" s="1094"/>
      <c r="C929" s="1099"/>
      <c r="D929" s="1096"/>
      <c r="E929" s="1097"/>
      <c r="F929" s="1097"/>
      <c r="G929" s="1097"/>
      <c r="H929" s="1097"/>
      <c r="I929" s="1098"/>
      <c r="J929" s="1099"/>
      <c r="K929" s="1096"/>
      <c r="L929" s="1098"/>
      <c r="M929" s="1100"/>
      <c r="N929" s="1096"/>
      <c r="O929" s="1098"/>
      <c r="P929" s="1096"/>
      <c r="Q929" s="1096"/>
    </row>
    <row r="930">
      <c r="A930" s="1126"/>
      <c r="B930" s="1094"/>
      <c r="C930" s="1099"/>
      <c r="D930" s="1096"/>
      <c r="E930" s="1097"/>
      <c r="F930" s="1097"/>
      <c r="G930" s="1097"/>
      <c r="H930" s="1097"/>
      <c r="I930" s="1098"/>
      <c r="J930" s="1099"/>
      <c r="K930" s="1096"/>
      <c r="L930" s="1098"/>
      <c r="M930" s="1100"/>
      <c r="N930" s="1096"/>
      <c r="O930" s="1098"/>
      <c r="P930" s="1096"/>
      <c r="Q930" s="1096"/>
    </row>
    <row r="931">
      <c r="A931" s="1126"/>
      <c r="B931" s="1094"/>
      <c r="C931" s="1099"/>
      <c r="D931" s="1096"/>
      <c r="E931" s="1097"/>
      <c r="F931" s="1097"/>
      <c r="G931" s="1097"/>
      <c r="H931" s="1097"/>
      <c r="I931" s="1098"/>
      <c r="J931" s="1099"/>
      <c r="K931" s="1096"/>
      <c r="L931" s="1098"/>
      <c r="M931" s="1100"/>
      <c r="N931" s="1096"/>
      <c r="O931" s="1098"/>
      <c r="P931" s="1096"/>
      <c r="Q931" s="1096"/>
    </row>
    <row r="932">
      <c r="A932" s="1126"/>
      <c r="B932" s="1094"/>
      <c r="C932" s="1099"/>
      <c r="D932" s="1096"/>
      <c r="E932" s="1097"/>
      <c r="F932" s="1097"/>
      <c r="G932" s="1097"/>
      <c r="H932" s="1097"/>
      <c r="I932" s="1098"/>
      <c r="J932" s="1099"/>
      <c r="K932" s="1096"/>
      <c r="L932" s="1098"/>
      <c r="M932" s="1100"/>
      <c r="N932" s="1096"/>
      <c r="O932" s="1098"/>
      <c r="P932" s="1096"/>
      <c r="Q932" s="1096"/>
    </row>
    <row r="933">
      <c r="A933" s="1126"/>
      <c r="B933" s="1094"/>
      <c r="C933" s="1099"/>
      <c r="D933" s="1096"/>
      <c r="E933" s="1097"/>
      <c r="F933" s="1097"/>
      <c r="G933" s="1097"/>
      <c r="H933" s="1097"/>
      <c r="I933" s="1098"/>
      <c r="J933" s="1099"/>
      <c r="K933" s="1096"/>
      <c r="L933" s="1098"/>
      <c r="M933" s="1100"/>
      <c r="N933" s="1096"/>
      <c r="O933" s="1098"/>
      <c r="P933" s="1096"/>
      <c r="Q933" s="1096"/>
    </row>
    <row r="934">
      <c r="A934" s="1126"/>
      <c r="B934" s="1094"/>
      <c r="C934" s="1099"/>
      <c r="D934" s="1096"/>
      <c r="E934" s="1097"/>
      <c r="F934" s="1097"/>
      <c r="G934" s="1097"/>
      <c r="H934" s="1097"/>
      <c r="I934" s="1098"/>
      <c r="J934" s="1099"/>
      <c r="K934" s="1096"/>
      <c r="L934" s="1098"/>
      <c r="M934" s="1100"/>
      <c r="N934" s="1096"/>
      <c r="O934" s="1098"/>
      <c r="P934" s="1096"/>
      <c r="Q934" s="1096"/>
    </row>
    <row r="935">
      <c r="A935" s="1126"/>
      <c r="B935" s="1094"/>
      <c r="C935" s="1099"/>
      <c r="D935" s="1096"/>
      <c r="E935" s="1097"/>
      <c r="F935" s="1097"/>
      <c r="G935" s="1097"/>
      <c r="H935" s="1097"/>
      <c r="I935" s="1098"/>
      <c r="J935" s="1099"/>
      <c r="K935" s="1096"/>
      <c r="L935" s="1098"/>
      <c r="M935" s="1100"/>
      <c r="N935" s="1096"/>
      <c r="O935" s="1098"/>
      <c r="P935" s="1096"/>
      <c r="Q935" s="1096"/>
    </row>
    <row r="936">
      <c r="A936" s="1126"/>
      <c r="B936" s="1094"/>
      <c r="C936" s="1099"/>
      <c r="D936" s="1096"/>
      <c r="E936" s="1097"/>
      <c r="F936" s="1097"/>
      <c r="G936" s="1097"/>
      <c r="H936" s="1097"/>
      <c r="I936" s="1098"/>
      <c r="J936" s="1099"/>
      <c r="K936" s="1096"/>
      <c r="L936" s="1098"/>
      <c r="M936" s="1100"/>
      <c r="N936" s="1096"/>
      <c r="O936" s="1098"/>
      <c r="P936" s="1096"/>
      <c r="Q936" s="1096"/>
    </row>
    <row r="937">
      <c r="A937" s="1126"/>
      <c r="B937" s="1094"/>
      <c r="C937" s="1099"/>
      <c r="D937" s="1096"/>
      <c r="E937" s="1097"/>
      <c r="F937" s="1097"/>
      <c r="G937" s="1097"/>
      <c r="H937" s="1097"/>
      <c r="I937" s="1098"/>
      <c r="J937" s="1099"/>
      <c r="K937" s="1096"/>
      <c r="L937" s="1098"/>
      <c r="M937" s="1100"/>
      <c r="N937" s="1096"/>
      <c r="O937" s="1098"/>
      <c r="P937" s="1096"/>
      <c r="Q937" s="1096"/>
    </row>
    <row r="938">
      <c r="A938" s="1126"/>
      <c r="B938" s="1094"/>
      <c r="C938" s="1099"/>
      <c r="D938" s="1096"/>
      <c r="E938" s="1097"/>
      <c r="F938" s="1097"/>
      <c r="G938" s="1097"/>
      <c r="H938" s="1097"/>
      <c r="I938" s="1098"/>
      <c r="J938" s="1099"/>
      <c r="K938" s="1096"/>
      <c r="L938" s="1098"/>
      <c r="M938" s="1100"/>
      <c r="N938" s="1096"/>
      <c r="O938" s="1098"/>
      <c r="P938" s="1096"/>
      <c r="Q938" s="1096"/>
    </row>
    <row r="939">
      <c r="A939" s="1126"/>
      <c r="B939" s="1094"/>
      <c r="C939" s="1099"/>
      <c r="D939" s="1096"/>
      <c r="E939" s="1097"/>
      <c r="F939" s="1097"/>
      <c r="G939" s="1097"/>
      <c r="H939" s="1097"/>
      <c r="I939" s="1098"/>
      <c r="J939" s="1099"/>
      <c r="K939" s="1096"/>
      <c r="L939" s="1098"/>
      <c r="M939" s="1100"/>
      <c r="N939" s="1096"/>
      <c r="O939" s="1098"/>
      <c r="P939" s="1096"/>
      <c r="Q939" s="1096"/>
    </row>
    <row r="940">
      <c r="A940" s="1126"/>
      <c r="B940" s="1094"/>
      <c r="C940" s="1099"/>
      <c r="D940" s="1096"/>
      <c r="E940" s="1097"/>
      <c r="F940" s="1097"/>
      <c r="G940" s="1097"/>
      <c r="H940" s="1097"/>
      <c r="I940" s="1098"/>
      <c r="J940" s="1099"/>
      <c r="K940" s="1096"/>
      <c r="L940" s="1098"/>
      <c r="M940" s="1100"/>
      <c r="N940" s="1096"/>
      <c r="O940" s="1098"/>
      <c r="P940" s="1096"/>
      <c r="Q940" s="1096"/>
    </row>
    <row r="941">
      <c r="A941" s="1126"/>
      <c r="B941" s="1094"/>
      <c r="C941" s="1099"/>
      <c r="D941" s="1096"/>
      <c r="E941" s="1097"/>
      <c r="F941" s="1097"/>
      <c r="G941" s="1097"/>
      <c r="H941" s="1097"/>
      <c r="I941" s="1098"/>
      <c r="J941" s="1099"/>
      <c r="K941" s="1096"/>
      <c r="L941" s="1098"/>
      <c r="M941" s="1100"/>
      <c r="N941" s="1096"/>
      <c r="O941" s="1098"/>
      <c r="P941" s="1096"/>
      <c r="Q941" s="1096"/>
    </row>
    <row r="942">
      <c r="A942" s="1126"/>
      <c r="B942" s="1094"/>
      <c r="C942" s="1099"/>
      <c r="D942" s="1096"/>
      <c r="E942" s="1097"/>
      <c r="F942" s="1097"/>
      <c r="G942" s="1097"/>
      <c r="H942" s="1097"/>
      <c r="I942" s="1098"/>
      <c r="J942" s="1099"/>
      <c r="K942" s="1096"/>
      <c r="L942" s="1098"/>
      <c r="M942" s="1100"/>
      <c r="N942" s="1096"/>
      <c r="O942" s="1098"/>
      <c r="P942" s="1096"/>
      <c r="Q942" s="1096"/>
    </row>
    <row r="943">
      <c r="A943" s="1126"/>
      <c r="B943" s="1094"/>
      <c r="C943" s="1099"/>
      <c r="D943" s="1096"/>
      <c r="E943" s="1097"/>
      <c r="F943" s="1097"/>
      <c r="G943" s="1097"/>
      <c r="H943" s="1097"/>
      <c r="I943" s="1098"/>
      <c r="J943" s="1099"/>
      <c r="K943" s="1096"/>
      <c r="L943" s="1098"/>
      <c r="M943" s="1100"/>
      <c r="N943" s="1096"/>
      <c r="O943" s="1098"/>
      <c r="P943" s="1096"/>
      <c r="Q943" s="1096"/>
    </row>
    <row r="944">
      <c r="A944" s="1126"/>
      <c r="B944" s="1094"/>
      <c r="C944" s="1099"/>
      <c r="D944" s="1096"/>
      <c r="E944" s="1097"/>
      <c r="F944" s="1097"/>
      <c r="G944" s="1097"/>
      <c r="H944" s="1097"/>
      <c r="I944" s="1098"/>
      <c r="J944" s="1099"/>
      <c r="K944" s="1096"/>
      <c r="L944" s="1098"/>
      <c r="M944" s="1100"/>
      <c r="N944" s="1096"/>
      <c r="O944" s="1098"/>
      <c r="P944" s="1096"/>
      <c r="Q944" s="1096"/>
    </row>
    <row r="945">
      <c r="A945" s="1126"/>
      <c r="B945" s="1094"/>
      <c r="C945" s="1099"/>
      <c r="D945" s="1096"/>
      <c r="E945" s="1097"/>
      <c r="F945" s="1097"/>
      <c r="G945" s="1097"/>
      <c r="H945" s="1097"/>
      <c r="I945" s="1098"/>
      <c r="J945" s="1099"/>
      <c r="K945" s="1096"/>
      <c r="L945" s="1098"/>
      <c r="M945" s="1100"/>
      <c r="N945" s="1096"/>
      <c r="O945" s="1098"/>
      <c r="P945" s="1096"/>
      <c r="Q945" s="1096"/>
    </row>
    <row r="946">
      <c r="A946" s="1126"/>
      <c r="B946" s="1094"/>
      <c r="C946" s="1099"/>
      <c r="D946" s="1096"/>
      <c r="E946" s="1097"/>
      <c r="F946" s="1097"/>
      <c r="G946" s="1097"/>
      <c r="H946" s="1097"/>
      <c r="I946" s="1098"/>
      <c r="J946" s="1099"/>
      <c r="K946" s="1096"/>
      <c r="L946" s="1098"/>
      <c r="M946" s="1100"/>
      <c r="N946" s="1096"/>
      <c r="O946" s="1098"/>
      <c r="P946" s="1096"/>
      <c r="Q946" s="1096"/>
    </row>
    <row r="947">
      <c r="A947" s="1126"/>
      <c r="B947" s="1094"/>
      <c r="C947" s="1099"/>
      <c r="D947" s="1096"/>
      <c r="E947" s="1097"/>
      <c r="F947" s="1097"/>
      <c r="G947" s="1097"/>
      <c r="H947" s="1097"/>
      <c r="I947" s="1098"/>
      <c r="J947" s="1099"/>
      <c r="K947" s="1096"/>
      <c r="L947" s="1098"/>
      <c r="M947" s="1100"/>
      <c r="N947" s="1096"/>
      <c r="O947" s="1098"/>
      <c r="P947" s="1096"/>
      <c r="Q947" s="1096"/>
    </row>
    <row r="948">
      <c r="A948" s="1126"/>
      <c r="B948" s="1094"/>
      <c r="C948" s="1099"/>
      <c r="D948" s="1096"/>
      <c r="E948" s="1097"/>
      <c r="F948" s="1097"/>
      <c r="G948" s="1097"/>
      <c r="H948" s="1097"/>
      <c r="I948" s="1098"/>
      <c r="J948" s="1099"/>
      <c r="K948" s="1096"/>
      <c r="L948" s="1098"/>
      <c r="M948" s="1100"/>
      <c r="N948" s="1096"/>
      <c r="O948" s="1098"/>
      <c r="P948" s="1096"/>
      <c r="Q948" s="1096"/>
    </row>
    <row r="949">
      <c r="A949" s="1126"/>
      <c r="B949" s="1094"/>
      <c r="C949" s="1099"/>
      <c r="D949" s="1096"/>
      <c r="E949" s="1097"/>
      <c r="F949" s="1097"/>
      <c r="G949" s="1097"/>
      <c r="H949" s="1097"/>
      <c r="I949" s="1098"/>
      <c r="J949" s="1099"/>
      <c r="K949" s="1096"/>
      <c r="L949" s="1098"/>
      <c r="M949" s="1100"/>
      <c r="N949" s="1096"/>
      <c r="O949" s="1098"/>
      <c r="P949" s="1096"/>
      <c r="Q949" s="1096"/>
    </row>
    <row r="950">
      <c r="A950" s="1126"/>
      <c r="B950" s="1094"/>
      <c r="C950" s="1099"/>
      <c r="D950" s="1096"/>
      <c r="E950" s="1097"/>
      <c r="F950" s="1097"/>
      <c r="G950" s="1097"/>
      <c r="H950" s="1097"/>
      <c r="I950" s="1098"/>
      <c r="J950" s="1099"/>
      <c r="K950" s="1096"/>
      <c r="L950" s="1098"/>
      <c r="M950" s="1100"/>
      <c r="N950" s="1096"/>
      <c r="O950" s="1098"/>
      <c r="P950" s="1096"/>
      <c r="Q950" s="1096"/>
    </row>
    <row r="951">
      <c r="A951" s="1126"/>
      <c r="B951" s="1094"/>
      <c r="C951" s="1099"/>
      <c r="D951" s="1096"/>
      <c r="E951" s="1097"/>
      <c r="F951" s="1097"/>
      <c r="G951" s="1097"/>
      <c r="H951" s="1097"/>
      <c r="I951" s="1098"/>
      <c r="J951" s="1099"/>
      <c r="K951" s="1096"/>
      <c r="L951" s="1098"/>
      <c r="M951" s="1100"/>
      <c r="N951" s="1096"/>
      <c r="O951" s="1098"/>
      <c r="P951" s="1096"/>
      <c r="Q951" s="1096"/>
    </row>
    <row r="952">
      <c r="A952" s="1126"/>
      <c r="B952" s="1094"/>
      <c r="C952" s="1099"/>
      <c r="D952" s="1096"/>
      <c r="E952" s="1097"/>
      <c r="F952" s="1097"/>
      <c r="G952" s="1097"/>
      <c r="H952" s="1097"/>
      <c r="I952" s="1098"/>
      <c r="J952" s="1099"/>
      <c r="K952" s="1096"/>
      <c r="L952" s="1098"/>
      <c r="M952" s="1100"/>
      <c r="N952" s="1096"/>
      <c r="O952" s="1098"/>
      <c r="P952" s="1096"/>
      <c r="Q952" s="1096"/>
    </row>
    <row r="953">
      <c r="A953" s="1126"/>
      <c r="B953" s="1094"/>
      <c r="C953" s="1099"/>
      <c r="D953" s="1096"/>
      <c r="E953" s="1097"/>
      <c r="F953" s="1097"/>
      <c r="G953" s="1097"/>
      <c r="H953" s="1097"/>
      <c r="I953" s="1098"/>
      <c r="J953" s="1099"/>
      <c r="K953" s="1096"/>
      <c r="L953" s="1098"/>
      <c r="M953" s="1100"/>
      <c r="N953" s="1096"/>
      <c r="O953" s="1098"/>
      <c r="P953" s="1096"/>
      <c r="Q953" s="1096"/>
    </row>
    <row r="954">
      <c r="A954" s="1126"/>
      <c r="B954" s="1094"/>
      <c r="C954" s="1099"/>
      <c r="D954" s="1096"/>
      <c r="E954" s="1097"/>
      <c r="F954" s="1097"/>
      <c r="G954" s="1097"/>
      <c r="H954" s="1097"/>
      <c r="I954" s="1098"/>
      <c r="J954" s="1099"/>
      <c r="K954" s="1096"/>
      <c r="L954" s="1098"/>
      <c r="M954" s="1100"/>
      <c r="N954" s="1096"/>
      <c r="O954" s="1098"/>
      <c r="P954" s="1096"/>
      <c r="Q954" s="1096"/>
    </row>
    <row r="955">
      <c r="A955" s="1126"/>
      <c r="B955" s="1094"/>
      <c r="C955" s="1099"/>
      <c r="D955" s="1096"/>
      <c r="E955" s="1097"/>
      <c r="F955" s="1097"/>
      <c r="G955" s="1097"/>
      <c r="H955" s="1097"/>
      <c r="I955" s="1098"/>
      <c r="J955" s="1099"/>
      <c r="K955" s="1096"/>
      <c r="L955" s="1098"/>
      <c r="M955" s="1100"/>
      <c r="N955" s="1096"/>
      <c r="O955" s="1098"/>
      <c r="P955" s="1096"/>
      <c r="Q955" s="1096"/>
    </row>
    <row r="956">
      <c r="A956" s="1126"/>
      <c r="B956" s="1094"/>
      <c r="C956" s="1099"/>
      <c r="D956" s="1096"/>
      <c r="E956" s="1097"/>
      <c r="F956" s="1097"/>
      <c r="G956" s="1097"/>
      <c r="H956" s="1097"/>
      <c r="I956" s="1098"/>
      <c r="J956" s="1099"/>
      <c r="K956" s="1096"/>
      <c r="L956" s="1098"/>
      <c r="M956" s="1100"/>
      <c r="N956" s="1096"/>
      <c r="O956" s="1098"/>
      <c r="P956" s="1096"/>
      <c r="Q956" s="1096"/>
    </row>
    <row r="957">
      <c r="A957" s="1126"/>
      <c r="B957" s="1094"/>
      <c r="C957" s="1099"/>
      <c r="D957" s="1096"/>
      <c r="E957" s="1097"/>
      <c r="F957" s="1097"/>
      <c r="G957" s="1097"/>
      <c r="H957" s="1097"/>
      <c r="I957" s="1098"/>
      <c r="J957" s="1099"/>
      <c r="K957" s="1096"/>
      <c r="L957" s="1098"/>
      <c r="M957" s="1100"/>
      <c r="N957" s="1096"/>
      <c r="O957" s="1098"/>
      <c r="P957" s="1096"/>
      <c r="Q957" s="1096"/>
    </row>
    <row r="958">
      <c r="A958" s="1126"/>
      <c r="B958" s="1094"/>
      <c r="C958" s="1099"/>
      <c r="D958" s="1096"/>
      <c r="E958" s="1097"/>
      <c r="F958" s="1097"/>
      <c r="G958" s="1097"/>
      <c r="H958" s="1097"/>
      <c r="I958" s="1098"/>
      <c r="J958" s="1099"/>
      <c r="K958" s="1096"/>
      <c r="L958" s="1098"/>
      <c r="M958" s="1100"/>
      <c r="N958" s="1096"/>
      <c r="O958" s="1098"/>
      <c r="P958" s="1096"/>
      <c r="Q958" s="1096"/>
    </row>
    <row r="959">
      <c r="A959" s="1126"/>
      <c r="B959" s="1094"/>
      <c r="C959" s="1099"/>
      <c r="D959" s="1096"/>
      <c r="E959" s="1097"/>
      <c r="F959" s="1097"/>
      <c r="G959" s="1097"/>
      <c r="H959" s="1097"/>
      <c r="I959" s="1098"/>
      <c r="J959" s="1099"/>
      <c r="K959" s="1096"/>
      <c r="L959" s="1098"/>
      <c r="M959" s="1100"/>
      <c r="N959" s="1096"/>
      <c r="O959" s="1098"/>
      <c r="P959" s="1096"/>
      <c r="Q959" s="1096"/>
    </row>
    <row r="960">
      <c r="A960" s="1126"/>
      <c r="B960" s="1094"/>
      <c r="C960" s="1099"/>
      <c r="D960" s="1096"/>
      <c r="E960" s="1097"/>
      <c r="F960" s="1097"/>
      <c r="G960" s="1097"/>
      <c r="H960" s="1097"/>
      <c r="I960" s="1098"/>
      <c r="J960" s="1099"/>
      <c r="K960" s="1096"/>
      <c r="L960" s="1098"/>
      <c r="M960" s="1100"/>
      <c r="N960" s="1096"/>
      <c r="O960" s="1098"/>
      <c r="P960" s="1096"/>
      <c r="Q960" s="1096"/>
    </row>
    <row r="961">
      <c r="A961" s="1126"/>
      <c r="B961" s="1094"/>
      <c r="C961" s="1099"/>
      <c r="D961" s="1096"/>
      <c r="E961" s="1097"/>
      <c r="F961" s="1097"/>
      <c r="G961" s="1097"/>
      <c r="H961" s="1097"/>
      <c r="I961" s="1098"/>
      <c r="J961" s="1099"/>
      <c r="K961" s="1096"/>
      <c r="L961" s="1098"/>
      <c r="M961" s="1100"/>
      <c r="N961" s="1096"/>
      <c r="O961" s="1098"/>
      <c r="P961" s="1096"/>
      <c r="Q961" s="1096"/>
    </row>
    <row r="962">
      <c r="A962" s="1126"/>
      <c r="B962" s="1094"/>
      <c r="C962" s="1099"/>
      <c r="D962" s="1096"/>
      <c r="E962" s="1097"/>
      <c r="F962" s="1097"/>
      <c r="G962" s="1097"/>
      <c r="H962" s="1097"/>
      <c r="I962" s="1098"/>
      <c r="J962" s="1099"/>
      <c r="K962" s="1096"/>
      <c r="L962" s="1098"/>
      <c r="M962" s="1100"/>
      <c r="N962" s="1096"/>
      <c r="O962" s="1098"/>
      <c r="P962" s="1096"/>
      <c r="Q962" s="1096"/>
    </row>
    <row r="963">
      <c r="A963" s="1126"/>
      <c r="B963" s="1094"/>
      <c r="C963" s="1099"/>
      <c r="D963" s="1096"/>
      <c r="E963" s="1097"/>
      <c r="F963" s="1097"/>
      <c r="G963" s="1097"/>
      <c r="H963" s="1097"/>
      <c r="I963" s="1098"/>
      <c r="J963" s="1099"/>
      <c r="K963" s="1096"/>
      <c r="L963" s="1098"/>
      <c r="M963" s="1100"/>
      <c r="N963" s="1096"/>
      <c r="O963" s="1098"/>
      <c r="P963" s="1096"/>
      <c r="Q963" s="1096"/>
    </row>
    <row r="964">
      <c r="A964" s="1126"/>
      <c r="B964" s="1094"/>
      <c r="C964" s="1099"/>
      <c r="D964" s="1096"/>
      <c r="E964" s="1097"/>
      <c r="F964" s="1097"/>
      <c r="G964" s="1097"/>
      <c r="H964" s="1097"/>
      <c r="I964" s="1098"/>
      <c r="J964" s="1099"/>
      <c r="K964" s="1096"/>
      <c r="L964" s="1098"/>
      <c r="M964" s="1100"/>
      <c r="N964" s="1096"/>
      <c r="O964" s="1098"/>
      <c r="P964" s="1096"/>
      <c r="Q964" s="1096"/>
    </row>
    <row r="965">
      <c r="A965" s="1126"/>
      <c r="B965" s="1094"/>
      <c r="C965" s="1099"/>
      <c r="D965" s="1096"/>
      <c r="E965" s="1097"/>
      <c r="F965" s="1097"/>
      <c r="G965" s="1097"/>
      <c r="H965" s="1097"/>
      <c r="I965" s="1098"/>
      <c r="J965" s="1099"/>
      <c r="K965" s="1096"/>
      <c r="L965" s="1098"/>
      <c r="M965" s="1100"/>
      <c r="N965" s="1096"/>
      <c r="O965" s="1098"/>
      <c r="P965" s="1096"/>
      <c r="Q965" s="1096"/>
    </row>
    <row r="966">
      <c r="A966" s="1126"/>
      <c r="B966" s="1094"/>
      <c r="C966" s="1099"/>
      <c r="D966" s="1096"/>
      <c r="E966" s="1097"/>
      <c r="F966" s="1097"/>
      <c r="G966" s="1097"/>
      <c r="H966" s="1097"/>
      <c r="I966" s="1098"/>
      <c r="J966" s="1099"/>
      <c r="K966" s="1096"/>
      <c r="L966" s="1098"/>
      <c r="M966" s="1100"/>
      <c r="N966" s="1096"/>
      <c r="O966" s="1098"/>
      <c r="P966" s="1096"/>
      <c r="Q966" s="1096"/>
    </row>
    <row r="967">
      <c r="A967" s="1126"/>
      <c r="B967" s="1094"/>
      <c r="C967" s="1099"/>
      <c r="D967" s="1096"/>
      <c r="E967" s="1097"/>
      <c r="F967" s="1097"/>
      <c r="G967" s="1097"/>
      <c r="H967" s="1097"/>
      <c r="I967" s="1098"/>
      <c r="J967" s="1099"/>
      <c r="K967" s="1096"/>
      <c r="L967" s="1098"/>
      <c r="M967" s="1100"/>
      <c r="N967" s="1096"/>
      <c r="O967" s="1098"/>
      <c r="P967" s="1096"/>
      <c r="Q967" s="1096"/>
    </row>
    <row r="968">
      <c r="A968" s="1126"/>
      <c r="B968" s="1094"/>
      <c r="C968" s="1099"/>
      <c r="D968" s="1096"/>
      <c r="E968" s="1097"/>
      <c r="F968" s="1097"/>
      <c r="G968" s="1097"/>
      <c r="H968" s="1097"/>
      <c r="I968" s="1098"/>
      <c r="J968" s="1099"/>
      <c r="K968" s="1096"/>
      <c r="L968" s="1098"/>
      <c r="M968" s="1100"/>
      <c r="N968" s="1096"/>
      <c r="O968" s="1098"/>
      <c r="P968" s="1096"/>
      <c r="Q968" s="1096"/>
    </row>
    <row r="969">
      <c r="A969" s="1126"/>
      <c r="B969" s="1094"/>
      <c r="C969" s="1099"/>
      <c r="D969" s="1096"/>
      <c r="E969" s="1097"/>
      <c r="F969" s="1097"/>
      <c r="G969" s="1097"/>
      <c r="H969" s="1097"/>
      <c r="I969" s="1098"/>
      <c r="J969" s="1099"/>
      <c r="K969" s="1096"/>
      <c r="L969" s="1098"/>
      <c r="M969" s="1100"/>
      <c r="N969" s="1096"/>
      <c r="O969" s="1098"/>
      <c r="P969" s="1096"/>
      <c r="Q969" s="1096"/>
    </row>
    <row r="970">
      <c r="A970" s="1126"/>
      <c r="B970" s="1094"/>
      <c r="C970" s="1099"/>
      <c r="D970" s="1096"/>
      <c r="E970" s="1097"/>
      <c r="F970" s="1097"/>
      <c r="G970" s="1097"/>
      <c r="H970" s="1097"/>
      <c r="I970" s="1098"/>
      <c r="J970" s="1099"/>
      <c r="K970" s="1096"/>
      <c r="L970" s="1098"/>
      <c r="M970" s="1100"/>
      <c r="N970" s="1096"/>
      <c r="O970" s="1098"/>
      <c r="P970" s="1096"/>
      <c r="Q970" s="1096"/>
    </row>
    <row r="971">
      <c r="A971" s="1126"/>
      <c r="B971" s="1094"/>
      <c r="C971" s="1099"/>
      <c r="D971" s="1096"/>
      <c r="E971" s="1097"/>
      <c r="F971" s="1097"/>
      <c r="G971" s="1097"/>
      <c r="H971" s="1097"/>
      <c r="I971" s="1098"/>
      <c r="J971" s="1099"/>
      <c r="K971" s="1096"/>
      <c r="L971" s="1098"/>
      <c r="M971" s="1100"/>
      <c r="N971" s="1096"/>
      <c r="O971" s="1098"/>
      <c r="P971" s="1096"/>
      <c r="Q971" s="1096"/>
    </row>
    <row r="972">
      <c r="A972" s="1126"/>
      <c r="B972" s="1094"/>
      <c r="C972" s="1099"/>
      <c r="D972" s="1096"/>
      <c r="E972" s="1097"/>
      <c r="F972" s="1097"/>
      <c r="G972" s="1097"/>
      <c r="H972" s="1097"/>
      <c r="I972" s="1098"/>
      <c r="J972" s="1099"/>
      <c r="K972" s="1096"/>
      <c r="L972" s="1098"/>
      <c r="M972" s="1100"/>
      <c r="N972" s="1096"/>
      <c r="O972" s="1098"/>
      <c r="P972" s="1096"/>
      <c r="Q972" s="1096"/>
    </row>
    <row r="973">
      <c r="A973" s="1126"/>
      <c r="B973" s="1094"/>
      <c r="C973" s="1099"/>
      <c r="D973" s="1096"/>
      <c r="E973" s="1097"/>
      <c r="F973" s="1097"/>
      <c r="G973" s="1097"/>
      <c r="H973" s="1097"/>
      <c r="I973" s="1098"/>
      <c r="J973" s="1099"/>
      <c r="K973" s="1096"/>
      <c r="L973" s="1098"/>
      <c r="M973" s="1100"/>
      <c r="N973" s="1096"/>
      <c r="O973" s="1098"/>
      <c r="P973" s="1096"/>
      <c r="Q973" s="1096"/>
    </row>
    <row r="974">
      <c r="A974" s="1126"/>
      <c r="B974" s="1094"/>
      <c r="C974" s="1099"/>
      <c r="D974" s="1096"/>
      <c r="E974" s="1097"/>
      <c r="F974" s="1097"/>
      <c r="G974" s="1097"/>
      <c r="H974" s="1097"/>
      <c r="I974" s="1098"/>
      <c r="J974" s="1099"/>
      <c r="K974" s="1096"/>
      <c r="L974" s="1098"/>
      <c r="M974" s="1100"/>
      <c r="N974" s="1096"/>
      <c r="O974" s="1098"/>
      <c r="P974" s="1096"/>
      <c r="Q974" s="1096"/>
    </row>
    <row r="975">
      <c r="A975" s="1126"/>
      <c r="B975" s="1094"/>
      <c r="C975" s="1099"/>
      <c r="D975" s="1096"/>
      <c r="E975" s="1097"/>
      <c r="F975" s="1097"/>
      <c r="G975" s="1097"/>
      <c r="H975" s="1097"/>
      <c r="I975" s="1098"/>
      <c r="J975" s="1099"/>
      <c r="K975" s="1096"/>
      <c r="L975" s="1098"/>
      <c r="M975" s="1100"/>
      <c r="N975" s="1096"/>
      <c r="O975" s="1098"/>
      <c r="P975" s="1096"/>
      <c r="Q975" s="1096"/>
    </row>
    <row r="976">
      <c r="A976" s="1126"/>
      <c r="B976" s="1094"/>
      <c r="C976" s="1099"/>
      <c r="D976" s="1096"/>
      <c r="E976" s="1097"/>
      <c r="F976" s="1097"/>
      <c r="G976" s="1097"/>
      <c r="H976" s="1097"/>
      <c r="I976" s="1098"/>
      <c r="J976" s="1099"/>
      <c r="K976" s="1096"/>
      <c r="L976" s="1098"/>
      <c r="M976" s="1100"/>
      <c r="N976" s="1096"/>
      <c r="O976" s="1098"/>
      <c r="P976" s="1096"/>
      <c r="Q976" s="1096"/>
    </row>
    <row r="977">
      <c r="A977" s="1126"/>
      <c r="B977" s="1094"/>
      <c r="C977" s="1099"/>
      <c r="D977" s="1096"/>
      <c r="E977" s="1097"/>
      <c r="F977" s="1097"/>
      <c r="G977" s="1097"/>
      <c r="H977" s="1097"/>
      <c r="I977" s="1098"/>
      <c r="J977" s="1099"/>
      <c r="K977" s="1096"/>
      <c r="L977" s="1098"/>
      <c r="M977" s="1100"/>
      <c r="N977" s="1096"/>
      <c r="O977" s="1098"/>
      <c r="P977" s="1096"/>
      <c r="Q977" s="1096"/>
    </row>
    <row r="978">
      <c r="A978" s="1126"/>
      <c r="B978" s="1094"/>
      <c r="C978" s="1099"/>
      <c r="D978" s="1096"/>
      <c r="E978" s="1097"/>
      <c r="F978" s="1097"/>
      <c r="G978" s="1097"/>
      <c r="H978" s="1097"/>
      <c r="I978" s="1098"/>
      <c r="J978" s="1099"/>
      <c r="K978" s="1096"/>
      <c r="L978" s="1098"/>
      <c r="M978" s="1100"/>
      <c r="N978" s="1096"/>
      <c r="O978" s="1098"/>
      <c r="P978" s="1096"/>
      <c r="Q978" s="1096"/>
    </row>
    <row r="979">
      <c r="A979" s="1126"/>
      <c r="B979" s="1094"/>
      <c r="C979" s="1099"/>
      <c r="D979" s="1096"/>
      <c r="E979" s="1097"/>
      <c r="F979" s="1097"/>
      <c r="G979" s="1097"/>
      <c r="H979" s="1097"/>
      <c r="I979" s="1098"/>
      <c r="J979" s="1099"/>
      <c r="K979" s="1096"/>
      <c r="L979" s="1098"/>
      <c r="M979" s="1100"/>
      <c r="N979" s="1096"/>
      <c r="O979" s="1098"/>
      <c r="P979" s="1096"/>
      <c r="Q979" s="1096"/>
    </row>
    <row r="980">
      <c r="A980" s="1126"/>
      <c r="B980" s="1094"/>
      <c r="C980" s="1099"/>
      <c r="D980" s="1096"/>
      <c r="E980" s="1097"/>
      <c r="F980" s="1097"/>
      <c r="G980" s="1097"/>
      <c r="H980" s="1097"/>
      <c r="I980" s="1098"/>
      <c r="J980" s="1099"/>
      <c r="K980" s="1096"/>
      <c r="L980" s="1098"/>
      <c r="M980" s="1100"/>
      <c r="N980" s="1096"/>
      <c r="O980" s="1098"/>
      <c r="P980" s="1096"/>
      <c r="Q980" s="1096"/>
    </row>
    <row r="981">
      <c r="A981" s="1126"/>
      <c r="B981" s="1094"/>
      <c r="C981" s="1099"/>
      <c r="D981" s="1096"/>
      <c r="E981" s="1097"/>
      <c r="F981" s="1097"/>
      <c r="G981" s="1097"/>
      <c r="H981" s="1097"/>
      <c r="I981" s="1098"/>
      <c r="J981" s="1099"/>
      <c r="K981" s="1096"/>
      <c r="L981" s="1098"/>
      <c r="M981" s="1100"/>
      <c r="N981" s="1096"/>
      <c r="O981" s="1098"/>
      <c r="P981" s="1096"/>
      <c r="Q981" s="1096"/>
    </row>
    <row r="982">
      <c r="A982" s="1126"/>
      <c r="B982" s="1094"/>
      <c r="C982" s="1099"/>
      <c r="D982" s="1096"/>
      <c r="E982" s="1097"/>
      <c r="F982" s="1097"/>
      <c r="G982" s="1097"/>
      <c r="H982" s="1097"/>
      <c r="I982" s="1098"/>
      <c r="J982" s="1099"/>
      <c r="K982" s="1096"/>
      <c r="L982" s="1098"/>
      <c r="M982" s="1100"/>
      <c r="N982" s="1096"/>
      <c r="O982" s="1098"/>
      <c r="P982" s="1096"/>
      <c r="Q982" s="1096"/>
    </row>
    <row r="983">
      <c r="A983" s="1126"/>
      <c r="B983" s="1094"/>
      <c r="C983" s="1099"/>
      <c r="D983" s="1096"/>
      <c r="E983" s="1097"/>
      <c r="F983" s="1097"/>
      <c r="G983" s="1097"/>
      <c r="H983" s="1097"/>
      <c r="I983" s="1098"/>
      <c r="J983" s="1099"/>
      <c r="K983" s="1096"/>
      <c r="L983" s="1098"/>
      <c r="M983" s="1100"/>
      <c r="N983" s="1096"/>
      <c r="O983" s="1098"/>
      <c r="P983" s="1096"/>
      <c r="Q983" s="1096"/>
    </row>
    <row r="984">
      <c r="A984" s="1126"/>
      <c r="B984" s="1094"/>
      <c r="C984" s="1099"/>
      <c r="D984" s="1096"/>
      <c r="E984" s="1097"/>
      <c r="F984" s="1097"/>
      <c r="G984" s="1097"/>
      <c r="H984" s="1097"/>
      <c r="I984" s="1098"/>
      <c r="J984" s="1099"/>
      <c r="K984" s="1096"/>
      <c r="L984" s="1098"/>
      <c r="M984" s="1100"/>
      <c r="N984" s="1096"/>
      <c r="O984" s="1098"/>
      <c r="P984" s="1096"/>
      <c r="Q984" s="1096"/>
    </row>
    <row r="985">
      <c r="A985" s="1126"/>
      <c r="B985" s="1094"/>
      <c r="C985" s="1099"/>
      <c r="D985" s="1096"/>
      <c r="E985" s="1097"/>
      <c r="F985" s="1097"/>
      <c r="G985" s="1097"/>
      <c r="H985" s="1097"/>
      <c r="I985" s="1098"/>
      <c r="J985" s="1099"/>
      <c r="K985" s="1096"/>
      <c r="L985" s="1098"/>
      <c r="M985" s="1100"/>
      <c r="N985" s="1096"/>
      <c r="O985" s="1098"/>
      <c r="P985" s="1096"/>
      <c r="Q985" s="1096"/>
    </row>
    <row r="986">
      <c r="A986" s="1126"/>
      <c r="B986" s="1094"/>
      <c r="C986" s="1099"/>
      <c r="D986" s="1096"/>
      <c r="E986" s="1097"/>
      <c r="F986" s="1097"/>
      <c r="G986" s="1097"/>
      <c r="H986" s="1097"/>
      <c r="I986" s="1098"/>
      <c r="J986" s="1099"/>
      <c r="K986" s="1096"/>
      <c r="L986" s="1098"/>
      <c r="M986" s="1100"/>
      <c r="N986" s="1096"/>
      <c r="O986" s="1098"/>
      <c r="P986" s="1096"/>
      <c r="Q986" s="1096"/>
    </row>
    <row r="987">
      <c r="A987" s="1126"/>
      <c r="B987" s="1094"/>
      <c r="C987" s="1099"/>
      <c r="D987" s="1096"/>
      <c r="E987" s="1097"/>
      <c r="F987" s="1097"/>
      <c r="G987" s="1097"/>
      <c r="H987" s="1097"/>
      <c r="I987" s="1098"/>
      <c r="J987" s="1099"/>
      <c r="K987" s="1096"/>
      <c r="L987" s="1098"/>
      <c r="M987" s="1100"/>
      <c r="N987" s="1096"/>
      <c r="O987" s="1098"/>
      <c r="P987" s="1096"/>
      <c r="Q987" s="1096"/>
    </row>
    <row r="988">
      <c r="A988" s="1126"/>
      <c r="B988" s="1094"/>
      <c r="C988" s="1099"/>
      <c r="D988" s="1096"/>
      <c r="E988" s="1097"/>
      <c r="F988" s="1097"/>
      <c r="G988" s="1097"/>
      <c r="H988" s="1097"/>
      <c r="I988" s="1098"/>
      <c r="J988" s="1099"/>
      <c r="K988" s="1096"/>
      <c r="L988" s="1098"/>
      <c r="M988" s="1100"/>
      <c r="N988" s="1096"/>
      <c r="O988" s="1098"/>
      <c r="P988" s="1096"/>
      <c r="Q988" s="1096"/>
    </row>
    <row r="989">
      <c r="A989" s="1126"/>
      <c r="B989" s="1094"/>
      <c r="C989" s="1099"/>
      <c r="D989" s="1096"/>
      <c r="E989" s="1097"/>
      <c r="F989" s="1097"/>
      <c r="G989" s="1097"/>
      <c r="H989" s="1097"/>
      <c r="I989" s="1098"/>
      <c r="J989" s="1099"/>
      <c r="K989" s="1096"/>
      <c r="L989" s="1098"/>
      <c r="M989" s="1100"/>
      <c r="N989" s="1096"/>
      <c r="O989" s="1098"/>
      <c r="P989" s="1096"/>
      <c r="Q989" s="1096"/>
    </row>
    <row r="990">
      <c r="A990" s="1126"/>
      <c r="B990" s="1094"/>
      <c r="C990" s="1099"/>
      <c r="D990" s="1096"/>
      <c r="E990" s="1097"/>
      <c r="F990" s="1097"/>
      <c r="G990" s="1097"/>
      <c r="H990" s="1097"/>
      <c r="I990" s="1098"/>
      <c r="J990" s="1099"/>
      <c r="K990" s="1096"/>
      <c r="L990" s="1098"/>
      <c r="M990" s="1100"/>
      <c r="N990" s="1096"/>
      <c r="O990" s="1098"/>
      <c r="P990" s="1096"/>
      <c r="Q990" s="1096"/>
    </row>
    <row r="991">
      <c r="A991" s="1126"/>
      <c r="B991" s="1094"/>
      <c r="C991" s="1099"/>
      <c r="D991" s="1096"/>
      <c r="E991" s="1097"/>
      <c r="F991" s="1097"/>
      <c r="G991" s="1097"/>
      <c r="H991" s="1097"/>
      <c r="I991" s="1098"/>
      <c r="J991" s="1099"/>
      <c r="K991" s="1096"/>
      <c r="L991" s="1098"/>
      <c r="M991" s="1100"/>
      <c r="N991" s="1096"/>
      <c r="O991" s="1098"/>
      <c r="P991" s="1096"/>
      <c r="Q991" s="1096"/>
    </row>
    <row r="992">
      <c r="A992" s="1126"/>
      <c r="B992" s="1094"/>
      <c r="C992" s="1099"/>
      <c r="D992" s="1096"/>
      <c r="E992" s="1097"/>
      <c r="F992" s="1097"/>
      <c r="G992" s="1097"/>
      <c r="H992" s="1097"/>
      <c r="I992" s="1098"/>
      <c r="J992" s="1099"/>
      <c r="K992" s="1096"/>
      <c r="L992" s="1098"/>
      <c r="M992" s="1100"/>
      <c r="N992" s="1096"/>
      <c r="O992" s="1098"/>
      <c r="P992" s="1096"/>
      <c r="Q992" s="1096"/>
    </row>
    <row r="993">
      <c r="A993" s="1126"/>
      <c r="B993" s="1094"/>
      <c r="C993" s="1099"/>
      <c r="D993" s="1096"/>
      <c r="E993" s="1097"/>
      <c r="F993" s="1097"/>
      <c r="G993" s="1097"/>
      <c r="H993" s="1097"/>
      <c r="I993" s="1098"/>
      <c r="J993" s="1099"/>
      <c r="K993" s="1096"/>
      <c r="L993" s="1098"/>
      <c r="M993" s="1100"/>
      <c r="N993" s="1096"/>
      <c r="O993" s="1098"/>
      <c r="P993" s="1096"/>
      <c r="Q993" s="1096"/>
    </row>
    <row r="994">
      <c r="A994" s="1126"/>
      <c r="B994" s="1094"/>
      <c r="C994" s="1099"/>
      <c r="D994" s="1096"/>
      <c r="E994" s="1097"/>
      <c r="F994" s="1097"/>
      <c r="G994" s="1097"/>
      <c r="H994" s="1097"/>
      <c r="I994" s="1098"/>
      <c r="J994" s="1099"/>
      <c r="K994" s="1096"/>
      <c r="L994" s="1098"/>
      <c r="M994" s="1100"/>
      <c r="N994" s="1096"/>
      <c r="O994" s="1098"/>
      <c r="P994" s="1096"/>
      <c r="Q994" s="1096"/>
    </row>
    <row r="995">
      <c r="A995" s="1126"/>
      <c r="B995" s="1094"/>
      <c r="C995" s="1099"/>
      <c r="D995" s="1096"/>
      <c r="E995" s="1097"/>
      <c r="F995" s="1097"/>
      <c r="G995" s="1097"/>
      <c r="H995" s="1097"/>
      <c r="I995" s="1098"/>
      <c r="J995" s="1099"/>
      <c r="K995" s="1096"/>
      <c r="L995" s="1098"/>
      <c r="M995" s="1100"/>
      <c r="N995" s="1096"/>
      <c r="O995" s="1098"/>
      <c r="P995" s="1096"/>
      <c r="Q995" s="1096"/>
    </row>
    <row r="996">
      <c r="A996" s="1126"/>
      <c r="B996" s="1094"/>
      <c r="C996" s="1099"/>
      <c r="D996" s="1096"/>
      <c r="E996" s="1097"/>
      <c r="F996" s="1097"/>
      <c r="G996" s="1097"/>
      <c r="H996" s="1097"/>
      <c r="I996" s="1098"/>
      <c r="J996" s="1099"/>
      <c r="K996" s="1096"/>
      <c r="L996" s="1098"/>
      <c r="M996" s="1100"/>
      <c r="N996" s="1096"/>
      <c r="O996" s="1098"/>
      <c r="P996" s="1096"/>
      <c r="Q996" s="1096"/>
    </row>
    <row r="997">
      <c r="A997" s="1126"/>
      <c r="B997" s="1094"/>
      <c r="C997" s="1099"/>
      <c r="D997" s="1096"/>
      <c r="E997" s="1097"/>
      <c r="F997" s="1097"/>
      <c r="G997" s="1097"/>
      <c r="H997" s="1097"/>
      <c r="I997" s="1098"/>
      <c r="J997" s="1099"/>
      <c r="K997" s="1096"/>
      <c r="L997" s="1098"/>
      <c r="M997" s="1100"/>
      <c r="N997" s="1096"/>
      <c r="O997" s="1098"/>
      <c r="P997" s="1096"/>
      <c r="Q997" s="1096"/>
    </row>
    <row r="998">
      <c r="A998" s="1126"/>
      <c r="B998" s="1094"/>
      <c r="C998" s="1099"/>
      <c r="D998" s="1096"/>
      <c r="E998" s="1097"/>
      <c r="F998" s="1097"/>
      <c r="G998" s="1097"/>
      <c r="H998" s="1097"/>
      <c r="I998" s="1098"/>
      <c r="J998" s="1099"/>
      <c r="K998" s="1096"/>
      <c r="L998" s="1098"/>
      <c r="M998" s="1100"/>
      <c r="N998" s="1096"/>
      <c r="O998" s="1098"/>
      <c r="P998" s="1096"/>
      <c r="Q998" s="1096"/>
    </row>
    <row r="999">
      <c r="A999" s="1126"/>
      <c r="B999" s="1094"/>
      <c r="C999" s="1099"/>
      <c r="D999" s="1096"/>
      <c r="E999" s="1097"/>
      <c r="F999" s="1097"/>
      <c r="G999" s="1097"/>
      <c r="H999" s="1097"/>
      <c r="I999" s="1098"/>
      <c r="J999" s="1099"/>
      <c r="K999" s="1096"/>
      <c r="L999" s="1098"/>
      <c r="M999" s="1100"/>
      <c r="N999" s="1096"/>
      <c r="O999" s="1098"/>
      <c r="P999" s="1096"/>
      <c r="Q999" s="1096"/>
    </row>
    <row r="1000">
      <c r="A1000" s="1126"/>
      <c r="B1000" s="1094"/>
      <c r="C1000" s="1099"/>
      <c r="D1000" s="1096"/>
      <c r="E1000" s="1097"/>
      <c r="F1000" s="1097"/>
      <c r="G1000" s="1097"/>
      <c r="H1000" s="1097"/>
      <c r="I1000" s="1098"/>
      <c r="J1000" s="1099"/>
      <c r="K1000" s="1096"/>
      <c r="L1000" s="1098"/>
      <c r="M1000" s="1100"/>
      <c r="N1000" s="1096"/>
      <c r="O1000" s="1098"/>
      <c r="P1000" s="1096"/>
      <c r="Q1000" s="1096"/>
    </row>
    <row r="1001">
      <c r="A1001" s="1126"/>
      <c r="B1001" s="1094"/>
      <c r="C1001" s="1099"/>
      <c r="D1001" s="1096"/>
      <c r="E1001" s="1097"/>
      <c r="F1001" s="1097"/>
      <c r="G1001" s="1097"/>
      <c r="H1001" s="1097"/>
      <c r="I1001" s="1098"/>
      <c r="J1001" s="1099"/>
      <c r="K1001" s="1096"/>
      <c r="L1001" s="1098"/>
      <c r="M1001" s="1100"/>
      <c r="N1001" s="1096"/>
      <c r="O1001" s="1098"/>
      <c r="P1001" s="1096"/>
      <c r="Q1001" s="1096"/>
    </row>
    <row r="1002">
      <c r="A1002" s="1126"/>
      <c r="B1002" s="1094"/>
      <c r="C1002" s="1099"/>
      <c r="D1002" s="1096"/>
      <c r="E1002" s="1097"/>
      <c r="F1002" s="1097"/>
      <c r="G1002" s="1097"/>
      <c r="H1002" s="1097"/>
      <c r="I1002" s="1098"/>
      <c r="J1002" s="1099"/>
      <c r="K1002" s="1096"/>
      <c r="L1002" s="1098"/>
      <c r="M1002" s="1100"/>
      <c r="N1002" s="1096"/>
      <c r="O1002" s="1098"/>
      <c r="P1002" s="1096"/>
      <c r="Q1002" s="1096"/>
    </row>
    <row r="1003">
      <c r="A1003" s="1126"/>
      <c r="B1003" s="1094"/>
      <c r="C1003" s="1099"/>
      <c r="D1003" s="1096"/>
      <c r="E1003" s="1097"/>
      <c r="F1003" s="1097"/>
      <c r="G1003" s="1097"/>
      <c r="H1003" s="1097"/>
      <c r="I1003" s="1098"/>
      <c r="J1003" s="1099"/>
      <c r="K1003" s="1096"/>
      <c r="L1003" s="1098"/>
      <c r="M1003" s="1100"/>
      <c r="N1003" s="1096"/>
      <c r="O1003" s="1098"/>
      <c r="P1003" s="1096"/>
      <c r="Q1003" s="1096"/>
    </row>
    <row r="1004">
      <c r="A1004" s="1126"/>
      <c r="B1004" s="1094"/>
      <c r="C1004" s="1099"/>
      <c r="D1004" s="1096"/>
      <c r="E1004" s="1097"/>
      <c r="F1004" s="1097"/>
      <c r="G1004" s="1097"/>
      <c r="H1004" s="1097"/>
      <c r="I1004" s="1098"/>
      <c r="J1004" s="1099"/>
      <c r="K1004" s="1096"/>
      <c r="L1004" s="1098"/>
      <c r="M1004" s="1100"/>
      <c r="N1004" s="1096"/>
      <c r="O1004" s="1098"/>
      <c r="P1004" s="1096"/>
      <c r="Q1004" s="1096"/>
    </row>
    <row r="1005">
      <c r="A1005" s="1126"/>
      <c r="B1005" s="1094"/>
      <c r="C1005" s="1099"/>
      <c r="D1005" s="1096"/>
      <c r="E1005" s="1097"/>
      <c r="F1005" s="1097"/>
      <c r="G1005" s="1097"/>
      <c r="H1005" s="1097"/>
      <c r="I1005" s="1098"/>
      <c r="J1005" s="1099"/>
      <c r="K1005" s="1096"/>
      <c r="L1005" s="1098"/>
      <c r="M1005" s="1100"/>
      <c r="N1005" s="1096"/>
      <c r="O1005" s="1098"/>
      <c r="P1005" s="1096"/>
      <c r="Q1005" s="1096"/>
    </row>
  </sheetData>
  <mergeCells count="1">
    <mergeCell ref="C18:D18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5.0" topLeftCell="I6" activePane="bottomRight" state="frozen"/>
      <selection activeCell="I1" sqref="I1" pane="topRight"/>
      <selection activeCell="A6" sqref="A6" pane="bottomLeft"/>
      <selection activeCell="I6" sqref="I6" pane="bottomRight"/>
    </sheetView>
  </sheetViews>
  <sheetFormatPr customHeight="1" defaultColWidth="11.22" defaultRowHeight="15.75"/>
  <cols>
    <col customWidth="1" min="1" max="1" width="8.0"/>
    <col customWidth="1" min="2" max="2" width="17.22"/>
    <col customWidth="1" min="3" max="4" width="8.22"/>
    <col customWidth="1" min="15" max="15" width="66.22"/>
  </cols>
  <sheetData>
    <row r="1" ht="25.5" customHeight="1">
      <c r="B1" s="1194"/>
      <c r="C1" s="1195"/>
      <c r="D1" s="1196"/>
      <c r="E1" s="1197"/>
      <c r="F1" s="1197"/>
      <c r="G1" s="1198"/>
      <c r="H1" s="1199"/>
      <c r="I1" s="1197"/>
      <c r="J1" s="1198"/>
      <c r="K1" s="1198"/>
      <c r="L1" s="1197"/>
      <c r="M1" s="1200"/>
      <c r="N1" s="1201"/>
      <c r="O1" s="1202"/>
      <c r="P1" s="1201"/>
      <c r="Q1" s="1203"/>
      <c r="R1" s="1203"/>
      <c r="S1" s="1203"/>
      <c r="T1" s="1203"/>
      <c r="U1" s="1203"/>
      <c r="V1" s="1203"/>
      <c r="W1" s="1203"/>
      <c r="X1" s="1203"/>
      <c r="Y1" s="1203"/>
      <c r="Z1" s="1203"/>
      <c r="AA1" s="1203"/>
      <c r="AB1" s="1203"/>
      <c r="AC1" s="1203"/>
      <c r="AD1" s="1201"/>
      <c r="AE1" s="1201"/>
    </row>
    <row r="2" ht="25.5" customHeight="1">
      <c r="A2" s="1055"/>
      <c r="B2" s="1204" t="s">
        <v>944</v>
      </c>
      <c r="C2" s="612">
        <f t="shared" ref="C2:M2" si="1">SUM(C3:C951)</f>
        <v>11.81186191</v>
      </c>
      <c r="D2" s="604">
        <f t="shared" si="1"/>
        <v>15.2278902</v>
      </c>
      <c r="E2" s="604">
        <f t="shared" si="1"/>
        <v>15.3421</v>
      </c>
      <c r="F2" s="1205">
        <f t="shared" si="1"/>
        <v>-0.71945642</v>
      </c>
      <c r="G2" s="1206">
        <f t="shared" si="1"/>
        <v>0</v>
      </c>
      <c r="H2" s="1207">
        <f t="shared" si="1"/>
        <v>39999.6902</v>
      </c>
      <c r="I2" s="612">
        <f t="shared" si="1"/>
        <v>-0.00003366</v>
      </c>
      <c r="J2" s="1206">
        <f t="shared" si="1"/>
        <v>0</v>
      </c>
      <c r="K2" s="1206">
        <f t="shared" si="1"/>
        <v>0</v>
      </c>
      <c r="L2" s="1206">
        <f t="shared" si="1"/>
        <v>0</v>
      </c>
      <c r="M2" s="1206">
        <f t="shared" si="1"/>
        <v>0</v>
      </c>
      <c r="N2" s="53"/>
      <c r="O2" s="608" t="s">
        <v>945</v>
      </c>
      <c r="P2" s="53"/>
      <c r="Q2" s="1077"/>
      <c r="AD2" s="53"/>
      <c r="AE2" s="53"/>
    </row>
    <row r="3" ht="25.5" customHeight="1">
      <c r="A3" s="1208"/>
      <c r="B3" s="1209" t="s">
        <v>946</v>
      </c>
      <c r="C3" s="1210">
        <v>6.61628</v>
      </c>
      <c r="D3" s="1211">
        <v>0.0</v>
      </c>
      <c r="E3" s="1211">
        <v>0.0</v>
      </c>
      <c r="F3" s="1210">
        <v>0.0</v>
      </c>
      <c r="G3" s="1212">
        <v>0.0</v>
      </c>
      <c r="H3" s="1213">
        <v>0.0</v>
      </c>
      <c r="I3" s="1210">
        <v>0.0</v>
      </c>
      <c r="J3" s="1212">
        <v>100000.0</v>
      </c>
      <c r="K3" s="1212">
        <v>0.0</v>
      </c>
      <c r="L3" s="1212">
        <v>16622.35</v>
      </c>
      <c r="M3" s="1212">
        <v>0.0</v>
      </c>
      <c r="N3" s="1"/>
      <c r="O3" s="1214" t="s">
        <v>947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ht="25.5" customHeight="1">
      <c r="A4" s="1215" t="s">
        <v>948</v>
      </c>
      <c r="B4" s="1216"/>
      <c r="C4" s="1217"/>
      <c r="D4" s="481"/>
      <c r="E4" s="481"/>
      <c r="F4" s="1217"/>
      <c r="G4" s="9"/>
      <c r="H4" s="1218" t="s">
        <v>930</v>
      </c>
      <c r="I4" s="1217"/>
      <c r="J4" s="1219"/>
      <c r="K4" s="9"/>
      <c r="L4" s="505"/>
      <c r="M4" s="507"/>
      <c r="N4" s="1220"/>
      <c r="O4" s="1221"/>
      <c r="P4" s="1221"/>
      <c r="Q4" s="860"/>
      <c r="R4" s="860"/>
      <c r="S4" s="860"/>
      <c r="T4" s="860"/>
      <c r="U4" s="860"/>
      <c r="V4" s="860"/>
      <c r="W4" s="860"/>
      <c r="X4" s="860"/>
      <c r="Y4" s="860"/>
      <c r="Z4" s="860"/>
      <c r="AA4" s="860"/>
      <c r="AB4" s="860"/>
      <c r="AC4" s="860"/>
      <c r="AD4" s="860"/>
      <c r="AE4" s="860"/>
    </row>
    <row r="5" ht="25.5" customHeight="1">
      <c r="A5" s="1222" t="s">
        <v>113</v>
      </c>
      <c r="B5" s="1223" t="s">
        <v>114</v>
      </c>
      <c r="C5" s="1224" t="s">
        <v>118</v>
      </c>
      <c r="D5" s="1225" t="s">
        <v>949</v>
      </c>
      <c r="E5" s="1225" t="s">
        <v>950</v>
      </c>
      <c r="F5" s="1224" t="s">
        <v>951</v>
      </c>
      <c r="G5" s="1226" t="s">
        <v>952</v>
      </c>
      <c r="H5" s="1227" t="s">
        <v>953</v>
      </c>
      <c r="I5" s="1224" t="s">
        <v>954</v>
      </c>
      <c r="J5" s="1226" t="s">
        <v>955</v>
      </c>
      <c r="K5" s="1226" t="s">
        <v>956</v>
      </c>
      <c r="L5" s="1228" t="s">
        <v>957</v>
      </c>
      <c r="M5" s="1229" t="s">
        <v>958</v>
      </c>
      <c r="N5" s="1230" t="s">
        <v>17</v>
      </c>
      <c r="O5" s="1222" t="s">
        <v>188</v>
      </c>
      <c r="P5" s="1222" t="s">
        <v>959</v>
      </c>
      <c r="Q5" s="860"/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</row>
    <row r="6" ht="25.5" customHeight="1">
      <c r="A6" s="1055"/>
      <c r="B6" s="1204"/>
      <c r="C6" s="603"/>
      <c r="D6" s="578"/>
      <c r="E6" s="675"/>
      <c r="F6" s="675"/>
      <c r="G6" s="1231"/>
      <c r="H6" s="1232"/>
      <c r="I6" s="675"/>
      <c r="J6" s="1231">
        <v>-30500.0</v>
      </c>
      <c r="K6" s="1231">
        <v>30498.0</v>
      </c>
      <c r="L6" s="675"/>
      <c r="M6" s="590"/>
      <c r="N6" s="1233"/>
      <c r="O6" s="608" t="s">
        <v>960</v>
      </c>
      <c r="P6" s="609" t="s">
        <v>961</v>
      </c>
    </row>
    <row r="7" ht="25.5" customHeight="1">
      <c r="A7" s="1055"/>
      <c r="B7" s="1204"/>
      <c r="C7" s="603"/>
      <c r="D7" s="578"/>
      <c r="E7" s="675"/>
      <c r="F7" s="675"/>
      <c r="G7" s="1231">
        <v>30498.0</v>
      </c>
      <c r="H7" s="1232"/>
      <c r="I7" s="675"/>
      <c r="J7" s="1231"/>
      <c r="K7" s="1231">
        <v>-30498.0</v>
      </c>
      <c r="L7" s="675"/>
      <c r="M7" s="590"/>
      <c r="N7" s="1233"/>
      <c r="O7" s="608"/>
    </row>
    <row r="8" ht="25.5" customHeight="1">
      <c r="A8" s="1055"/>
      <c r="B8" s="1204"/>
      <c r="C8" s="603"/>
      <c r="D8" s="578"/>
      <c r="E8" s="1206"/>
      <c r="F8" s="1206"/>
      <c r="G8" s="1231">
        <v>-25.0</v>
      </c>
      <c r="H8" s="1232"/>
      <c r="I8" s="1206"/>
      <c r="J8" s="1231"/>
      <c r="K8" s="1231"/>
      <c r="L8" s="1206"/>
      <c r="M8" s="590"/>
      <c r="N8" s="1233"/>
      <c r="O8" s="608" t="s">
        <v>962</v>
      </c>
    </row>
    <row r="9" ht="25.5" customHeight="1">
      <c r="A9" s="1055"/>
      <c r="B9" s="1234">
        <v>44992.782638888886</v>
      </c>
      <c r="C9" s="603">
        <v>0.5</v>
      </c>
      <c r="D9" s="578"/>
      <c r="E9" s="1206"/>
      <c r="F9" s="1206"/>
      <c r="G9" s="1231">
        <v>-15490.0</v>
      </c>
      <c r="H9" s="1232"/>
      <c r="I9" s="1206"/>
      <c r="J9" s="1231"/>
      <c r="K9" s="1231"/>
      <c r="L9" s="1206"/>
      <c r="M9" s="590"/>
      <c r="N9" s="1233">
        <v>1.09164</v>
      </c>
      <c r="O9" s="608" t="s">
        <v>963</v>
      </c>
    </row>
    <row r="10" ht="25.5" customHeight="1">
      <c r="A10" s="1055"/>
      <c r="B10" s="1204">
        <v>45113.52397912037</v>
      </c>
      <c r="C10" s="603">
        <v>0.4813</v>
      </c>
      <c r="D10" s="578"/>
      <c r="E10" s="1206"/>
      <c r="F10" s="1206"/>
      <c r="G10" s="1231">
        <v>-14982.0</v>
      </c>
      <c r="H10" s="1232"/>
      <c r="I10" s="1206"/>
      <c r="J10" s="1231"/>
      <c r="K10" s="1231"/>
      <c r="L10" s="1206"/>
      <c r="M10" s="590"/>
      <c r="N10" s="1233">
        <v>1.08887</v>
      </c>
      <c r="O10" s="608" t="s">
        <v>963</v>
      </c>
    </row>
    <row r="11" ht="25.5" customHeight="1">
      <c r="A11" s="1055"/>
      <c r="B11" s="1204">
        <v>45113.547159525464</v>
      </c>
      <c r="C11" s="603"/>
      <c r="D11" s="578"/>
      <c r="E11" s="1206"/>
      <c r="F11" s="1206"/>
      <c r="G11" s="1231"/>
      <c r="H11" s="1232"/>
      <c r="I11" s="1206"/>
      <c r="J11" s="1231">
        <v>-32000.0</v>
      </c>
      <c r="K11" s="1231">
        <v>31993.0</v>
      </c>
      <c r="L11" s="1206"/>
      <c r="M11" s="590"/>
      <c r="N11" s="1233"/>
      <c r="O11" s="608" t="s">
        <v>960</v>
      </c>
      <c r="P11" s="609" t="s">
        <v>964</v>
      </c>
    </row>
    <row r="12" ht="25.5" customHeight="1">
      <c r="A12" s="1055"/>
      <c r="B12" s="1204">
        <v>45113.547159525464</v>
      </c>
      <c r="C12" s="603"/>
      <c r="D12" s="578"/>
      <c r="E12" s="675"/>
      <c r="F12" s="675"/>
      <c r="G12" s="1231">
        <v>31993.0</v>
      </c>
      <c r="H12" s="1232"/>
      <c r="I12" s="675"/>
      <c r="J12" s="1231"/>
      <c r="K12" s="1231">
        <v>-31993.0</v>
      </c>
      <c r="L12" s="675"/>
      <c r="M12" s="590"/>
      <c r="N12" s="1233"/>
      <c r="O12" s="608"/>
      <c r="P12" s="609" t="s">
        <v>965</v>
      </c>
    </row>
    <row r="13" ht="25.5" customHeight="1">
      <c r="A13" s="1055"/>
      <c r="B13" s="1204">
        <v>45113.61111111111</v>
      </c>
      <c r="C13" s="603">
        <v>0.5</v>
      </c>
      <c r="D13" s="578"/>
      <c r="E13" s="675"/>
      <c r="F13" s="675"/>
      <c r="G13" s="1231">
        <v>-15305.0</v>
      </c>
      <c r="H13" s="1232"/>
      <c r="I13" s="675"/>
      <c r="J13" s="1231"/>
      <c r="K13" s="1231"/>
      <c r="L13" s="675"/>
      <c r="M13" s="590"/>
      <c r="N13" s="1233"/>
      <c r="O13" s="608" t="s">
        <v>963</v>
      </c>
    </row>
    <row r="14" ht="25.5" customHeight="1">
      <c r="A14" s="1055"/>
      <c r="B14" s="1204">
        <v>45113.691666666666</v>
      </c>
      <c r="C14" s="603">
        <v>0.5567</v>
      </c>
      <c r="D14" s="578"/>
      <c r="E14" s="675"/>
      <c r="F14" s="675"/>
      <c r="G14" s="1231">
        <v>-16689.0</v>
      </c>
      <c r="H14" s="1232"/>
      <c r="I14" s="675"/>
      <c r="J14" s="1231"/>
      <c r="K14" s="1231"/>
      <c r="L14" s="675"/>
      <c r="M14" s="590"/>
      <c r="N14" s="1233"/>
      <c r="O14" s="608" t="s">
        <v>963</v>
      </c>
    </row>
    <row r="15" ht="25.5" customHeight="1">
      <c r="A15" s="635"/>
      <c r="B15" s="1204">
        <v>45116.18029405092</v>
      </c>
      <c r="C15" s="620"/>
      <c r="D15" s="613"/>
      <c r="E15" s="675"/>
      <c r="F15" s="675"/>
      <c r="G15" s="781"/>
      <c r="H15" s="1054"/>
      <c r="I15" s="675"/>
      <c r="J15" s="781">
        <v>-38138.0</v>
      </c>
      <c r="K15" s="189">
        <f>38131</f>
        <v>38131</v>
      </c>
      <c r="L15" s="675"/>
      <c r="M15" s="676"/>
      <c r="O15" s="644"/>
      <c r="P15" s="609" t="s">
        <v>966</v>
      </c>
    </row>
    <row r="16" ht="25.5" customHeight="1">
      <c r="A16" s="635"/>
      <c r="B16" s="1204">
        <v>45116.18029405092</v>
      </c>
      <c r="C16" s="620"/>
      <c r="D16" s="613"/>
      <c r="E16" s="675"/>
      <c r="F16" s="675"/>
      <c r="G16" s="189"/>
      <c r="H16" s="1093"/>
      <c r="I16" s="675"/>
      <c r="J16" s="189">
        <f>638</f>
        <v>638</v>
      </c>
      <c r="K16" s="189"/>
      <c r="L16" s="675"/>
      <c r="M16" s="676"/>
      <c r="O16" s="608" t="s">
        <v>967</v>
      </c>
    </row>
    <row r="17" ht="25.5" customHeight="1">
      <c r="A17" s="635"/>
      <c r="B17" s="1204">
        <v>45116.20039806713</v>
      </c>
      <c r="C17" s="612"/>
      <c r="D17" s="613"/>
      <c r="E17" s="675"/>
      <c r="F17" s="675"/>
      <c r="G17" s="781">
        <v>38131.0</v>
      </c>
      <c r="H17" s="1093"/>
      <c r="I17" s="675"/>
      <c r="J17" s="189"/>
      <c r="K17" s="781">
        <v>-38131.0</v>
      </c>
      <c r="L17" s="675"/>
      <c r="M17" s="676"/>
      <c r="O17" s="608"/>
      <c r="P17" s="609" t="s">
        <v>968</v>
      </c>
    </row>
    <row r="18" ht="25.5" customHeight="1">
      <c r="A18" s="635"/>
      <c r="B18" s="1204">
        <v>45116.20039806713</v>
      </c>
      <c r="C18" s="620"/>
      <c r="D18" s="613"/>
      <c r="E18" s="675"/>
      <c r="F18" s="675"/>
      <c r="G18" s="781">
        <v>-26.0</v>
      </c>
      <c r="H18" s="1093"/>
      <c r="I18" s="675"/>
      <c r="J18" s="189"/>
      <c r="K18" s="189"/>
      <c r="L18" s="675"/>
      <c r="M18" s="676"/>
      <c r="O18" s="608" t="s">
        <v>969</v>
      </c>
    </row>
    <row r="19" ht="25.5" customHeight="1">
      <c r="A19" s="635"/>
      <c r="B19" s="1204">
        <v>45116.48125</v>
      </c>
      <c r="C19" s="612">
        <v>0.6297</v>
      </c>
      <c r="D19" s="613"/>
      <c r="E19" s="675"/>
      <c r="F19" s="675"/>
      <c r="G19" s="781">
        <v>-19051.0</v>
      </c>
      <c r="H19" s="1093"/>
      <c r="I19" s="675"/>
      <c r="J19" s="189"/>
      <c r="K19" s="189"/>
      <c r="L19" s="675"/>
      <c r="M19" s="1235"/>
      <c r="N19" s="53">
        <v>1.08731</v>
      </c>
      <c r="O19" s="608" t="s">
        <v>963</v>
      </c>
    </row>
    <row r="20" ht="25.5" customHeight="1">
      <c r="A20" s="635"/>
      <c r="B20" s="571" t="s">
        <v>970</v>
      </c>
      <c r="C20" s="612">
        <v>0.6164</v>
      </c>
      <c r="D20" s="613"/>
      <c r="E20" s="675"/>
      <c r="F20" s="675"/>
      <c r="G20" s="781">
        <v>-19054.0</v>
      </c>
      <c r="H20" s="1093"/>
      <c r="I20" s="675"/>
      <c r="J20" s="189"/>
      <c r="K20" s="189"/>
      <c r="L20" s="675"/>
      <c r="M20" s="1235"/>
      <c r="N20" s="53">
        <v>1.11919</v>
      </c>
      <c r="O20" s="608" t="s">
        <v>963</v>
      </c>
    </row>
    <row r="21" ht="25.5" customHeight="1">
      <c r="A21" s="635"/>
      <c r="B21" s="1204">
        <v>45122.47222222222</v>
      </c>
      <c r="C21" s="620"/>
      <c r="D21" s="613"/>
      <c r="E21" s="675"/>
      <c r="F21" s="675"/>
      <c r="G21" s="189"/>
      <c r="H21" s="1093"/>
      <c r="I21" s="675"/>
      <c r="J21" s="189"/>
      <c r="K21" s="189"/>
      <c r="L21" s="675"/>
      <c r="M21" s="1235">
        <v>809.5</v>
      </c>
      <c r="O21" s="1236" t="s">
        <v>971</v>
      </c>
      <c r="P21" s="609" t="s">
        <v>972</v>
      </c>
    </row>
    <row r="22" ht="25.5" customHeight="1">
      <c r="A22" s="635"/>
      <c r="B22" s="1204">
        <v>45122.48125</v>
      </c>
      <c r="C22" s="612"/>
      <c r="D22" s="613"/>
      <c r="E22" s="675"/>
      <c r="F22" s="675"/>
      <c r="G22" s="781">
        <v>492.7</v>
      </c>
      <c r="H22" s="1054"/>
      <c r="I22" s="675"/>
      <c r="J22" s="781"/>
      <c r="K22" s="781"/>
      <c r="L22" s="675"/>
      <c r="M22" s="1235">
        <v>-809.5</v>
      </c>
      <c r="N22" s="1237"/>
      <c r="O22" s="608" t="s">
        <v>973</v>
      </c>
    </row>
    <row r="23" ht="25.5" customHeight="1">
      <c r="A23" s="635"/>
      <c r="B23" s="1238">
        <v>45123.51905832176</v>
      </c>
      <c r="C23" s="620"/>
      <c r="D23" s="604">
        <v>1.22</v>
      </c>
      <c r="E23" s="675"/>
      <c r="F23" s="675"/>
      <c r="G23" s="189"/>
      <c r="H23" s="1093"/>
      <c r="I23" s="675"/>
      <c r="J23" s="189"/>
      <c r="K23" s="189"/>
      <c r="L23" s="675"/>
      <c r="M23" s="676"/>
      <c r="O23" s="608" t="s">
        <v>974</v>
      </c>
      <c r="P23" s="609" t="s">
        <v>975</v>
      </c>
    </row>
    <row r="24" ht="25.5" customHeight="1">
      <c r="A24" s="635"/>
      <c r="B24" s="1238">
        <v>45123.60873528935</v>
      </c>
      <c r="C24" s="612">
        <v>0.0163</v>
      </c>
      <c r="D24" s="604"/>
      <c r="E24" s="675"/>
      <c r="F24" s="675"/>
      <c r="G24" s="781">
        <v>-492.7</v>
      </c>
      <c r="H24" s="1093"/>
      <c r="I24" s="675"/>
      <c r="J24" s="189"/>
      <c r="K24" s="189"/>
      <c r="L24" s="675"/>
      <c r="M24" s="676"/>
      <c r="O24" s="608"/>
      <c r="P24" s="53"/>
    </row>
    <row r="25" ht="25.5" customHeight="1">
      <c r="A25" s="635"/>
      <c r="B25" s="1204">
        <v>45123.69097222222</v>
      </c>
      <c r="C25" s="612">
        <v>0.0841566</v>
      </c>
      <c r="D25" s="604">
        <v>-1.32</v>
      </c>
      <c r="E25" s="675"/>
      <c r="F25" s="675"/>
      <c r="G25" s="189"/>
      <c r="H25" s="1093"/>
      <c r="I25" s="675"/>
      <c r="J25" s="189"/>
      <c r="K25" s="189"/>
      <c r="L25" s="675"/>
      <c r="M25" s="676"/>
      <c r="O25" s="608" t="s">
        <v>976</v>
      </c>
      <c r="P25" s="609" t="s">
        <v>977</v>
      </c>
    </row>
    <row r="26" ht="25.5" customHeight="1">
      <c r="A26" s="635"/>
      <c r="B26" s="571" t="s">
        <v>978</v>
      </c>
      <c r="C26" s="612">
        <v>-0.00205</v>
      </c>
      <c r="D26" s="613"/>
      <c r="E26" s="675"/>
      <c r="F26" s="675"/>
      <c r="G26" s="189"/>
      <c r="H26" s="1093"/>
      <c r="I26" s="675"/>
      <c r="J26" s="189"/>
      <c r="K26" s="189"/>
      <c r="L26" s="675"/>
      <c r="M26" s="676"/>
      <c r="O26" s="608" t="s">
        <v>979</v>
      </c>
    </row>
    <row r="27" ht="25.5" customHeight="1">
      <c r="A27" s="635"/>
      <c r="B27" s="571" t="s">
        <v>980</v>
      </c>
      <c r="C27" s="1239">
        <v>0.02060849</v>
      </c>
      <c r="E27" s="864"/>
      <c r="F27" s="864"/>
      <c r="G27" s="979"/>
      <c r="H27" s="1093"/>
      <c r="I27" s="864"/>
      <c r="K27" s="189"/>
      <c r="L27" s="864"/>
      <c r="M27" s="676"/>
      <c r="N27" s="1237">
        <v>1.1066</v>
      </c>
      <c r="O27" s="608" t="s">
        <v>981</v>
      </c>
    </row>
    <row r="28" ht="25.5" customHeight="1">
      <c r="A28" s="1240"/>
      <c r="B28" s="1241" t="s">
        <v>982</v>
      </c>
      <c r="C28" s="1242"/>
      <c r="D28" s="1243"/>
      <c r="E28" s="1244"/>
      <c r="F28" s="1244"/>
      <c r="G28" s="1245"/>
      <c r="H28" s="1246">
        <v>4999.0</v>
      </c>
      <c r="I28" s="1244"/>
      <c r="J28" s="1247"/>
      <c r="K28" s="1247"/>
      <c r="L28" s="1244"/>
      <c r="M28" s="1248"/>
      <c r="N28" s="1249"/>
      <c r="O28" s="1250" t="s">
        <v>983</v>
      </c>
      <c r="P28" s="1249"/>
      <c r="Q28" s="1249"/>
      <c r="R28" s="1249"/>
      <c r="S28" s="1249"/>
      <c r="T28" s="1249"/>
      <c r="U28" s="1249"/>
      <c r="V28" s="1249"/>
      <c r="W28" s="1249"/>
      <c r="X28" s="1249"/>
      <c r="Y28" s="1249"/>
      <c r="Z28" s="1249"/>
      <c r="AA28" s="1249"/>
      <c r="AB28" s="1249"/>
      <c r="AC28" s="1249"/>
      <c r="AD28" s="1249"/>
      <c r="AE28" s="1249"/>
    </row>
    <row r="29" ht="25.5" customHeight="1">
      <c r="A29" s="635"/>
      <c r="B29" s="571" t="s">
        <v>906</v>
      </c>
      <c r="C29" s="620"/>
      <c r="D29" s="613"/>
      <c r="E29" s="675"/>
      <c r="F29" s="675"/>
      <c r="G29" s="189"/>
      <c r="H29" s="1054">
        <v>-49.0</v>
      </c>
      <c r="I29" s="675"/>
      <c r="J29" s="189"/>
      <c r="K29" s="189"/>
      <c r="L29" s="675"/>
      <c r="M29" s="676"/>
      <c r="O29" s="608" t="s">
        <v>984</v>
      </c>
    </row>
    <row r="30" ht="25.5" customHeight="1">
      <c r="A30" s="1240"/>
      <c r="B30" s="1241" t="s">
        <v>908</v>
      </c>
      <c r="C30" s="1251"/>
      <c r="D30" s="1243"/>
      <c r="E30" s="1244"/>
      <c r="F30" s="1244"/>
      <c r="G30" s="1247"/>
      <c r="H30" s="1246">
        <v>4999.0</v>
      </c>
      <c r="I30" s="1244"/>
      <c r="J30" s="1247"/>
      <c r="K30" s="1247"/>
      <c r="L30" s="1244"/>
      <c r="M30" s="1248"/>
      <c r="N30" s="1249"/>
      <c r="O30" s="1250" t="s">
        <v>983</v>
      </c>
      <c r="P30" s="1249"/>
      <c r="Q30" s="1249"/>
      <c r="R30" s="1249"/>
      <c r="S30" s="1249"/>
      <c r="T30" s="1249"/>
      <c r="U30" s="1249"/>
      <c r="V30" s="1249"/>
      <c r="W30" s="1249"/>
      <c r="X30" s="1249"/>
      <c r="Y30" s="1249"/>
      <c r="Z30" s="1249"/>
      <c r="AA30" s="1249"/>
      <c r="AB30" s="1249"/>
      <c r="AC30" s="1249"/>
      <c r="AD30" s="1249"/>
      <c r="AE30" s="1249"/>
    </row>
    <row r="31" ht="25.5" customHeight="1">
      <c r="A31" s="1240"/>
      <c r="B31" s="1241" t="s">
        <v>985</v>
      </c>
      <c r="C31" s="1251"/>
      <c r="D31" s="1243"/>
      <c r="E31" s="1244"/>
      <c r="F31" s="1244"/>
      <c r="G31" s="1247"/>
      <c r="H31" s="1246">
        <v>4999.0</v>
      </c>
      <c r="I31" s="1244"/>
      <c r="J31" s="1247"/>
      <c r="K31" s="1247"/>
      <c r="L31" s="1244"/>
      <c r="M31" s="1248"/>
      <c r="N31" s="1249"/>
      <c r="O31" s="1250" t="s">
        <v>983</v>
      </c>
      <c r="P31" s="1249"/>
      <c r="Q31" s="1249"/>
      <c r="R31" s="1249"/>
      <c r="S31" s="1249"/>
      <c r="T31" s="1249"/>
      <c r="U31" s="1249"/>
      <c r="V31" s="1249"/>
      <c r="W31" s="1249"/>
      <c r="X31" s="1249"/>
      <c r="Y31" s="1249"/>
      <c r="Z31" s="1249"/>
      <c r="AA31" s="1249"/>
      <c r="AB31" s="1249"/>
      <c r="AC31" s="1249"/>
      <c r="AD31" s="1249"/>
      <c r="AE31" s="1249"/>
    </row>
    <row r="32" ht="25.5" customHeight="1">
      <c r="A32" s="635"/>
      <c r="B32" s="571" t="s">
        <v>986</v>
      </c>
      <c r="C32" s="612">
        <v>0.59553</v>
      </c>
      <c r="D32" s="613"/>
      <c r="E32" s="620"/>
      <c r="F32" s="620"/>
      <c r="G32" s="189"/>
      <c r="H32" s="1054">
        <v>-14948.0</v>
      </c>
      <c r="I32" s="675"/>
      <c r="J32" s="189"/>
      <c r="K32" s="189"/>
      <c r="L32" s="675"/>
      <c r="M32" s="676"/>
      <c r="N32" s="53">
        <v>1.08696</v>
      </c>
      <c r="O32" s="608" t="s">
        <v>987</v>
      </c>
    </row>
    <row r="33" ht="25.5" customHeight="1">
      <c r="A33" s="1240"/>
      <c r="B33" s="1252">
        <v>45055.0</v>
      </c>
      <c r="C33" s="1251"/>
      <c r="D33" s="1243"/>
      <c r="E33" s="1251"/>
      <c r="F33" s="1251"/>
      <c r="G33" s="1247"/>
      <c r="H33" s="1246">
        <v>4999.0</v>
      </c>
      <c r="I33" s="1244"/>
      <c r="J33" s="1247"/>
      <c r="K33" s="1247"/>
      <c r="L33" s="1244"/>
      <c r="M33" s="1248"/>
      <c r="N33" s="1249"/>
      <c r="O33" s="1250" t="s">
        <v>988</v>
      </c>
      <c r="P33" s="1249"/>
      <c r="Q33" s="1249"/>
      <c r="R33" s="1249"/>
      <c r="S33" s="1249"/>
      <c r="T33" s="1249"/>
      <c r="U33" s="1249"/>
      <c r="V33" s="1249"/>
      <c r="W33" s="1249"/>
      <c r="X33" s="1249"/>
      <c r="Y33" s="1249"/>
      <c r="Z33" s="1249"/>
      <c r="AA33" s="1249"/>
      <c r="AB33" s="1249"/>
      <c r="AC33" s="1249"/>
      <c r="AD33" s="1249"/>
      <c r="AE33" s="1249"/>
    </row>
    <row r="34" ht="25.5" customHeight="1">
      <c r="A34" s="635"/>
      <c r="B34" s="1253">
        <v>45116.0</v>
      </c>
      <c r="C34" s="620"/>
      <c r="D34" s="613"/>
      <c r="E34" s="612"/>
      <c r="F34" s="612"/>
      <c r="G34" s="189"/>
      <c r="H34" s="1093"/>
      <c r="I34" s="1206"/>
      <c r="J34" s="189"/>
      <c r="K34" s="189"/>
      <c r="L34" s="1206">
        <v>23.15</v>
      </c>
      <c r="M34" s="676"/>
      <c r="O34" s="608" t="s">
        <v>989</v>
      </c>
    </row>
    <row r="35" ht="25.5" customHeight="1">
      <c r="A35" s="635"/>
      <c r="B35" s="1238">
        <v>45176.30237826389</v>
      </c>
      <c r="C35" s="620"/>
      <c r="D35" s="613"/>
      <c r="E35" s="612"/>
      <c r="F35" s="612"/>
      <c r="G35" s="189"/>
      <c r="H35" s="1093"/>
      <c r="I35" s="1056">
        <v>0.58516634</v>
      </c>
      <c r="J35" s="189"/>
      <c r="K35" s="189"/>
      <c r="L35" s="1206">
        <v>-16645.5</v>
      </c>
      <c r="M35" s="676"/>
      <c r="O35" s="672" t="s">
        <v>990</v>
      </c>
    </row>
    <row r="36" ht="25.5" customHeight="1">
      <c r="A36" s="1240"/>
      <c r="B36" s="1252">
        <v>45147.0</v>
      </c>
      <c r="C36" s="1251"/>
      <c r="D36" s="1243"/>
      <c r="E36" s="1251"/>
      <c r="F36" s="1251"/>
      <c r="G36" s="1247"/>
      <c r="H36" s="1246">
        <v>10000.0</v>
      </c>
      <c r="I36" s="1244"/>
      <c r="J36" s="1247"/>
      <c r="K36" s="1247"/>
      <c r="L36" s="1244"/>
      <c r="M36" s="1248"/>
      <c r="N36" s="1249"/>
      <c r="O36" s="1250" t="s">
        <v>991</v>
      </c>
      <c r="P36" s="1249"/>
      <c r="Q36" s="1249"/>
      <c r="R36" s="1249"/>
      <c r="S36" s="1249"/>
      <c r="T36" s="1249"/>
      <c r="U36" s="1249"/>
      <c r="V36" s="1249"/>
      <c r="W36" s="1249"/>
      <c r="X36" s="1249"/>
      <c r="Y36" s="1249"/>
      <c r="Z36" s="1249"/>
      <c r="AA36" s="1249"/>
      <c r="AB36" s="1249"/>
      <c r="AC36" s="1249"/>
      <c r="AD36" s="1249"/>
      <c r="AE36" s="1249"/>
    </row>
    <row r="37" ht="25.5" customHeight="1">
      <c r="A37" s="635"/>
      <c r="B37" s="1238">
        <v>45177.475162546296</v>
      </c>
      <c r="C37" s="612">
        <v>0.61308</v>
      </c>
      <c r="D37" s="613"/>
      <c r="E37" s="620"/>
      <c r="F37" s="620"/>
      <c r="G37" s="189"/>
      <c r="H37" s="1054">
        <v>-14999.0</v>
      </c>
      <c r="I37" s="675"/>
      <c r="J37" s="189"/>
      <c r="K37" s="189"/>
      <c r="L37" s="675"/>
      <c r="M37" s="676"/>
      <c r="N37" s="53">
        <v>1.07023</v>
      </c>
      <c r="O37" s="608" t="s">
        <v>987</v>
      </c>
    </row>
    <row r="38" ht="25.5" customHeight="1">
      <c r="A38" s="635"/>
      <c r="B38" s="571" t="s">
        <v>992</v>
      </c>
      <c r="C38" s="612">
        <v>0.58504293</v>
      </c>
      <c r="D38" s="613"/>
      <c r="E38" s="612"/>
      <c r="F38" s="612"/>
      <c r="G38" s="189"/>
      <c r="H38" s="1093"/>
      <c r="I38" s="1056">
        <v>-0.5852</v>
      </c>
      <c r="J38" s="189"/>
      <c r="K38" s="189"/>
      <c r="L38" s="675"/>
      <c r="M38" s="676"/>
      <c r="O38" s="1236" t="s">
        <v>993</v>
      </c>
    </row>
    <row r="39" ht="25.5" customHeight="1">
      <c r="A39" s="1240"/>
      <c r="B39" s="1252">
        <v>45179.0</v>
      </c>
      <c r="C39" s="1251"/>
      <c r="D39" s="1243"/>
      <c r="E39" s="1251"/>
      <c r="F39" s="1251"/>
      <c r="G39" s="1247"/>
      <c r="H39" s="1246">
        <v>10000.0</v>
      </c>
      <c r="I39" s="1244"/>
      <c r="J39" s="1247"/>
      <c r="K39" s="1247"/>
      <c r="L39" s="1244"/>
      <c r="M39" s="1248"/>
      <c r="N39" s="1249"/>
      <c r="O39" s="1250" t="s">
        <v>994</v>
      </c>
      <c r="P39" s="1249"/>
      <c r="Q39" s="1249"/>
      <c r="R39" s="1249"/>
      <c r="S39" s="1249"/>
      <c r="T39" s="1249"/>
      <c r="U39" s="1249"/>
      <c r="V39" s="1249"/>
      <c r="W39" s="1249"/>
      <c r="X39" s="1249"/>
      <c r="Y39" s="1249"/>
      <c r="Z39" s="1249"/>
      <c r="AA39" s="1249"/>
      <c r="AB39" s="1249"/>
      <c r="AC39" s="1249"/>
      <c r="AD39" s="1249"/>
      <c r="AE39" s="1249"/>
    </row>
    <row r="40" ht="25.5" customHeight="1">
      <c r="A40" s="635"/>
      <c r="B40" s="571" t="s">
        <v>992</v>
      </c>
      <c r="C40" s="612">
        <v>0.18695</v>
      </c>
      <c r="D40" s="613"/>
      <c r="E40" s="620"/>
      <c r="F40" s="620"/>
      <c r="G40" s="189"/>
      <c r="H40" s="1093">
        <v>-5000.1647</v>
      </c>
      <c r="I40" s="675"/>
      <c r="J40" s="189"/>
      <c r="K40" s="189"/>
      <c r="L40" s="675"/>
      <c r="M40" s="676"/>
      <c r="O40" s="608" t="s">
        <v>995</v>
      </c>
    </row>
    <row r="41" ht="25.5" customHeight="1">
      <c r="A41" s="635"/>
      <c r="B41" s="1238"/>
      <c r="C41" s="612">
        <v>-3.0E-4</v>
      </c>
      <c r="D41" s="613"/>
      <c r="E41" s="620"/>
      <c r="F41" s="620"/>
      <c r="G41" s="189"/>
      <c r="H41" s="1093"/>
      <c r="I41" s="675"/>
      <c r="J41" s="189"/>
      <c r="K41" s="189"/>
      <c r="L41" s="675"/>
      <c r="M41" s="676"/>
      <c r="O41" s="608" t="s">
        <v>996</v>
      </c>
    </row>
    <row r="42" ht="25.5" customHeight="1">
      <c r="A42" s="635"/>
      <c r="B42" s="571" t="s">
        <v>997</v>
      </c>
      <c r="D42" s="613"/>
      <c r="E42" s="612"/>
      <c r="F42" s="612">
        <v>0.15354</v>
      </c>
      <c r="G42" s="189"/>
      <c r="H42" s="1054">
        <v>-4999.84</v>
      </c>
      <c r="I42" s="675"/>
      <c r="J42" s="189"/>
      <c r="K42" s="189"/>
      <c r="L42" s="675"/>
      <c r="M42" s="676"/>
      <c r="N42" s="53">
        <v>1.05733</v>
      </c>
      <c r="O42" s="608" t="s">
        <v>995</v>
      </c>
    </row>
    <row r="43" ht="25.5" customHeight="1">
      <c r="A43" s="1240"/>
      <c r="B43" s="1241" t="s">
        <v>914</v>
      </c>
      <c r="C43" s="1251"/>
      <c r="D43" s="1243"/>
      <c r="E43" s="1251"/>
      <c r="F43" s="1251"/>
      <c r="G43" s="1247"/>
      <c r="H43" s="1246">
        <v>50000.0</v>
      </c>
      <c r="I43" s="1244"/>
      <c r="J43" s="1247"/>
      <c r="K43" s="1247"/>
      <c r="L43" s="1244"/>
      <c r="M43" s="1248"/>
      <c r="N43" s="1249"/>
      <c r="O43" s="1250" t="s">
        <v>998</v>
      </c>
      <c r="P43" s="1249"/>
      <c r="Q43" s="1249"/>
      <c r="R43" s="1249"/>
      <c r="S43" s="1249"/>
      <c r="T43" s="1249"/>
      <c r="U43" s="1249"/>
      <c r="V43" s="1249"/>
      <c r="W43" s="1249"/>
      <c r="X43" s="1249"/>
      <c r="Y43" s="1249"/>
      <c r="Z43" s="1249"/>
      <c r="AA43" s="1249"/>
      <c r="AB43" s="1249"/>
      <c r="AC43" s="1249"/>
      <c r="AD43" s="1249"/>
      <c r="AE43" s="1249"/>
    </row>
    <row r="44" ht="25.5" customHeight="1">
      <c r="A44" s="1240"/>
      <c r="B44" s="1241" t="s">
        <v>918</v>
      </c>
      <c r="C44" s="1242"/>
      <c r="D44" s="1243"/>
      <c r="E44" s="1251"/>
      <c r="F44" s="1251"/>
      <c r="G44" s="1247"/>
      <c r="H44" s="1246">
        <v>-50000.0</v>
      </c>
      <c r="I44" s="1244"/>
      <c r="J44" s="1247"/>
      <c r="K44" s="1247"/>
      <c r="L44" s="1244"/>
      <c r="M44" s="1248"/>
      <c r="N44" s="1249"/>
      <c r="O44" s="1250" t="s">
        <v>999</v>
      </c>
      <c r="P44" s="1254"/>
      <c r="Q44" s="1249"/>
      <c r="R44" s="1249"/>
      <c r="S44" s="1249"/>
      <c r="T44" s="1249"/>
      <c r="U44" s="1249"/>
      <c r="V44" s="1249"/>
      <c r="W44" s="1249"/>
      <c r="X44" s="1249"/>
      <c r="Y44" s="1249"/>
      <c r="Z44" s="1249"/>
      <c r="AA44" s="1249"/>
      <c r="AB44" s="1249"/>
      <c r="AC44" s="1249"/>
      <c r="AD44" s="1249"/>
      <c r="AE44" s="1249"/>
    </row>
    <row r="45" ht="25.5" customHeight="1">
      <c r="A45" s="1240"/>
      <c r="B45" s="1241" t="s">
        <v>921</v>
      </c>
      <c r="C45" s="1242"/>
      <c r="D45" s="1243"/>
      <c r="E45" s="1251"/>
      <c r="F45" s="1251"/>
      <c r="G45" s="1247"/>
      <c r="H45" s="1246">
        <v>10000.0</v>
      </c>
      <c r="I45" s="1244"/>
      <c r="J45" s="1247"/>
      <c r="K45" s="1247"/>
      <c r="L45" s="1244"/>
      <c r="M45" s="1248"/>
      <c r="N45" s="1249"/>
      <c r="O45" s="1255" t="s">
        <v>1000</v>
      </c>
      <c r="P45" s="1254"/>
      <c r="Q45" s="1249"/>
      <c r="R45" s="1249"/>
      <c r="S45" s="1249"/>
      <c r="T45" s="1249"/>
      <c r="U45" s="1249"/>
      <c r="V45" s="1249"/>
      <c r="W45" s="1249"/>
      <c r="X45" s="1249"/>
      <c r="Y45" s="1249"/>
      <c r="Z45" s="1249"/>
      <c r="AA45" s="1249"/>
      <c r="AB45" s="1249"/>
      <c r="AC45" s="1249"/>
      <c r="AD45" s="1249"/>
      <c r="AE45" s="1249"/>
    </row>
    <row r="46" ht="25.5" customHeight="1">
      <c r="A46" s="1240"/>
      <c r="B46" s="1241" t="s">
        <v>1001</v>
      </c>
      <c r="C46" s="1242"/>
      <c r="D46" s="1243"/>
      <c r="E46" s="1251"/>
      <c r="F46" s="1251"/>
      <c r="G46" s="1247"/>
      <c r="H46" s="1246">
        <v>10000.0</v>
      </c>
      <c r="I46" s="1244"/>
      <c r="J46" s="1247"/>
      <c r="K46" s="1247"/>
      <c r="L46" s="1244"/>
      <c r="M46" s="1248"/>
      <c r="N46" s="1249"/>
      <c r="O46" s="1255" t="s">
        <v>1000</v>
      </c>
      <c r="P46" s="1254"/>
      <c r="Q46" s="1249"/>
      <c r="R46" s="1249"/>
      <c r="S46" s="1249"/>
      <c r="T46" s="1249"/>
      <c r="U46" s="1249"/>
      <c r="V46" s="1249"/>
      <c r="W46" s="1249"/>
      <c r="X46" s="1249"/>
      <c r="Y46" s="1249"/>
      <c r="Z46" s="1249"/>
      <c r="AA46" s="1249"/>
      <c r="AB46" s="1249"/>
      <c r="AC46" s="1249"/>
      <c r="AD46" s="1249"/>
      <c r="AE46" s="1249"/>
    </row>
    <row r="47" ht="25.5" customHeight="1">
      <c r="A47" s="635"/>
      <c r="B47" s="571" t="s">
        <v>1002</v>
      </c>
      <c r="C47" s="612">
        <v>-0.8</v>
      </c>
      <c r="D47" s="613"/>
      <c r="E47" s="620"/>
      <c r="F47" s="620">
        <f>0.08</f>
        <v>0.08</v>
      </c>
      <c r="G47" s="189"/>
      <c r="H47" s="1093"/>
      <c r="I47" s="675"/>
      <c r="J47" s="189"/>
      <c r="K47" s="189"/>
      <c r="L47" s="675"/>
      <c r="M47" s="676"/>
      <c r="O47" s="608" t="s">
        <v>1003</v>
      </c>
      <c r="P47" s="609" t="s">
        <v>1004</v>
      </c>
    </row>
    <row r="48" ht="25.5" customHeight="1">
      <c r="A48" s="635"/>
      <c r="B48" s="571" t="s">
        <v>1002</v>
      </c>
      <c r="C48" s="612">
        <v>-3.3611E-4</v>
      </c>
      <c r="D48" s="613"/>
      <c r="E48" s="620"/>
      <c r="F48" s="620"/>
      <c r="G48" s="189"/>
      <c r="H48" s="1093"/>
      <c r="I48" s="675"/>
      <c r="J48" s="189"/>
      <c r="K48" s="189"/>
      <c r="L48" s="675"/>
      <c r="M48" s="676"/>
      <c r="O48" s="608" t="s">
        <v>1005</v>
      </c>
    </row>
    <row r="49" ht="25.5" customHeight="1">
      <c r="A49" s="635"/>
      <c r="B49" s="571" t="s">
        <v>1006</v>
      </c>
      <c r="C49" s="620"/>
      <c r="D49" s="613"/>
      <c r="E49" s="612"/>
      <c r="F49" s="612">
        <v>0.25157</v>
      </c>
      <c r="G49" s="189"/>
      <c r="H49" s="1093">
        <f>39750*0.25157</f>
        <v>9999.9075</v>
      </c>
      <c r="I49" s="675"/>
      <c r="J49" s="189"/>
      <c r="K49" s="189"/>
      <c r="L49" s="675"/>
      <c r="M49" s="676"/>
      <c r="N49" s="53">
        <v>1.0145</v>
      </c>
      <c r="O49" s="608" t="s">
        <v>995</v>
      </c>
    </row>
    <row r="50" ht="25.5" customHeight="1">
      <c r="A50" s="635"/>
      <c r="B50" s="571" t="s">
        <v>1007</v>
      </c>
      <c r="C50" s="620"/>
      <c r="D50" s="613"/>
      <c r="E50" s="612"/>
      <c r="F50" s="612">
        <v>0.25773</v>
      </c>
      <c r="G50" s="189"/>
      <c r="H50" s="1093">
        <f>38799.47*F50</f>
        <v>9999.787403</v>
      </c>
      <c r="I50" s="675"/>
      <c r="J50" s="189"/>
      <c r="K50" s="189"/>
      <c r="L50" s="675"/>
      <c r="M50" s="676"/>
      <c r="N50" s="53">
        <v>1.0111</v>
      </c>
      <c r="O50" s="608" t="s">
        <v>995</v>
      </c>
    </row>
    <row r="51" ht="25.5" customHeight="1">
      <c r="A51" s="635"/>
      <c r="B51" s="571" t="s">
        <v>1008</v>
      </c>
      <c r="E51" s="604">
        <v>15.3421</v>
      </c>
      <c r="F51" s="1256">
        <v>-0.84979</v>
      </c>
      <c r="G51" s="189"/>
      <c r="H51" s="1093"/>
      <c r="I51" s="675"/>
      <c r="J51" s="189"/>
      <c r="K51" s="189"/>
      <c r="L51" s="675"/>
      <c r="M51" s="676"/>
      <c r="O51" s="608" t="s">
        <v>1009</v>
      </c>
    </row>
    <row r="52" ht="25.5" customHeight="1">
      <c r="A52" s="635"/>
      <c r="B52" s="571" t="s">
        <v>1010</v>
      </c>
      <c r="C52" s="620"/>
      <c r="D52" s="613">
        <f>15.2298902+0.098</f>
        <v>15.3278902</v>
      </c>
      <c r="E52" s="612" t="s">
        <v>1011</v>
      </c>
      <c r="F52" s="620"/>
      <c r="G52" s="189"/>
      <c r="H52" s="1093"/>
      <c r="I52" s="675"/>
      <c r="J52" s="189"/>
      <c r="K52" s="189"/>
      <c r="L52" s="675"/>
      <c r="M52" s="676"/>
      <c r="O52" s="608" t="s">
        <v>1012</v>
      </c>
    </row>
    <row r="53" ht="25.5" customHeight="1">
      <c r="A53" s="635"/>
      <c r="B53" s="571" t="s">
        <v>1010</v>
      </c>
      <c r="C53" s="612">
        <v>0.6125</v>
      </c>
      <c r="D53" s="613"/>
      <c r="E53" s="620"/>
      <c r="F53" s="612">
        <v>-0.61250642</v>
      </c>
      <c r="G53" s="189"/>
      <c r="H53" s="1093"/>
      <c r="I53" s="675"/>
      <c r="J53" s="189"/>
      <c r="K53" s="189"/>
      <c r="L53" s="675"/>
      <c r="M53" s="676"/>
      <c r="O53" s="608" t="s">
        <v>1013</v>
      </c>
    </row>
    <row r="54" ht="25.5" customHeight="1">
      <c r="A54" s="635"/>
      <c r="B54" s="1238"/>
      <c r="C54" s="620"/>
      <c r="D54" s="613"/>
      <c r="E54" s="620"/>
      <c r="F54" s="620"/>
      <c r="G54" s="189"/>
      <c r="H54" s="1093"/>
      <c r="I54" s="675"/>
      <c r="J54" s="189"/>
      <c r="K54" s="189"/>
      <c r="L54" s="675"/>
      <c r="M54" s="676"/>
      <c r="O54" s="644"/>
    </row>
    <row r="55" ht="25.5" customHeight="1">
      <c r="A55" s="635"/>
      <c r="B55" s="1238"/>
      <c r="C55" s="620"/>
      <c r="D55" s="613"/>
      <c r="E55" s="620"/>
      <c r="F55" s="620"/>
      <c r="G55" s="189"/>
      <c r="H55" s="1093"/>
      <c r="I55" s="675"/>
      <c r="J55" s="189"/>
      <c r="K55" s="189"/>
      <c r="L55" s="675"/>
      <c r="M55" s="676"/>
      <c r="O55" s="644"/>
    </row>
    <row r="56" ht="25.5" customHeight="1">
      <c r="A56" s="635"/>
      <c r="B56" s="1238"/>
      <c r="C56" s="620"/>
      <c r="D56" s="613"/>
      <c r="E56" s="620"/>
      <c r="F56" s="620"/>
      <c r="G56" s="189"/>
      <c r="H56" s="1093"/>
      <c r="I56" s="675"/>
      <c r="J56" s="189"/>
      <c r="K56" s="189"/>
      <c r="L56" s="675"/>
      <c r="M56" s="676"/>
      <c r="O56" s="644"/>
    </row>
    <row r="57" ht="25.5" customHeight="1">
      <c r="A57" s="635"/>
      <c r="B57" s="1238"/>
      <c r="C57" s="620"/>
      <c r="D57" s="613"/>
      <c r="E57" s="620"/>
      <c r="F57" s="620"/>
      <c r="G57" s="189"/>
      <c r="H57" s="1093"/>
      <c r="I57" s="675"/>
      <c r="J57" s="189"/>
      <c r="K57" s="189"/>
      <c r="L57" s="675"/>
      <c r="M57" s="676"/>
      <c r="O57" s="644"/>
    </row>
    <row r="58" ht="25.5" customHeight="1">
      <c r="A58" s="635"/>
      <c r="B58" s="1238"/>
      <c r="C58" s="620"/>
      <c r="D58" s="613"/>
      <c r="E58" s="620"/>
      <c r="F58" s="620"/>
      <c r="G58" s="189"/>
      <c r="H58" s="1093"/>
      <c r="I58" s="675"/>
      <c r="J58" s="189"/>
      <c r="K58" s="189"/>
      <c r="L58" s="675"/>
      <c r="M58" s="676"/>
      <c r="O58" s="644"/>
    </row>
    <row r="59" ht="25.5" customHeight="1">
      <c r="A59" s="635"/>
      <c r="B59" s="1238"/>
      <c r="C59" s="620"/>
      <c r="D59" s="613"/>
      <c r="E59" s="675"/>
      <c r="F59" s="675"/>
      <c r="G59" s="189"/>
      <c r="H59" s="1093"/>
      <c r="I59" s="675"/>
      <c r="J59" s="189"/>
      <c r="K59" s="189"/>
      <c r="L59" s="675"/>
      <c r="M59" s="676"/>
      <c r="O59" s="644"/>
    </row>
    <row r="60" ht="25.5" customHeight="1">
      <c r="A60" s="635"/>
      <c r="B60" s="1238"/>
      <c r="C60" s="620"/>
      <c r="D60" s="613"/>
      <c r="E60" s="675"/>
      <c r="F60" s="675"/>
      <c r="G60" s="189"/>
      <c r="H60" s="1093"/>
      <c r="I60" s="675"/>
      <c r="J60" s="189"/>
      <c r="K60" s="189"/>
      <c r="L60" s="675"/>
      <c r="M60" s="676"/>
      <c r="O60" s="644"/>
    </row>
    <row r="61" ht="25.5" customHeight="1">
      <c r="A61" s="635"/>
      <c r="B61" s="1238"/>
      <c r="C61" s="620"/>
      <c r="D61" s="613"/>
      <c r="E61" s="675"/>
      <c r="F61" s="675"/>
      <c r="G61" s="189"/>
      <c r="H61" s="1093"/>
      <c r="I61" s="675"/>
      <c r="J61" s="189"/>
      <c r="K61" s="189"/>
      <c r="L61" s="675"/>
      <c r="M61" s="676"/>
      <c r="O61" s="644"/>
    </row>
    <row r="62" ht="25.5" customHeight="1">
      <c r="A62" s="635"/>
      <c r="B62" s="1238"/>
      <c r="C62" s="620"/>
      <c r="D62" s="613"/>
      <c r="E62" s="675"/>
      <c r="F62" s="675"/>
      <c r="G62" s="189"/>
      <c r="H62" s="1093"/>
      <c r="I62" s="675"/>
      <c r="J62" s="189"/>
      <c r="K62" s="189"/>
      <c r="L62" s="675"/>
      <c r="M62" s="676"/>
      <c r="O62" s="644"/>
    </row>
    <row r="63" ht="25.5" customHeight="1">
      <c r="A63" s="635"/>
      <c r="B63" s="1238"/>
      <c r="C63" s="620"/>
      <c r="D63" s="613"/>
      <c r="E63" s="675"/>
      <c r="F63" s="675"/>
      <c r="G63" s="189"/>
      <c r="H63" s="1093"/>
      <c r="I63" s="675"/>
      <c r="J63" s="189"/>
      <c r="K63" s="189"/>
      <c r="L63" s="675"/>
      <c r="M63" s="676"/>
      <c r="O63" s="644"/>
    </row>
    <row r="64" ht="25.5" customHeight="1">
      <c r="A64" s="635"/>
      <c r="B64" s="1238"/>
      <c r="C64" s="620"/>
      <c r="D64" s="613"/>
      <c r="E64" s="675"/>
      <c r="F64" s="675"/>
      <c r="G64" s="189"/>
      <c r="H64" s="1093"/>
      <c r="I64" s="675"/>
      <c r="J64" s="189"/>
      <c r="K64" s="189"/>
      <c r="L64" s="675"/>
      <c r="M64" s="676"/>
      <c r="O64" s="644"/>
    </row>
    <row r="65" ht="25.5" customHeight="1">
      <c r="A65" s="635"/>
      <c r="B65" s="1238"/>
      <c r="C65" s="620"/>
      <c r="D65" s="613"/>
      <c r="E65" s="675"/>
      <c r="F65" s="675"/>
      <c r="G65" s="189"/>
      <c r="H65" s="1093"/>
      <c r="I65" s="675"/>
      <c r="J65" s="189"/>
      <c r="K65" s="189"/>
      <c r="L65" s="675"/>
      <c r="M65" s="676"/>
      <c r="O65" s="644"/>
    </row>
    <row r="66" ht="25.5" customHeight="1">
      <c r="A66" s="635"/>
      <c r="B66" s="1238"/>
      <c r="C66" s="620"/>
      <c r="D66" s="613"/>
      <c r="E66" s="675"/>
      <c r="F66" s="675"/>
      <c r="G66" s="189"/>
      <c r="H66" s="1093"/>
      <c r="I66" s="675"/>
      <c r="J66" s="189"/>
      <c r="K66" s="189"/>
      <c r="L66" s="675"/>
      <c r="M66" s="676"/>
      <c r="O66" s="644"/>
    </row>
    <row r="67" ht="25.5" customHeight="1">
      <c r="A67" s="635"/>
      <c r="B67" s="1238"/>
      <c r="C67" s="620"/>
      <c r="D67" s="613"/>
      <c r="E67" s="675"/>
      <c r="F67" s="675"/>
      <c r="G67" s="189"/>
      <c r="H67" s="1093"/>
      <c r="I67" s="675"/>
      <c r="J67" s="189"/>
      <c r="K67" s="189"/>
      <c r="L67" s="675"/>
      <c r="M67" s="676"/>
      <c r="O67" s="644"/>
    </row>
    <row r="68" ht="25.5" customHeight="1">
      <c r="A68" s="635"/>
      <c r="B68" s="1238"/>
      <c r="C68" s="620"/>
      <c r="D68" s="613"/>
      <c r="E68" s="675"/>
      <c r="F68" s="675"/>
      <c r="G68" s="189"/>
      <c r="H68" s="1093"/>
      <c r="I68" s="675"/>
      <c r="J68" s="189"/>
      <c r="K68" s="189"/>
      <c r="L68" s="675"/>
      <c r="M68" s="676"/>
      <c r="O68" s="644"/>
    </row>
    <row r="69" ht="25.5" customHeight="1">
      <c r="A69" s="635"/>
      <c r="B69" s="1238"/>
      <c r="C69" s="620"/>
      <c r="D69" s="613"/>
      <c r="E69" s="675"/>
      <c r="F69" s="675"/>
      <c r="G69" s="189"/>
      <c r="H69" s="1093"/>
      <c r="I69" s="675"/>
      <c r="J69" s="189"/>
      <c r="K69" s="189"/>
      <c r="L69" s="675"/>
      <c r="M69" s="676"/>
      <c r="O69" s="644"/>
    </row>
    <row r="70" ht="25.5" customHeight="1">
      <c r="A70" s="635"/>
      <c r="B70" s="1238"/>
      <c r="C70" s="620"/>
      <c r="D70" s="613"/>
      <c r="E70" s="675"/>
      <c r="F70" s="675"/>
      <c r="G70" s="189"/>
      <c r="H70" s="1093"/>
      <c r="I70" s="675"/>
      <c r="J70" s="189"/>
      <c r="K70" s="189"/>
      <c r="L70" s="675"/>
      <c r="M70" s="676"/>
      <c r="O70" s="644"/>
    </row>
    <row r="71" ht="25.5" customHeight="1">
      <c r="A71" s="635"/>
      <c r="B71" s="1238"/>
      <c r="C71" s="620"/>
      <c r="D71" s="613"/>
      <c r="E71" s="675"/>
      <c r="F71" s="675"/>
      <c r="G71" s="189"/>
      <c r="H71" s="1093"/>
      <c r="I71" s="675"/>
      <c r="J71" s="189"/>
      <c r="K71" s="189"/>
      <c r="L71" s="675"/>
      <c r="M71" s="676"/>
      <c r="O71" s="644"/>
    </row>
    <row r="72" ht="25.5" customHeight="1">
      <c r="A72" s="635"/>
      <c r="B72" s="1238"/>
      <c r="C72" s="620"/>
      <c r="D72" s="613"/>
      <c r="E72" s="675"/>
      <c r="F72" s="675"/>
      <c r="G72" s="189"/>
      <c r="H72" s="1093"/>
      <c r="I72" s="675"/>
      <c r="J72" s="189"/>
      <c r="K72" s="189"/>
      <c r="L72" s="675"/>
      <c r="M72" s="676"/>
      <c r="O72" s="644"/>
    </row>
    <row r="73" ht="25.5" customHeight="1">
      <c r="A73" s="635"/>
      <c r="B73" s="1238"/>
      <c r="C73" s="620"/>
      <c r="D73" s="613"/>
      <c r="E73" s="675"/>
      <c r="F73" s="675"/>
      <c r="G73" s="189"/>
      <c r="H73" s="1093"/>
      <c r="I73" s="675"/>
      <c r="J73" s="189"/>
      <c r="K73" s="189"/>
      <c r="L73" s="675"/>
      <c r="M73" s="676"/>
      <c r="O73" s="644"/>
    </row>
    <row r="74" ht="25.5" customHeight="1">
      <c r="A74" s="635"/>
      <c r="B74" s="1238"/>
      <c r="C74" s="620"/>
      <c r="D74" s="613"/>
      <c r="E74" s="675"/>
      <c r="F74" s="675"/>
      <c r="G74" s="189"/>
      <c r="H74" s="1093"/>
      <c r="I74" s="675"/>
      <c r="J74" s="189"/>
      <c r="K74" s="189"/>
      <c r="L74" s="675"/>
      <c r="M74" s="676"/>
      <c r="O74" s="644"/>
    </row>
    <row r="75" ht="25.5" customHeight="1">
      <c r="A75" s="635"/>
      <c r="B75" s="1238"/>
      <c r="C75" s="620"/>
      <c r="D75" s="613"/>
      <c r="E75" s="675"/>
      <c r="F75" s="675"/>
      <c r="G75" s="189"/>
      <c r="H75" s="1093"/>
      <c r="I75" s="675"/>
      <c r="J75" s="189"/>
      <c r="K75" s="189"/>
      <c r="L75" s="675"/>
      <c r="M75" s="676"/>
      <c r="O75" s="644"/>
    </row>
    <row r="76" ht="25.5" customHeight="1">
      <c r="A76" s="635"/>
      <c r="B76" s="1238"/>
      <c r="C76" s="620"/>
      <c r="D76" s="613"/>
      <c r="E76" s="675"/>
      <c r="F76" s="675"/>
      <c r="G76" s="189"/>
      <c r="H76" s="1093"/>
      <c r="I76" s="675"/>
      <c r="J76" s="189"/>
      <c r="K76" s="189"/>
      <c r="L76" s="675"/>
      <c r="M76" s="676"/>
      <c r="O76" s="644"/>
    </row>
    <row r="77" ht="25.5" customHeight="1">
      <c r="A77" s="635"/>
      <c r="B77" s="1238"/>
      <c r="C77" s="620"/>
      <c r="D77" s="613"/>
      <c r="E77" s="675"/>
      <c r="F77" s="675"/>
      <c r="G77" s="189"/>
      <c r="H77" s="1093"/>
      <c r="I77" s="675"/>
      <c r="J77" s="189"/>
      <c r="K77" s="189"/>
      <c r="L77" s="675"/>
      <c r="M77" s="676"/>
      <c r="O77" s="644"/>
    </row>
    <row r="78" ht="25.5" customHeight="1">
      <c r="A78" s="635"/>
      <c r="B78" s="1238"/>
      <c r="C78" s="620"/>
      <c r="D78" s="613"/>
      <c r="E78" s="675"/>
      <c r="F78" s="675"/>
      <c r="G78" s="189"/>
      <c r="H78" s="1093"/>
      <c r="I78" s="675"/>
      <c r="J78" s="189"/>
      <c r="K78" s="189"/>
      <c r="L78" s="675"/>
      <c r="M78" s="676"/>
      <c r="O78" s="644"/>
    </row>
    <row r="79" ht="25.5" customHeight="1">
      <c r="A79" s="635"/>
      <c r="B79" s="1238"/>
      <c r="C79" s="620"/>
      <c r="D79" s="613"/>
      <c r="E79" s="675"/>
      <c r="F79" s="675"/>
      <c r="G79" s="189"/>
      <c r="H79" s="1093"/>
      <c r="I79" s="675"/>
      <c r="J79" s="189"/>
      <c r="K79" s="189"/>
      <c r="L79" s="675"/>
      <c r="M79" s="676"/>
      <c r="O79" s="644"/>
    </row>
    <row r="80" ht="25.5" customHeight="1">
      <c r="A80" s="635"/>
      <c r="B80" s="1238"/>
      <c r="C80" s="620"/>
      <c r="D80" s="613"/>
      <c r="E80" s="675"/>
      <c r="F80" s="675"/>
      <c r="G80" s="189"/>
      <c r="H80" s="1093"/>
      <c r="I80" s="675"/>
      <c r="J80" s="189"/>
      <c r="K80" s="189"/>
      <c r="L80" s="675"/>
      <c r="M80" s="676"/>
      <c r="O80" s="644"/>
    </row>
    <row r="81" ht="25.5" customHeight="1">
      <c r="A81" s="635"/>
      <c r="B81" s="1238"/>
      <c r="C81" s="620"/>
      <c r="D81" s="613"/>
      <c r="E81" s="675"/>
      <c r="F81" s="675"/>
      <c r="G81" s="189"/>
      <c r="H81" s="1093"/>
      <c r="I81" s="675"/>
      <c r="J81" s="189"/>
      <c r="K81" s="189"/>
      <c r="L81" s="675"/>
      <c r="M81" s="676"/>
      <c r="O81" s="644"/>
    </row>
    <row r="82" ht="25.5" customHeight="1">
      <c r="A82" s="635"/>
      <c r="B82" s="1238"/>
      <c r="C82" s="620"/>
      <c r="D82" s="613"/>
      <c r="E82" s="675"/>
      <c r="F82" s="675"/>
      <c r="G82" s="189"/>
      <c r="H82" s="1093"/>
      <c r="I82" s="675"/>
      <c r="J82" s="189"/>
      <c r="K82" s="189"/>
      <c r="L82" s="675"/>
      <c r="M82" s="676"/>
      <c r="O82" s="644"/>
    </row>
    <row r="83" ht="25.5" customHeight="1">
      <c r="A83" s="635"/>
      <c r="B83" s="1238"/>
      <c r="C83" s="620"/>
      <c r="D83" s="613"/>
      <c r="E83" s="675"/>
      <c r="F83" s="675"/>
      <c r="G83" s="189"/>
      <c r="H83" s="1093"/>
      <c r="I83" s="675"/>
      <c r="J83" s="189"/>
      <c r="K83" s="189"/>
      <c r="L83" s="675"/>
      <c r="M83" s="676"/>
      <c r="O83" s="644"/>
    </row>
    <row r="84" ht="25.5" customHeight="1">
      <c r="A84" s="635"/>
      <c r="B84" s="1238"/>
      <c r="C84" s="620"/>
      <c r="D84" s="613"/>
      <c r="E84" s="675"/>
      <c r="F84" s="675"/>
      <c r="G84" s="189"/>
      <c r="H84" s="1093"/>
      <c r="I84" s="675"/>
      <c r="J84" s="189"/>
      <c r="K84" s="189"/>
      <c r="L84" s="675"/>
      <c r="M84" s="676"/>
      <c r="O84" s="644"/>
    </row>
    <row r="85" ht="25.5" customHeight="1">
      <c r="A85" s="635"/>
      <c r="B85" s="1238"/>
      <c r="C85" s="620"/>
      <c r="D85" s="613"/>
      <c r="E85" s="675"/>
      <c r="F85" s="675"/>
      <c r="G85" s="189"/>
      <c r="H85" s="1093"/>
      <c r="I85" s="675"/>
      <c r="J85" s="189"/>
      <c r="K85" s="189"/>
      <c r="L85" s="675"/>
      <c r="M85" s="676"/>
      <c r="O85" s="644"/>
    </row>
    <row r="86" ht="25.5" customHeight="1">
      <c r="A86" s="635"/>
      <c r="B86" s="1238"/>
      <c r="C86" s="620"/>
      <c r="D86" s="613"/>
      <c r="E86" s="675"/>
      <c r="F86" s="675"/>
      <c r="G86" s="189"/>
      <c r="H86" s="1093"/>
      <c r="I86" s="675"/>
      <c r="J86" s="189"/>
      <c r="K86" s="189"/>
      <c r="L86" s="675"/>
      <c r="M86" s="676"/>
      <c r="O86" s="644"/>
    </row>
    <row r="87" ht="25.5" customHeight="1">
      <c r="A87" s="635"/>
      <c r="B87" s="1238"/>
      <c r="C87" s="620"/>
      <c r="D87" s="613"/>
      <c r="E87" s="675"/>
      <c r="F87" s="675"/>
      <c r="G87" s="189"/>
      <c r="H87" s="1093"/>
      <c r="I87" s="675"/>
      <c r="J87" s="189"/>
      <c r="K87" s="189"/>
      <c r="L87" s="675"/>
      <c r="M87" s="676"/>
      <c r="O87" s="644"/>
    </row>
    <row r="88" ht="25.5" customHeight="1">
      <c r="A88" s="635"/>
      <c r="B88" s="1238"/>
      <c r="C88" s="620"/>
      <c r="D88" s="613"/>
      <c r="E88" s="675"/>
      <c r="F88" s="675"/>
      <c r="G88" s="189"/>
      <c r="H88" s="1093"/>
      <c r="I88" s="675"/>
      <c r="J88" s="189"/>
      <c r="K88" s="189"/>
      <c r="L88" s="675"/>
      <c r="M88" s="676"/>
      <c r="O88" s="644"/>
    </row>
    <row r="89" ht="25.5" customHeight="1">
      <c r="A89" s="635"/>
      <c r="B89" s="1238"/>
      <c r="C89" s="620"/>
      <c r="D89" s="613"/>
      <c r="E89" s="675"/>
      <c r="F89" s="675"/>
      <c r="G89" s="189"/>
      <c r="H89" s="1093"/>
      <c r="I89" s="675"/>
      <c r="J89" s="189"/>
      <c r="K89" s="189"/>
      <c r="L89" s="675"/>
      <c r="M89" s="676"/>
      <c r="O89" s="644"/>
    </row>
    <row r="90" ht="25.5" customHeight="1">
      <c r="A90" s="635"/>
      <c r="B90" s="1238"/>
      <c r="C90" s="620"/>
      <c r="D90" s="613"/>
      <c r="E90" s="675"/>
      <c r="F90" s="675"/>
      <c r="G90" s="189"/>
      <c r="H90" s="1093"/>
      <c r="I90" s="675"/>
      <c r="J90" s="189"/>
      <c r="K90" s="189"/>
      <c r="L90" s="675"/>
      <c r="M90" s="676"/>
      <c r="O90" s="644"/>
    </row>
    <row r="91" ht="25.5" customHeight="1">
      <c r="A91" s="635"/>
      <c r="B91" s="1238"/>
      <c r="C91" s="620"/>
      <c r="D91" s="613"/>
      <c r="E91" s="675"/>
      <c r="F91" s="675"/>
      <c r="G91" s="189"/>
      <c r="H91" s="1093"/>
      <c r="I91" s="675"/>
      <c r="J91" s="189"/>
      <c r="K91" s="189"/>
      <c r="L91" s="675"/>
      <c r="M91" s="676"/>
      <c r="O91" s="644"/>
    </row>
    <row r="92" ht="25.5" customHeight="1">
      <c r="A92" s="635"/>
      <c r="B92" s="1238"/>
      <c r="C92" s="620"/>
      <c r="D92" s="613"/>
      <c r="E92" s="675"/>
      <c r="F92" s="675"/>
      <c r="G92" s="189"/>
      <c r="H92" s="1093"/>
      <c r="I92" s="675"/>
      <c r="J92" s="189"/>
      <c r="K92" s="189"/>
      <c r="L92" s="675"/>
      <c r="M92" s="676"/>
      <c r="O92" s="644"/>
    </row>
    <row r="93" ht="25.5" customHeight="1">
      <c r="A93" s="635"/>
      <c r="B93" s="1238"/>
      <c r="C93" s="620"/>
      <c r="D93" s="613"/>
      <c r="E93" s="675"/>
      <c r="F93" s="675"/>
      <c r="G93" s="189"/>
      <c r="H93" s="1093"/>
      <c r="I93" s="675"/>
      <c r="J93" s="189"/>
      <c r="K93" s="189"/>
      <c r="L93" s="675"/>
      <c r="M93" s="676"/>
      <c r="O93" s="644"/>
    </row>
    <row r="94" ht="25.5" customHeight="1">
      <c r="A94" s="635"/>
      <c r="B94" s="1238"/>
      <c r="C94" s="620"/>
      <c r="D94" s="613"/>
      <c r="E94" s="675"/>
      <c r="F94" s="675"/>
      <c r="G94" s="189"/>
      <c r="H94" s="1093"/>
      <c r="I94" s="675"/>
      <c r="J94" s="189"/>
      <c r="K94" s="189"/>
      <c r="L94" s="675"/>
      <c r="M94" s="676"/>
      <c r="O94" s="644"/>
    </row>
    <row r="95" ht="25.5" customHeight="1">
      <c r="A95" s="635"/>
      <c r="B95" s="1238"/>
      <c r="C95" s="620"/>
      <c r="D95" s="613"/>
      <c r="E95" s="675"/>
      <c r="F95" s="675"/>
      <c r="G95" s="189"/>
      <c r="H95" s="1093"/>
      <c r="I95" s="675"/>
      <c r="J95" s="189"/>
      <c r="K95" s="189"/>
      <c r="L95" s="675"/>
      <c r="M95" s="676"/>
      <c r="O95" s="644"/>
    </row>
    <row r="96" ht="25.5" customHeight="1">
      <c r="A96" s="635"/>
      <c r="B96" s="1238"/>
      <c r="C96" s="620"/>
      <c r="D96" s="613"/>
      <c r="E96" s="675"/>
      <c r="F96" s="675"/>
      <c r="G96" s="189"/>
      <c r="H96" s="1093"/>
      <c r="I96" s="675"/>
      <c r="J96" s="189"/>
      <c r="K96" s="189"/>
      <c r="L96" s="675"/>
      <c r="M96" s="676"/>
      <c r="O96" s="644"/>
    </row>
    <row r="97" ht="25.5" customHeight="1">
      <c r="A97" s="635"/>
      <c r="B97" s="1238"/>
      <c r="C97" s="620"/>
      <c r="D97" s="613"/>
      <c r="E97" s="675"/>
      <c r="F97" s="675"/>
      <c r="G97" s="189"/>
      <c r="H97" s="1093"/>
      <c r="I97" s="675"/>
      <c r="J97" s="189"/>
      <c r="K97" s="189"/>
      <c r="L97" s="675"/>
      <c r="M97" s="676"/>
      <c r="O97" s="644"/>
    </row>
    <row r="98" ht="25.5" customHeight="1">
      <c r="A98" s="635"/>
      <c r="B98" s="1238"/>
      <c r="C98" s="620"/>
      <c r="D98" s="613"/>
      <c r="E98" s="675"/>
      <c r="F98" s="675"/>
      <c r="G98" s="189"/>
      <c r="H98" s="1093"/>
      <c r="I98" s="675"/>
      <c r="J98" s="189"/>
      <c r="K98" s="189"/>
      <c r="L98" s="675"/>
      <c r="M98" s="676"/>
      <c r="O98" s="644"/>
    </row>
    <row r="99" ht="25.5" customHeight="1">
      <c r="A99" s="635"/>
      <c r="B99" s="1238"/>
      <c r="C99" s="620"/>
      <c r="D99" s="613"/>
      <c r="E99" s="675"/>
      <c r="F99" s="675"/>
      <c r="G99" s="189"/>
      <c r="H99" s="1093"/>
      <c r="I99" s="675"/>
      <c r="J99" s="189"/>
      <c r="K99" s="189"/>
      <c r="L99" s="675"/>
      <c r="M99" s="676"/>
      <c r="O99" s="644"/>
    </row>
    <row r="100" ht="25.5" customHeight="1">
      <c r="A100" s="635"/>
      <c r="B100" s="1238"/>
      <c r="C100" s="620"/>
      <c r="D100" s="613"/>
      <c r="E100" s="675"/>
      <c r="F100" s="675"/>
      <c r="G100" s="189"/>
      <c r="H100" s="1093"/>
      <c r="I100" s="675"/>
      <c r="J100" s="189"/>
      <c r="K100" s="189"/>
      <c r="L100" s="675"/>
      <c r="M100" s="676"/>
      <c r="O100" s="644"/>
    </row>
    <row r="101" ht="25.5" customHeight="1">
      <c r="A101" s="635"/>
      <c r="B101" s="1238"/>
      <c r="C101" s="620"/>
      <c r="D101" s="613"/>
      <c r="E101" s="675"/>
      <c r="F101" s="675"/>
      <c r="G101" s="189"/>
      <c r="H101" s="1093"/>
      <c r="I101" s="675"/>
      <c r="J101" s="189"/>
      <c r="K101" s="189"/>
      <c r="L101" s="675"/>
      <c r="M101" s="676"/>
      <c r="O101" s="644"/>
    </row>
    <row r="102" ht="25.5" customHeight="1">
      <c r="A102" s="635"/>
      <c r="B102" s="1238"/>
      <c r="C102" s="620"/>
      <c r="D102" s="613"/>
      <c r="E102" s="675"/>
      <c r="F102" s="675"/>
      <c r="G102" s="189"/>
      <c r="H102" s="1093"/>
      <c r="I102" s="675"/>
      <c r="J102" s="189"/>
      <c r="K102" s="189"/>
      <c r="L102" s="675"/>
      <c r="M102" s="676"/>
      <c r="O102" s="644"/>
    </row>
    <row r="103" ht="25.5" customHeight="1">
      <c r="A103" s="635"/>
      <c r="B103" s="1238"/>
      <c r="C103" s="620"/>
      <c r="D103" s="613"/>
      <c r="E103" s="675"/>
      <c r="F103" s="675"/>
      <c r="G103" s="189"/>
      <c r="H103" s="1093"/>
      <c r="I103" s="675"/>
      <c r="J103" s="189"/>
      <c r="K103" s="189"/>
      <c r="L103" s="675"/>
      <c r="M103" s="676"/>
      <c r="O103" s="644"/>
    </row>
    <row r="104" ht="25.5" customHeight="1">
      <c r="A104" s="635"/>
      <c r="B104" s="1238"/>
      <c r="C104" s="620"/>
      <c r="D104" s="613"/>
      <c r="E104" s="675"/>
      <c r="F104" s="675"/>
      <c r="G104" s="189"/>
      <c r="H104" s="1093"/>
      <c r="I104" s="675"/>
      <c r="J104" s="189"/>
      <c r="K104" s="189"/>
      <c r="L104" s="675"/>
      <c r="M104" s="676"/>
      <c r="O104" s="644"/>
    </row>
    <row r="105" ht="25.5" customHeight="1">
      <c r="A105" s="635"/>
      <c r="B105" s="1238"/>
      <c r="C105" s="620"/>
      <c r="D105" s="613"/>
      <c r="E105" s="675"/>
      <c r="F105" s="675"/>
      <c r="G105" s="189"/>
      <c r="H105" s="1093"/>
      <c r="I105" s="675"/>
      <c r="J105" s="189"/>
      <c r="K105" s="189"/>
      <c r="L105" s="675"/>
      <c r="M105" s="676"/>
      <c r="O105" s="644"/>
    </row>
    <row r="106" ht="25.5" customHeight="1">
      <c r="A106" s="635"/>
      <c r="B106" s="1238"/>
      <c r="C106" s="620"/>
      <c r="D106" s="613"/>
      <c r="E106" s="675"/>
      <c r="F106" s="675"/>
      <c r="G106" s="189"/>
      <c r="H106" s="1093"/>
      <c r="I106" s="675"/>
      <c r="J106" s="189"/>
      <c r="K106" s="189"/>
      <c r="L106" s="675"/>
      <c r="M106" s="676"/>
      <c r="O106" s="644"/>
    </row>
    <row r="107" ht="25.5" customHeight="1">
      <c r="A107" s="635"/>
      <c r="B107" s="1238"/>
      <c r="C107" s="620"/>
      <c r="D107" s="613"/>
      <c r="E107" s="675"/>
      <c r="F107" s="675"/>
      <c r="G107" s="189"/>
      <c r="H107" s="1093"/>
      <c r="I107" s="675"/>
      <c r="J107" s="189"/>
      <c r="K107" s="189"/>
      <c r="L107" s="675"/>
      <c r="M107" s="676"/>
      <c r="O107" s="644"/>
    </row>
    <row r="108" ht="25.5" customHeight="1">
      <c r="A108" s="635"/>
      <c r="B108" s="1238"/>
      <c r="C108" s="620"/>
      <c r="D108" s="613"/>
      <c r="E108" s="675"/>
      <c r="F108" s="675"/>
      <c r="G108" s="189"/>
      <c r="H108" s="1093"/>
      <c r="I108" s="675"/>
      <c r="J108" s="189"/>
      <c r="K108" s="189"/>
      <c r="L108" s="675"/>
      <c r="M108" s="676"/>
      <c r="O108" s="644"/>
    </row>
    <row r="109" ht="25.5" customHeight="1">
      <c r="A109" s="635"/>
      <c r="B109" s="1238"/>
      <c r="C109" s="620"/>
      <c r="D109" s="613"/>
      <c r="E109" s="675"/>
      <c r="F109" s="675"/>
      <c r="G109" s="189"/>
      <c r="H109" s="1093"/>
      <c r="I109" s="675"/>
      <c r="J109" s="189"/>
      <c r="K109" s="189"/>
      <c r="L109" s="675"/>
      <c r="M109" s="676"/>
      <c r="O109" s="644"/>
    </row>
    <row r="110" ht="25.5" customHeight="1">
      <c r="A110" s="635"/>
      <c r="B110" s="1238"/>
      <c r="C110" s="620"/>
      <c r="D110" s="613"/>
      <c r="E110" s="675"/>
      <c r="F110" s="675"/>
      <c r="G110" s="189"/>
      <c r="H110" s="1093"/>
      <c r="I110" s="675"/>
      <c r="J110" s="189"/>
      <c r="K110" s="189"/>
      <c r="L110" s="675"/>
      <c r="M110" s="676"/>
      <c r="O110" s="644"/>
    </row>
    <row r="111" ht="25.5" customHeight="1">
      <c r="A111" s="635"/>
      <c r="B111" s="1238"/>
      <c r="C111" s="620"/>
      <c r="D111" s="613"/>
      <c r="E111" s="675"/>
      <c r="F111" s="675"/>
      <c r="G111" s="189"/>
      <c r="H111" s="1093"/>
      <c r="I111" s="675"/>
      <c r="J111" s="189"/>
      <c r="K111" s="189"/>
      <c r="L111" s="675"/>
      <c r="M111" s="676"/>
      <c r="O111" s="644"/>
    </row>
    <row r="112" ht="25.5" customHeight="1">
      <c r="A112" s="635"/>
      <c r="B112" s="1238"/>
      <c r="C112" s="620"/>
      <c r="D112" s="613"/>
      <c r="E112" s="675"/>
      <c r="F112" s="675"/>
      <c r="G112" s="189"/>
      <c r="H112" s="1093"/>
      <c r="I112" s="675"/>
      <c r="J112" s="189"/>
      <c r="K112" s="189"/>
      <c r="L112" s="675"/>
      <c r="M112" s="676"/>
      <c r="O112" s="644"/>
    </row>
    <row r="113" ht="25.5" customHeight="1">
      <c r="A113" s="635"/>
      <c r="B113" s="1238"/>
      <c r="C113" s="620"/>
      <c r="D113" s="613"/>
      <c r="E113" s="675"/>
      <c r="F113" s="675"/>
      <c r="G113" s="189"/>
      <c r="H113" s="1093"/>
      <c r="I113" s="675"/>
      <c r="J113" s="189"/>
      <c r="K113" s="189"/>
      <c r="L113" s="675"/>
      <c r="M113" s="676"/>
      <c r="O113" s="644"/>
    </row>
    <row r="114" ht="25.5" customHeight="1">
      <c r="A114" s="635"/>
      <c r="B114" s="1238"/>
      <c r="C114" s="620"/>
      <c r="D114" s="613"/>
      <c r="E114" s="675"/>
      <c r="F114" s="675"/>
      <c r="G114" s="189"/>
      <c r="H114" s="1093"/>
      <c r="I114" s="675"/>
      <c r="J114" s="189"/>
      <c r="K114" s="189"/>
      <c r="L114" s="675"/>
      <c r="M114" s="676"/>
      <c r="O114" s="644"/>
    </row>
    <row r="115" ht="25.5" customHeight="1">
      <c r="A115" s="635"/>
      <c r="B115" s="1238"/>
      <c r="C115" s="620"/>
      <c r="D115" s="613"/>
      <c r="E115" s="675"/>
      <c r="F115" s="675"/>
      <c r="G115" s="189"/>
      <c r="H115" s="1093"/>
      <c r="I115" s="675"/>
      <c r="J115" s="189"/>
      <c r="K115" s="189"/>
      <c r="L115" s="675"/>
      <c r="M115" s="676"/>
      <c r="O115" s="644"/>
    </row>
    <row r="116" ht="25.5" customHeight="1">
      <c r="A116" s="635"/>
      <c r="B116" s="1238"/>
      <c r="C116" s="620"/>
      <c r="D116" s="613"/>
      <c r="E116" s="675"/>
      <c r="F116" s="675"/>
      <c r="G116" s="189"/>
      <c r="H116" s="1093"/>
      <c r="I116" s="675"/>
      <c r="J116" s="189"/>
      <c r="K116" s="189"/>
      <c r="L116" s="675"/>
      <c r="M116" s="676"/>
      <c r="O116" s="644"/>
    </row>
    <row r="117" ht="25.5" customHeight="1">
      <c r="A117" s="635"/>
      <c r="B117" s="1238"/>
      <c r="C117" s="620"/>
      <c r="D117" s="613"/>
      <c r="E117" s="675"/>
      <c r="F117" s="675"/>
      <c r="G117" s="189"/>
      <c r="H117" s="1093"/>
      <c r="I117" s="675"/>
      <c r="J117" s="189"/>
      <c r="K117" s="189"/>
      <c r="L117" s="675"/>
      <c r="M117" s="676"/>
      <c r="O117" s="644"/>
    </row>
    <row r="118" ht="25.5" customHeight="1">
      <c r="A118" s="635"/>
      <c r="B118" s="1238"/>
      <c r="C118" s="620"/>
      <c r="D118" s="613"/>
      <c r="E118" s="675"/>
      <c r="F118" s="675"/>
      <c r="G118" s="189"/>
      <c r="H118" s="1093"/>
      <c r="I118" s="675"/>
      <c r="J118" s="189"/>
      <c r="K118" s="189"/>
      <c r="L118" s="675"/>
      <c r="M118" s="676"/>
      <c r="O118" s="644"/>
    </row>
    <row r="119" ht="25.5" customHeight="1">
      <c r="A119" s="635"/>
      <c r="B119" s="1238"/>
      <c r="C119" s="620"/>
      <c r="D119" s="613"/>
      <c r="E119" s="675"/>
      <c r="F119" s="675"/>
      <c r="G119" s="189"/>
      <c r="H119" s="1093"/>
      <c r="I119" s="675"/>
      <c r="J119" s="189"/>
      <c r="K119" s="189"/>
      <c r="L119" s="675"/>
      <c r="M119" s="676"/>
      <c r="O119" s="644"/>
    </row>
    <row r="120" ht="25.5" customHeight="1">
      <c r="A120" s="635"/>
      <c r="B120" s="1238"/>
      <c r="C120" s="620"/>
      <c r="D120" s="613"/>
      <c r="E120" s="675"/>
      <c r="F120" s="675"/>
      <c r="G120" s="189"/>
      <c r="H120" s="1093"/>
      <c r="I120" s="675"/>
      <c r="J120" s="189"/>
      <c r="K120" s="189"/>
      <c r="L120" s="675"/>
      <c r="M120" s="676"/>
      <c r="O120" s="644"/>
    </row>
    <row r="121" ht="25.5" customHeight="1">
      <c r="A121" s="635"/>
      <c r="B121" s="1238"/>
      <c r="C121" s="620"/>
      <c r="D121" s="613"/>
      <c r="E121" s="675"/>
      <c r="F121" s="675"/>
      <c r="G121" s="189"/>
      <c r="H121" s="1093"/>
      <c r="I121" s="675"/>
      <c r="J121" s="189"/>
      <c r="K121" s="189"/>
      <c r="L121" s="675"/>
      <c r="M121" s="676"/>
      <c r="O121" s="644"/>
    </row>
    <row r="122" ht="25.5" customHeight="1">
      <c r="A122" s="635"/>
      <c r="B122" s="1238"/>
      <c r="C122" s="620"/>
      <c r="D122" s="613"/>
      <c r="E122" s="675"/>
      <c r="F122" s="675"/>
      <c r="G122" s="189"/>
      <c r="H122" s="1093"/>
      <c r="I122" s="675"/>
      <c r="J122" s="189"/>
      <c r="K122" s="189"/>
      <c r="L122" s="675"/>
      <c r="M122" s="676"/>
      <c r="O122" s="644"/>
    </row>
    <row r="123" ht="25.5" customHeight="1">
      <c r="A123" s="635"/>
      <c r="B123" s="1238"/>
      <c r="C123" s="620"/>
      <c r="D123" s="613"/>
      <c r="E123" s="675"/>
      <c r="F123" s="675"/>
      <c r="G123" s="189"/>
      <c r="H123" s="1093"/>
      <c r="I123" s="675"/>
      <c r="J123" s="189"/>
      <c r="K123" s="189"/>
      <c r="L123" s="675"/>
      <c r="M123" s="676"/>
      <c r="O123" s="644"/>
    </row>
    <row r="124" ht="25.5" customHeight="1">
      <c r="A124" s="635"/>
      <c r="B124" s="1238"/>
      <c r="C124" s="620"/>
      <c r="D124" s="613"/>
      <c r="E124" s="675"/>
      <c r="F124" s="675"/>
      <c r="G124" s="189"/>
      <c r="H124" s="1093"/>
      <c r="I124" s="675"/>
      <c r="J124" s="189"/>
      <c r="K124" s="189"/>
      <c r="L124" s="675"/>
      <c r="M124" s="676"/>
      <c r="O124" s="644"/>
    </row>
    <row r="125" ht="25.5" customHeight="1">
      <c r="A125" s="635"/>
      <c r="B125" s="1238"/>
      <c r="C125" s="620"/>
      <c r="D125" s="613"/>
      <c r="E125" s="675"/>
      <c r="F125" s="675"/>
      <c r="G125" s="189"/>
      <c r="H125" s="1093"/>
      <c r="I125" s="675"/>
      <c r="J125" s="189"/>
      <c r="K125" s="189"/>
      <c r="L125" s="675"/>
      <c r="M125" s="676"/>
      <c r="O125" s="644"/>
    </row>
    <row r="126" ht="25.5" customHeight="1">
      <c r="A126" s="635"/>
      <c r="B126" s="1238"/>
      <c r="C126" s="620"/>
      <c r="D126" s="613"/>
      <c r="E126" s="675"/>
      <c r="F126" s="675"/>
      <c r="G126" s="189"/>
      <c r="H126" s="1093"/>
      <c r="I126" s="675"/>
      <c r="J126" s="189"/>
      <c r="K126" s="189"/>
      <c r="L126" s="675"/>
      <c r="M126" s="676"/>
      <c r="O126" s="644"/>
    </row>
    <row r="127" ht="25.5" customHeight="1">
      <c r="A127" s="635"/>
      <c r="B127" s="1238"/>
      <c r="C127" s="620"/>
      <c r="D127" s="613"/>
      <c r="E127" s="675"/>
      <c r="F127" s="675"/>
      <c r="G127" s="189"/>
      <c r="H127" s="1093"/>
      <c r="I127" s="675"/>
      <c r="J127" s="189"/>
      <c r="K127" s="189"/>
      <c r="L127" s="675"/>
      <c r="M127" s="676"/>
      <c r="O127" s="644"/>
    </row>
    <row r="128" ht="25.5" customHeight="1">
      <c r="A128" s="635"/>
      <c r="B128" s="1238"/>
      <c r="C128" s="620"/>
      <c r="D128" s="613"/>
      <c r="E128" s="675"/>
      <c r="F128" s="675"/>
      <c r="G128" s="189"/>
      <c r="H128" s="1093"/>
      <c r="I128" s="675"/>
      <c r="J128" s="189"/>
      <c r="K128" s="189"/>
      <c r="L128" s="675"/>
      <c r="M128" s="676"/>
      <c r="O128" s="644"/>
    </row>
    <row r="129" ht="25.5" customHeight="1">
      <c r="A129" s="635"/>
      <c r="B129" s="1238"/>
      <c r="C129" s="620"/>
      <c r="D129" s="613"/>
      <c r="E129" s="675"/>
      <c r="F129" s="675"/>
      <c r="G129" s="189"/>
      <c r="H129" s="1093"/>
      <c r="I129" s="675"/>
      <c r="J129" s="189"/>
      <c r="K129" s="189"/>
      <c r="L129" s="675"/>
      <c r="M129" s="676"/>
      <c r="O129" s="644"/>
    </row>
    <row r="130" ht="25.5" customHeight="1">
      <c r="A130" s="635"/>
      <c r="B130" s="1238"/>
      <c r="C130" s="620"/>
      <c r="D130" s="613"/>
      <c r="E130" s="675"/>
      <c r="F130" s="675"/>
      <c r="G130" s="189"/>
      <c r="H130" s="1093"/>
      <c r="I130" s="675"/>
      <c r="J130" s="189"/>
      <c r="K130" s="189"/>
      <c r="L130" s="675"/>
      <c r="M130" s="676"/>
      <c r="O130" s="644"/>
    </row>
    <row r="131" ht="25.5" customHeight="1">
      <c r="A131" s="635"/>
      <c r="B131" s="1238"/>
      <c r="C131" s="620"/>
      <c r="D131" s="613"/>
      <c r="E131" s="675"/>
      <c r="F131" s="675"/>
      <c r="G131" s="189"/>
      <c r="H131" s="1093"/>
      <c r="I131" s="675"/>
      <c r="J131" s="189"/>
      <c r="K131" s="189"/>
      <c r="L131" s="675"/>
      <c r="M131" s="676"/>
      <c r="O131" s="644"/>
    </row>
    <row r="132" ht="25.5" customHeight="1">
      <c r="A132" s="635"/>
      <c r="B132" s="1238"/>
      <c r="C132" s="620"/>
      <c r="D132" s="613"/>
      <c r="E132" s="675"/>
      <c r="F132" s="675"/>
      <c r="G132" s="189"/>
      <c r="H132" s="1093"/>
      <c r="I132" s="675"/>
      <c r="J132" s="189"/>
      <c r="K132" s="189"/>
      <c r="L132" s="675"/>
      <c r="M132" s="676"/>
      <c r="O132" s="644"/>
    </row>
    <row r="133" ht="25.5" customHeight="1">
      <c r="A133" s="635"/>
      <c r="B133" s="1238"/>
      <c r="C133" s="620"/>
      <c r="D133" s="613"/>
      <c r="E133" s="675"/>
      <c r="F133" s="675"/>
      <c r="G133" s="189"/>
      <c r="H133" s="1093"/>
      <c r="I133" s="675"/>
      <c r="J133" s="189"/>
      <c r="K133" s="189"/>
      <c r="L133" s="675"/>
      <c r="M133" s="676"/>
      <c r="O133" s="644"/>
    </row>
    <row r="134" ht="25.5" customHeight="1">
      <c r="A134" s="635"/>
      <c r="B134" s="1238"/>
      <c r="C134" s="620"/>
      <c r="D134" s="613"/>
      <c r="E134" s="675"/>
      <c r="F134" s="675"/>
      <c r="G134" s="189"/>
      <c r="H134" s="1093"/>
      <c r="I134" s="675"/>
      <c r="J134" s="189"/>
      <c r="K134" s="189"/>
      <c r="L134" s="675"/>
      <c r="M134" s="676"/>
      <c r="O134" s="644"/>
    </row>
    <row r="135" ht="25.5" customHeight="1">
      <c r="A135" s="635"/>
      <c r="B135" s="1238"/>
      <c r="C135" s="620"/>
      <c r="D135" s="613"/>
      <c r="E135" s="675"/>
      <c r="F135" s="675"/>
      <c r="G135" s="189"/>
      <c r="H135" s="1093"/>
      <c r="I135" s="675"/>
      <c r="J135" s="189"/>
      <c r="K135" s="189"/>
      <c r="L135" s="675"/>
      <c r="M135" s="676"/>
      <c r="O135" s="644"/>
    </row>
    <row r="136" ht="25.5" customHeight="1">
      <c r="A136" s="635"/>
      <c r="B136" s="1238"/>
      <c r="C136" s="620"/>
      <c r="D136" s="613"/>
      <c r="E136" s="675"/>
      <c r="F136" s="675"/>
      <c r="G136" s="189"/>
      <c r="H136" s="1093"/>
      <c r="I136" s="675"/>
      <c r="J136" s="189"/>
      <c r="K136" s="189"/>
      <c r="L136" s="675"/>
      <c r="M136" s="676"/>
      <c r="O136" s="644"/>
    </row>
    <row r="137" ht="25.5" customHeight="1">
      <c r="A137" s="635"/>
      <c r="B137" s="1238"/>
      <c r="C137" s="620"/>
      <c r="D137" s="613"/>
      <c r="E137" s="675"/>
      <c r="F137" s="675"/>
      <c r="G137" s="189"/>
      <c r="H137" s="1093"/>
      <c r="I137" s="675"/>
      <c r="J137" s="189"/>
      <c r="K137" s="189"/>
      <c r="L137" s="675"/>
      <c r="M137" s="676"/>
      <c r="O137" s="644"/>
    </row>
    <row r="138" ht="25.5" customHeight="1">
      <c r="A138" s="635"/>
      <c r="B138" s="1238"/>
      <c r="C138" s="620"/>
      <c r="D138" s="613"/>
      <c r="E138" s="675"/>
      <c r="F138" s="675"/>
      <c r="G138" s="189"/>
      <c r="H138" s="1093"/>
      <c r="I138" s="675"/>
      <c r="J138" s="189"/>
      <c r="K138" s="189"/>
      <c r="L138" s="675"/>
      <c r="M138" s="676"/>
      <c r="O138" s="644"/>
    </row>
    <row r="139" ht="25.5" customHeight="1">
      <c r="A139" s="635"/>
      <c r="B139" s="1238"/>
      <c r="C139" s="620"/>
      <c r="D139" s="613"/>
      <c r="E139" s="675"/>
      <c r="F139" s="675"/>
      <c r="G139" s="189"/>
      <c r="H139" s="1093"/>
      <c r="I139" s="675"/>
      <c r="J139" s="189"/>
      <c r="K139" s="189"/>
      <c r="L139" s="675"/>
      <c r="M139" s="676"/>
      <c r="O139" s="644"/>
    </row>
    <row r="140" ht="25.5" customHeight="1">
      <c r="A140" s="635"/>
      <c r="B140" s="1238"/>
      <c r="C140" s="620"/>
      <c r="D140" s="613"/>
      <c r="E140" s="675"/>
      <c r="F140" s="675"/>
      <c r="G140" s="189"/>
      <c r="H140" s="1093"/>
      <c r="I140" s="675"/>
      <c r="J140" s="189"/>
      <c r="K140" s="189"/>
      <c r="L140" s="675"/>
      <c r="M140" s="676"/>
      <c r="O140" s="644"/>
    </row>
    <row r="141" ht="25.5" customHeight="1">
      <c r="A141" s="635"/>
      <c r="B141" s="1238"/>
      <c r="C141" s="620"/>
      <c r="D141" s="613"/>
      <c r="E141" s="675"/>
      <c r="F141" s="675"/>
      <c r="G141" s="189"/>
      <c r="H141" s="1093"/>
      <c r="I141" s="675"/>
      <c r="J141" s="189"/>
      <c r="K141" s="189"/>
      <c r="L141" s="675"/>
      <c r="M141" s="676"/>
      <c r="O141" s="644"/>
    </row>
    <row r="142" ht="25.5" customHeight="1">
      <c r="A142" s="635"/>
      <c r="B142" s="1238"/>
      <c r="C142" s="620"/>
      <c r="D142" s="613"/>
      <c r="E142" s="675"/>
      <c r="F142" s="675"/>
      <c r="G142" s="189"/>
      <c r="H142" s="1093"/>
      <c r="I142" s="675"/>
      <c r="J142" s="189"/>
      <c r="K142" s="189"/>
      <c r="L142" s="675"/>
      <c r="M142" s="676"/>
      <c r="O142" s="644"/>
    </row>
    <row r="143" ht="25.5" customHeight="1">
      <c r="A143" s="635"/>
      <c r="B143" s="1238"/>
      <c r="C143" s="620"/>
      <c r="D143" s="613"/>
      <c r="E143" s="675"/>
      <c r="F143" s="675"/>
      <c r="G143" s="189"/>
      <c r="H143" s="1093"/>
      <c r="I143" s="675"/>
      <c r="J143" s="189"/>
      <c r="K143" s="189"/>
      <c r="L143" s="675"/>
      <c r="M143" s="676"/>
      <c r="O143" s="644"/>
    </row>
    <row r="144" ht="25.5" customHeight="1">
      <c r="A144" s="635"/>
      <c r="B144" s="1238"/>
      <c r="C144" s="620"/>
      <c r="D144" s="613"/>
      <c r="E144" s="675"/>
      <c r="F144" s="675"/>
      <c r="G144" s="189"/>
      <c r="H144" s="1093"/>
      <c r="I144" s="675"/>
      <c r="J144" s="189"/>
      <c r="K144" s="189"/>
      <c r="L144" s="675"/>
      <c r="M144" s="676"/>
      <c r="O144" s="644"/>
    </row>
    <row r="145" ht="25.5" customHeight="1">
      <c r="A145" s="635"/>
      <c r="B145" s="1238"/>
      <c r="C145" s="620"/>
      <c r="D145" s="613"/>
      <c r="E145" s="675"/>
      <c r="F145" s="675"/>
      <c r="G145" s="189"/>
      <c r="H145" s="1093"/>
      <c r="I145" s="675"/>
      <c r="J145" s="189"/>
      <c r="K145" s="189"/>
      <c r="L145" s="675"/>
      <c r="M145" s="676"/>
      <c r="O145" s="644"/>
    </row>
    <row r="146" ht="25.5" customHeight="1">
      <c r="A146" s="635"/>
      <c r="B146" s="1238"/>
      <c r="C146" s="620"/>
      <c r="D146" s="613"/>
      <c r="E146" s="675"/>
      <c r="F146" s="675"/>
      <c r="G146" s="189"/>
      <c r="H146" s="1093"/>
      <c r="I146" s="675"/>
      <c r="J146" s="189"/>
      <c r="K146" s="189"/>
      <c r="L146" s="675"/>
      <c r="M146" s="676"/>
      <c r="O146" s="644"/>
    </row>
    <row r="147" ht="25.5" customHeight="1">
      <c r="A147" s="635"/>
      <c r="B147" s="1238"/>
      <c r="C147" s="620"/>
      <c r="D147" s="613"/>
      <c r="E147" s="675"/>
      <c r="F147" s="675"/>
      <c r="G147" s="189"/>
      <c r="H147" s="1093"/>
      <c r="I147" s="675"/>
      <c r="J147" s="189"/>
      <c r="K147" s="189"/>
      <c r="L147" s="675"/>
      <c r="M147" s="676"/>
      <c r="O147" s="644"/>
    </row>
    <row r="148" ht="25.5" customHeight="1">
      <c r="A148" s="635"/>
      <c r="B148" s="1238"/>
      <c r="C148" s="620"/>
      <c r="D148" s="613"/>
      <c r="E148" s="675"/>
      <c r="F148" s="675"/>
      <c r="G148" s="189"/>
      <c r="H148" s="1093"/>
      <c r="I148" s="675"/>
      <c r="J148" s="189"/>
      <c r="K148" s="189"/>
      <c r="L148" s="675"/>
      <c r="M148" s="676"/>
      <c r="O148" s="644"/>
    </row>
    <row r="149" ht="25.5" customHeight="1">
      <c r="A149" s="635"/>
      <c r="B149" s="1238"/>
      <c r="C149" s="620"/>
      <c r="D149" s="613"/>
      <c r="E149" s="675"/>
      <c r="F149" s="675"/>
      <c r="G149" s="189"/>
      <c r="H149" s="1093"/>
      <c r="I149" s="675"/>
      <c r="J149" s="189"/>
      <c r="K149" s="189"/>
      <c r="L149" s="675"/>
      <c r="M149" s="676"/>
      <c r="O149" s="644"/>
    </row>
    <row r="150" ht="25.5" customHeight="1">
      <c r="A150" s="635"/>
      <c r="B150" s="1238"/>
      <c r="C150" s="620"/>
      <c r="D150" s="613"/>
      <c r="E150" s="675"/>
      <c r="F150" s="675"/>
      <c r="G150" s="189"/>
      <c r="H150" s="1093"/>
      <c r="I150" s="675"/>
      <c r="J150" s="189"/>
      <c r="K150" s="189"/>
      <c r="L150" s="675"/>
      <c r="M150" s="676"/>
      <c r="O150" s="644"/>
    </row>
    <row r="151" ht="25.5" customHeight="1">
      <c r="A151" s="635"/>
      <c r="B151" s="1238"/>
      <c r="C151" s="620"/>
      <c r="D151" s="613"/>
      <c r="E151" s="675"/>
      <c r="F151" s="675"/>
      <c r="G151" s="189"/>
      <c r="H151" s="1093"/>
      <c r="I151" s="675"/>
      <c r="J151" s="189"/>
      <c r="K151" s="189"/>
      <c r="L151" s="675"/>
      <c r="M151" s="676"/>
      <c r="O151" s="644"/>
    </row>
    <row r="152" ht="25.5" customHeight="1">
      <c r="A152" s="635"/>
      <c r="B152" s="1238"/>
      <c r="C152" s="620"/>
      <c r="D152" s="613"/>
      <c r="E152" s="675"/>
      <c r="F152" s="675"/>
      <c r="G152" s="189"/>
      <c r="H152" s="1093"/>
      <c r="I152" s="675"/>
      <c r="J152" s="189"/>
      <c r="K152" s="189"/>
      <c r="L152" s="675"/>
      <c r="M152" s="676"/>
      <c r="O152" s="644"/>
    </row>
    <row r="153" ht="25.5" customHeight="1">
      <c r="A153" s="635"/>
      <c r="B153" s="1238"/>
      <c r="C153" s="620"/>
      <c r="D153" s="613"/>
      <c r="E153" s="675"/>
      <c r="F153" s="675"/>
      <c r="G153" s="189"/>
      <c r="H153" s="1093"/>
      <c r="I153" s="675"/>
      <c r="J153" s="189"/>
      <c r="K153" s="189"/>
      <c r="L153" s="675"/>
      <c r="M153" s="676"/>
      <c r="O153" s="644"/>
    </row>
    <row r="154" ht="25.5" customHeight="1">
      <c r="A154" s="635"/>
      <c r="B154" s="1238"/>
      <c r="C154" s="620"/>
      <c r="D154" s="613"/>
      <c r="E154" s="675"/>
      <c r="F154" s="675"/>
      <c r="G154" s="189"/>
      <c r="H154" s="1093"/>
      <c r="I154" s="675"/>
      <c r="J154" s="189"/>
      <c r="K154" s="189"/>
      <c r="L154" s="675"/>
      <c r="M154" s="676"/>
      <c r="O154" s="644"/>
    </row>
    <row r="155" ht="25.5" customHeight="1">
      <c r="A155" s="635"/>
      <c r="B155" s="1238"/>
      <c r="C155" s="620"/>
      <c r="D155" s="613"/>
      <c r="E155" s="675"/>
      <c r="F155" s="675"/>
      <c r="G155" s="189"/>
      <c r="H155" s="1093"/>
      <c r="I155" s="675"/>
      <c r="J155" s="189"/>
      <c r="K155" s="189"/>
      <c r="L155" s="675"/>
      <c r="M155" s="676"/>
      <c r="O155" s="644"/>
    </row>
    <row r="156" ht="25.5" customHeight="1">
      <c r="A156" s="635"/>
      <c r="B156" s="1238"/>
      <c r="C156" s="620"/>
      <c r="D156" s="613"/>
      <c r="E156" s="675"/>
      <c r="F156" s="675"/>
      <c r="G156" s="189"/>
      <c r="H156" s="1093"/>
      <c r="I156" s="675"/>
      <c r="J156" s="189"/>
      <c r="K156" s="189"/>
      <c r="L156" s="675"/>
      <c r="M156" s="676"/>
      <c r="O156" s="644"/>
    </row>
    <row r="157" ht="25.5" customHeight="1">
      <c r="A157" s="635"/>
      <c r="B157" s="1238"/>
      <c r="C157" s="620"/>
      <c r="D157" s="613"/>
      <c r="E157" s="675"/>
      <c r="F157" s="675"/>
      <c r="G157" s="189"/>
      <c r="H157" s="1093"/>
      <c r="I157" s="675"/>
      <c r="J157" s="189"/>
      <c r="K157" s="189"/>
      <c r="L157" s="675"/>
      <c r="M157" s="676"/>
      <c r="O157" s="644"/>
    </row>
    <row r="158" ht="25.5" customHeight="1">
      <c r="A158" s="635"/>
      <c r="B158" s="1238"/>
      <c r="C158" s="620"/>
      <c r="D158" s="613"/>
      <c r="E158" s="675"/>
      <c r="F158" s="675"/>
      <c r="G158" s="189"/>
      <c r="H158" s="1093"/>
      <c r="I158" s="675"/>
      <c r="J158" s="189"/>
      <c r="K158" s="189"/>
      <c r="L158" s="675"/>
      <c r="M158" s="676"/>
      <c r="O158" s="644"/>
    </row>
    <row r="159" ht="25.5" customHeight="1">
      <c r="A159" s="635"/>
      <c r="B159" s="1238"/>
      <c r="C159" s="620"/>
      <c r="D159" s="613"/>
      <c r="E159" s="675"/>
      <c r="F159" s="675"/>
      <c r="G159" s="189"/>
      <c r="H159" s="1093"/>
      <c r="I159" s="675"/>
      <c r="J159" s="189"/>
      <c r="K159" s="189"/>
      <c r="L159" s="675"/>
      <c r="M159" s="676"/>
      <c r="O159" s="644"/>
    </row>
    <row r="160" ht="25.5" customHeight="1">
      <c r="A160" s="635"/>
      <c r="B160" s="1238"/>
      <c r="C160" s="620"/>
      <c r="D160" s="613"/>
      <c r="E160" s="675"/>
      <c r="F160" s="675"/>
      <c r="G160" s="189"/>
      <c r="H160" s="1093"/>
      <c r="I160" s="675"/>
      <c r="J160" s="189"/>
      <c r="K160" s="189"/>
      <c r="L160" s="675"/>
      <c r="M160" s="676"/>
      <c r="O160" s="644"/>
    </row>
    <row r="161" ht="25.5" customHeight="1">
      <c r="A161" s="635"/>
      <c r="B161" s="1238"/>
      <c r="C161" s="620"/>
      <c r="D161" s="613"/>
      <c r="E161" s="675"/>
      <c r="F161" s="675"/>
      <c r="G161" s="189"/>
      <c r="H161" s="1093"/>
      <c r="I161" s="675"/>
      <c r="J161" s="189"/>
      <c r="K161" s="189"/>
      <c r="L161" s="675"/>
      <c r="M161" s="676"/>
      <c r="O161" s="644"/>
    </row>
    <row r="162" ht="25.5" customHeight="1">
      <c r="A162" s="635"/>
      <c r="B162" s="1238"/>
      <c r="C162" s="620"/>
      <c r="D162" s="613"/>
      <c r="E162" s="675"/>
      <c r="F162" s="675"/>
      <c r="G162" s="189"/>
      <c r="H162" s="1093"/>
      <c r="I162" s="675"/>
      <c r="J162" s="189"/>
      <c r="K162" s="189"/>
      <c r="L162" s="675"/>
      <c r="M162" s="676"/>
      <c r="O162" s="644"/>
    </row>
    <row r="163" ht="25.5" customHeight="1">
      <c r="A163" s="635"/>
      <c r="B163" s="1238"/>
      <c r="C163" s="620"/>
      <c r="D163" s="613"/>
      <c r="E163" s="675"/>
      <c r="F163" s="675"/>
      <c r="G163" s="189"/>
      <c r="H163" s="1093"/>
      <c r="I163" s="675"/>
      <c r="J163" s="189"/>
      <c r="K163" s="189"/>
      <c r="L163" s="675"/>
      <c r="M163" s="676"/>
      <c r="O163" s="644"/>
    </row>
    <row r="164" ht="25.5" customHeight="1">
      <c r="A164" s="635"/>
      <c r="B164" s="1238"/>
      <c r="C164" s="620"/>
      <c r="D164" s="613"/>
      <c r="E164" s="675"/>
      <c r="F164" s="675"/>
      <c r="G164" s="189"/>
      <c r="H164" s="1093"/>
      <c r="I164" s="675"/>
      <c r="J164" s="189"/>
      <c r="K164" s="189"/>
      <c r="L164" s="675"/>
      <c r="M164" s="676"/>
      <c r="O164" s="644"/>
    </row>
    <row r="165" ht="25.5" customHeight="1">
      <c r="A165" s="635"/>
      <c r="B165" s="1238"/>
      <c r="C165" s="620"/>
      <c r="D165" s="613"/>
      <c r="E165" s="675"/>
      <c r="F165" s="675"/>
      <c r="G165" s="189"/>
      <c r="H165" s="1093"/>
      <c r="I165" s="675"/>
      <c r="J165" s="189"/>
      <c r="K165" s="189"/>
      <c r="L165" s="675"/>
      <c r="M165" s="676"/>
      <c r="O165" s="644"/>
    </row>
    <row r="166" ht="25.5" customHeight="1">
      <c r="A166" s="635"/>
      <c r="B166" s="1238"/>
      <c r="C166" s="620"/>
      <c r="D166" s="613"/>
      <c r="E166" s="675"/>
      <c r="F166" s="675"/>
      <c r="G166" s="189"/>
      <c r="H166" s="1093"/>
      <c r="I166" s="675"/>
      <c r="J166" s="189"/>
      <c r="K166" s="189"/>
      <c r="L166" s="675"/>
      <c r="M166" s="676"/>
      <c r="O166" s="644"/>
    </row>
    <row r="167" ht="25.5" customHeight="1">
      <c r="A167" s="635"/>
      <c r="B167" s="1238"/>
      <c r="C167" s="620"/>
      <c r="D167" s="613"/>
      <c r="E167" s="675"/>
      <c r="F167" s="675"/>
      <c r="G167" s="189"/>
      <c r="H167" s="1093"/>
      <c r="I167" s="675"/>
      <c r="J167" s="189"/>
      <c r="K167" s="189"/>
      <c r="L167" s="675"/>
      <c r="M167" s="676"/>
      <c r="O167" s="644"/>
    </row>
    <row r="168" ht="25.5" customHeight="1">
      <c r="A168" s="635"/>
      <c r="B168" s="1238"/>
      <c r="C168" s="620"/>
      <c r="D168" s="613"/>
      <c r="E168" s="675"/>
      <c r="F168" s="675"/>
      <c r="G168" s="189"/>
      <c r="H168" s="1093"/>
      <c r="I168" s="675"/>
      <c r="J168" s="189"/>
      <c r="K168" s="189"/>
      <c r="L168" s="675"/>
      <c r="M168" s="676"/>
      <c r="O168" s="644"/>
    </row>
    <row r="169" ht="25.5" customHeight="1">
      <c r="A169" s="635"/>
      <c r="B169" s="1238"/>
      <c r="C169" s="620"/>
      <c r="D169" s="613"/>
      <c r="E169" s="675"/>
      <c r="F169" s="675"/>
      <c r="G169" s="189"/>
      <c r="H169" s="1093"/>
      <c r="I169" s="675"/>
      <c r="J169" s="189"/>
      <c r="K169" s="189"/>
      <c r="L169" s="675"/>
      <c r="M169" s="676"/>
      <c r="O169" s="644"/>
    </row>
    <row r="170" ht="25.5" customHeight="1">
      <c r="A170" s="635"/>
      <c r="B170" s="1238"/>
      <c r="C170" s="620"/>
      <c r="D170" s="613"/>
      <c r="E170" s="675"/>
      <c r="F170" s="675"/>
      <c r="G170" s="189"/>
      <c r="H170" s="1093"/>
      <c r="I170" s="675"/>
      <c r="J170" s="189"/>
      <c r="K170" s="189"/>
      <c r="L170" s="675"/>
      <c r="M170" s="676"/>
      <c r="O170" s="644"/>
    </row>
    <row r="171" ht="25.5" customHeight="1">
      <c r="A171" s="635"/>
      <c r="B171" s="1238"/>
      <c r="C171" s="620"/>
      <c r="D171" s="613"/>
      <c r="E171" s="675"/>
      <c r="F171" s="675"/>
      <c r="G171" s="189"/>
      <c r="H171" s="1093"/>
      <c r="I171" s="675"/>
      <c r="J171" s="189"/>
      <c r="K171" s="189"/>
      <c r="L171" s="675"/>
      <c r="M171" s="676"/>
      <c r="O171" s="644"/>
    </row>
    <row r="172" ht="25.5" customHeight="1">
      <c r="A172" s="635"/>
      <c r="B172" s="1238"/>
      <c r="C172" s="620"/>
      <c r="D172" s="613"/>
      <c r="E172" s="675"/>
      <c r="F172" s="675"/>
      <c r="G172" s="189"/>
      <c r="H172" s="1093"/>
      <c r="I172" s="675"/>
      <c r="J172" s="189"/>
      <c r="K172" s="189"/>
      <c r="L172" s="675"/>
      <c r="M172" s="676"/>
      <c r="O172" s="644"/>
    </row>
    <row r="173" ht="25.5" customHeight="1">
      <c r="A173" s="635"/>
      <c r="B173" s="1238"/>
      <c r="C173" s="620"/>
      <c r="D173" s="613"/>
      <c r="E173" s="675"/>
      <c r="F173" s="675"/>
      <c r="G173" s="189"/>
      <c r="H173" s="1093"/>
      <c r="I173" s="675"/>
      <c r="J173" s="189"/>
      <c r="K173" s="189"/>
      <c r="L173" s="675"/>
      <c r="M173" s="676"/>
      <c r="O173" s="644"/>
    </row>
    <row r="174" ht="25.5" customHeight="1">
      <c r="A174" s="635"/>
      <c r="B174" s="1238"/>
      <c r="C174" s="620"/>
      <c r="D174" s="613"/>
      <c r="E174" s="675"/>
      <c r="F174" s="675"/>
      <c r="G174" s="189"/>
      <c r="H174" s="1093"/>
      <c r="I174" s="675"/>
      <c r="J174" s="189"/>
      <c r="K174" s="189"/>
      <c r="L174" s="675"/>
      <c r="M174" s="676"/>
      <c r="O174" s="644"/>
    </row>
    <row r="175" ht="25.5" customHeight="1">
      <c r="A175" s="635"/>
      <c r="B175" s="1238"/>
      <c r="C175" s="620"/>
      <c r="D175" s="613"/>
      <c r="E175" s="675"/>
      <c r="F175" s="675"/>
      <c r="G175" s="189"/>
      <c r="H175" s="1093"/>
      <c r="I175" s="675"/>
      <c r="J175" s="189"/>
      <c r="K175" s="189"/>
      <c r="L175" s="675"/>
      <c r="M175" s="676"/>
      <c r="O175" s="644"/>
    </row>
    <row r="176" ht="25.5" customHeight="1">
      <c r="A176" s="635"/>
      <c r="B176" s="1238"/>
      <c r="C176" s="620"/>
      <c r="D176" s="613"/>
      <c r="E176" s="675"/>
      <c r="F176" s="675"/>
      <c r="G176" s="189"/>
      <c r="H176" s="1093"/>
      <c r="I176" s="675"/>
      <c r="J176" s="189"/>
      <c r="K176" s="189"/>
      <c r="L176" s="675"/>
      <c r="M176" s="676"/>
      <c r="O176" s="644"/>
    </row>
    <row r="177" ht="25.5" customHeight="1">
      <c r="A177" s="635"/>
      <c r="B177" s="1238"/>
      <c r="C177" s="620"/>
      <c r="D177" s="613"/>
      <c r="E177" s="675"/>
      <c r="F177" s="675"/>
      <c r="G177" s="189"/>
      <c r="H177" s="1093"/>
      <c r="I177" s="675"/>
      <c r="J177" s="189"/>
      <c r="K177" s="189"/>
      <c r="L177" s="675"/>
      <c r="M177" s="676"/>
      <c r="O177" s="644"/>
    </row>
    <row r="178" ht="25.5" customHeight="1">
      <c r="A178" s="635"/>
      <c r="B178" s="1238"/>
      <c r="C178" s="620"/>
      <c r="D178" s="613"/>
      <c r="E178" s="675"/>
      <c r="F178" s="675"/>
      <c r="G178" s="189"/>
      <c r="H178" s="1093"/>
      <c r="I178" s="675"/>
      <c r="J178" s="189"/>
      <c r="K178" s="189"/>
      <c r="L178" s="675"/>
      <c r="M178" s="676"/>
      <c r="O178" s="644"/>
    </row>
    <row r="179" ht="25.5" customHeight="1">
      <c r="A179" s="635"/>
      <c r="B179" s="1238"/>
      <c r="C179" s="620"/>
      <c r="D179" s="613"/>
      <c r="E179" s="675"/>
      <c r="F179" s="675"/>
      <c r="G179" s="189"/>
      <c r="H179" s="1093"/>
      <c r="I179" s="675"/>
      <c r="J179" s="189"/>
      <c r="K179" s="189"/>
      <c r="L179" s="675"/>
      <c r="M179" s="676"/>
      <c r="O179" s="644"/>
    </row>
    <row r="180" ht="25.5" customHeight="1">
      <c r="A180" s="635"/>
      <c r="B180" s="1238"/>
      <c r="C180" s="620"/>
      <c r="D180" s="613"/>
      <c r="E180" s="675"/>
      <c r="F180" s="675"/>
      <c r="G180" s="189"/>
      <c r="H180" s="1093"/>
      <c r="I180" s="675"/>
      <c r="J180" s="189"/>
      <c r="K180" s="189"/>
      <c r="L180" s="675"/>
      <c r="M180" s="676"/>
      <c r="O180" s="644"/>
    </row>
    <row r="181" ht="25.5" customHeight="1">
      <c r="A181" s="635"/>
      <c r="B181" s="1238"/>
      <c r="C181" s="620"/>
      <c r="D181" s="613"/>
      <c r="E181" s="675"/>
      <c r="F181" s="675"/>
      <c r="G181" s="189"/>
      <c r="H181" s="1093"/>
      <c r="I181" s="675"/>
      <c r="J181" s="189"/>
      <c r="K181" s="189"/>
      <c r="L181" s="675"/>
      <c r="M181" s="676"/>
      <c r="O181" s="644"/>
    </row>
    <row r="182" ht="25.5" customHeight="1">
      <c r="A182" s="635"/>
      <c r="B182" s="1238"/>
      <c r="C182" s="620"/>
      <c r="D182" s="613"/>
      <c r="E182" s="675"/>
      <c r="F182" s="675"/>
      <c r="G182" s="189"/>
      <c r="H182" s="1093"/>
      <c r="I182" s="675"/>
      <c r="J182" s="189"/>
      <c r="K182" s="189"/>
      <c r="L182" s="675"/>
      <c r="M182" s="676"/>
      <c r="O182" s="644"/>
    </row>
    <row r="183" ht="25.5" customHeight="1">
      <c r="A183" s="635"/>
      <c r="B183" s="1238"/>
      <c r="C183" s="620"/>
      <c r="D183" s="613"/>
      <c r="E183" s="675"/>
      <c r="F183" s="675"/>
      <c r="G183" s="189"/>
      <c r="H183" s="1093"/>
      <c r="I183" s="675"/>
      <c r="J183" s="189"/>
      <c r="K183" s="189"/>
      <c r="L183" s="675"/>
      <c r="M183" s="676"/>
      <c r="O183" s="644"/>
    </row>
    <row r="184" ht="25.5" customHeight="1">
      <c r="A184" s="635"/>
      <c r="B184" s="1238"/>
      <c r="C184" s="620"/>
      <c r="D184" s="613"/>
      <c r="E184" s="675"/>
      <c r="F184" s="675"/>
      <c r="G184" s="189"/>
      <c r="H184" s="1093"/>
      <c r="I184" s="675"/>
      <c r="J184" s="189"/>
      <c r="K184" s="189"/>
      <c r="L184" s="675"/>
      <c r="M184" s="676"/>
      <c r="O184" s="644"/>
    </row>
    <row r="185" ht="25.5" customHeight="1">
      <c r="A185" s="635"/>
      <c r="B185" s="1238"/>
      <c r="C185" s="620"/>
      <c r="D185" s="613"/>
      <c r="E185" s="675"/>
      <c r="F185" s="675"/>
      <c r="G185" s="189"/>
      <c r="H185" s="1093"/>
      <c r="I185" s="675"/>
      <c r="J185" s="189"/>
      <c r="K185" s="189"/>
      <c r="L185" s="675"/>
      <c r="M185" s="676"/>
      <c r="O185" s="644"/>
    </row>
    <row r="186" ht="25.5" customHeight="1">
      <c r="A186" s="635"/>
      <c r="B186" s="1238"/>
      <c r="C186" s="620"/>
      <c r="D186" s="613"/>
      <c r="E186" s="675"/>
      <c r="F186" s="675"/>
      <c r="G186" s="189"/>
      <c r="H186" s="1093"/>
      <c r="I186" s="675"/>
      <c r="J186" s="189"/>
      <c r="K186" s="189"/>
      <c r="L186" s="675"/>
      <c r="M186" s="676"/>
      <c r="O186" s="644"/>
    </row>
    <row r="187" ht="25.5" customHeight="1">
      <c r="A187" s="635"/>
      <c r="B187" s="1238"/>
      <c r="C187" s="620"/>
      <c r="D187" s="613"/>
      <c r="E187" s="675"/>
      <c r="F187" s="675"/>
      <c r="G187" s="189"/>
      <c r="H187" s="1093"/>
      <c r="I187" s="675"/>
      <c r="J187" s="189"/>
      <c r="K187" s="189"/>
      <c r="L187" s="675"/>
      <c r="M187" s="676"/>
      <c r="O187" s="644"/>
    </row>
    <row r="188" ht="25.5" customHeight="1">
      <c r="A188" s="635"/>
      <c r="B188" s="1238"/>
      <c r="C188" s="620"/>
      <c r="D188" s="613"/>
      <c r="E188" s="675"/>
      <c r="F188" s="675"/>
      <c r="G188" s="189"/>
      <c r="H188" s="1093"/>
      <c r="I188" s="675"/>
      <c r="J188" s="189"/>
      <c r="K188" s="189"/>
      <c r="L188" s="675"/>
      <c r="M188" s="676"/>
      <c r="O188" s="644"/>
    </row>
    <row r="189" ht="25.5" customHeight="1">
      <c r="A189" s="635"/>
      <c r="B189" s="1238"/>
      <c r="C189" s="620"/>
      <c r="D189" s="613"/>
      <c r="E189" s="675"/>
      <c r="F189" s="675"/>
      <c r="G189" s="189"/>
      <c r="H189" s="1093"/>
      <c r="I189" s="675"/>
      <c r="J189" s="189"/>
      <c r="K189" s="189"/>
      <c r="L189" s="675"/>
      <c r="M189" s="676"/>
      <c r="O189" s="644"/>
    </row>
    <row r="190" ht="25.5" customHeight="1">
      <c r="A190" s="635"/>
      <c r="B190" s="1238"/>
      <c r="C190" s="620"/>
      <c r="D190" s="613"/>
      <c r="E190" s="675"/>
      <c r="F190" s="675"/>
      <c r="G190" s="189"/>
      <c r="H190" s="1093"/>
      <c r="I190" s="675"/>
      <c r="J190" s="189"/>
      <c r="K190" s="189"/>
      <c r="L190" s="675"/>
      <c r="M190" s="676"/>
      <c r="O190" s="644"/>
    </row>
    <row r="191" ht="25.5" customHeight="1">
      <c r="A191" s="635"/>
      <c r="B191" s="1238"/>
      <c r="C191" s="620"/>
      <c r="D191" s="613"/>
      <c r="E191" s="675"/>
      <c r="F191" s="675"/>
      <c r="G191" s="189"/>
      <c r="H191" s="1093"/>
      <c r="I191" s="675"/>
      <c r="J191" s="189"/>
      <c r="K191" s="189"/>
      <c r="L191" s="675"/>
      <c r="M191" s="676"/>
      <c r="O191" s="644"/>
    </row>
    <row r="192" ht="25.5" customHeight="1">
      <c r="A192" s="635"/>
      <c r="B192" s="1238"/>
      <c r="C192" s="620"/>
      <c r="D192" s="613"/>
      <c r="E192" s="675"/>
      <c r="F192" s="675"/>
      <c r="G192" s="189"/>
      <c r="H192" s="1093"/>
      <c r="I192" s="675"/>
      <c r="J192" s="189"/>
      <c r="K192" s="189"/>
      <c r="L192" s="675"/>
      <c r="M192" s="676"/>
      <c r="O192" s="644"/>
    </row>
    <row r="193" ht="25.5" customHeight="1">
      <c r="A193" s="635"/>
      <c r="B193" s="1238"/>
      <c r="C193" s="620"/>
      <c r="D193" s="613"/>
      <c r="E193" s="675"/>
      <c r="F193" s="675"/>
      <c r="G193" s="189"/>
      <c r="H193" s="1093"/>
      <c r="I193" s="675"/>
      <c r="J193" s="189"/>
      <c r="K193" s="189"/>
      <c r="L193" s="675"/>
      <c r="M193" s="676"/>
      <c r="O193" s="644"/>
    </row>
    <row r="194" ht="25.5" customHeight="1">
      <c r="A194" s="635"/>
      <c r="B194" s="1238"/>
      <c r="C194" s="620"/>
      <c r="D194" s="613"/>
      <c r="E194" s="675"/>
      <c r="F194" s="675"/>
      <c r="G194" s="189"/>
      <c r="H194" s="1093"/>
      <c r="I194" s="675"/>
      <c r="J194" s="189"/>
      <c r="K194" s="189"/>
      <c r="L194" s="675"/>
      <c r="M194" s="676"/>
      <c r="O194" s="644"/>
    </row>
    <row r="195" ht="25.5" customHeight="1">
      <c r="A195" s="635"/>
      <c r="B195" s="1238"/>
      <c r="C195" s="620"/>
      <c r="D195" s="613"/>
      <c r="E195" s="675"/>
      <c r="F195" s="675"/>
      <c r="G195" s="189"/>
      <c r="H195" s="1093"/>
      <c r="I195" s="675"/>
      <c r="J195" s="189"/>
      <c r="K195" s="189"/>
      <c r="L195" s="675"/>
      <c r="M195" s="676"/>
      <c r="O195" s="644"/>
    </row>
    <row r="196" ht="25.5" customHeight="1">
      <c r="A196" s="635"/>
      <c r="B196" s="1238"/>
      <c r="C196" s="620"/>
      <c r="D196" s="613"/>
      <c r="E196" s="675"/>
      <c r="F196" s="675"/>
      <c r="G196" s="189"/>
      <c r="H196" s="1093"/>
      <c r="I196" s="675"/>
      <c r="J196" s="189"/>
      <c r="K196" s="189"/>
      <c r="L196" s="675"/>
      <c r="M196" s="676"/>
      <c r="O196" s="644"/>
    </row>
    <row r="197" ht="25.5" customHeight="1">
      <c r="A197" s="635"/>
      <c r="B197" s="1238"/>
      <c r="C197" s="620"/>
      <c r="D197" s="613"/>
      <c r="E197" s="675"/>
      <c r="F197" s="675"/>
      <c r="G197" s="189"/>
      <c r="H197" s="1093"/>
      <c r="I197" s="675"/>
      <c r="J197" s="189"/>
      <c r="K197" s="189"/>
      <c r="L197" s="675"/>
      <c r="M197" s="676"/>
      <c r="O197" s="644"/>
    </row>
    <row r="198" ht="25.5" customHeight="1">
      <c r="A198" s="635"/>
      <c r="B198" s="1238"/>
      <c r="C198" s="620"/>
      <c r="D198" s="613"/>
      <c r="E198" s="675"/>
      <c r="F198" s="675"/>
      <c r="G198" s="189"/>
      <c r="H198" s="1093"/>
      <c r="I198" s="675"/>
      <c r="J198" s="189"/>
      <c r="K198" s="189"/>
      <c r="L198" s="675"/>
      <c r="M198" s="676"/>
      <c r="O198" s="644"/>
    </row>
    <row r="199" ht="25.5" customHeight="1">
      <c r="A199" s="635"/>
      <c r="B199" s="1238"/>
      <c r="C199" s="620"/>
      <c r="D199" s="613"/>
      <c r="E199" s="675"/>
      <c r="F199" s="675"/>
      <c r="G199" s="189"/>
      <c r="H199" s="1093"/>
      <c r="I199" s="675"/>
      <c r="J199" s="189"/>
      <c r="K199" s="189"/>
      <c r="L199" s="675"/>
      <c r="M199" s="676"/>
      <c r="O199" s="644"/>
    </row>
    <row r="200" ht="25.5" customHeight="1">
      <c r="A200" s="635"/>
      <c r="B200" s="1238"/>
      <c r="C200" s="620"/>
      <c r="D200" s="613"/>
      <c r="E200" s="675"/>
      <c r="F200" s="675"/>
      <c r="G200" s="189"/>
      <c r="H200" s="1093"/>
      <c r="I200" s="675"/>
      <c r="J200" s="189"/>
      <c r="K200" s="189"/>
      <c r="L200" s="675"/>
      <c r="M200" s="676"/>
      <c r="O200" s="644"/>
    </row>
    <row r="201" ht="25.5" customHeight="1">
      <c r="A201" s="635"/>
      <c r="B201" s="1238"/>
      <c r="C201" s="620"/>
      <c r="D201" s="613"/>
      <c r="E201" s="675"/>
      <c r="F201" s="675"/>
      <c r="G201" s="189"/>
      <c r="H201" s="1093"/>
      <c r="I201" s="675"/>
      <c r="J201" s="189"/>
      <c r="K201" s="189"/>
      <c r="L201" s="675"/>
      <c r="M201" s="676"/>
      <c r="O201" s="644"/>
    </row>
    <row r="202" ht="25.5" customHeight="1">
      <c r="A202" s="635"/>
      <c r="B202" s="1238"/>
      <c r="C202" s="620"/>
      <c r="D202" s="613"/>
      <c r="E202" s="675"/>
      <c r="F202" s="675"/>
      <c r="G202" s="189"/>
      <c r="H202" s="1093"/>
      <c r="I202" s="675"/>
      <c r="J202" s="189"/>
      <c r="K202" s="189"/>
      <c r="L202" s="675"/>
      <c r="M202" s="676"/>
      <c r="O202" s="644"/>
    </row>
    <row r="203" ht="25.5" customHeight="1">
      <c r="A203" s="635"/>
      <c r="B203" s="1238"/>
      <c r="C203" s="620"/>
      <c r="D203" s="613"/>
      <c r="E203" s="675"/>
      <c r="F203" s="675"/>
      <c r="G203" s="189"/>
      <c r="H203" s="1093"/>
      <c r="I203" s="675"/>
      <c r="J203" s="189"/>
      <c r="K203" s="189"/>
      <c r="L203" s="675"/>
      <c r="M203" s="676"/>
      <c r="O203" s="644"/>
    </row>
    <row r="204" ht="25.5" customHeight="1">
      <c r="A204" s="635"/>
      <c r="B204" s="1238"/>
      <c r="C204" s="620"/>
      <c r="D204" s="613"/>
      <c r="E204" s="675"/>
      <c r="F204" s="675"/>
      <c r="G204" s="189"/>
      <c r="H204" s="1093"/>
      <c r="I204" s="675"/>
      <c r="J204" s="189"/>
      <c r="K204" s="189"/>
      <c r="L204" s="675"/>
      <c r="M204" s="676"/>
      <c r="O204" s="644"/>
    </row>
    <row r="205" ht="25.5" customHeight="1">
      <c r="A205" s="635"/>
      <c r="B205" s="1238"/>
      <c r="C205" s="620"/>
      <c r="D205" s="613"/>
      <c r="E205" s="675"/>
      <c r="F205" s="675"/>
      <c r="G205" s="189"/>
      <c r="H205" s="1093"/>
      <c r="I205" s="675"/>
      <c r="J205" s="189"/>
      <c r="K205" s="189"/>
      <c r="L205" s="675"/>
      <c r="M205" s="676"/>
      <c r="O205" s="644"/>
    </row>
    <row r="206" ht="25.5" customHeight="1">
      <c r="A206" s="635"/>
      <c r="B206" s="1238"/>
      <c r="C206" s="620"/>
      <c r="D206" s="613"/>
      <c r="E206" s="675"/>
      <c r="F206" s="675"/>
      <c r="G206" s="189"/>
      <c r="H206" s="1093"/>
      <c r="I206" s="675"/>
      <c r="J206" s="189"/>
      <c r="K206" s="189"/>
      <c r="L206" s="675"/>
      <c r="M206" s="676"/>
      <c r="O206" s="644"/>
    </row>
    <row r="207" ht="25.5" customHeight="1">
      <c r="A207" s="635"/>
      <c r="B207" s="1238"/>
      <c r="C207" s="620"/>
      <c r="D207" s="613"/>
      <c r="E207" s="675"/>
      <c r="F207" s="675"/>
      <c r="G207" s="189"/>
      <c r="H207" s="1093"/>
      <c r="I207" s="675"/>
      <c r="J207" s="189"/>
      <c r="K207" s="189"/>
      <c r="L207" s="675"/>
      <c r="M207" s="676"/>
      <c r="O207" s="644"/>
    </row>
    <row r="208" ht="25.5" customHeight="1">
      <c r="A208" s="635"/>
      <c r="B208" s="1238"/>
      <c r="C208" s="620"/>
      <c r="D208" s="613"/>
      <c r="E208" s="675"/>
      <c r="F208" s="675"/>
      <c r="G208" s="189"/>
      <c r="H208" s="1093"/>
      <c r="I208" s="675"/>
      <c r="J208" s="189"/>
      <c r="K208" s="189"/>
      <c r="L208" s="675"/>
      <c r="M208" s="676"/>
      <c r="O208" s="644"/>
    </row>
    <row r="209" ht="25.5" customHeight="1">
      <c r="A209" s="635"/>
      <c r="B209" s="1238"/>
      <c r="C209" s="620"/>
      <c r="D209" s="613"/>
      <c r="E209" s="675"/>
      <c r="F209" s="675"/>
      <c r="G209" s="189"/>
      <c r="H209" s="1093"/>
      <c r="I209" s="675"/>
      <c r="J209" s="189"/>
      <c r="K209" s="189"/>
      <c r="L209" s="675"/>
      <c r="M209" s="676"/>
      <c r="O209" s="644"/>
    </row>
    <row r="210" ht="25.5" customHeight="1">
      <c r="A210" s="635"/>
      <c r="B210" s="1238"/>
      <c r="C210" s="620"/>
      <c r="D210" s="613"/>
      <c r="E210" s="675"/>
      <c r="F210" s="675"/>
      <c r="G210" s="189"/>
      <c r="H210" s="1093"/>
      <c r="I210" s="675"/>
      <c r="J210" s="189"/>
      <c r="K210" s="189"/>
      <c r="L210" s="675"/>
      <c r="M210" s="676"/>
      <c r="O210" s="644"/>
    </row>
    <row r="211" ht="25.5" customHeight="1">
      <c r="A211" s="635"/>
      <c r="B211" s="1238"/>
      <c r="C211" s="620"/>
      <c r="D211" s="613"/>
      <c r="E211" s="675"/>
      <c r="F211" s="675"/>
      <c r="G211" s="189"/>
      <c r="H211" s="1093"/>
      <c r="I211" s="675"/>
      <c r="J211" s="189"/>
      <c r="K211" s="189"/>
      <c r="L211" s="675"/>
      <c r="M211" s="676"/>
      <c r="O211" s="644"/>
    </row>
    <row r="212" ht="25.5" customHeight="1">
      <c r="A212" s="635"/>
      <c r="B212" s="1238"/>
      <c r="C212" s="620"/>
      <c r="D212" s="613"/>
      <c r="E212" s="675"/>
      <c r="F212" s="675"/>
      <c r="G212" s="189"/>
      <c r="H212" s="1093"/>
      <c r="I212" s="675"/>
      <c r="J212" s="189"/>
      <c r="K212" s="189"/>
      <c r="L212" s="675"/>
      <c r="M212" s="676"/>
      <c r="O212" s="644"/>
    </row>
    <row r="213" ht="25.5" customHeight="1">
      <c r="A213" s="635"/>
      <c r="B213" s="1238"/>
      <c r="C213" s="620"/>
      <c r="D213" s="613"/>
      <c r="E213" s="675"/>
      <c r="F213" s="675"/>
      <c r="G213" s="189"/>
      <c r="H213" s="1093"/>
      <c r="I213" s="675"/>
      <c r="J213" s="189"/>
      <c r="K213" s="189"/>
      <c r="L213" s="675"/>
      <c r="M213" s="676"/>
      <c r="O213" s="644"/>
    </row>
    <row r="214" ht="25.5" customHeight="1">
      <c r="A214" s="635"/>
      <c r="B214" s="1238"/>
      <c r="C214" s="620"/>
      <c r="D214" s="613"/>
      <c r="E214" s="675"/>
      <c r="F214" s="675"/>
      <c r="G214" s="189"/>
      <c r="H214" s="1093"/>
      <c r="I214" s="675"/>
      <c r="J214" s="189"/>
      <c r="K214" s="189"/>
      <c r="L214" s="675"/>
      <c r="M214" s="676"/>
      <c r="O214" s="644"/>
    </row>
    <row r="215" ht="25.5" customHeight="1">
      <c r="A215" s="635"/>
      <c r="B215" s="1238"/>
      <c r="C215" s="620"/>
      <c r="D215" s="613"/>
      <c r="E215" s="675"/>
      <c r="F215" s="675"/>
      <c r="G215" s="189"/>
      <c r="H215" s="1093"/>
      <c r="I215" s="675"/>
      <c r="J215" s="189"/>
      <c r="K215" s="189"/>
      <c r="L215" s="675"/>
      <c r="M215" s="676"/>
      <c r="O215" s="644"/>
    </row>
    <row r="216" ht="25.5" customHeight="1">
      <c r="A216" s="635"/>
      <c r="B216" s="1238"/>
      <c r="C216" s="620"/>
      <c r="D216" s="613"/>
      <c r="E216" s="675"/>
      <c r="F216" s="675"/>
      <c r="G216" s="189"/>
      <c r="H216" s="1093"/>
      <c r="I216" s="675"/>
      <c r="J216" s="189"/>
      <c r="K216" s="189"/>
      <c r="L216" s="675"/>
      <c r="M216" s="676"/>
      <c r="O216" s="644"/>
    </row>
    <row r="217" ht="25.5" customHeight="1">
      <c r="A217" s="635"/>
      <c r="B217" s="1238"/>
      <c r="C217" s="620"/>
      <c r="D217" s="613"/>
      <c r="E217" s="675"/>
      <c r="F217" s="675"/>
      <c r="G217" s="189"/>
      <c r="H217" s="1093"/>
      <c r="I217" s="675"/>
      <c r="J217" s="189"/>
      <c r="K217" s="189"/>
      <c r="L217" s="675"/>
      <c r="M217" s="676"/>
      <c r="O217" s="644"/>
    </row>
    <row r="218" ht="25.5" customHeight="1">
      <c r="A218" s="635"/>
      <c r="B218" s="1238"/>
      <c r="C218" s="620"/>
      <c r="D218" s="613"/>
      <c r="E218" s="675"/>
      <c r="F218" s="675"/>
      <c r="G218" s="189"/>
      <c r="H218" s="1093"/>
      <c r="I218" s="675"/>
      <c r="J218" s="189"/>
      <c r="K218" s="189"/>
      <c r="L218" s="675"/>
      <c r="M218" s="676"/>
      <c r="O218" s="644"/>
    </row>
    <row r="219" ht="25.5" customHeight="1">
      <c r="A219" s="635"/>
      <c r="B219" s="1238"/>
      <c r="C219" s="620"/>
      <c r="D219" s="613"/>
      <c r="E219" s="675"/>
      <c r="F219" s="675"/>
      <c r="G219" s="189"/>
      <c r="H219" s="1093"/>
      <c r="I219" s="675"/>
      <c r="J219" s="189"/>
      <c r="K219" s="189"/>
      <c r="L219" s="675"/>
      <c r="M219" s="676"/>
      <c r="O219" s="644"/>
    </row>
    <row r="220" ht="25.5" customHeight="1">
      <c r="A220" s="635"/>
      <c r="B220" s="1238"/>
      <c r="C220" s="620"/>
      <c r="D220" s="613"/>
      <c r="E220" s="675"/>
      <c r="F220" s="675"/>
      <c r="G220" s="189"/>
      <c r="H220" s="1093"/>
      <c r="I220" s="675"/>
      <c r="J220" s="189"/>
      <c r="K220" s="189"/>
      <c r="L220" s="675"/>
      <c r="M220" s="676"/>
      <c r="O220" s="644"/>
    </row>
    <row r="221" ht="25.5" customHeight="1">
      <c r="A221" s="635"/>
      <c r="B221" s="1238"/>
      <c r="C221" s="620"/>
      <c r="D221" s="613"/>
      <c r="E221" s="675"/>
      <c r="F221" s="675"/>
      <c r="G221" s="189"/>
      <c r="H221" s="1093"/>
      <c r="I221" s="675"/>
      <c r="J221" s="189"/>
      <c r="K221" s="189"/>
      <c r="L221" s="675"/>
      <c r="M221" s="676"/>
      <c r="O221" s="644"/>
    </row>
    <row r="222" ht="25.5" customHeight="1">
      <c r="A222" s="635"/>
      <c r="B222" s="1238"/>
      <c r="C222" s="620"/>
      <c r="D222" s="613"/>
      <c r="E222" s="675"/>
      <c r="F222" s="675"/>
      <c r="G222" s="189"/>
      <c r="H222" s="1093"/>
      <c r="I222" s="675"/>
      <c r="J222" s="189"/>
      <c r="K222" s="189"/>
      <c r="L222" s="675"/>
      <c r="M222" s="676"/>
      <c r="O222" s="644"/>
    </row>
    <row r="223" ht="25.5" customHeight="1">
      <c r="A223" s="635"/>
      <c r="B223" s="1238"/>
      <c r="C223" s="620"/>
      <c r="D223" s="613"/>
      <c r="E223" s="675"/>
      <c r="F223" s="675"/>
      <c r="G223" s="189"/>
      <c r="H223" s="1093"/>
      <c r="I223" s="675"/>
      <c r="J223" s="189"/>
      <c r="K223" s="189"/>
      <c r="L223" s="675"/>
      <c r="M223" s="676"/>
      <c r="O223" s="644"/>
    </row>
    <row r="224" ht="25.5" customHeight="1">
      <c r="A224" s="635"/>
      <c r="B224" s="1238"/>
      <c r="C224" s="620"/>
      <c r="D224" s="613"/>
      <c r="E224" s="675"/>
      <c r="F224" s="675"/>
      <c r="G224" s="189"/>
      <c r="H224" s="1093"/>
      <c r="I224" s="675"/>
      <c r="J224" s="189"/>
      <c r="K224" s="189"/>
      <c r="L224" s="675"/>
      <c r="M224" s="676"/>
      <c r="O224" s="644"/>
    </row>
    <row r="225" ht="25.5" customHeight="1">
      <c r="A225" s="635"/>
      <c r="B225" s="1238"/>
      <c r="C225" s="620"/>
      <c r="D225" s="613"/>
      <c r="E225" s="675"/>
      <c r="F225" s="675"/>
      <c r="G225" s="189"/>
      <c r="H225" s="1093"/>
      <c r="I225" s="675"/>
      <c r="J225" s="189"/>
      <c r="K225" s="189"/>
      <c r="L225" s="675"/>
      <c r="M225" s="676"/>
      <c r="O225" s="644"/>
    </row>
    <row r="226" ht="25.5" customHeight="1">
      <c r="A226" s="635"/>
      <c r="B226" s="1238"/>
      <c r="C226" s="620"/>
      <c r="D226" s="613"/>
      <c r="E226" s="675"/>
      <c r="F226" s="675"/>
      <c r="G226" s="189"/>
      <c r="H226" s="1093"/>
      <c r="I226" s="675"/>
      <c r="J226" s="189"/>
      <c r="K226" s="189"/>
      <c r="L226" s="675"/>
      <c r="M226" s="676"/>
      <c r="O226" s="644"/>
    </row>
    <row r="227" ht="25.5" customHeight="1">
      <c r="A227" s="635"/>
      <c r="B227" s="1238"/>
      <c r="C227" s="620"/>
      <c r="D227" s="613"/>
      <c r="E227" s="675"/>
      <c r="F227" s="675"/>
      <c r="G227" s="189"/>
      <c r="H227" s="1093"/>
      <c r="I227" s="675"/>
      <c r="J227" s="189"/>
      <c r="K227" s="189"/>
      <c r="L227" s="675"/>
      <c r="M227" s="676"/>
      <c r="O227" s="644"/>
    </row>
    <row r="228" ht="25.5" customHeight="1">
      <c r="A228" s="635"/>
      <c r="B228" s="1238"/>
      <c r="C228" s="620"/>
      <c r="D228" s="613"/>
      <c r="E228" s="675"/>
      <c r="F228" s="675"/>
      <c r="G228" s="189"/>
      <c r="H228" s="1093"/>
      <c r="I228" s="675"/>
      <c r="J228" s="189"/>
      <c r="K228" s="189"/>
      <c r="L228" s="675"/>
      <c r="M228" s="676"/>
      <c r="O228" s="644"/>
    </row>
    <row r="229" ht="25.5" customHeight="1">
      <c r="A229" s="635"/>
      <c r="B229" s="1238"/>
      <c r="C229" s="620"/>
      <c r="D229" s="613"/>
      <c r="E229" s="675"/>
      <c r="F229" s="675"/>
      <c r="G229" s="189"/>
      <c r="H229" s="1093"/>
      <c r="I229" s="675"/>
      <c r="J229" s="189"/>
      <c r="K229" s="189"/>
      <c r="L229" s="675"/>
      <c r="M229" s="676"/>
      <c r="O229" s="644"/>
    </row>
    <row r="230" ht="25.5" customHeight="1">
      <c r="A230" s="635"/>
      <c r="B230" s="1238"/>
      <c r="C230" s="620"/>
      <c r="D230" s="613"/>
      <c r="E230" s="675"/>
      <c r="F230" s="675"/>
      <c r="G230" s="189"/>
      <c r="H230" s="1093"/>
      <c r="I230" s="675"/>
      <c r="J230" s="189"/>
      <c r="K230" s="189"/>
      <c r="L230" s="675"/>
      <c r="M230" s="676"/>
      <c r="O230" s="644"/>
    </row>
    <row r="231" ht="25.5" customHeight="1">
      <c r="A231" s="635"/>
      <c r="B231" s="1238"/>
      <c r="C231" s="620"/>
      <c r="D231" s="613"/>
      <c r="E231" s="675"/>
      <c r="F231" s="675"/>
      <c r="G231" s="189"/>
      <c r="H231" s="1093"/>
      <c r="I231" s="675"/>
      <c r="J231" s="189"/>
      <c r="K231" s="189"/>
      <c r="L231" s="675"/>
      <c r="M231" s="676"/>
      <c r="O231" s="644"/>
    </row>
    <row r="232" ht="25.5" customHeight="1">
      <c r="A232" s="635"/>
      <c r="B232" s="1238"/>
      <c r="C232" s="620"/>
      <c r="D232" s="613"/>
      <c r="E232" s="675"/>
      <c r="F232" s="675"/>
      <c r="G232" s="189"/>
      <c r="H232" s="1093"/>
      <c r="I232" s="675"/>
      <c r="J232" s="189"/>
      <c r="K232" s="189"/>
      <c r="L232" s="675"/>
      <c r="M232" s="676"/>
      <c r="O232" s="644"/>
    </row>
    <row r="233" ht="25.5" customHeight="1">
      <c r="A233" s="635"/>
      <c r="B233" s="1238"/>
      <c r="C233" s="620"/>
      <c r="D233" s="613"/>
      <c r="E233" s="675"/>
      <c r="F233" s="675"/>
      <c r="G233" s="189"/>
      <c r="H233" s="1093"/>
      <c r="I233" s="675"/>
      <c r="J233" s="189"/>
      <c r="K233" s="189"/>
      <c r="L233" s="675"/>
      <c r="M233" s="676"/>
      <c r="O233" s="644"/>
    </row>
    <row r="234" ht="25.5" customHeight="1">
      <c r="A234" s="635"/>
      <c r="B234" s="1238"/>
      <c r="C234" s="620"/>
      <c r="D234" s="613"/>
      <c r="E234" s="675"/>
      <c r="F234" s="675"/>
      <c r="G234" s="189"/>
      <c r="H234" s="1093"/>
      <c r="I234" s="675"/>
      <c r="J234" s="189"/>
      <c r="K234" s="189"/>
      <c r="L234" s="675"/>
      <c r="M234" s="676"/>
      <c r="O234" s="644"/>
    </row>
    <row r="235" ht="25.5" customHeight="1">
      <c r="A235" s="635"/>
      <c r="B235" s="1238"/>
      <c r="C235" s="620"/>
      <c r="D235" s="613"/>
      <c r="E235" s="675"/>
      <c r="F235" s="675"/>
      <c r="G235" s="189"/>
      <c r="H235" s="1093"/>
      <c r="I235" s="675"/>
      <c r="J235" s="189"/>
      <c r="K235" s="189"/>
      <c r="L235" s="675"/>
      <c r="M235" s="676"/>
      <c r="O235" s="644"/>
    </row>
    <row r="236" ht="25.5" customHeight="1">
      <c r="A236" s="635"/>
      <c r="B236" s="1238"/>
      <c r="C236" s="620"/>
      <c r="D236" s="613"/>
      <c r="E236" s="675"/>
      <c r="F236" s="675"/>
      <c r="G236" s="189"/>
      <c r="H236" s="1093"/>
      <c r="I236" s="675"/>
      <c r="J236" s="189"/>
      <c r="K236" s="189"/>
      <c r="L236" s="675"/>
      <c r="M236" s="676"/>
      <c r="O236" s="644"/>
    </row>
    <row r="237" ht="25.5" customHeight="1">
      <c r="A237" s="635"/>
      <c r="B237" s="1238"/>
      <c r="C237" s="620"/>
      <c r="D237" s="613"/>
      <c r="E237" s="675"/>
      <c r="F237" s="675"/>
      <c r="G237" s="189"/>
      <c r="H237" s="1093"/>
      <c r="I237" s="675"/>
      <c r="J237" s="189"/>
      <c r="K237" s="189"/>
      <c r="L237" s="675"/>
      <c r="M237" s="676"/>
      <c r="O237" s="644"/>
    </row>
    <row r="238" ht="25.5" customHeight="1">
      <c r="A238" s="635"/>
      <c r="B238" s="1238"/>
      <c r="C238" s="620"/>
      <c r="D238" s="613"/>
      <c r="E238" s="675"/>
      <c r="F238" s="675"/>
      <c r="G238" s="189"/>
      <c r="H238" s="1093"/>
      <c r="I238" s="675"/>
      <c r="J238" s="189"/>
      <c r="K238" s="189"/>
      <c r="L238" s="675"/>
      <c r="M238" s="676"/>
      <c r="O238" s="644"/>
    </row>
    <row r="239" ht="25.5" customHeight="1">
      <c r="A239" s="635"/>
      <c r="B239" s="1238"/>
      <c r="C239" s="620"/>
      <c r="D239" s="613"/>
      <c r="E239" s="675"/>
      <c r="F239" s="675"/>
      <c r="G239" s="189"/>
      <c r="H239" s="1093"/>
      <c r="I239" s="675"/>
      <c r="J239" s="189"/>
      <c r="K239" s="189"/>
      <c r="L239" s="675"/>
      <c r="M239" s="676"/>
      <c r="O239" s="644"/>
    </row>
    <row r="240" ht="25.5" customHeight="1">
      <c r="A240" s="635"/>
      <c r="B240" s="1238"/>
      <c r="C240" s="620"/>
      <c r="D240" s="613"/>
      <c r="E240" s="675"/>
      <c r="F240" s="675"/>
      <c r="G240" s="189"/>
      <c r="H240" s="1093"/>
      <c r="I240" s="675"/>
      <c r="J240" s="189"/>
      <c r="K240" s="189"/>
      <c r="L240" s="675"/>
      <c r="M240" s="676"/>
      <c r="O240" s="644"/>
    </row>
    <row r="241" ht="25.5" customHeight="1">
      <c r="A241" s="635"/>
      <c r="B241" s="1238"/>
      <c r="C241" s="620"/>
      <c r="D241" s="613"/>
      <c r="E241" s="675"/>
      <c r="F241" s="675"/>
      <c r="G241" s="189"/>
      <c r="H241" s="1093"/>
      <c r="I241" s="675"/>
      <c r="J241" s="189"/>
      <c r="K241" s="189"/>
      <c r="L241" s="675"/>
      <c r="M241" s="676"/>
      <c r="O241" s="644"/>
    </row>
    <row r="242" ht="25.5" customHeight="1">
      <c r="A242" s="635"/>
      <c r="B242" s="1238"/>
      <c r="C242" s="620"/>
      <c r="D242" s="613"/>
      <c r="E242" s="675"/>
      <c r="F242" s="675"/>
      <c r="G242" s="189"/>
      <c r="H242" s="1093"/>
      <c r="I242" s="675"/>
      <c r="J242" s="189"/>
      <c r="K242" s="189"/>
      <c r="L242" s="675"/>
      <c r="M242" s="676"/>
      <c r="O242" s="644"/>
    </row>
    <row r="243" ht="25.5" customHeight="1">
      <c r="A243" s="635"/>
      <c r="B243" s="1238"/>
      <c r="C243" s="620"/>
      <c r="D243" s="613"/>
      <c r="E243" s="675"/>
      <c r="F243" s="675"/>
      <c r="G243" s="189"/>
      <c r="H243" s="1093"/>
      <c r="I243" s="675"/>
      <c r="J243" s="189"/>
      <c r="K243" s="189"/>
      <c r="L243" s="675"/>
      <c r="M243" s="676"/>
      <c r="O243" s="644"/>
    </row>
    <row r="244" ht="25.5" customHeight="1">
      <c r="A244" s="635"/>
      <c r="B244" s="1238"/>
      <c r="C244" s="620"/>
      <c r="D244" s="613"/>
      <c r="E244" s="675"/>
      <c r="F244" s="675"/>
      <c r="G244" s="189"/>
      <c r="H244" s="1093"/>
      <c r="I244" s="675"/>
      <c r="J244" s="189"/>
      <c r="K244" s="189"/>
      <c r="L244" s="675"/>
      <c r="M244" s="676"/>
      <c r="O244" s="644"/>
    </row>
    <row r="245" ht="25.5" customHeight="1">
      <c r="A245" s="635"/>
      <c r="B245" s="1238"/>
      <c r="C245" s="620"/>
      <c r="D245" s="613"/>
      <c r="E245" s="675"/>
      <c r="F245" s="675"/>
      <c r="G245" s="189"/>
      <c r="H245" s="1093"/>
      <c r="I245" s="675"/>
      <c r="J245" s="189"/>
      <c r="K245" s="189"/>
      <c r="L245" s="675"/>
      <c r="M245" s="676"/>
      <c r="O245" s="644"/>
    </row>
    <row r="246" ht="25.5" customHeight="1">
      <c r="A246" s="635"/>
      <c r="B246" s="1238"/>
      <c r="C246" s="620"/>
      <c r="D246" s="613"/>
      <c r="E246" s="675"/>
      <c r="F246" s="675"/>
      <c r="G246" s="189"/>
      <c r="H246" s="1093"/>
      <c r="I246" s="675"/>
      <c r="J246" s="189"/>
      <c r="K246" s="189"/>
      <c r="L246" s="675"/>
      <c r="M246" s="676"/>
      <c r="O246" s="644"/>
    </row>
    <row r="247" ht="25.5" customHeight="1">
      <c r="A247" s="635"/>
      <c r="B247" s="1238"/>
      <c r="C247" s="620"/>
      <c r="D247" s="613"/>
      <c r="E247" s="675"/>
      <c r="F247" s="675"/>
      <c r="G247" s="189"/>
      <c r="H247" s="1093"/>
      <c r="I247" s="675"/>
      <c r="J247" s="189"/>
      <c r="K247" s="189"/>
      <c r="L247" s="675"/>
      <c r="M247" s="676"/>
      <c r="O247" s="644"/>
    </row>
    <row r="248" ht="25.5" customHeight="1">
      <c r="A248" s="635"/>
      <c r="B248" s="1238"/>
      <c r="C248" s="620"/>
      <c r="D248" s="613"/>
      <c r="E248" s="675"/>
      <c r="F248" s="675"/>
      <c r="G248" s="189"/>
      <c r="H248" s="1093"/>
      <c r="I248" s="675"/>
      <c r="J248" s="189"/>
      <c r="K248" s="189"/>
      <c r="L248" s="675"/>
      <c r="M248" s="676"/>
      <c r="O248" s="644"/>
    </row>
    <row r="249" ht="25.5" customHeight="1">
      <c r="A249" s="635"/>
      <c r="B249" s="1238"/>
      <c r="C249" s="620"/>
      <c r="D249" s="613"/>
      <c r="E249" s="675"/>
      <c r="F249" s="675"/>
      <c r="G249" s="189"/>
      <c r="H249" s="1093"/>
      <c r="I249" s="675"/>
      <c r="J249" s="189"/>
      <c r="K249" s="189"/>
      <c r="L249" s="675"/>
      <c r="M249" s="676"/>
      <c r="O249" s="644"/>
    </row>
    <row r="250" ht="25.5" customHeight="1">
      <c r="A250" s="635"/>
      <c r="B250" s="1238"/>
      <c r="C250" s="620"/>
      <c r="D250" s="613"/>
      <c r="E250" s="675"/>
      <c r="F250" s="675"/>
      <c r="G250" s="189"/>
      <c r="H250" s="1093"/>
      <c r="I250" s="675"/>
      <c r="J250" s="189"/>
      <c r="K250" s="189"/>
      <c r="L250" s="675"/>
      <c r="M250" s="676"/>
      <c r="O250" s="644"/>
    </row>
    <row r="251" ht="25.5" customHeight="1">
      <c r="A251" s="635"/>
      <c r="B251" s="1238"/>
      <c r="C251" s="620"/>
      <c r="D251" s="613"/>
      <c r="E251" s="675"/>
      <c r="F251" s="675"/>
      <c r="G251" s="189"/>
      <c r="H251" s="1093"/>
      <c r="I251" s="675"/>
      <c r="J251" s="189"/>
      <c r="K251" s="189"/>
      <c r="L251" s="675"/>
      <c r="M251" s="676"/>
      <c r="O251" s="644"/>
    </row>
    <row r="252" ht="25.5" customHeight="1">
      <c r="A252" s="635"/>
      <c r="B252" s="1238"/>
      <c r="C252" s="620"/>
      <c r="D252" s="613"/>
      <c r="E252" s="675"/>
      <c r="F252" s="675"/>
      <c r="G252" s="189"/>
      <c r="H252" s="1093"/>
      <c r="I252" s="675"/>
      <c r="J252" s="189"/>
      <c r="K252" s="189"/>
      <c r="L252" s="675"/>
      <c r="M252" s="676"/>
      <c r="O252" s="644"/>
    </row>
    <row r="253" ht="25.5" customHeight="1">
      <c r="A253" s="635"/>
      <c r="B253" s="1238"/>
      <c r="C253" s="620"/>
      <c r="D253" s="613"/>
      <c r="E253" s="675"/>
      <c r="F253" s="675"/>
      <c r="G253" s="189"/>
      <c r="H253" s="1093"/>
      <c r="I253" s="675"/>
      <c r="J253" s="189"/>
      <c r="K253" s="189"/>
      <c r="L253" s="675"/>
      <c r="M253" s="676"/>
      <c r="O253" s="644"/>
    </row>
    <row r="254" ht="25.5" customHeight="1">
      <c r="A254" s="635"/>
      <c r="B254" s="1238"/>
      <c r="C254" s="620"/>
      <c r="D254" s="613"/>
      <c r="E254" s="675"/>
      <c r="F254" s="675"/>
      <c r="G254" s="189"/>
      <c r="H254" s="1093"/>
      <c r="I254" s="675"/>
      <c r="J254" s="189"/>
      <c r="K254" s="189"/>
      <c r="L254" s="675"/>
      <c r="M254" s="676"/>
      <c r="O254" s="644"/>
    </row>
    <row r="255" ht="25.5" customHeight="1">
      <c r="A255" s="635"/>
      <c r="B255" s="1238"/>
      <c r="C255" s="620"/>
      <c r="D255" s="613"/>
      <c r="E255" s="675"/>
      <c r="F255" s="675"/>
      <c r="G255" s="189"/>
      <c r="H255" s="1093"/>
      <c r="I255" s="675"/>
      <c r="J255" s="189"/>
      <c r="K255" s="189"/>
      <c r="L255" s="675"/>
      <c r="M255" s="676"/>
      <c r="O255" s="644"/>
    </row>
    <row r="256" ht="25.5" customHeight="1">
      <c r="A256" s="635"/>
      <c r="B256" s="1238"/>
      <c r="C256" s="620"/>
      <c r="D256" s="613"/>
      <c r="E256" s="675"/>
      <c r="F256" s="675"/>
      <c r="G256" s="189"/>
      <c r="H256" s="1093"/>
      <c r="I256" s="675"/>
      <c r="J256" s="189"/>
      <c r="K256" s="189"/>
      <c r="L256" s="675"/>
      <c r="M256" s="676"/>
      <c r="O256" s="644"/>
    </row>
    <row r="257" ht="25.5" customHeight="1">
      <c r="A257" s="635"/>
      <c r="B257" s="1238"/>
      <c r="C257" s="620"/>
      <c r="D257" s="613"/>
      <c r="E257" s="675"/>
      <c r="F257" s="675"/>
      <c r="G257" s="189"/>
      <c r="H257" s="1093"/>
      <c r="I257" s="675"/>
      <c r="J257" s="189"/>
      <c r="K257" s="189"/>
      <c r="L257" s="675"/>
      <c r="M257" s="676"/>
      <c r="O257" s="644"/>
    </row>
    <row r="258" ht="25.5" customHeight="1">
      <c r="A258" s="635"/>
      <c r="B258" s="1238"/>
      <c r="C258" s="620"/>
      <c r="D258" s="613"/>
      <c r="E258" s="675"/>
      <c r="F258" s="675"/>
      <c r="G258" s="189"/>
      <c r="H258" s="1093"/>
      <c r="I258" s="675"/>
      <c r="J258" s="189"/>
      <c r="K258" s="189"/>
      <c r="L258" s="675"/>
      <c r="M258" s="676"/>
      <c r="O258" s="644"/>
    </row>
    <row r="259" ht="25.5" customHeight="1">
      <c r="A259" s="635"/>
      <c r="B259" s="1238"/>
      <c r="C259" s="620"/>
      <c r="D259" s="613"/>
      <c r="E259" s="675"/>
      <c r="F259" s="675"/>
      <c r="G259" s="189"/>
      <c r="H259" s="1093"/>
      <c r="I259" s="675"/>
      <c r="J259" s="189"/>
      <c r="K259" s="189"/>
      <c r="L259" s="675"/>
      <c r="M259" s="676"/>
      <c r="O259" s="644"/>
    </row>
    <row r="260" ht="25.5" customHeight="1">
      <c r="A260" s="635"/>
      <c r="B260" s="1238"/>
      <c r="C260" s="620"/>
      <c r="D260" s="613"/>
      <c r="E260" s="675"/>
      <c r="F260" s="675"/>
      <c r="G260" s="189"/>
      <c r="H260" s="1093"/>
      <c r="I260" s="675"/>
      <c r="J260" s="189"/>
      <c r="K260" s="189"/>
      <c r="L260" s="675"/>
      <c r="M260" s="676"/>
      <c r="O260" s="644"/>
    </row>
    <row r="261" ht="25.5" customHeight="1">
      <c r="A261" s="635"/>
      <c r="B261" s="1238"/>
      <c r="C261" s="620"/>
      <c r="D261" s="613"/>
      <c r="E261" s="675"/>
      <c r="F261" s="675"/>
      <c r="G261" s="189"/>
      <c r="H261" s="1093"/>
      <c r="I261" s="675"/>
      <c r="J261" s="189"/>
      <c r="K261" s="189"/>
      <c r="L261" s="675"/>
      <c r="M261" s="676"/>
      <c r="O261" s="644"/>
    </row>
    <row r="262" ht="25.5" customHeight="1">
      <c r="A262" s="635"/>
      <c r="B262" s="1238"/>
      <c r="C262" s="620"/>
      <c r="D262" s="613"/>
      <c r="E262" s="675"/>
      <c r="F262" s="675"/>
      <c r="G262" s="189"/>
      <c r="H262" s="1093"/>
      <c r="I262" s="675"/>
      <c r="J262" s="189"/>
      <c r="K262" s="189"/>
      <c r="L262" s="675"/>
      <c r="M262" s="676"/>
      <c r="O262" s="644"/>
    </row>
    <row r="263" ht="25.5" customHeight="1">
      <c r="A263" s="635"/>
      <c r="B263" s="1238"/>
      <c r="C263" s="620"/>
      <c r="D263" s="613"/>
      <c r="E263" s="675"/>
      <c r="F263" s="675"/>
      <c r="G263" s="189"/>
      <c r="H263" s="1093"/>
      <c r="I263" s="675"/>
      <c r="J263" s="189"/>
      <c r="K263" s="189"/>
      <c r="L263" s="675"/>
      <c r="M263" s="676"/>
      <c r="O263" s="644"/>
    </row>
    <row r="264" ht="25.5" customHeight="1">
      <c r="A264" s="635"/>
      <c r="B264" s="1238"/>
      <c r="C264" s="620"/>
      <c r="D264" s="613"/>
      <c r="E264" s="675"/>
      <c r="F264" s="675"/>
      <c r="G264" s="189"/>
      <c r="H264" s="1093"/>
      <c r="I264" s="675"/>
      <c r="J264" s="189"/>
      <c r="K264" s="189"/>
      <c r="L264" s="675"/>
      <c r="M264" s="676"/>
      <c r="O264" s="644"/>
    </row>
    <row r="265" ht="25.5" customHeight="1">
      <c r="A265" s="635"/>
      <c r="B265" s="1238"/>
      <c r="C265" s="620"/>
      <c r="D265" s="613"/>
      <c r="E265" s="675"/>
      <c r="F265" s="675"/>
      <c r="G265" s="189"/>
      <c r="H265" s="1093"/>
      <c r="I265" s="675"/>
      <c r="J265" s="189"/>
      <c r="K265" s="189"/>
      <c r="L265" s="675"/>
      <c r="M265" s="676"/>
      <c r="O265" s="644"/>
    </row>
    <row r="266" ht="25.5" customHeight="1">
      <c r="A266" s="635"/>
      <c r="B266" s="1238"/>
      <c r="C266" s="620"/>
      <c r="D266" s="613"/>
      <c r="E266" s="675"/>
      <c r="F266" s="675"/>
      <c r="G266" s="189"/>
      <c r="H266" s="1093"/>
      <c r="I266" s="675"/>
      <c r="J266" s="189"/>
      <c r="K266" s="189"/>
      <c r="L266" s="675"/>
      <c r="M266" s="676"/>
      <c r="O266" s="644"/>
    </row>
    <row r="267" ht="25.5" customHeight="1">
      <c r="A267" s="635"/>
      <c r="B267" s="1238"/>
      <c r="C267" s="620"/>
      <c r="D267" s="613"/>
      <c r="E267" s="675"/>
      <c r="F267" s="675"/>
      <c r="G267" s="189"/>
      <c r="H267" s="1093"/>
      <c r="I267" s="675"/>
      <c r="J267" s="189"/>
      <c r="K267" s="189"/>
      <c r="L267" s="675"/>
      <c r="M267" s="676"/>
      <c r="O267" s="644"/>
    </row>
    <row r="268" ht="25.5" customHeight="1">
      <c r="A268" s="635"/>
      <c r="B268" s="1238"/>
      <c r="C268" s="620"/>
      <c r="D268" s="613"/>
      <c r="E268" s="675"/>
      <c r="F268" s="675"/>
      <c r="G268" s="189"/>
      <c r="H268" s="1093"/>
      <c r="I268" s="675"/>
      <c r="J268" s="189"/>
      <c r="K268" s="189"/>
      <c r="L268" s="675"/>
      <c r="M268" s="676"/>
      <c r="O268" s="644"/>
    </row>
    <row r="269" ht="25.5" customHeight="1">
      <c r="A269" s="635"/>
      <c r="B269" s="1238"/>
      <c r="C269" s="620"/>
      <c r="D269" s="613"/>
      <c r="E269" s="675"/>
      <c r="F269" s="675"/>
      <c r="G269" s="189"/>
      <c r="H269" s="1093"/>
      <c r="I269" s="675"/>
      <c r="J269" s="189"/>
      <c r="K269" s="189"/>
      <c r="L269" s="675"/>
      <c r="M269" s="676"/>
      <c r="O269" s="644"/>
    </row>
    <row r="270" ht="25.5" customHeight="1">
      <c r="A270" s="635"/>
      <c r="B270" s="1238"/>
      <c r="C270" s="620"/>
      <c r="D270" s="613"/>
      <c r="E270" s="675"/>
      <c r="F270" s="675"/>
      <c r="G270" s="189"/>
      <c r="H270" s="1093"/>
      <c r="I270" s="675"/>
      <c r="J270" s="189"/>
      <c r="K270" s="189"/>
      <c r="L270" s="675"/>
      <c r="M270" s="676"/>
      <c r="O270" s="644"/>
    </row>
    <row r="271" ht="25.5" customHeight="1">
      <c r="A271" s="635"/>
      <c r="B271" s="1238"/>
      <c r="C271" s="620"/>
      <c r="D271" s="613"/>
      <c r="E271" s="675"/>
      <c r="F271" s="675"/>
      <c r="G271" s="189"/>
      <c r="H271" s="1093"/>
      <c r="I271" s="675"/>
      <c r="J271" s="189"/>
      <c r="K271" s="189"/>
      <c r="L271" s="675"/>
      <c r="M271" s="676"/>
      <c r="O271" s="644"/>
    </row>
    <row r="272" ht="25.5" customHeight="1">
      <c r="A272" s="635"/>
      <c r="B272" s="1238"/>
      <c r="C272" s="620"/>
      <c r="D272" s="613"/>
      <c r="E272" s="675"/>
      <c r="F272" s="675"/>
      <c r="G272" s="189"/>
      <c r="H272" s="1093"/>
      <c r="I272" s="675"/>
      <c r="J272" s="189"/>
      <c r="K272" s="189"/>
      <c r="L272" s="675"/>
      <c r="M272" s="676"/>
      <c r="O272" s="644"/>
    </row>
    <row r="273" ht="25.5" customHeight="1">
      <c r="A273" s="635"/>
      <c r="B273" s="1238"/>
      <c r="C273" s="620"/>
      <c r="D273" s="613"/>
      <c r="E273" s="675"/>
      <c r="F273" s="675"/>
      <c r="G273" s="189"/>
      <c r="H273" s="1093"/>
      <c r="I273" s="675"/>
      <c r="J273" s="189"/>
      <c r="K273" s="189"/>
      <c r="L273" s="675"/>
      <c r="M273" s="676"/>
      <c r="O273" s="644"/>
    </row>
    <row r="274" ht="25.5" customHeight="1">
      <c r="A274" s="635"/>
      <c r="B274" s="1238"/>
      <c r="C274" s="620"/>
      <c r="D274" s="613"/>
      <c r="E274" s="675"/>
      <c r="F274" s="675"/>
      <c r="G274" s="189"/>
      <c r="H274" s="1093"/>
      <c r="I274" s="675"/>
      <c r="J274" s="189"/>
      <c r="K274" s="189"/>
      <c r="L274" s="675"/>
      <c r="M274" s="676"/>
      <c r="O274" s="644"/>
    </row>
    <row r="275" ht="25.5" customHeight="1">
      <c r="A275" s="635"/>
      <c r="B275" s="1238"/>
      <c r="C275" s="620"/>
      <c r="D275" s="613"/>
      <c r="E275" s="675"/>
      <c r="F275" s="675"/>
      <c r="G275" s="189"/>
      <c r="H275" s="1093"/>
      <c r="I275" s="675"/>
      <c r="J275" s="189"/>
      <c r="K275" s="189"/>
      <c r="L275" s="675"/>
      <c r="M275" s="676"/>
      <c r="O275" s="644"/>
    </row>
    <row r="276" ht="25.5" customHeight="1">
      <c r="A276" s="635"/>
      <c r="B276" s="1238"/>
      <c r="C276" s="620"/>
      <c r="D276" s="613"/>
      <c r="E276" s="675"/>
      <c r="F276" s="675"/>
      <c r="G276" s="189"/>
      <c r="H276" s="1093"/>
      <c r="I276" s="675"/>
      <c r="J276" s="189"/>
      <c r="K276" s="189"/>
      <c r="L276" s="675"/>
      <c r="M276" s="676"/>
      <c r="O276" s="644"/>
    </row>
    <row r="277" ht="25.5" customHeight="1">
      <c r="A277" s="635"/>
      <c r="B277" s="1238"/>
      <c r="C277" s="620"/>
      <c r="D277" s="613"/>
      <c r="E277" s="675"/>
      <c r="F277" s="675"/>
      <c r="G277" s="189"/>
      <c r="H277" s="1093"/>
      <c r="I277" s="675"/>
      <c r="J277" s="189"/>
      <c r="K277" s="189"/>
      <c r="L277" s="675"/>
      <c r="M277" s="676"/>
      <c r="O277" s="644"/>
    </row>
    <row r="278" ht="25.5" customHeight="1">
      <c r="A278" s="635"/>
      <c r="B278" s="1238"/>
      <c r="C278" s="620"/>
      <c r="D278" s="613"/>
      <c r="E278" s="675"/>
      <c r="F278" s="675"/>
      <c r="G278" s="189"/>
      <c r="H278" s="1093"/>
      <c r="I278" s="675"/>
      <c r="J278" s="189"/>
      <c r="K278" s="189"/>
      <c r="L278" s="675"/>
      <c r="M278" s="676"/>
      <c r="O278" s="644"/>
    </row>
    <row r="279" ht="25.5" customHeight="1">
      <c r="A279" s="635"/>
      <c r="B279" s="1238"/>
      <c r="C279" s="620"/>
      <c r="D279" s="613"/>
      <c r="E279" s="675"/>
      <c r="F279" s="675"/>
      <c r="G279" s="189"/>
      <c r="H279" s="1093"/>
      <c r="I279" s="675"/>
      <c r="J279" s="189"/>
      <c r="K279" s="189"/>
      <c r="L279" s="675"/>
      <c r="M279" s="676"/>
      <c r="O279" s="644"/>
    </row>
    <row r="280" ht="25.5" customHeight="1">
      <c r="A280" s="635"/>
      <c r="B280" s="1238"/>
      <c r="C280" s="620"/>
      <c r="D280" s="613"/>
      <c r="E280" s="675"/>
      <c r="F280" s="675"/>
      <c r="G280" s="189"/>
      <c r="H280" s="1093"/>
      <c r="I280" s="675"/>
      <c r="J280" s="189"/>
      <c r="K280" s="189"/>
      <c r="L280" s="675"/>
      <c r="M280" s="676"/>
      <c r="O280" s="644"/>
    </row>
    <row r="281" ht="25.5" customHeight="1">
      <c r="A281" s="635"/>
      <c r="B281" s="1238"/>
      <c r="C281" s="620"/>
      <c r="D281" s="613"/>
      <c r="E281" s="675"/>
      <c r="F281" s="675"/>
      <c r="G281" s="189"/>
      <c r="H281" s="1093"/>
      <c r="I281" s="675"/>
      <c r="J281" s="189"/>
      <c r="K281" s="189"/>
      <c r="L281" s="675"/>
      <c r="M281" s="676"/>
      <c r="O281" s="644"/>
    </row>
    <row r="282" ht="25.5" customHeight="1">
      <c r="A282" s="635"/>
      <c r="B282" s="1238"/>
      <c r="C282" s="620"/>
      <c r="D282" s="613"/>
      <c r="E282" s="675"/>
      <c r="F282" s="675"/>
      <c r="G282" s="189"/>
      <c r="H282" s="1093"/>
      <c r="I282" s="675"/>
      <c r="J282" s="189"/>
      <c r="K282" s="189"/>
      <c r="L282" s="675"/>
      <c r="M282" s="676"/>
      <c r="O282" s="644"/>
    </row>
    <row r="283" ht="25.5" customHeight="1">
      <c r="A283" s="635"/>
      <c r="B283" s="1238"/>
      <c r="C283" s="620"/>
      <c r="D283" s="613"/>
      <c r="E283" s="675"/>
      <c r="F283" s="675"/>
      <c r="G283" s="189"/>
      <c r="H283" s="1093"/>
      <c r="I283" s="675"/>
      <c r="J283" s="189"/>
      <c r="K283" s="189"/>
      <c r="L283" s="675"/>
      <c r="M283" s="676"/>
      <c r="O283" s="644"/>
    </row>
    <row r="284" ht="25.5" customHeight="1">
      <c r="A284" s="635"/>
      <c r="B284" s="1238"/>
      <c r="C284" s="620"/>
      <c r="D284" s="613"/>
      <c r="E284" s="675"/>
      <c r="F284" s="675"/>
      <c r="G284" s="189"/>
      <c r="H284" s="1093"/>
      <c r="I284" s="675"/>
      <c r="J284" s="189"/>
      <c r="K284" s="189"/>
      <c r="L284" s="675"/>
      <c r="M284" s="676"/>
      <c r="O284" s="644"/>
    </row>
    <row r="285" ht="25.5" customHeight="1">
      <c r="A285" s="635"/>
      <c r="B285" s="1238"/>
      <c r="C285" s="620"/>
      <c r="D285" s="613"/>
      <c r="E285" s="675"/>
      <c r="F285" s="675"/>
      <c r="G285" s="189"/>
      <c r="H285" s="1093"/>
      <c r="I285" s="675"/>
      <c r="J285" s="189"/>
      <c r="K285" s="189"/>
      <c r="L285" s="675"/>
      <c r="M285" s="676"/>
      <c r="O285" s="644"/>
    </row>
    <row r="286" ht="25.5" customHeight="1">
      <c r="A286" s="635"/>
      <c r="B286" s="1238"/>
      <c r="C286" s="620"/>
      <c r="D286" s="613"/>
      <c r="E286" s="675"/>
      <c r="F286" s="675"/>
      <c r="G286" s="189"/>
      <c r="H286" s="1093"/>
      <c r="I286" s="675"/>
      <c r="J286" s="189"/>
      <c r="K286" s="189"/>
      <c r="L286" s="675"/>
      <c r="M286" s="676"/>
      <c r="O286" s="644"/>
    </row>
    <row r="287" ht="25.5" customHeight="1">
      <c r="A287" s="635"/>
      <c r="B287" s="1238"/>
      <c r="C287" s="620"/>
      <c r="D287" s="613"/>
      <c r="E287" s="675"/>
      <c r="F287" s="675"/>
      <c r="G287" s="189"/>
      <c r="H287" s="1093"/>
      <c r="I287" s="675"/>
      <c r="J287" s="189"/>
      <c r="K287" s="189"/>
      <c r="L287" s="675"/>
      <c r="M287" s="676"/>
      <c r="O287" s="644"/>
    </row>
    <row r="288" ht="25.5" customHeight="1">
      <c r="A288" s="635"/>
      <c r="B288" s="1238"/>
      <c r="C288" s="620"/>
      <c r="D288" s="613"/>
      <c r="E288" s="675"/>
      <c r="F288" s="675"/>
      <c r="G288" s="189"/>
      <c r="H288" s="1093"/>
      <c r="I288" s="675"/>
      <c r="J288" s="189"/>
      <c r="K288" s="189"/>
      <c r="L288" s="675"/>
      <c r="M288" s="676"/>
      <c r="O288" s="644"/>
    </row>
    <row r="289" ht="25.5" customHeight="1">
      <c r="A289" s="635"/>
      <c r="B289" s="1238"/>
      <c r="C289" s="620"/>
      <c r="D289" s="613"/>
      <c r="E289" s="675"/>
      <c r="F289" s="675"/>
      <c r="G289" s="189"/>
      <c r="H289" s="1093"/>
      <c r="I289" s="675"/>
      <c r="J289" s="189"/>
      <c r="K289" s="189"/>
      <c r="L289" s="675"/>
      <c r="M289" s="676"/>
      <c r="O289" s="644"/>
    </row>
    <row r="290" ht="25.5" customHeight="1">
      <c r="A290" s="635"/>
      <c r="B290" s="1238"/>
      <c r="C290" s="620"/>
      <c r="D290" s="613"/>
      <c r="E290" s="675"/>
      <c r="F290" s="675"/>
      <c r="G290" s="189"/>
      <c r="H290" s="1093"/>
      <c r="I290" s="675"/>
      <c r="J290" s="189"/>
      <c r="K290" s="189"/>
      <c r="L290" s="675"/>
      <c r="M290" s="676"/>
      <c r="O290" s="644"/>
    </row>
    <row r="291" ht="25.5" customHeight="1">
      <c r="A291" s="635"/>
      <c r="B291" s="1238"/>
      <c r="C291" s="620"/>
      <c r="D291" s="613"/>
      <c r="E291" s="675"/>
      <c r="F291" s="675"/>
      <c r="G291" s="189"/>
      <c r="H291" s="1093"/>
      <c r="I291" s="675"/>
      <c r="J291" s="189"/>
      <c r="K291" s="189"/>
      <c r="L291" s="675"/>
      <c r="M291" s="676"/>
      <c r="O291" s="644"/>
    </row>
    <row r="292" ht="25.5" customHeight="1">
      <c r="A292" s="635"/>
      <c r="B292" s="1238"/>
      <c r="C292" s="620"/>
      <c r="D292" s="613"/>
      <c r="E292" s="675"/>
      <c r="F292" s="675"/>
      <c r="G292" s="189"/>
      <c r="H292" s="1093"/>
      <c r="I292" s="675"/>
      <c r="J292" s="189"/>
      <c r="K292" s="189"/>
      <c r="L292" s="675"/>
      <c r="M292" s="676"/>
      <c r="O292" s="644"/>
    </row>
    <row r="293" ht="25.5" customHeight="1">
      <c r="A293" s="635"/>
      <c r="B293" s="1238"/>
      <c r="C293" s="620"/>
      <c r="D293" s="613"/>
      <c r="E293" s="675"/>
      <c r="F293" s="675"/>
      <c r="G293" s="189"/>
      <c r="H293" s="1093"/>
      <c r="I293" s="675"/>
      <c r="J293" s="189"/>
      <c r="K293" s="189"/>
      <c r="L293" s="675"/>
      <c r="M293" s="676"/>
      <c r="O293" s="644"/>
    </row>
    <row r="294" ht="25.5" customHeight="1">
      <c r="A294" s="635"/>
      <c r="B294" s="1238"/>
      <c r="C294" s="620"/>
      <c r="D294" s="613"/>
      <c r="E294" s="675"/>
      <c r="F294" s="675"/>
      <c r="G294" s="189"/>
      <c r="H294" s="1093"/>
      <c r="I294" s="675"/>
      <c r="J294" s="189"/>
      <c r="K294" s="189"/>
      <c r="L294" s="675"/>
      <c r="M294" s="676"/>
      <c r="O294" s="644"/>
    </row>
    <row r="295" ht="25.5" customHeight="1">
      <c r="A295" s="635"/>
      <c r="B295" s="1238"/>
      <c r="C295" s="620"/>
      <c r="D295" s="613"/>
      <c r="E295" s="675"/>
      <c r="F295" s="675"/>
      <c r="G295" s="189"/>
      <c r="H295" s="1093"/>
      <c r="I295" s="675"/>
      <c r="J295" s="189"/>
      <c r="K295" s="189"/>
      <c r="L295" s="675"/>
      <c r="M295" s="676"/>
      <c r="O295" s="644"/>
    </row>
    <row r="296" ht="25.5" customHeight="1">
      <c r="A296" s="635"/>
      <c r="B296" s="1238"/>
      <c r="C296" s="620"/>
      <c r="D296" s="613"/>
      <c r="E296" s="675"/>
      <c r="F296" s="675"/>
      <c r="G296" s="189"/>
      <c r="H296" s="1093"/>
      <c r="I296" s="675"/>
      <c r="J296" s="189"/>
      <c r="K296" s="189"/>
      <c r="L296" s="675"/>
      <c r="M296" s="676"/>
      <c r="O296" s="644"/>
    </row>
    <row r="297" ht="25.5" customHeight="1">
      <c r="A297" s="635"/>
      <c r="B297" s="1238"/>
      <c r="C297" s="620"/>
      <c r="D297" s="613"/>
      <c r="E297" s="675"/>
      <c r="F297" s="675"/>
      <c r="G297" s="189"/>
      <c r="H297" s="1093"/>
      <c r="I297" s="675"/>
      <c r="J297" s="189"/>
      <c r="K297" s="189"/>
      <c r="L297" s="675"/>
      <c r="M297" s="676"/>
      <c r="O297" s="644"/>
    </row>
    <row r="298" ht="25.5" customHeight="1">
      <c r="A298" s="635"/>
      <c r="B298" s="1238"/>
      <c r="C298" s="620"/>
      <c r="D298" s="613"/>
      <c r="E298" s="675"/>
      <c r="F298" s="675"/>
      <c r="G298" s="189"/>
      <c r="H298" s="1093"/>
      <c r="I298" s="675"/>
      <c r="J298" s="189"/>
      <c r="K298" s="189"/>
      <c r="L298" s="675"/>
      <c r="M298" s="676"/>
      <c r="O298" s="644"/>
    </row>
    <row r="299" ht="25.5" customHeight="1">
      <c r="A299" s="635"/>
      <c r="B299" s="1238"/>
      <c r="C299" s="620"/>
      <c r="D299" s="613"/>
      <c r="E299" s="675"/>
      <c r="F299" s="675"/>
      <c r="G299" s="189"/>
      <c r="H299" s="1093"/>
      <c r="I299" s="675"/>
      <c r="J299" s="189"/>
      <c r="K299" s="189"/>
      <c r="L299" s="675"/>
      <c r="M299" s="676"/>
      <c r="O299" s="644"/>
    </row>
    <row r="300" ht="25.5" customHeight="1">
      <c r="A300" s="635"/>
      <c r="B300" s="1238"/>
      <c r="C300" s="620"/>
      <c r="D300" s="613"/>
      <c r="E300" s="675"/>
      <c r="F300" s="675"/>
      <c r="G300" s="189"/>
      <c r="H300" s="1093"/>
      <c r="I300" s="675"/>
      <c r="J300" s="189"/>
      <c r="K300" s="189"/>
      <c r="L300" s="675"/>
      <c r="M300" s="676"/>
      <c r="O300" s="644"/>
    </row>
    <row r="301" ht="25.5" customHeight="1">
      <c r="A301" s="635"/>
      <c r="B301" s="1238"/>
      <c r="C301" s="620"/>
      <c r="D301" s="613"/>
      <c r="E301" s="675"/>
      <c r="F301" s="675"/>
      <c r="G301" s="189"/>
      <c r="H301" s="1093"/>
      <c r="I301" s="675"/>
      <c r="J301" s="189"/>
      <c r="K301" s="189"/>
      <c r="L301" s="675"/>
      <c r="M301" s="676"/>
      <c r="O301" s="644"/>
    </row>
    <row r="302" ht="25.5" customHeight="1">
      <c r="A302" s="635"/>
      <c r="B302" s="1238"/>
      <c r="C302" s="620"/>
      <c r="D302" s="613"/>
      <c r="E302" s="675"/>
      <c r="F302" s="675"/>
      <c r="G302" s="189"/>
      <c r="H302" s="1093"/>
      <c r="I302" s="675"/>
      <c r="J302" s="189"/>
      <c r="K302" s="189"/>
      <c r="L302" s="675"/>
      <c r="M302" s="676"/>
      <c r="O302" s="644"/>
    </row>
    <row r="303" ht="25.5" customHeight="1">
      <c r="A303" s="635"/>
      <c r="B303" s="1238"/>
      <c r="C303" s="620"/>
      <c r="D303" s="613"/>
      <c r="E303" s="675"/>
      <c r="F303" s="675"/>
      <c r="G303" s="189"/>
      <c r="H303" s="1093"/>
      <c r="I303" s="675"/>
      <c r="J303" s="189"/>
      <c r="K303" s="189"/>
      <c r="L303" s="675"/>
      <c r="M303" s="676"/>
      <c r="O303" s="644"/>
    </row>
    <row r="304" ht="25.5" customHeight="1">
      <c r="A304" s="635"/>
      <c r="B304" s="1238"/>
      <c r="C304" s="620"/>
      <c r="D304" s="613"/>
      <c r="E304" s="675"/>
      <c r="F304" s="675"/>
      <c r="G304" s="189"/>
      <c r="H304" s="1093"/>
      <c r="I304" s="675"/>
      <c r="J304" s="189"/>
      <c r="K304" s="189"/>
      <c r="L304" s="675"/>
      <c r="M304" s="676"/>
      <c r="O304" s="644"/>
    </row>
    <row r="305" ht="25.5" customHeight="1">
      <c r="A305" s="635"/>
      <c r="B305" s="1238"/>
      <c r="C305" s="620"/>
      <c r="D305" s="613"/>
      <c r="E305" s="675"/>
      <c r="F305" s="675"/>
      <c r="G305" s="189"/>
      <c r="H305" s="1093"/>
      <c r="I305" s="675"/>
      <c r="J305" s="189"/>
      <c r="K305" s="189"/>
      <c r="L305" s="675"/>
      <c r="M305" s="676"/>
      <c r="O305" s="644"/>
    </row>
    <row r="306" ht="25.5" customHeight="1">
      <c r="A306" s="635"/>
      <c r="B306" s="1238"/>
      <c r="C306" s="620"/>
      <c r="D306" s="613"/>
      <c r="E306" s="675"/>
      <c r="F306" s="675"/>
      <c r="G306" s="189"/>
      <c r="H306" s="1093"/>
      <c r="I306" s="675"/>
      <c r="J306" s="189"/>
      <c r="K306" s="189"/>
      <c r="L306" s="675"/>
      <c r="M306" s="676"/>
      <c r="O306" s="644"/>
    </row>
    <row r="307" ht="25.5" customHeight="1">
      <c r="A307" s="635"/>
      <c r="B307" s="1238"/>
      <c r="C307" s="620"/>
      <c r="D307" s="613"/>
      <c r="E307" s="675"/>
      <c r="F307" s="675"/>
      <c r="G307" s="189"/>
      <c r="H307" s="1093"/>
      <c r="I307" s="675"/>
      <c r="J307" s="189"/>
      <c r="K307" s="189"/>
      <c r="L307" s="675"/>
      <c r="M307" s="676"/>
      <c r="O307" s="644"/>
    </row>
    <row r="308" ht="25.5" customHeight="1">
      <c r="A308" s="635"/>
      <c r="B308" s="1238"/>
      <c r="C308" s="620"/>
      <c r="D308" s="613"/>
      <c r="E308" s="675"/>
      <c r="F308" s="675"/>
      <c r="G308" s="189"/>
      <c r="H308" s="1093"/>
      <c r="I308" s="675"/>
      <c r="J308" s="189"/>
      <c r="K308" s="189"/>
      <c r="L308" s="675"/>
      <c r="M308" s="676"/>
      <c r="O308" s="644"/>
    </row>
    <row r="309" ht="25.5" customHeight="1">
      <c r="A309" s="635"/>
      <c r="B309" s="1238"/>
      <c r="C309" s="620"/>
      <c r="D309" s="613"/>
      <c r="E309" s="675"/>
      <c r="F309" s="675"/>
      <c r="G309" s="189"/>
      <c r="H309" s="1093"/>
      <c r="I309" s="675"/>
      <c r="J309" s="189"/>
      <c r="K309" s="189"/>
      <c r="L309" s="675"/>
      <c r="M309" s="676"/>
      <c r="O309" s="644"/>
    </row>
    <row r="310" ht="25.5" customHeight="1">
      <c r="A310" s="635"/>
      <c r="B310" s="1238"/>
      <c r="C310" s="620"/>
      <c r="D310" s="613"/>
      <c r="E310" s="675"/>
      <c r="F310" s="675"/>
      <c r="G310" s="189"/>
      <c r="H310" s="1093"/>
      <c r="I310" s="675"/>
      <c r="J310" s="189"/>
      <c r="K310" s="189"/>
      <c r="L310" s="675"/>
      <c r="M310" s="676"/>
      <c r="O310" s="644"/>
    </row>
    <row r="311" ht="25.5" customHeight="1">
      <c r="A311" s="635"/>
      <c r="B311" s="1238"/>
      <c r="C311" s="620"/>
      <c r="D311" s="613"/>
      <c r="E311" s="675"/>
      <c r="F311" s="675"/>
      <c r="G311" s="189"/>
      <c r="H311" s="1093"/>
      <c r="I311" s="675"/>
      <c r="J311" s="189"/>
      <c r="K311" s="189"/>
      <c r="L311" s="675"/>
      <c r="M311" s="676"/>
      <c r="O311" s="644"/>
    </row>
    <row r="312" ht="25.5" customHeight="1">
      <c r="A312" s="635"/>
      <c r="B312" s="1238"/>
      <c r="C312" s="620"/>
      <c r="D312" s="613"/>
      <c r="E312" s="675"/>
      <c r="F312" s="675"/>
      <c r="G312" s="189"/>
      <c r="H312" s="1093"/>
      <c r="I312" s="675"/>
      <c r="J312" s="189"/>
      <c r="K312" s="189"/>
      <c r="L312" s="675"/>
      <c r="M312" s="676"/>
      <c r="O312" s="644"/>
    </row>
    <row r="313" ht="25.5" customHeight="1">
      <c r="A313" s="635"/>
      <c r="B313" s="1238"/>
      <c r="C313" s="620"/>
      <c r="D313" s="613"/>
      <c r="E313" s="675"/>
      <c r="F313" s="675"/>
      <c r="G313" s="189"/>
      <c r="H313" s="1093"/>
      <c r="I313" s="675"/>
      <c r="J313" s="189"/>
      <c r="K313" s="189"/>
      <c r="L313" s="675"/>
      <c r="M313" s="676"/>
      <c r="O313" s="644"/>
    </row>
    <row r="314" ht="25.5" customHeight="1">
      <c r="A314" s="635"/>
      <c r="B314" s="1238"/>
      <c r="C314" s="620"/>
      <c r="D314" s="613"/>
      <c r="E314" s="675"/>
      <c r="F314" s="675"/>
      <c r="G314" s="189"/>
      <c r="H314" s="1093"/>
      <c r="I314" s="675"/>
      <c r="J314" s="189"/>
      <c r="K314" s="189"/>
      <c r="L314" s="675"/>
      <c r="M314" s="676"/>
      <c r="O314" s="644"/>
    </row>
    <row r="315" ht="25.5" customHeight="1">
      <c r="A315" s="635"/>
      <c r="B315" s="1238"/>
      <c r="C315" s="620"/>
      <c r="D315" s="613"/>
      <c r="E315" s="675"/>
      <c r="F315" s="675"/>
      <c r="G315" s="189"/>
      <c r="H315" s="1093"/>
      <c r="I315" s="675"/>
      <c r="J315" s="189"/>
      <c r="K315" s="189"/>
      <c r="L315" s="675"/>
      <c r="M315" s="676"/>
      <c r="O315" s="644"/>
    </row>
    <row r="316" ht="25.5" customHeight="1">
      <c r="A316" s="635"/>
      <c r="B316" s="1238"/>
      <c r="C316" s="620"/>
      <c r="D316" s="613"/>
      <c r="E316" s="675"/>
      <c r="F316" s="675"/>
      <c r="G316" s="189"/>
      <c r="H316" s="1093"/>
      <c r="I316" s="675"/>
      <c r="J316" s="189"/>
      <c r="K316" s="189"/>
      <c r="L316" s="675"/>
      <c r="M316" s="676"/>
      <c r="O316" s="644"/>
    </row>
    <row r="317" ht="25.5" customHeight="1">
      <c r="A317" s="635"/>
      <c r="B317" s="1238"/>
      <c r="C317" s="620"/>
      <c r="D317" s="613"/>
      <c r="E317" s="675"/>
      <c r="F317" s="675"/>
      <c r="G317" s="189"/>
      <c r="H317" s="1093"/>
      <c r="I317" s="675"/>
      <c r="J317" s="189"/>
      <c r="K317" s="189"/>
      <c r="L317" s="675"/>
      <c r="M317" s="676"/>
      <c r="O317" s="644"/>
    </row>
    <row r="318" ht="25.5" customHeight="1">
      <c r="A318" s="635"/>
      <c r="B318" s="1238"/>
      <c r="C318" s="620"/>
      <c r="D318" s="613"/>
      <c r="E318" s="675"/>
      <c r="F318" s="675"/>
      <c r="G318" s="189"/>
      <c r="H318" s="1093"/>
      <c r="I318" s="675"/>
      <c r="J318" s="189"/>
      <c r="K318" s="189"/>
      <c r="L318" s="675"/>
      <c r="M318" s="676"/>
      <c r="O318" s="644"/>
    </row>
    <row r="319" ht="25.5" customHeight="1">
      <c r="A319" s="635"/>
      <c r="B319" s="1238"/>
      <c r="C319" s="620"/>
      <c r="D319" s="613"/>
      <c r="E319" s="675"/>
      <c r="F319" s="675"/>
      <c r="G319" s="189"/>
      <c r="H319" s="1093"/>
      <c r="I319" s="675"/>
      <c r="J319" s="189"/>
      <c r="K319" s="189"/>
      <c r="L319" s="675"/>
      <c r="M319" s="676"/>
      <c r="O319" s="644"/>
    </row>
    <row r="320" ht="25.5" customHeight="1">
      <c r="A320" s="635"/>
      <c r="B320" s="1238"/>
      <c r="C320" s="620"/>
      <c r="D320" s="613"/>
      <c r="E320" s="675"/>
      <c r="F320" s="675"/>
      <c r="G320" s="189"/>
      <c r="H320" s="1093"/>
      <c r="I320" s="675"/>
      <c r="J320" s="189"/>
      <c r="K320" s="189"/>
      <c r="L320" s="675"/>
      <c r="M320" s="676"/>
      <c r="O320" s="644"/>
    </row>
    <row r="321" ht="25.5" customHeight="1">
      <c r="A321" s="635"/>
      <c r="B321" s="1238"/>
      <c r="C321" s="620"/>
      <c r="D321" s="613"/>
      <c r="E321" s="675"/>
      <c r="F321" s="675"/>
      <c r="G321" s="189"/>
      <c r="H321" s="1093"/>
      <c r="I321" s="675"/>
      <c r="J321" s="189"/>
      <c r="K321" s="189"/>
      <c r="L321" s="675"/>
      <c r="M321" s="676"/>
      <c r="O321" s="644"/>
    </row>
    <row r="322" ht="25.5" customHeight="1">
      <c r="A322" s="635"/>
      <c r="B322" s="1238"/>
      <c r="C322" s="620"/>
      <c r="D322" s="613"/>
      <c r="E322" s="675"/>
      <c r="F322" s="675"/>
      <c r="G322" s="189"/>
      <c r="H322" s="1093"/>
      <c r="I322" s="675"/>
      <c r="J322" s="189"/>
      <c r="K322" s="189"/>
      <c r="L322" s="675"/>
      <c r="M322" s="676"/>
      <c r="O322" s="644"/>
    </row>
    <row r="323" ht="25.5" customHeight="1">
      <c r="A323" s="635"/>
      <c r="B323" s="1238"/>
      <c r="C323" s="620"/>
      <c r="D323" s="613"/>
      <c r="E323" s="675"/>
      <c r="F323" s="675"/>
      <c r="G323" s="189"/>
      <c r="H323" s="1093"/>
      <c r="I323" s="675"/>
      <c r="J323" s="189"/>
      <c r="K323" s="189"/>
      <c r="L323" s="675"/>
      <c r="M323" s="676"/>
      <c r="O323" s="644"/>
    </row>
    <row r="324" ht="25.5" customHeight="1">
      <c r="A324" s="635"/>
      <c r="B324" s="1238"/>
      <c r="C324" s="620"/>
      <c r="D324" s="613"/>
      <c r="E324" s="675"/>
      <c r="F324" s="675"/>
      <c r="G324" s="189"/>
      <c r="H324" s="1093"/>
      <c r="I324" s="675"/>
      <c r="J324" s="189"/>
      <c r="K324" s="189"/>
      <c r="L324" s="675"/>
      <c r="M324" s="676"/>
      <c r="O324" s="644"/>
    </row>
    <row r="325" ht="25.5" customHeight="1">
      <c r="A325" s="635"/>
      <c r="B325" s="1238"/>
      <c r="C325" s="620"/>
      <c r="D325" s="613"/>
      <c r="E325" s="675"/>
      <c r="F325" s="675"/>
      <c r="G325" s="189"/>
      <c r="H325" s="1093"/>
      <c r="I325" s="675"/>
      <c r="J325" s="189"/>
      <c r="K325" s="189"/>
      <c r="L325" s="675"/>
      <c r="M325" s="676"/>
      <c r="O325" s="644"/>
    </row>
    <row r="326" ht="25.5" customHeight="1">
      <c r="A326" s="635"/>
      <c r="B326" s="1238"/>
      <c r="C326" s="620"/>
      <c r="D326" s="613"/>
      <c r="E326" s="675"/>
      <c r="F326" s="675"/>
      <c r="G326" s="189"/>
      <c r="H326" s="1093"/>
      <c r="I326" s="675"/>
      <c r="J326" s="189"/>
      <c r="K326" s="189"/>
      <c r="L326" s="675"/>
      <c r="M326" s="676"/>
      <c r="O326" s="644"/>
    </row>
    <row r="327" ht="25.5" customHeight="1">
      <c r="A327" s="635"/>
      <c r="B327" s="1238"/>
      <c r="C327" s="620"/>
      <c r="D327" s="613"/>
      <c r="E327" s="675"/>
      <c r="F327" s="675"/>
      <c r="G327" s="189"/>
      <c r="H327" s="1093"/>
      <c r="I327" s="675"/>
      <c r="J327" s="189"/>
      <c r="K327" s="189"/>
      <c r="L327" s="675"/>
      <c r="M327" s="676"/>
      <c r="O327" s="644"/>
    </row>
    <row r="328" ht="25.5" customHeight="1">
      <c r="A328" s="635"/>
      <c r="B328" s="1238"/>
      <c r="C328" s="620"/>
      <c r="D328" s="613"/>
      <c r="E328" s="675"/>
      <c r="F328" s="675"/>
      <c r="G328" s="189"/>
      <c r="H328" s="1093"/>
      <c r="I328" s="675"/>
      <c r="J328" s="189"/>
      <c r="K328" s="189"/>
      <c r="L328" s="675"/>
      <c r="M328" s="676"/>
      <c r="O328" s="644"/>
    </row>
    <row r="329" ht="25.5" customHeight="1">
      <c r="A329" s="635"/>
      <c r="B329" s="1238"/>
      <c r="C329" s="620"/>
      <c r="D329" s="613"/>
      <c r="E329" s="675"/>
      <c r="F329" s="675"/>
      <c r="G329" s="189"/>
      <c r="H329" s="1093"/>
      <c r="I329" s="675"/>
      <c r="J329" s="189"/>
      <c r="K329" s="189"/>
      <c r="L329" s="675"/>
      <c r="M329" s="676"/>
      <c r="O329" s="644"/>
    </row>
    <row r="330" ht="25.5" customHeight="1">
      <c r="A330" s="635"/>
      <c r="B330" s="1238"/>
      <c r="C330" s="620"/>
      <c r="D330" s="613"/>
      <c r="E330" s="675"/>
      <c r="F330" s="675"/>
      <c r="G330" s="189"/>
      <c r="H330" s="1093"/>
      <c r="I330" s="675"/>
      <c r="J330" s="189"/>
      <c r="K330" s="189"/>
      <c r="L330" s="675"/>
      <c r="M330" s="676"/>
      <c r="O330" s="644"/>
    </row>
    <row r="331" ht="25.5" customHeight="1">
      <c r="A331" s="635"/>
      <c r="B331" s="1238"/>
      <c r="C331" s="620"/>
      <c r="D331" s="613"/>
      <c r="E331" s="675"/>
      <c r="F331" s="675"/>
      <c r="G331" s="189"/>
      <c r="H331" s="1093"/>
      <c r="I331" s="675"/>
      <c r="J331" s="189"/>
      <c r="K331" s="189"/>
      <c r="L331" s="675"/>
      <c r="M331" s="676"/>
      <c r="O331" s="644"/>
    </row>
    <row r="332" ht="25.5" customHeight="1">
      <c r="A332" s="635"/>
      <c r="B332" s="1238"/>
      <c r="C332" s="620"/>
      <c r="D332" s="613"/>
      <c r="E332" s="675"/>
      <c r="F332" s="675"/>
      <c r="G332" s="189"/>
      <c r="H332" s="1093"/>
      <c r="I332" s="675"/>
      <c r="J332" s="189"/>
      <c r="K332" s="189"/>
      <c r="L332" s="675"/>
      <c r="M332" s="676"/>
      <c r="O332" s="644"/>
    </row>
    <row r="333" ht="25.5" customHeight="1">
      <c r="A333" s="635"/>
      <c r="B333" s="1238"/>
      <c r="C333" s="620"/>
      <c r="D333" s="613"/>
      <c r="E333" s="675"/>
      <c r="F333" s="675"/>
      <c r="G333" s="189"/>
      <c r="H333" s="1093"/>
      <c r="I333" s="675"/>
      <c r="J333" s="189"/>
      <c r="K333" s="189"/>
      <c r="L333" s="675"/>
      <c r="M333" s="676"/>
      <c r="O333" s="644"/>
    </row>
    <row r="334" ht="25.5" customHeight="1">
      <c r="A334" s="635"/>
      <c r="B334" s="1238"/>
      <c r="C334" s="620"/>
      <c r="D334" s="613"/>
      <c r="E334" s="675"/>
      <c r="F334" s="675"/>
      <c r="G334" s="189"/>
      <c r="H334" s="1093"/>
      <c r="I334" s="675"/>
      <c r="J334" s="189"/>
      <c r="K334" s="189"/>
      <c r="L334" s="675"/>
      <c r="M334" s="676"/>
      <c r="O334" s="644"/>
    </row>
    <row r="335" ht="25.5" customHeight="1">
      <c r="A335" s="635"/>
      <c r="B335" s="1238"/>
      <c r="C335" s="620"/>
      <c r="D335" s="613"/>
      <c r="E335" s="675"/>
      <c r="F335" s="675"/>
      <c r="G335" s="189"/>
      <c r="H335" s="1093"/>
      <c r="I335" s="675"/>
      <c r="J335" s="189"/>
      <c r="K335" s="189"/>
      <c r="L335" s="675"/>
      <c r="M335" s="676"/>
      <c r="O335" s="644"/>
    </row>
    <row r="336" ht="25.5" customHeight="1">
      <c r="A336" s="635"/>
      <c r="B336" s="1238"/>
      <c r="C336" s="620"/>
      <c r="D336" s="613"/>
      <c r="E336" s="675"/>
      <c r="F336" s="675"/>
      <c r="G336" s="189"/>
      <c r="H336" s="1093"/>
      <c r="I336" s="675"/>
      <c r="J336" s="189"/>
      <c r="K336" s="189"/>
      <c r="L336" s="675"/>
      <c r="M336" s="676"/>
      <c r="O336" s="644"/>
    </row>
    <row r="337" ht="25.5" customHeight="1">
      <c r="A337" s="635"/>
      <c r="B337" s="1238"/>
      <c r="C337" s="620"/>
      <c r="D337" s="613"/>
      <c r="E337" s="675"/>
      <c r="F337" s="675"/>
      <c r="G337" s="189"/>
      <c r="H337" s="1093"/>
      <c r="I337" s="675"/>
      <c r="J337" s="189"/>
      <c r="K337" s="189"/>
      <c r="L337" s="675"/>
      <c r="M337" s="676"/>
      <c r="O337" s="644"/>
    </row>
    <row r="338" ht="25.5" customHeight="1">
      <c r="A338" s="635"/>
      <c r="B338" s="1238"/>
      <c r="C338" s="620"/>
      <c r="D338" s="613"/>
      <c r="E338" s="675"/>
      <c r="F338" s="675"/>
      <c r="G338" s="189"/>
      <c r="H338" s="1093"/>
      <c r="I338" s="675"/>
      <c r="J338" s="189"/>
      <c r="K338" s="189"/>
      <c r="L338" s="675"/>
      <c r="M338" s="676"/>
      <c r="O338" s="644"/>
    </row>
    <row r="339" ht="25.5" customHeight="1">
      <c r="A339" s="635"/>
      <c r="B339" s="1238"/>
      <c r="C339" s="620"/>
      <c r="D339" s="613"/>
      <c r="E339" s="675"/>
      <c r="F339" s="675"/>
      <c r="G339" s="189"/>
      <c r="H339" s="1093"/>
      <c r="I339" s="675"/>
      <c r="J339" s="189"/>
      <c r="K339" s="189"/>
      <c r="L339" s="675"/>
      <c r="M339" s="676"/>
      <c r="O339" s="644"/>
    </row>
    <row r="340" ht="25.5" customHeight="1">
      <c r="A340" s="635"/>
      <c r="B340" s="1238"/>
      <c r="C340" s="620"/>
      <c r="D340" s="613"/>
      <c r="E340" s="675"/>
      <c r="F340" s="675"/>
      <c r="G340" s="189"/>
      <c r="H340" s="1093"/>
      <c r="I340" s="675"/>
      <c r="J340" s="189"/>
      <c r="K340" s="189"/>
      <c r="L340" s="675"/>
      <c r="M340" s="676"/>
      <c r="O340" s="644"/>
    </row>
    <row r="341" ht="25.5" customHeight="1">
      <c r="A341" s="635"/>
      <c r="B341" s="1238"/>
      <c r="C341" s="620"/>
      <c r="D341" s="613"/>
      <c r="E341" s="675"/>
      <c r="F341" s="675"/>
      <c r="G341" s="189"/>
      <c r="H341" s="1093"/>
      <c r="I341" s="675"/>
      <c r="J341" s="189"/>
      <c r="K341" s="189"/>
      <c r="L341" s="675"/>
      <c r="M341" s="676"/>
      <c r="O341" s="644"/>
    </row>
    <row r="342" ht="25.5" customHeight="1">
      <c r="A342" s="635"/>
      <c r="B342" s="1238"/>
      <c r="C342" s="620"/>
      <c r="D342" s="613"/>
      <c r="E342" s="675"/>
      <c r="F342" s="675"/>
      <c r="G342" s="189"/>
      <c r="H342" s="1093"/>
      <c r="I342" s="675"/>
      <c r="J342" s="189"/>
      <c r="K342" s="189"/>
      <c r="L342" s="675"/>
      <c r="M342" s="676"/>
      <c r="O342" s="644"/>
    </row>
    <row r="343" ht="25.5" customHeight="1">
      <c r="A343" s="635"/>
      <c r="B343" s="1238"/>
      <c r="C343" s="620"/>
      <c r="D343" s="613"/>
      <c r="E343" s="675"/>
      <c r="F343" s="675"/>
      <c r="G343" s="189"/>
      <c r="H343" s="1093"/>
      <c r="I343" s="675"/>
      <c r="J343" s="189"/>
      <c r="K343" s="189"/>
      <c r="L343" s="675"/>
      <c r="M343" s="676"/>
      <c r="O343" s="644"/>
    </row>
    <row r="344" ht="25.5" customHeight="1">
      <c r="A344" s="635"/>
      <c r="B344" s="1238"/>
      <c r="C344" s="620"/>
      <c r="D344" s="613"/>
      <c r="E344" s="675"/>
      <c r="F344" s="675"/>
      <c r="G344" s="189"/>
      <c r="H344" s="1093"/>
      <c r="I344" s="675"/>
      <c r="J344" s="189"/>
      <c r="K344" s="189"/>
      <c r="L344" s="675"/>
      <c r="M344" s="676"/>
      <c r="O344" s="644"/>
    </row>
    <row r="345" ht="25.5" customHeight="1">
      <c r="A345" s="635"/>
      <c r="B345" s="1238"/>
      <c r="C345" s="620"/>
      <c r="D345" s="613"/>
      <c r="E345" s="675"/>
      <c r="F345" s="675"/>
      <c r="G345" s="189"/>
      <c r="H345" s="1093"/>
      <c r="I345" s="675"/>
      <c r="J345" s="189"/>
      <c r="K345" s="189"/>
      <c r="L345" s="675"/>
      <c r="M345" s="676"/>
      <c r="O345" s="644"/>
    </row>
    <row r="346" ht="25.5" customHeight="1">
      <c r="A346" s="635"/>
      <c r="B346" s="1238"/>
      <c r="C346" s="620"/>
      <c r="D346" s="613"/>
      <c r="E346" s="675"/>
      <c r="F346" s="675"/>
      <c r="G346" s="189"/>
      <c r="H346" s="1093"/>
      <c r="I346" s="675"/>
      <c r="J346" s="189"/>
      <c r="K346" s="189"/>
      <c r="L346" s="675"/>
      <c r="M346" s="676"/>
      <c r="O346" s="644"/>
    </row>
    <row r="347" ht="25.5" customHeight="1">
      <c r="A347" s="635"/>
      <c r="B347" s="1238"/>
      <c r="C347" s="620"/>
      <c r="D347" s="613"/>
      <c r="E347" s="675"/>
      <c r="F347" s="675"/>
      <c r="G347" s="189"/>
      <c r="H347" s="1093"/>
      <c r="I347" s="675"/>
      <c r="J347" s="189"/>
      <c r="K347" s="189"/>
      <c r="L347" s="675"/>
      <c r="M347" s="676"/>
      <c r="O347" s="644"/>
    </row>
    <row r="348" ht="25.5" customHeight="1">
      <c r="A348" s="635"/>
      <c r="B348" s="1238"/>
      <c r="C348" s="620"/>
      <c r="D348" s="613"/>
      <c r="E348" s="675"/>
      <c r="F348" s="675"/>
      <c r="G348" s="189"/>
      <c r="H348" s="1093"/>
      <c r="I348" s="675"/>
      <c r="J348" s="189"/>
      <c r="K348" s="189"/>
      <c r="L348" s="675"/>
      <c r="M348" s="676"/>
      <c r="O348" s="644"/>
    </row>
    <row r="349" ht="25.5" customHeight="1">
      <c r="A349" s="635"/>
      <c r="B349" s="1238"/>
      <c r="C349" s="620"/>
      <c r="D349" s="613"/>
      <c r="E349" s="675"/>
      <c r="F349" s="675"/>
      <c r="G349" s="189"/>
      <c r="H349" s="1093"/>
      <c r="I349" s="675"/>
      <c r="J349" s="189"/>
      <c r="K349" s="189"/>
      <c r="L349" s="675"/>
      <c r="M349" s="676"/>
      <c r="O349" s="644"/>
    </row>
    <row r="350" ht="25.5" customHeight="1">
      <c r="A350" s="635"/>
      <c r="B350" s="1238"/>
      <c r="C350" s="620"/>
      <c r="D350" s="613"/>
      <c r="E350" s="675"/>
      <c r="F350" s="675"/>
      <c r="G350" s="189"/>
      <c r="H350" s="1093"/>
      <c r="I350" s="675"/>
      <c r="J350" s="189"/>
      <c r="K350" s="189"/>
      <c r="L350" s="675"/>
      <c r="M350" s="676"/>
      <c r="O350" s="644"/>
    </row>
    <row r="351" ht="25.5" customHeight="1">
      <c r="A351" s="635"/>
      <c r="B351" s="1238"/>
      <c r="C351" s="620"/>
      <c r="D351" s="613"/>
      <c r="E351" s="675"/>
      <c r="F351" s="675"/>
      <c r="G351" s="189"/>
      <c r="H351" s="1093"/>
      <c r="I351" s="675"/>
      <c r="J351" s="189"/>
      <c r="K351" s="189"/>
      <c r="L351" s="675"/>
      <c r="M351" s="676"/>
      <c r="O351" s="644"/>
    </row>
    <row r="352" ht="25.5" customHeight="1">
      <c r="A352" s="635"/>
      <c r="B352" s="1238"/>
      <c r="C352" s="620"/>
      <c r="D352" s="613"/>
      <c r="E352" s="675"/>
      <c r="F352" s="675"/>
      <c r="G352" s="189"/>
      <c r="H352" s="1093"/>
      <c r="I352" s="675"/>
      <c r="J352" s="189"/>
      <c r="K352" s="189"/>
      <c r="L352" s="675"/>
      <c r="M352" s="676"/>
      <c r="O352" s="644"/>
    </row>
    <row r="353" ht="25.5" customHeight="1">
      <c r="A353" s="635"/>
      <c r="B353" s="1238"/>
      <c r="C353" s="620"/>
      <c r="D353" s="613"/>
      <c r="E353" s="675"/>
      <c r="F353" s="675"/>
      <c r="G353" s="189"/>
      <c r="H353" s="1093"/>
      <c r="I353" s="675"/>
      <c r="J353" s="189"/>
      <c r="K353" s="189"/>
      <c r="L353" s="675"/>
      <c r="M353" s="676"/>
      <c r="O353" s="644"/>
    </row>
    <row r="354" ht="25.5" customHeight="1">
      <c r="A354" s="635"/>
      <c r="B354" s="1238"/>
      <c r="C354" s="620"/>
      <c r="D354" s="613"/>
      <c r="E354" s="675"/>
      <c r="F354" s="675"/>
      <c r="G354" s="189"/>
      <c r="H354" s="1093"/>
      <c r="I354" s="675"/>
      <c r="J354" s="189"/>
      <c r="K354" s="189"/>
      <c r="L354" s="675"/>
      <c r="M354" s="676"/>
      <c r="O354" s="644"/>
    </row>
    <row r="355" ht="25.5" customHeight="1">
      <c r="A355" s="635"/>
      <c r="B355" s="1238"/>
      <c r="C355" s="620"/>
      <c r="D355" s="613"/>
      <c r="E355" s="675"/>
      <c r="F355" s="675"/>
      <c r="G355" s="189"/>
      <c r="H355" s="1093"/>
      <c r="I355" s="675"/>
      <c r="J355" s="189"/>
      <c r="K355" s="189"/>
      <c r="L355" s="675"/>
      <c r="M355" s="676"/>
      <c r="O355" s="644"/>
    </row>
    <row r="356" ht="25.5" customHeight="1">
      <c r="A356" s="635"/>
      <c r="B356" s="1238"/>
      <c r="C356" s="620"/>
      <c r="D356" s="613"/>
      <c r="E356" s="675"/>
      <c r="F356" s="675"/>
      <c r="G356" s="189"/>
      <c r="H356" s="1093"/>
      <c r="I356" s="675"/>
      <c r="J356" s="189"/>
      <c r="K356" s="189"/>
      <c r="L356" s="675"/>
      <c r="M356" s="676"/>
      <c r="O356" s="644"/>
    </row>
    <row r="357" ht="25.5" customHeight="1">
      <c r="A357" s="635"/>
      <c r="B357" s="1238"/>
      <c r="C357" s="620"/>
      <c r="D357" s="613"/>
      <c r="E357" s="675"/>
      <c r="F357" s="675"/>
      <c r="G357" s="189"/>
      <c r="H357" s="1093"/>
      <c r="I357" s="675"/>
      <c r="J357" s="189"/>
      <c r="K357" s="189"/>
      <c r="L357" s="675"/>
      <c r="M357" s="676"/>
      <c r="O357" s="644"/>
    </row>
    <row r="358" ht="25.5" customHeight="1">
      <c r="A358" s="635"/>
      <c r="B358" s="1238"/>
      <c r="C358" s="620"/>
      <c r="D358" s="613"/>
      <c r="E358" s="675"/>
      <c r="F358" s="675"/>
      <c r="G358" s="189"/>
      <c r="H358" s="1093"/>
      <c r="I358" s="675"/>
      <c r="J358" s="189"/>
      <c r="K358" s="189"/>
      <c r="L358" s="675"/>
      <c r="M358" s="676"/>
      <c r="O358" s="644"/>
    </row>
    <row r="359" ht="25.5" customHeight="1">
      <c r="A359" s="635"/>
      <c r="B359" s="1238"/>
      <c r="C359" s="620"/>
      <c r="D359" s="613"/>
      <c r="E359" s="675"/>
      <c r="F359" s="675"/>
      <c r="G359" s="189"/>
      <c r="H359" s="1093"/>
      <c r="I359" s="675"/>
      <c r="J359" s="189"/>
      <c r="K359" s="189"/>
      <c r="L359" s="675"/>
      <c r="M359" s="676"/>
      <c r="O359" s="644"/>
    </row>
    <row r="360" ht="25.5" customHeight="1">
      <c r="A360" s="635"/>
      <c r="B360" s="1238"/>
      <c r="C360" s="620"/>
      <c r="D360" s="613"/>
      <c r="E360" s="675"/>
      <c r="F360" s="675"/>
      <c r="G360" s="189"/>
      <c r="H360" s="1093"/>
      <c r="I360" s="675"/>
      <c r="J360" s="189"/>
      <c r="K360" s="189"/>
      <c r="L360" s="675"/>
      <c r="M360" s="676"/>
      <c r="O360" s="644"/>
    </row>
    <row r="361" ht="25.5" customHeight="1">
      <c r="A361" s="635"/>
      <c r="B361" s="1238"/>
      <c r="C361" s="620"/>
      <c r="D361" s="613"/>
      <c r="E361" s="675"/>
      <c r="F361" s="675"/>
      <c r="G361" s="189"/>
      <c r="H361" s="1093"/>
      <c r="I361" s="675"/>
      <c r="J361" s="189"/>
      <c r="K361" s="189"/>
      <c r="L361" s="675"/>
      <c r="M361" s="676"/>
      <c r="O361" s="644"/>
    </row>
    <row r="362" ht="25.5" customHeight="1">
      <c r="A362" s="635"/>
      <c r="B362" s="1238"/>
      <c r="C362" s="620"/>
      <c r="D362" s="613"/>
      <c r="E362" s="675"/>
      <c r="F362" s="675"/>
      <c r="G362" s="189"/>
      <c r="H362" s="1093"/>
      <c r="I362" s="675"/>
      <c r="J362" s="189"/>
      <c r="K362" s="189"/>
      <c r="L362" s="675"/>
      <c r="M362" s="676"/>
      <c r="O362" s="644"/>
    </row>
    <row r="363" ht="25.5" customHeight="1">
      <c r="A363" s="635"/>
      <c r="B363" s="1238"/>
      <c r="C363" s="620"/>
      <c r="D363" s="613"/>
      <c r="E363" s="675"/>
      <c r="F363" s="675"/>
      <c r="G363" s="189"/>
      <c r="H363" s="1093"/>
      <c r="I363" s="675"/>
      <c r="J363" s="189"/>
      <c r="K363" s="189"/>
      <c r="L363" s="675"/>
      <c r="M363" s="676"/>
      <c r="O363" s="644"/>
    </row>
    <row r="364" ht="25.5" customHeight="1">
      <c r="A364" s="635"/>
      <c r="B364" s="1238"/>
      <c r="C364" s="620"/>
      <c r="D364" s="613"/>
      <c r="E364" s="675"/>
      <c r="F364" s="675"/>
      <c r="G364" s="189"/>
      <c r="H364" s="1093"/>
      <c r="I364" s="675"/>
      <c r="J364" s="189"/>
      <c r="K364" s="189"/>
      <c r="L364" s="675"/>
      <c r="M364" s="676"/>
      <c r="O364" s="644"/>
    </row>
    <row r="365" ht="25.5" customHeight="1">
      <c r="A365" s="635"/>
      <c r="B365" s="1238"/>
      <c r="C365" s="620"/>
      <c r="D365" s="613"/>
      <c r="E365" s="675"/>
      <c r="F365" s="675"/>
      <c r="G365" s="189"/>
      <c r="H365" s="1093"/>
      <c r="I365" s="675"/>
      <c r="J365" s="189"/>
      <c r="K365" s="189"/>
      <c r="L365" s="675"/>
      <c r="M365" s="676"/>
      <c r="O365" s="644"/>
    </row>
    <row r="366" ht="25.5" customHeight="1">
      <c r="A366" s="635"/>
      <c r="B366" s="1238"/>
      <c r="C366" s="620"/>
      <c r="D366" s="613"/>
      <c r="E366" s="675"/>
      <c r="F366" s="675"/>
      <c r="G366" s="189"/>
      <c r="H366" s="1093"/>
      <c r="I366" s="675"/>
      <c r="J366" s="189"/>
      <c r="K366" s="189"/>
      <c r="L366" s="675"/>
      <c r="M366" s="676"/>
      <c r="O366" s="644"/>
    </row>
    <row r="367" ht="25.5" customHeight="1">
      <c r="A367" s="635"/>
      <c r="B367" s="1238"/>
      <c r="C367" s="620"/>
      <c r="D367" s="613"/>
      <c r="E367" s="675"/>
      <c r="F367" s="675"/>
      <c r="G367" s="189"/>
      <c r="H367" s="1093"/>
      <c r="I367" s="675"/>
      <c r="J367" s="189"/>
      <c r="K367" s="189"/>
      <c r="L367" s="675"/>
      <c r="M367" s="676"/>
      <c r="O367" s="644"/>
    </row>
    <row r="368" ht="25.5" customHeight="1">
      <c r="A368" s="635"/>
      <c r="B368" s="1238"/>
      <c r="C368" s="620"/>
      <c r="D368" s="613"/>
      <c r="E368" s="675"/>
      <c r="F368" s="675"/>
      <c r="G368" s="189"/>
      <c r="H368" s="1093"/>
      <c r="I368" s="675"/>
      <c r="J368" s="189"/>
      <c r="K368" s="189"/>
      <c r="L368" s="675"/>
      <c r="M368" s="676"/>
      <c r="O368" s="644"/>
    </row>
    <row r="369" ht="25.5" customHeight="1">
      <c r="A369" s="635"/>
      <c r="B369" s="1238"/>
      <c r="C369" s="620"/>
      <c r="D369" s="613"/>
      <c r="E369" s="675"/>
      <c r="F369" s="675"/>
      <c r="G369" s="189"/>
      <c r="H369" s="1093"/>
      <c r="I369" s="675"/>
      <c r="J369" s="189"/>
      <c r="K369" s="189"/>
      <c r="L369" s="675"/>
      <c r="M369" s="676"/>
      <c r="O369" s="644"/>
    </row>
    <row r="370" ht="25.5" customHeight="1">
      <c r="A370" s="635"/>
      <c r="B370" s="1238"/>
      <c r="C370" s="620"/>
      <c r="D370" s="613"/>
      <c r="E370" s="675"/>
      <c r="F370" s="675"/>
      <c r="G370" s="189"/>
      <c r="H370" s="1093"/>
      <c r="I370" s="675"/>
      <c r="J370" s="189"/>
      <c r="K370" s="189"/>
      <c r="L370" s="675"/>
      <c r="M370" s="676"/>
      <c r="O370" s="644"/>
    </row>
    <row r="371" ht="25.5" customHeight="1">
      <c r="A371" s="635"/>
      <c r="B371" s="1238"/>
      <c r="C371" s="620"/>
      <c r="D371" s="613"/>
      <c r="E371" s="675"/>
      <c r="F371" s="675"/>
      <c r="G371" s="189"/>
      <c r="H371" s="1093"/>
      <c r="I371" s="675"/>
      <c r="J371" s="189"/>
      <c r="K371" s="189"/>
      <c r="L371" s="675"/>
      <c r="M371" s="676"/>
      <c r="O371" s="644"/>
    </row>
    <row r="372" ht="25.5" customHeight="1">
      <c r="A372" s="635"/>
      <c r="B372" s="1238"/>
      <c r="C372" s="620"/>
      <c r="D372" s="613"/>
      <c r="E372" s="675"/>
      <c r="F372" s="675"/>
      <c r="G372" s="189"/>
      <c r="H372" s="1093"/>
      <c r="I372" s="675"/>
      <c r="J372" s="189"/>
      <c r="K372" s="189"/>
      <c r="L372" s="675"/>
      <c r="M372" s="676"/>
      <c r="O372" s="644"/>
    </row>
    <row r="373" ht="25.5" customHeight="1">
      <c r="A373" s="635"/>
      <c r="B373" s="1238"/>
      <c r="C373" s="620"/>
      <c r="D373" s="613"/>
      <c r="E373" s="675"/>
      <c r="F373" s="675"/>
      <c r="G373" s="189"/>
      <c r="H373" s="1093"/>
      <c r="I373" s="675"/>
      <c r="J373" s="189"/>
      <c r="K373" s="189"/>
      <c r="L373" s="675"/>
      <c r="M373" s="676"/>
      <c r="O373" s="644"/>
    </row>
    <row r="374" ht="25.5" customHeight="1">
      <c r="A374" s="635"/>
      <c r="B374" s="1238"/>
      <c r="C374" s="620"/>
      <c r="D374" s="613"/>
      <c r="E374" s="675"/>
      <c r="F374" s="675"/>
      <c r="G374" s="189"/>
      <c r="H374" s="1093"/>
      <c r="I374" s="675"/>
      <c r="J374" s="189"/>
      <c r="K374" s="189"/>
      <c r="L374" s="675"/>
      <c r="M374" s="676"/>
      <c r="O374" s="644"/>
    </row>
    <row r="375" ht="25.5" customHeight="1">
      <c r="A375" s="635"/>
      <c r="B375" s="1238"/>
      <c r="C375" s="620"/>
      <c r="D375" s="613"/>
      <c r="E375" s="675"/>
      <c r="F375" s="675"/>
      <c r="G375" s="189"/>
      <c r="H375" s="1093"/>
      <c r="I375" s="675"/>
      <c r="J375" s="189"/>
      <c r="K375" s="189"/>
      <c r="L375" s="675"/>
      <c r="M375" s="676"/>
      <c r="O375" s="644"/>
    </row>
    <row r="376" ht="25.5" customHeight="1">
      <c r="A376" s="635"/>
      <c r="B376" s="1238"/>
      <c r="C376" s="620"/>
      <c r="D376" s="613"/>
      <c r="E376" s="675"/>
      <c r="F376" s="675"/>
      <c r="G376" s="189"/>
      <c r="H376" s="1093"/>
      <c r="I376" s="675"/>
      <c r="J376" s="189"/>
      <c r="K376" s="189"/>
      <c r="L376" s="675"/>
      <c r="M376" s="676"/>
      <c r="O376" s="644"/>
    </row>
    <row r="377" ht="25.5" customHeight="1">
      <c r="A377" s="635"/>
      <c r="B377" s="1238"/>
      <c r="C377" s="620"/>
      <c r="D377" s="613"/>
      <c r="E377" s="675"/>
      <c r="F377" s="675"/>
      <c r="G377" s="189"/>
      <c r="H377" s="1093"/>
      <c r="I377" s="675"/>
      <c r="J377" s="189"/>
      <c r="K377" s="189"/>
      <c r="L377" s="675"/>
      <c r="M377" s="676"/>
      <c r="O377" s="644"/>
    </row>
    <row r="378" ht="25.5" customHeight="1">
      <c r="A378" s="635"/>
      <c r="B378" s="1238"/>
      <c r="C378" s="620"/>
      <c r="D378" s="613"/>
      <c r="E378" s="675"/>
      <c r="F378" s="675"/>
      <c r="G378" s="189"/>
      <c r="H378" s="1093"/>
      <c r="I378" s="675"/>
      <c r="J378" s="189"/>
      <c r="K378" s="189"/>
      <c r="L378" s="675"/>
      <c r="M378" s="676"/>
      <c r="O378" s="644"/>
    </row>
    <row r="379" ht="25.5" customHeight="1">
      <c r="A379" s="635"/>
      <c r="B379" s="1238"/>
      <c r="C379" s="620"/>
      <c r="D379" s="613"/>
      <c r="E379" s="675"/>
      <c r="F379" s="675"/>
      <c r="G379" s="189"/>
      <c r="H379" s="1093"/>
      <c r="I379" s="675"/>
      <c r="J379" s="189"/>
      <c r="K379" s="189"/>
      <c r="L379" s="675"/>
      <c r="M379" s="676"/>
      <c r="O379" s="644"/>
    </row>
    <row r="380" ht="25.5" customHeight="1">
      <c r="A380" s="635"/>
      <c r="B380" s="1238"/>
      <c r="C380" s="620"/>
      <c r="D380" s="613"/>
      <c r="E380" s="675"/>
      <c r="F380" s="675"/>
      <c r="G380" s="189"/>
      <c r="H380" s="1093"/>
      <c r="I380" s="675"/>
      <c r="J380" s="189"/>
      <c r="K380" s="189"/>
      <c r="L380" s="675"/>
      <c r="M380" s="676"/>
      <c r="O380" s="644"/>
    </row>
    <row r="381" ht="25.5" customHeight="1">
      <c r="A381" s="635"/>
      <c r="B381" s="1238"/>
      <c r="C381" s="620"/>
      <c r="D381" s="613"/>
      <c r="E381" s="675"/>
      <c r="F381" s="675"/>
      <c r="G381" s="189"/>
      <c r="H381" s="1093"/>
      <c r="I381" s="675"/>
      <c r="J381" s="189"/>
      <c r="K381" s="189"/>
      <c r="L381" s="675"/>
      <c r="M381" s="676"/>
      <c r="O381" s="644"/>
    </row>
    <row r="382" ht="25.5" customHeight="1">
      <c r="A382" s="635"/>
      <c r="B382" s="1238"/>
      <c r="C382" s="620"/>
      <c r="D382" s="613"/>
      <c r="E382" s="675"/>
      <c r="F382" s="675"/>
      <c r="G382" s="189"/>
      <c r="H382" s="1093"/>
      <c r="I382" s="675"/>
      <c r="J382" s="189"/>
      <c r="K382" s="189"/>
      <c r="L382" s="675"/>
      <c r="M382" s="676"/>
      <c r="O382" s="644"/>
    </row>
    <row r="383" ht="25.5" customHeight="1">
      <c r="A383" s="635"/>
      <c r="B383" s="1238"/>
      <c r="C383" s="620"/>
      <c r="D383" s="613"/>
      <c r="E383" s="675"/>
      <c r="F383" s="675"/>
      <c r="G383" s="189"/>
      <c r="H383" s="1093"/>
      <c r="I383" s="675"/>
      <c r="J383" s="189"/>
      <c r="K383" s="189"/>
      <c r="L383" s="675"/>
      <c r="M383" s="676"/>
      <c r="O383" s="644"/>
    </row>
    <row r="384" ht="25.5" customHeight="1">
      <c r="A384" s="635"/>
      <c r="B384" s="1238"/>
      <c r="C384" s="620"/>
      <c r="D384" s="613"/>
      <c r="E384" s="675"/>
      <c r="F384" s="675"/>
      <c r="G384" s="189"/>
      <c r="H384" s="1093"/>
      <c r="I384" s="675"/>
      <c r="J384" s="189"/>
      <c r="K384" s="189"/>
      <c r="L384" s="675"/>
      <c r="M384" s="676"/>
      <c r="O384" s="644"/>
    </row>
    <row r="385" ht="25.5" customHeight="1">
      <c r="A385" s="635"/>
      <c r="B385" s="1238"/>
      <c r="C385" s="620"/>
      <c r="D385" s="613"/>
      <c r="E385" s="675"/>
      <c r="F385" s="675"/>
      <c r="G385" s="189"/>
      <c r="H385" s="1093"/>
      <c r="I385" s="675"/>
      <c r="J385" s="189"/>
      <c r="K385" s="189"/>
      <c r="L385" s="675"/>
      <c r="M385" s="676"/>
      <c r="O385" s="644"/>
    </row>
    <row r="386" ht="25.5" customHeight="1">
      <c r="A386" s="635"/>
      <c r="B386" s="1238"/>
      <c r="C386" s="620"/>
      <c r="D386" s="613"/>
      <c r="E386" s="675"/>
      <c r="F386" s="675"/>
      <c r="G386" s="189"/>
      <c r="H386" s="1093"/>
      <c r="I386" s="675"/>
      <c r="J386" s="189"/>
      <c r="K386" s="189"/>
      <c r="L386" s="675"/>
      <c r="M386" s="676"/>
      <c r="O386" s="644"/>
    </row>
    <row r="387" ht="25.5" customHeight="1">
      <c r="A387" s="635"/>
      <c r="B387" s="1238"/>
      <c r="C387" s="620"/>
      <c r="D387" s="613"/>
      <c r="E387" s="675"/>
      <c r="F387" s="675"/>
      <c r="G387" s="189"/>
      <c r="H387" s="1093"/>
      <c r="I387" s="675"/>
      <c r="J387" s="189"/>
      <c r="K387" s="189"/>
      <c r="L387" s="675"/>
      <c r="M387" s="676"/>
      <c r="O387" s="644"/>
    </row>
    <row r="388" ht="25.5" customHeight="1">
      <c r="A388" s="635"/>
      <c r="B388" s="1238"/>
      <c r="C388" s="620"/>
      <c r="D388" s="613"/>
      <c r="E388" s="675"/>
      <c r="F388" s="675"/>
      <c r="G388" s="189"/>
      <c r="H388" s="1093"/>
      <c r="I388" s="675"/>
      <c r="J388" s="189"/>
      <c r="K388" s="189"/>
      <c r="L388" s="675"/>
      <c r="M388" s="676"/>
      <c r="O388" s="644"/>
    </row>
    <row r="389" ht="25.5" customHeight="1">
      <c r="A389" s="635"/>
      <c r="B389" s="1238"/>
      <c r="C389" s="620"/>
      <c r="D389" s="613"/>
      <c r="E389" s="675"/>
      <c r="F389" s="675"/>
      <c r="G389" s="189"/>
      <c r="H389" s="1093"/>
      <c r="I389" s="675"/>
      <c r="J389" s="189"/>
      <c r="K389" s="189"/>
      <c r="L389" s="675"/>
      <c r="M389" s="676"/>
      <c r="O389" s="644"/>
    </row>
    <row r="390" ht="25.5" customHeight="1">
      <c r="A390" s="635"/>
      <c r="B390" s="1238"/>
      <c r="C390" s="620"/>
      <c r="D390" s="613"/>
      <c r="E390" s="675"/>
      <c r="F390" s="675"/>
      <c r="G390" s="189"/>
      <c r="H390" s="1093"/>
      <c r="I390" s="675"/>
      <c r="J390" s="189"/>
      <c r="K390" s="189"/>
      <c r="L390" s="675"/>
      <c r="M390" s="676"/>
      <c r="O390" s="644"/>
    </row>
    <row r="391" ht="25.5" customHeight="1">
      <c r="A391" s="635"/>
      <c r="B391" s="1238"/>
      <c r="C391" s="620"/>
      <c r="D391" s="613"/>
      <c r="E391" s="675"/>
      <c r="F391" s="675"/>
      <c r="G391" s="189"/>
      <c r="H391" s="1093"/>
      <c r="I391" s="675"/>
      <c r="J391" s="189"/>
      <c r="K391" s="189"/>
      <c r="L391" s="675"/>
      <c r="M391" s="676"/>
      <c r="O391" s="644"/>
    </row>
    <row r="392" ht="25.5" customHeight="1">
      <c r="A392" s="635"/>
      <c r="B392" s="1238"/>
      <c r="C392" s="620"/>
      <c r="D392" s="613"/>
      <c r="E392" s="675"/>
      <c r="F392" s="675"/>
      <c r="G392" s="189"/>
      <c r="H392" s="1093"/>
      <c r="I392" s="675"/>
      <c r="J392" s="189"/>
      <c r="K392" s="189"/>
      <c r="L392" s="675"/>
      <c r="M392" s="676"/>
      <c r="O392" s="644"/>
    </row>
    <row r="393" ht="25.5" customHeight="1">
      <c r="A393" s="635"/>
      <c r="B393" s="1238"/>
      <c r="C393" s="620"/>
      <c r="D393" s="613"/>
      <c r="E393" s="675"/>
      <c r="F393" s="675"/>
      <c r="G393" s="189"/>
      <c r="H393" s="1093"/>
      <c r="I393" s="675"/>
      <c r="J393" s="189"/>
      <c r="K393" s="189"/>
      <c r="L393" s="675"/>
      <c r="M393" s="676"/>
      <c r="O393" s="644"/>
    </row>
    <row r="394" ht="25.5" customHeight="1">
      <c r="A394" s="635"/>
      <c r="B394" s="1238"/>
      <c r="C394" s="620"/>
      <c r="D394" s="613"/>
      <c r="E394" s="675"/>
      <c r="F394" s="675"/>
      <c r="G394" s="189"/>
      <c r="H394" s="1093"/>
      <c r="I394" s="675"/>
      <c r="J394" s="189"/>
      <c r="K394" s="189"/>
      <c r="L394" s="675"/>
      <c r="M394" s="676"/>
      <c r="O394" s="644"/>
    </row>
    <row r="395" ht="25.5" customHeight="1">
      <c r="A395" s="635"/>
      <c r="B395" s="1238"/>
      <c r="C395" s="620"/>
      <c r="D395" s="613"/>
      <c r="E395" s="675"/>
      <c r="F395" s="675"/>
      <c r="G395" s="189"/>
      <c r="H395" s="1093"/>
      <c r="I395" s="675"/>
      <c r="J395" s="189"/>
      <c r="K395" s="189"/>
      <c r="L395" s="675"/>
      <c r="M395" s="676"/>
      <c r="O395" s="644"/>
    </row>
    <row r="396" ht="25.5" customHeight="1">
      <c r="A396" s="635"/>
      <c r="B396" s="1238"/>
      <c r="C396" s="620"/>
      <c r="D396" s="613"/>
      <c r="E396" s="675"/>
      <c r="F396" s="675"/>
      <c r="G396" s="189"/>
      <c r="H396" s="1093"/>
      <c r="I396" s="675"/>
      <c r="J396" s="189"/>
      <c r="K396" s="189"/>
      <c r="L396" s="675"/>
      <c r="M396" s="676"/>
      <c r="O396" s="644"/>
    </row>
    <row r="397" ht="25.5" customHeight="1">
      <c r="A397" s="635"/>
      <c r="B397" s="1238"/>
      <c r="C397" s="620"/>
      <c r="D397" s="613"/>
      <c r="E397" s="675"/>
      <c r="F397" s="675"/>
      <c r="G397" s="189"/>
      <c r="H397" s="1093"/>
      <c r="I397" s="675"/>
      <c r="J397" s="189"/>
      <c r="K397" s="189"/>
      <c r="L397" s="675"/>
      <c r="M397" s="676"/>
      <c r="O397" s="644"/>
    </row>
    <row r="398" ht="25.5" customHeight="1">
      <c r="A398" s="635"/>
      <c r="B398" s="1238"/>
      <c r="C398" s="620"/>
      <c r="D398" s="613"/>
      <c r="E398" s="675"/>
      <c r="F398" s="675"/>
      <c r="G398" s="189"/>
      <c r="H398" s="1093"/>
      <c r="I398" s="675"/>
      <c r="J398" s="189"/>
      <c r="K398" s="189"/>
      <c r="L398" s="675"/>
      <c r="M398" s="676"/>
      <c r="O398" s="644"/>
    </row>
    <row r="399" ht="25.5" customHeight="1">
      <c r="A399" s="635"/>
      <c r="B399" s="1238"/>
      <c r="C399" s="620"/>
      <c r="D399" s="613"/>
      <c r="E399" s="675"/>
      <c r="F399" s="675"/>
      <c r="G399" s="189"/>
      <c r="H399" s="1093"/>
      <c r="I399" s="675"/>
      <c r="J399" s="189"/>
      <c r="K399" s="189"/>
      <c r="L399" s="675"/>
      <c r="M399" s="676"/>
      <c r="O399" s="644"/>
    </row>
    <row r="400" ht="25.5" customHeight="1">
      <c r="A400" s="635"/>
      <c r="B400" s="1238"/>
      <c r="C400" s="620"/>
      <c r="D400" s="613"/>
      <c r="E400" s="675"/>
      <c r="F400" s="675"/>
      <c r="G400" s="189"/>
      <c r="H400" s="1093"/>
      <c r="I400" s="675"/>
      <c r="J400" s="189"/>
      <c r="K400" s="189"/>
      <c r="L400" s="675"/>
      <c r="M400" s="676"/>
      <c r="O400" s="644"/>
    </row>
    <row r="401" ht="25.5" customHeight="1">
      <c r="A401" s="635"/>
      <c r="B401" s="1238"/>
      <c r="C401" s="620"/>
      <c r="D401" s="613"/>
      <c r="E401" s="675"/>
      <c r="F401" s="675"/>
      <c r="G401" s="189"/>
      <c r="H401" s="1093"/>
      <c r="I401" s="675"/>
      <c r="J401" s="189"/>
      <c r="K401" s="189"/>
      <c r="L401" s="675"/>
      <c r="M401" s="676"/>
      <c r="O401" s="644"/>
    </row>
    <row r="402" ht="25.5" customHeight="1">
      <c r="A402" s="635"/>
      <c r="B402" s="1238"/>
      <c r="C402" s="620"/>
      <c r="D402" s="613"/>
      <c r="E402" s="675"/>
      <c r="F402" s="675"/>
      <c r="G402" s="189"/>
      <c r="H402" s="1093"/>
      <c r="I402" s="675"/>
      <c r="J402" s="189"/>
      <c r="K402" s="189"/>
      <c r="L402" s="675"/>
      <c r="M402" s="676"/>
      <c r="O402" s="644"/>
    </row>
    <row r="403" ht="25.5" customHeight="1">
      <c r="A403" s="635"/>
      <c r="B403" s="1238"/>
      <c r="C403" s="620"/>
      <c r="D403" s="613"/>
      <c r="E403" s="675"/>
      <c r="F403" s="675"/>
      <c r="G403" s="189"/>
      <c r="H403" s="1093"/>
      <c r="I403" s="675"/>
      <c r="J403" s="189"/>
      <c r="K403" s="189"/>
      <c r="L403" s="675"/>
      <c r="M403" s="676"/>
      <c r="O403" s="644"/>
    </row>
    <row r="404" ht="25.5" customHeight="1">
      <c r="A404" s="635"/>
      <c r="B404" s="1238"/>
      <c r="C404" s="620"/>
      <c r="D404" s="613"/>
      <c r="E404" s="675"/>
      <c r="F404" s="675"/>
      <c r="G404" s="189"/>
      <c r="H404" s="1093"/>
      <c r="I404" s="675"/>
      <c r="J404" s="189"/>
      <c r="K404" s="189"/>
      <c r="L404" s="675"/>
      <c r="M404" s="676"/>
      <c r="O404" s="644"/>
    </row>
    <row r="405" ht="25.5" customHeight="1">
      <c r="A405" s="635"/>
      <c r="B405" s="1238"/>
      <c r="C405" s="620"/>
      <c r="D405" s="613"/>
      <c r="E405" s="675"/>
      <c r="F405" s="675"/>
      <c r="G405" s="189"/>
      <c r="H405" s="1093"/>
      <c r="I405" s="675"/>
      <c r="J405" s="189"/>
      <c r="K405" s="189"/>
      <c r="L405" s="675"/>
      <c r="M405" s="676"/>
      <c r="O405" s="644"/>
    </row>
    <row r="406" ht="25.5" customHeight="1">
      <c r="A406" s="635"/>
      <c r="B406" s="1238"/>
      <c r="C406" s="620"/>
      <c r="D406" s="613"/>
      <c r="E406" s="675"/>
      <c r="F406" s="675"/>
      <c r="G406" s="189"/>
      <c r="H406" s="1093"/>
      <c r="I406" s="675"/>
      <c r="J406" s="189"/>
      <c r="K406" s="189"/>
      <c r="L406" s="675"/>
      <c r="M406" s="676"/>
      <c r="O406" s="644"/>
    </row>
    <row r="407" ht="25.5" customHeight="1">
      <c r="A407" s="635"/>
      <c r="B407" s="1238"/>
      <c r="C407" s="620"/>
      <c r="D407" s="613"/>
      <c r="E407" s="675"/>
      <c r="F407" s="675"/>
      <c r="G407" s="189"/>
      <c r="H407" s="1093"/>
      <c r="I407" s="675"/>
      <c r="J407" s="189"/>
      <c r="K407" s="189"/>
      <c r="L407" s="675"/>
      <c r="M407" s="676"/>
      <c r="O407" s="644"/>
    </row>
    <row r="408" ht="25.5" customHeight="1">
      <c r="A408" s="635"/>
      <c r="B408" s="1238"/>
      <c r="C408" s="620"/>
      <c r="D408" s="613"/>
      <c r="E408" s="675"/>
      <c r="F408" s="675"/>
      <c r="G408" s="189"/>
      <c r="H408" s="1093"/>
      <c r="I408" s="675"/>
      <c r="J408" s="189"/>
      <c r="K408" s="189"/>
      <c r="L408" s="675"/>
      <c r="M408" s="676"/>
      <c r="O408" s="644"/>
    </row>
    <row r="409" ht="25.5" customHeight="1">
      <c r="A409" s="635"/>
      <c r="B409" s="1238"/>
      <c r="C409" s="620"/>
      <c r="D409" s="613"/>
      <c r="E409" s="675"/>
      <c r="F409" s="675"/>
      <c r="G409" s="189"/>
      <c r="H409" s="1093"/>
      <c r="I409" s="675"/>
      <c r="J409" s="189"/>
      <c r="K409" s="189"/>
      <c r="L409" s="675"/>
      <c r="M409" s="676"/>
      <c r="O409" s="644"/>
    </row>
    <row r="410" ht="25.5" customHeight="1">
      <c r="A410" s="635"/>
      <c r="B410" s="1238"/>
      <c r="C410" s="620"/>
      <c r="D410" s="613"/>
      <c r="E410" s="675"/>
      <c r="F410" s="675"/>
      <c r="G410" s="189"/>
      <c r="H410" s="1093"/>
      <c r="I410" s="675"/>
      <c r="J410" s="189"/>
      <c r="K410" s="189"/>
      <c r="L410" s="675"/>
      <c r="M410" s="676"/>
      <c r="O410" s="644"/>
    </row>
    <row r="411" ht="25.5" customHeight="1">
      <c r="A411" s="635"/>
      <c r="B411" s="1238"/>
      <c r="C411" s="620"/>
      <c r="D411" s="613"/>
      <c r="E411" s="675"/>
      <c r="F411" s="675"/>
      <c r="G411" s="189"/>
      <c r="H411" s="1093"/>
      <c r="I411" s="675"/>
      <c r="J411" s="189"/>
      <c r="K411" s="189"/>
      <c r="L411" s="675"/>
      <c r="M411" s="676"/>
      <c r="O411" s="644"/>
    </row>
    <row r="412" ht="25.5" customHeight="1">
      <c r="A412" s="635"/>
      <c r="B412" s="1238"/>
      <c r="C412" s="620"/>
      <c r="D412" s="613"/>
      <c r="E412" s="675"/>
      <c r="F412" s="675"/>
      <c r="G412" s="189"/>
      <c r="H412" s="1093"/>
      <c r="I412" s="675"/>
      <c r="J412" s="189"/>
      <c r="K412" s="189"/>
      <c r="L412" s="675"/>
      <c r="M412" s="676"/>
      <c r="O412" s="644"/>
    </row>
    <row r="413" ht="25.5" customHeight="1">
      <c r="A413" s="635"/>
      <c r="B413" s="1238"/>
      <c r="C413" s="620"/>
      <c r="D413" s="613"/>
      <c r="E413" s="675"/>
      <c r="F413" s="675"/>
      <c r="G413" s="189"/>
      <c r="H413" s="1093"/>
      <c r="I413" s="675"/>
      <c r="J413" s="189"/>
      <c r="K413" s="189"/>
      <c r="L413" s="675"/>
      <c r="M413" s="676"/>
      <c r="O413" s="644"/>
    </row>
    <row r="414" ht="25.5" customHeight="1">
      <c r="A414" s="635"/>
      <c r="B414" s="1238"/>
      <c r="C414" s="620"/>
      <c r="D414" s="613"/>
      <c r="E414" s="675"/>
      <c r="F414" s="675"/>
      <c r="G414" s="189"/>
      <c r="H414" s="1093"/>
      <c r="I414" s="675"/>
      <c r="J414" s="189"/>
      <c r="K414" s="189"/>
      <c r="L414" s="675"/>
      <c r="M414" s="676"/>
      <c r="O414" s="644"/>
    </row>
    <row r="415" ht="25.5" customHeight="1">
      <c r="A415" s="635"/>
      <c r="B415" s="1238"/>
      <c r="C415" s="620"/>
      <c r="D415" s="613"/>
      <c r="E415" s="675"/>
      <c r="F415" s="675"/>
      <c r="G415" s="189"/>
      <c r="H415" s="1093"/>
      <c r="I415" s="675"/>
      <c r="J415" s="189"/>
      <c r="K415" s="189"/>
      <c r="L415" s="675"/>
      <c r="M415" s="676"/>
      <c r="O415" s="644"/>
    </row>
    <row r="416" ht="25.5" customHeight="1">
      <c r="A416" s="635"/>
      <c r="B416" s="1238"/>
      <c r="C416" s="620"/>
      <c r="D416" s="613"/>
      <c r="E416" s="675"/>
      <c r="F416" s="675"/>
      <c r="G416" s="189"/>
      <c r="H416" s="1093"/>
      <c r="I416" s="675"/>
      <c r="J416" s="189"/>
      <c r="K416" s="189"/>
      <c r="L416" s="675"/>
      <c r="M416" s="676"/>
      <c r="O416" s="644"/>
    </row>
    <row r="417" ht="25.5" customHeight="1">
      <c r="A417" s="635"/>
      <c r="B417" s="1238"/>
      <c r="C417" s="620"/>
      <c r="D417" s="613"/>
      <c r="E417" s="675"/>
      <c r="F417" s="675"/>
      <c r="G417" s="189"/>
      <c r="H417" s="1093"/>
      <c r="I417" s="675"/>
      <c r="J417" s="189"/>
      <c r="K417" s="189"/>
      <c r="L417" s="675"/>
      <c r="M417" s="676"/>
      <c r="O417" s="644"/>
    </row>
    <row r="418" ht="25.5" customHeight="1">
      <c r="A418" s="635"/>
      <c r="B418" s="1238"/>
      <c r="C418" s="620"/>
      <c r="D418" s="613"/>
      <c r="E418" s="675"/>
      <c r="F418" s="675"/>
      <c r="G418" s="189"/>
      <c r="H418" s="1093"/>
      <c r="I418" s="675"/>
      <c r="J418" s="189"/>
      <c r="K418" s="189"/>
      <c r="L418" s="675"/>
      <c r="M418" s="676"/>
      <c r="O418" s="644"/>
    </row>
    <row r="419" ht="25.5" customHeight="1">
      <c r="A419" s="635"/>
      <c r="B419" s="1238"/>
      <c r="C419" s="620"/>
      <c r="D419" s="613"/>
      <c r="E419" s="675"/>
      <c r="F419" s="675"/>
      <c r="G419" s="189"/>
      <c r="H419" s="1093"/>
      <c r="I419" s="675"/>
      <c r="J419" s="189"/>
      <c r="K419" s="189"/>
      <c r="L419" s="675"/>
      <c r="M419" s="676"/>
      <c r="O419" s="644"/>
    </row>
    <row r="420" ht="25.5" customHeight="1">
      <c r="A420" s="635"/>
      <c r="B420" s="1238"/>
      <c r="C420" s="620"/>
      <c r="D420" s="613"/>
      <c r="E420" s="675"/>
      <c r="F420" s="675"/>
      <c r="G420" s="189"/>
      <c r="H420" s="1093"/>
      <c r="I420" s="675"/>
      <c r="J420" s="189"/>
      <c r="K420" s="189"/>
      <c r="L420" s="675"/>
      <c r="M420" s="676"/>
      <c r="O420" s="644"/>
    </row>
    <row r="421" ht="25.5" customHeight="1">
      <c r="A421" s="635"/>
      <c r="B421" s="1238"/>
      <c r="C421" s="620"/>
      <c r="D421" s="613"/>
      <c r="E421" s="675"/>
      <c r="F421" s="675"/>
      <c r="G421" s="189"/>
      <c r="H421" s="1093"/>
      <c r="I421" s="675"/>
      <c r="J421" s="189"/>
      <c r="K421" s="189"/>
      <c r="L421" s="675"/>
      <c r="M421" s="676"/>
      <c r="O421" s="644"/>
    </row>
    <row r="422" ht="25.5" customHeight="1">
      <c r="A422" s="635"/>
      <c r="B422" s="1238"/>
      <c r="C422" s="620"/>
      <c r="D422" s="613"/>
      <c r="E422" s="675"/>
      <c r="F422" s="675"/>
      <c r="G422" s="189"/>
      <c r="H422" s="1093"/>
      <c r="I422" s="675"/>
      <c r="J422" s="189"/>
      <c r="K422" s="189"/>
      <c r="L422" s="675"/>
      <c r="M422" s="676"/>
      <c r="O422" s="644"/>
    </row>
    <row r="423" ht="25.5" customHeight="1">
      <c r="A423" s="635"/>
      <c r="B423" s="1238"/>
      <c r="C423" s="620"/>
      <c r="D423" s="613"/>
      <c r="E423" s="675"/>
      <c r="F423" s="675"/>
      <c r="G423" s="189"/>
      <c r="H423" s="1093"/>
      <c r="I423" s="675"/>
      <c r="J423" s="189"/>
      <c r="K423" s="189"/>
      <c r="L423" s="675"/>
      <c r="M423" s="676"/>
      <c r="O423" s="644"/>
    </row>
    <row r="424" ht="25.5" customHeight="1">
      <c r="A424" s="635"/>
      <c r="B424" s="1238"/>
      <c r="C424" s="620"/>
      <c r="D424" s="613"/>
      <c r="E424" s="675"/>
      <c r="F424" s="675"/>
      <c r="G424" s="189"/>
      <c r="H424" s="1093"/>
      <c r="I424" s="675"/>
      <c r="J424" s="189"/>
      <c r="K424" s="189"/>
      <c r="L424" s="675"/>
      <c r="M424" s="676"/>
      <c r="O424" s="644"/>
    </row>
    <row r="425" ht="25.5" customHeight="1">
      <c r="A425" s="635"/>
      <c r="B425" s="1238"/>
      <c r="C425" s="620"/>
      <c r="D425" s="613"/>
      <c r="E425" s="675"/>
      <c r="F425" s="675"/>
      <c r="G425" s="189"/>
      <c r="H425" s="1093"/>
      <c r="I425" s="675"/>
      <c r="J425" s="189"/>
      <c r="K425" s="189"/>
      <c r="L425" s="675"/>
      <c r="M425" s="676"/>
      <c r="O425" s="644"/>
    </row>
    <row r="426" ht="25.5" customHeight="1">
      <c r="A426" s="635"/>
      <c r="B426" s="1238"/>
      <c r="C426" s="620"/>
      <c r="D426" s="613"/>
      <c r="E426" s="675"/>
      <c r="F426" s="675"/>
      <c r="G426" s="189"/>
      <c r="H426" s="1093"/>
      <c r="I426" s="675"/>
      <c r="J426" s="189"/>
      <c r="K426" s="189"/>
      <c r="L426" s="675"/>
      <c r="M426" s="676"/>
      <c r="O426" s="644"/>
    </row>
    <row r="427" ht="25.5" customHeight="1">
      <c r="A427" s="635"/>
      <c r="B427" s="1238"/>
      <c r="C427" s="620"/>
      <c r="D427" s="613"/>
      <c r="E427" s="675"/>
      <c r="F427" s="675"/>
      <c r="G427" s="189"/>
      <c r="H427" s="1093"/>
      <c r="I427" s="675"/>
      <c r="J427" s="189"/>
      <c r="K427" s="189"/>
      <c r="L427" s="675"/>
      <c r="M427" s="676"/>
      <c r="O427" s="644"/>
    </row>
    <row r="428" ht="25.5" customHeight="1">
      <c r="A428" s="635"/>
      <c r="B428" s="1238"/>
      <c r="C428" s="620"/>
      <c r="D428" s="613"/>
      <c r="E428" s="675"/>
      <c r="F428" s="675"/>
      <c r="G428" s="189"/>
      <c r="H428" s="1093"/>
      <c r="I428" s="675"/>
      <c r="J428" s="189"/>
      <c r="K428" s="189"/>
      <c r="L428" s="675"/>
      <c r="M428" s="676"/>
      <c r="O428" s="644"/>
    </row>
    <row r="429" ht="25.5" customHeight="1">
      <c r="A429" s="635"/>
      <c r="B429" s="1238"/>
      <c r="C429" s="620"/>
      <c r="D429" s="613"/>
      <c r="E429" s="675"/>
      <c r="F429" s="675"/>
      <c r="G429" s="189"/>
      <c r="H429" s="1093"/>
      <c r="I429" s="675"/>
      <c r="J429" s="189"/>
      <c r="K429" s="189"/>
      <c r="L429" s="675"/>
      <c r="M429" s="676"/>
      <c r="O429" s="644"/>
    </row>
    <row r="430" ht="25.5" customHeight="1">
      <c r="A430" s="635"/>
      <c r="B430" s="1238"/>
      <c r="C430" s="620"/>
      <c r="D430" s="613"/>
      <c r="E430" s="675"/>
      <c r="F430" s="675"/>
      <c r="G430" s="189"/>
      <c r="H430" s="1093"/>
      <c r="I430" s="675"/>
      <c r="J430" s="189"/>
      <c r="K430" s="189"/>
      <c r="L430" s="675"/>
      <c r="M430" s="676"/>
      <c r="O430" s="644"/>
    </row>
    <row r="431" ht="25.5" customHeight="1">
      <c r="A431" s="635"/>
      <c r="B431" s="1238"/>
      <c r="C431" s="620"/>
      <c r="D431" s="613"/>
      <c r="E431" s="675"/>
      <c r="F431" s="675"/>
      <c r="G431" s="189"/>
      <c r="H431" s="1093"/>
      <c r="I431" s="675"/>
      <c r="J431" s="189"/>
      <c r="K431" s="189"/>
      <c r="L431" s="675"/>
      <c r="M431" s="676"/>
      <c r="O431" s="644"/>
    </row>
    <row r="432" ht="25.5" customHeight="1">
      <c r="A432" s="635"/>
      <c r="B432" s="1238"/>
      <c r="C432" s="620"/>
      <c r="D432" s="613"/>
      <c r="E432" s="675"/>
      <c r="F432" s="675"/>
      <c r="G432" s="189"/>
      <c r="H432" s="1093"/>
      <c r="I432" s="675"/>
      <c r="J432" s="189"/>
      <c r="K432" s="189"/>
      <c r="L432" s="675"/>
      <c r="M432" s="676"/>
      <c r="O432" s="644"/>
    </row>
    <row r="433" ht="25.5" customHeight="1">
      <c r="A433" s="635"/>
      <c r="B433" s="1238"/>
      <c r="C433" s="620"/>
      <c r="D433" s="613"/>
      <c r="E433" s="675"/>
      <c r="F433" s="675"/>
      <c r="G433" s="189"/>
      <c r="H433" s="1093"/>
      <c r="I433" s="675"/>
      <c r="J433" s="189"/>
      <c r="K433" s="189"/>
      <c r="L433" s="675"/>
      <c r="M433" s="676"/>
      <c r="O433" s="644"/>
    </row>
    <row r="434" ht="25.5" customHeight="1">
      <c r="A434" s="635"/>
      <c r="B434" s="1238"/>
      <c r="C434" s="620"/>
      <c r="D434" s="613"/>
      <c r="E434" s="675"/>
      <c r="F434" s="675"/>
      <c r="G434" s="189"/>
      <c r="H434" s="1093"/>
      <c r="I434" s="675"/>
      <c r="J434" s="189"/>
      <c r="K434" s="189"/>
      <c r="L434" s="675"/>
      <c r="M434" s="676"/>
      <c r="O434" s="644"/>
    </row>
    <row r="435" ht="25.5" customHeight="1">
      <c r="A435" s="635"/>
      <c r="B435" s="1238"/>
      <c r="C435" s="620"/>
      <c r="D435" s="613"/>
      <c r="E435" s="675"/>
      <c r="F435" s="675"/>
      <c r="G435" s="189"/>
      <c r="H435" s="1093"/>
      <c r="I435" s="675"/>
      <c r="J435" s="189"/>
      <c r="K435" s="189"/>
      <c r="L435" s="675"/>
      <c r="M435" s="676"/>
      <c r="O435" s="644"/>
    </row>
    <row r="436" ht="25.5" customHeight="1">
      <c r="A436" s="635"/>
      <c r="B436" s="1238"/>
      <c r="C436" s="620"/>
      <c r="D436" s="613"/>
      <c r="E436" s="675"/>
      <c r="F436" s="675"/>
      <c r="G436" s="189"/>
      <c r="H436" s="1093"/>
      <c r="I436" s="675"/>
      <c r="J436" s="189"/>
      <c r="K436" s="189"/>
      <c r="L436" s="675"/>
      <c r="M436" s="676"/>
      <c r="O436" s="644"/>
    </row>
    <row r="437" ht="25.5" customHeight="1">
      <c r="A437" s="635"/>
      <c r="B437" s="1238"/>
      <c r="C437" s="620"/>
      <c r="D437" s="613"/>
      <c r="E437" s="675"/>
      <c r="F437" s="675"/>
      <c r="G437" s="189"/>
      <c r="H437" s="1093"/>
      <c r="I437" s="675"/>
      <c r="J437" s="189"/>
      <c r="K437" s="189"/>
      <c r="L437" s="675"/>
      <c r="M437" s="676"/>
      <c r="O437" s="644"/>
    </row>
    <row r="438" ht="25.5" customHeight="1">
      <c r="A438" s="635"/>
      <c r="B438" s="1238"/>
      <c r="C438" s="620"/>
      <c r="D438" s="613"/>
      <c r="E438" s="675"/>
      <c r="F438" s="675"/>
      <c r="G438" s="189"/>
      <c r="H438" s="1093"/>
      <c r="I438" s="675"/>
      <c r="J438" s="189"/>
      <c r="K438" s="189"/>
      <c r="L438" s="675"/>
      <c r="M438" s="676"/>
      <c r="O438" s="644"/>
    </row>
    <row r="439" ht="25.5" customHeight="1">
      <c r="A439" s="635"/>
      <c r="B439" s="1238"/>
      <c r="C439" s="620"/>
      <c r="D439" s="613"/>
      <c r="E439" s="675"/>
      <c r="F439" s="675"/>
      <c r="G439" s="189"/>
      <c r="H439" s="1093"/>
      <c r="I439" s="675"/>
      <c r="J439" s="189"/>
      <c r="K439" s="189"/>
      <c r="L439" s="675"/>
      <c r="M439" s="676"/>
      <c r="O439" s="644"/>
    </row>
    <row r="440" ht="25.5" customHeight="1">
      <c r="A440" s="635"/>
      <c r="B440" s="1238"/>
      <c r="C440" s="620"/>
      <c r="D440" s="613"/>
      <c r="E440" s="675"/>
      <c r="F440" s="675"/>
      <c r="G440" s="189"/>
      <c r="H440" s="1093"/>
      <c r="I440" s="675"/>
      <c r="J440" s="189"/>
      <c r="K440" s="189"/>
      <c r="L440" s="675"/>
      <c r="M440" s="676"/>
      <c r="O440" s="644"/>
    </row>
    <row r="441" ht="25.5" customHeight="1">
      <c r="A441" s="635"/>
      <c r="B441" s="1238"/>
      <c r="C441" s="620"/>
      <c r="D441" s="613"/>
      <c r="E441" s="675"/>
      <c r="F441" s="675"/>
      <c r="G441" s="189"/>
      <c r="H441" s="1093"/>
      <c r="I441" s="675"/>
      <c r="J441" s="189"/>
      <c r="K441" s="189"/>
      <c r="L441" s="675"/>
      <c r="M441" s="676"/>
      <c r="O441" s="644"/>
    </row>
    <row r="442" ht="25.5" customHeight="1">
      <c r="A442" s="635"/>
      <c r="B442" s="1238"/>
      <c r="C442" s="620"/>
      <c r="D442" s="613"/>
      <c r="E442" s="675"/>
      <c r="F442" s="675"/>
      <c r="G442" s="189"/>
      <c r="H442" s="1093"/>
      <c r="I442" s="675"/>
      <c r="J442" s="189"/>
      <c r="K442" s="189"/>
      <c r="L442" s="675"/>
      <c r="M442" s="676"/>
      <c r="O442" s="644"/>
    </row>
    <row r="443" ht="25.5" customHeight="1">
      <c r="A443" s="635"/>
      <c r="B443" s="1238"/>
      <c r="C443" s="620"/>
      <c r="D443" s="613"/>
      <c r="E443" s="675"/>
      <c r="F443" s="675"/>
      <c r="G443" s="189"/>
      <c r="H443" s="1093"/>
      <c r="I443" s="675"/>
      <c r="J443" s="189"/>
      <c r="K443" s="189"/>
      <c r="L443" s="675"/>
      <c r="M443" s="676"/>
      <c r="O443" s="644"/>
    </row>
    <row r="444" ht="25.5" customHeight="1">
      <c r="A444" s="635"/>
      <c r="B444" s="1238"/>
      <c r="C444" s="620"/>
      <c r="D444" s="613"/>
      <c r="E444" s="675"/>
      <c r="F444" s="675"/>
      <c r="G444" s="189"/>
      <c r="H444" s="1093"/>
      <c r="I444" s="675"/>
      <c r="J444" s="189"/>
      <c r="K444" s="189"/>
      <c r="L444" s="675"/>
      <c r="M444" s="676"/>
      <c r="O444" s="644"/>
    </row>
    <row r="445" ht="25.5" customHeight="1">
      <c r="A445" s="635"/>
      <c r="B445" s="1238"/>
      <c r="C445" s="620"/>
      <c r="D445" s="613"/>
      <c r="E445" s="675"/>
      <c r="F445" s="675"/>
      <c r="G445" s="189"/>
      <c r="H445" s="1093"/>
      <c r="I445" s="675"/>
      <c r="J445" s="189"/>
      <c r="K445" s="189"/>
      <c r="L445" s="675"/>
      <c r="M445" s="676"/>
      <c r="O445" s="644"/>
    </row>
    <row r="446" ht="25.5" customHeight="1">
      <c r="A446" s="635"/>
      <c r="B446" s="1238"/>
      <c r="C446" s="620"/>
      <c r="D446" s="613"/>
      <c r="E446" s="675"/>
      <c r="F446" s="675"/>
      <c r="G446" s="189"/>
      <c r="H446" s="1093"/>
      <c r="I446" s="675"/>
      <c r="J446" s="189"/>
      <c r="K446" s="189"/>
      <c r="L446" s="675"/>
      <c r="M446" s="676"/>
      <c r="O446" s="644"/>
    </row>
    <row r="447" ht="25.5" customHeight="1">
      <c r="A447" s="635"/>
      <c r="B447" s="1238"/>
      <c r="C447" s="620"/>
      <c r="D447" s="613"/>
      <c r="E447" s="675"/>
      <c r="F447" s="675"/>
      <c r="G447" s="189"/>
      <c r="H447" s="1093"/>
      <c r="I447" s="675"/>
      <c r="J447" s="189"/>
      <c r="K447" s="189"/>
      <c r="L447" s="675"/>
      <c r="M447" s="676"/>
      <c r="O447" s="644"/>
    </row>
    <row r="448" ht="25.5" customHeight="1">
      <c r="A448" s="635"/>
      <c r="B448" s="1238"/>
      <c r="C448" s="620"/>
      <c r="D448" s="613"/>
      <c r="E448" s="675"/>
      <c r="F448" s="675"/>
      <c r="G448" s="189"/>
      <c r="H448" s="1093"/>
      <c r="I448" s="675"/>
      <c r="J448" s="189"/>
      <c r="K448" s="189"/>
      <c r="L448" s="675"/>
      <c r="M448" s="676"/>
      <c r="O448" s="644"/>
    </row>
    <row r="449" ht="25.5" customHeight="1">
      <c r="A449" s="635"/>
      <c r="B449" s="1238"/>
      <c r="C449" s="620"/>
      <c r="D449" s="613"/>
      <c r="E449" s="675"/>
      <c r="F449" s="675"/>
      <c r="G449" s="189"/>
      <c r="H449" s="1093"/>
      <c r="I449" s="675"/>
      <c r="J449" s="189"/>
      <c r="K449" s="189"/>
      <c r="L449" s="675"/>
      <c r="M449" s="676"/>
      <c r="O449" s="644"/>
    </row>
    <row r="450" ht="25.5" customHeight="1">
      <c r="A450" s="635"/>
      <c r="B450" s="1238"/>
      <c r="C450" s="620"/>
      <c r="D450" s="613"/>
      <c r="E450" s="675"/>
      <c r="F450" s="675"/>
      <c r="G450" s="189"/>
      <c r="H450" s="1093"/>
      <c r="I450" s="675"/>
      <c r="J450" s="189"/>
      <c r="K450" s="189"/>
      <c r="L450" s="675"/>
      <c r="M450" s="676"/>
      <c r="O450" s="644"/>
    </row>
    <row r="451" ht="25.5" customHeight="1">
      <c r="A451" s="635"/>
      <c r="B451" s="1238"/>
      <c r="C451" s="620"/>
      <c r="D451" s="613"/>
      <c r="E451" s="675"/>
      <c r="F451" s="675"/>
      <c r="G451" s="189"/>
      <c r="H451" s="1093"/>
      <c r="I451" s="675"/>
      <c r="J451" s="189"/>
      <c r="K451" s="189"/>
      <c r="L451" s="675"/>
      <c r="M451" s="676"/>
      <c r="O451" s="644"/>
    </row>
    <row r="452" ht="25.5" customHeight="1">
      <c r="A452" s="635"/>
      <c r="B452" s="1238"/>
      <c r="C452" s="620"/>
      <c r="D452" s="613"/>
      <c r="E452" s="675"/>
      <c r="F452" s="675"/>
      <c r="G452" s="189"/>
      <c r="H452" s="1093"/>
      <c r="I452" s="675"/>
      <c r="J452" s="189"/>
      <c r="K452" s="189"/>
      <c r="L452" s="675"/>
      <c r="M452" s="676"/>
      <c r="O452" s="644"/>
    </row>
    <row r="453" ht="25.5" customHeight="1">
      <c r="A453" s="635"/>
      <c r="B453" s="1238"/>
      <c r="C453" s="620"/>
      <c r="D453" s="613"/>
      <c r="E453" s="675"/>
      <c r="F453" s="675"/>
      <c r="G453" s="189"/>
      <c r="H453" s="1093"/>
      <c r="I453" s="675"/>
      <c r="J453" s="189"/>
      <c r="K453" s="189"/>
      <c r="L453" s="675"/>
      <c r="M453" s="676"/>
      <c r="O453" s="644"/>
    </row>
    <row r="454" ht="25.5" customHeight="1">
      <c r="A454" s="635"/>
      <c r="B454" s="1238"/>
      <c r="C454" s="620"/>
      <c r="D454" s="613"/>
      <c r="E454" s="675"/>
      <c r="F454" s="675"/>
      <c r="G454" s="189"/>
      <c r="H454" s="1093"/>
      <c r="I454" s="675"/>
      <c r="J454" s="189"/>
      <c r="K454" s="189"/>
      <c r="L454" s="675"/>
      <c r="M454" s="676"/>
      <c r="O454" s="644"/>
    </row>
    <row r="455" ht="25.5" customHeight="1">
      <c r="A455" s="635"/>
      <c r="B455" s="1238"/>
      <c r="C455" s="620"/>
      <c r="D455" s="613"/>
      <c r="E455" s="675"/>
      <c r="F455" s="675"/>
      <c r="G455" s="189"/>
      <c r="H455" s="1093"/>
      <c r="I455" s="675"/>
      <c r="J455" s="189"/>
      <c r="K455" s="189"/>
      <c r="L455" s="675"/>
      <c r="M455" s="676"/>
      <c r="O455" s="644"/>
    </row>
    <row r="456" ht="25.5" customHeight="1">
      <c r="A456" s="635"/>
      <c r="B456" s="1238"/>
      <c r="C456" s="620"/>
      <c r="D456" s="613"/>
      <c r="E456" s="675"/>
      <c r="F456" s="675"/>
      <c r="G456" s="189"/>
      <c r="H456" s="1093"/>
      <c r="I456" s="675"/>
      <c r="J456" s="189"/>
      <c r="K456" s="189"/>
      <c r="L456" s="675"/>
      <c r="M456" s="676"/>
      <c r="O456" s="644"/>
    </row>
    <row r="457" ht="25.5" customHeight="1">
      <c r="A457" s="635"/>
      <c r="B457" s="1238"/>
      <c r="C457" s="620"/>
      <c r="D457" s="613"/>
      <c r="E457" s="675"/>
      <c r="F457" s="675"/>
      <c r="G457" s="189"/>
      <c r="H457" s="1093"/>
      <c r="I457" s="675"/>
      <c r="J457" s="189"/>
      <c r="K457" s="189"/>
      <c r="L457" s="675"/>
      <c r="M457" s="676"/>
      <c r="O457" s="644"/>
    </row>
    <row r="458" ht="25.5" customHeight="1">
      <c r="A458" s="635"/>
      <c r="B458" s="1238"/>
      <c r="C458" s="620"/>
      <c r="D458" s="613"/>
      <c r="E458" s="675"/>
      <c r="F458" s="675"/>
      <c r="G458" s="189"/>
      <c r="H458" s="1093"/>
      <c r="I458" s="675"/>
      <c r="J458" s="189"/>
      <c r="K458" s="189"/>
      <c r="L458" s="675"/>
      <c r="M458" s="676"/>
      <c r="O458" s="644"/>
    </row>
    <row r="459" ht="25.5" customHeight="1">
      <c r="A459" s="635"/>
      <c r="B459" s="1238"/>
      <c r="C459" s="620"/>
      <c r="D459" s="613"/>
      <c r="E459" s="675"/>
      <c r="F459" s="675"/>
      <c r="G459" s="189"/>
      <c r="H459" s="1093"/>
      <c r="I459" s="675"/>
      <c r="J459" s="189"/>
      <c r="K459" s="189"/>
      <c r="L459" s="675"/>
      <c r="M459" s="676"/>
      <c r="O459" s="644"/>
    </row>
    <row r="460" ht="25.5" customHeight="1">
      <c r="A460" s="635"/>
      <c r="B460" s="1238"/>
      <c r="C460" s="620"/>
      <c r="D460" s="613"/>
      <c r="E460" s="675"/>
      <c r="F460" s="675"/>
      <c r="G460" s="189"/>
      <c r="H460" s="1093"/>
      <c r="I460" s="675"/>
      <c r="J460" s="189"/>
      <c r="K460" s="189"/>
      <c r="L460" s="675"/>
      <c r="M460" s="676"/>
      <c r="O460" s="644"/>
    </row>
    <row r="461" ht="25.5" customHeight="1">
      <c r="A461" s="635"/>
      <c r="B461" s="1238"/>
      <c r="C461" s="620"/>
      <c r="D461" s="613"/>
      <c r="E461" s="675"/>
      <c r="F461" s="675"/>
      <c r="G461" s="189"/>
      <c r="H461" s="1093"/>
      <c r="I461" s="675"/>
      <c r="J461" s="189"/>
      <c r="K461" s="189"/>
      <c r="L461" s="675"/>
      <c r="M461" s="676"/>
      <c r="O461" s="644"/>
    </row>
    <row r="462" ht="25.5" customHeight="1">
      <c r="A462" s="635"/>
      <c r="B462" s="1238"/>
      <c r="C462" s="620"/>
      <c r="D462" s="613"/>
      <c r="E462" s="675"/>
      <c r="F462" s="675"/>
      <c r="G462" s="189"/>
      <c r="H462" s="1093"/>
      <c r="I462" s="675"/>
      <c r="J462" s="189"/>
      <c r="K462" s="189"/>
      <c r="L462" s="675"/>
      <c r="M462" s="676"/>
      <c r="O462" s="644"/>
    </row>
    <row r="463" ht="25.5" customHeight="1">
      <c r="A463" s="635"/>
      <c r="B463" s="1238"/>
      <c r="C463" s="620"/>
      <c r="D463" s="613"/>
      <c r="E463" s="675"/>
      <c r="F463" s="675"/>
      <c r="G463" s="189"/>
      <c r="H463" s="1093"/>
      <c r="I463" s="675"/>
      <c r="J463" s="189"/>
      <c r="K463" s="189"/>
      <c r="L463" s="675"/>
      <c r="M463" s="676"/>
      <c r="O463" s="644"/>
    </row>
    <row r="464" ht="25.5" customHeight="1">
      <c r="A464" s="635"/>
      <c r="B464" s="1238"/>
      <c r="C464" s="620"/>
      <c r="D464" s="613"/>
      <c r="E464" s="675"/>
      <c r="F464" s="675"/>
      <c r="G464" s="189"/>
      <c r="H464" s="1093"/>
      <c r="I464" s="675"/>
      <c r="J464" s="189"/>
      <c r="K464" s="189"/>
      <c r="L464" s="675"/>
      <c r="M464" s="676"/>
      <c r="O464" s="644"/>
    </row>
    <row r="465" ht="25.5" customHeight="1">
      <c r="A465" s="635"/>
      <c r="B465" s="1238"/>
      <c r="C465" s="620"/>
      <c r="D465" s="613"/>
      <c r="E465" s="675"/>
      <c r="F465" s="675"/>
      <c r="G465" s="189"/>
      <c r="H465" s="1093"/>
      <c r="I465" s="675"/>
      <c r="J465" s="189"/>
      <c r="K465" s="189"/>
      <c r="L465" s="675"/>
      <c r="M465" s="676"/>
      <c r="O465" s="644"/>
    </row>
    <row r="466" ht="25.5" customHeight="1">
      <c r="A466" s="635"/>
      <c r="B466" s="1238"/>
      <c r="C466" s="620"/>
      <c r="D466" s="613"/>
      <c r="E466" s="675"/>
      <c r="F466" s="675"/>
      <c r="G466" s="189"/>
      <c r="H466" s="1093"/>
      <c r="I466" s="675"/>
      <c r="J466" s="189"/>
      <c r="K466" s="189"/>
      <c r="L466" s="675"/>
      <c r="M466" s="676"/>
      <c r="O466" s="644"/>
    </row>
    <row r="467" ht="25.5" customHeight="1">
      <c r="A467" s="635"/>
      <c r="B467" s="1238"/>
      <c r="C467" s="620"/>
      <c r="D467" s="613"/>
      <c r="E467" s="675"/>
      <c r="F467" s="675"/>
      <c r="G467" s="189"/>
      <c r="H467" s="1093"/>
      <c r="I467" s="675"/>
      <c r="J467" s="189"/>
      <c r="K467" s="189"/>
      <c r="L467" s="675"/>
      <c r="M467" s="676"/>
      <c r="O467" s="644"/>
    </row>
    <row r="468" ht="25.5" customHeight="1">
      <c r="A468" s="635"/>
      <c r="B468" s="1238"/>
      <c r="C468" s="620"/>
      <c r="D468" s="613"/>
      <c r="E468" s="675"/>
      <c r="F468" s="675"/>
      <c r="G468" s="189"/>
      <c r="H468" s="1093"/>
      <c r="I468" s="675"/>
      <c r="J468" s="189"/>
      <c r="K468" s="189"/>
      <c r="L468" s="675"/>
      <c r="M468" s="676"/>
      <c r="O468" s="644"/>
    </row>
    <row r="469" ht="25.5" customHeight="1">
      <c r="A469" s="635"/>
      <c r="B469" s="1238"/>
      <c r="C469" s="620"/>
      <c r="D469" s="613"/>
      <c r="E469" s="675"/>
      <c r="F469" s="675"/>
      <c r="G469" s="189"/>
      <c r="H469" s="1093"/>
      <c r="I469" s="675"/>
      <c r="J469" s="189"/>
      <c r="K469" s="189"/>
      <c r="L469" s="675"/>
      <c r="M469" s="676"/>
      <c r="O469" s="644"/>
    </row>
    <row r="470" ht="25.5" customHeight="1">
      <c r="A470" s="635"/>
      <c r="B470" s="1238"/>
      <c r="C470" s="620"/>
      <c r="D470" s="613"/>
      <c r="E470" s="675"/>
      <c r="F470" s="675"/>
      <c r="G470" s="189"/>
      <c r="H470" s="1093"/>
      <c r="I470" s="675"/>
      <c r="J470" s="189"/>
      <c r="K470" s="189"/>
      <c r="L470" s="675"/>
      <c r="M470" s="676"/>
      <c r="O470" s="644"/>
    </row>
    <row r="471" ht="25.5" customHeight="1">
      <c r="A471" s="635"/>
      <c r="B471" s="1238"/>
      <c r="C471" s="620"/>
      <c r="D471" s="613"/>
      <c r="E471" s="675"/>
      <c r="F471" s="675"/>
      <c r="G471" s="189"/>
      <c r="H471" s="1093"/>
      <c r="I471" s="675"/>
      <c r="J471" s="189"/>
      <c r="K471" s="189"/>
      <c r="L471" s="675"/>
      <c r="M471" s="676"/>
      <c r="O471" s="644"/>
    </row>
    <row r="472" ht="25.5" customHeight="1">
      <c r="A472" s="635"/>
      <c r="B472" s="1238"/>
      <c r="C472" s="620"/>
      <c r="D472" s="613"/>
      <c r="E472" s="675"/>
      <c r="F472" s="675"/>
      <c r="G472" s="189"/>
      <c r="H472" s="1093"/>
      <c r="I472" s="675"/>
      <c r="J472" s="189"/>
      <c r="K472" s="189"/>
      <c r="L472" s="675"/>
      <c r="M472" s="676"/>
      <c r="O472" s="644"/>
    </row>
    <row r="473" ht="25.5" customHeight="1">
      <c r="A473" s="635"/>
      <c r="B473" s="1238"/>
      <c r="C473" s="620"/>
      <c r="D473" s="613"/>
      <c r="E473" s="675"/>
      <c r="F473" s="675"/>
      <c r="G473" s="189"/>
      <c r="H473" s="1093"/>
      <c r="I473" s="675"/>
      <c r="J473" s="189"/>
      <c r="K473" s="189"/>
      <c r="L473" s="675"/>
      <c r="M473" s="676"/>
      <c r="O473" s="644"/>
    </row>
    <row r="474" ht="25.5" customHeight="1">
      <c r="A474" s="635"/>
      <c r="B474" s="1238"/>
      <c r="C474" s="620"/>
      <c r="D474" s="613"/>
      <c r="E474" s="675"/>
      <c r="F474" s="675"/>
      <c r="G474" s="189"/>
      <c r="H474" s="1093"/>
      <c r="I474" s="675"/>
      <c r="J474" s="189"/>
      <c r="K474" s="189"/>
      <c r="L474" s="675"/>
      <c r="M474" s="676"/>
      <c r="O474" s="644"/>
    </row>
    <row r="475" ht="25.5" customHeight="1">
      <c r="A475" s="635"/>
      <c r="B475" s="1238"/>
      <c r="C475" s="620"/>
      <c r="D475" s="613"/>
      <c r="E475" s="675"/>
      <c r="F475" s="675"/>
      <c r="G475" s="189"/>
      <c r="H475" s="1093"/>
      <c r="I475" s="675"/>
      <c r="J475" s="189"/>
      <c r="K475" s="189"/>
      <c r="L475" s="675"/>
      <c r="M475" s="676"/>
      <c r="O475" s="644"/>
    </row>
    <row r="476" ht="25.5" customHeight="1">
      <c r="A476" s="635"/>
      <c r="B476" s="1238"/>
      <c r="C476" s="620"/>
      <c r="D476" s="613"/>
      <c r="E476" s="675"/>
      <c r="F476" s="675"/>
      <c r="G476" s="189"/>
      <c r="H476" s="1093"/>
      <c r="I476" s="675"/>
      <c r="J476" s="189"/>
      <c r="K476" s="189"/>
      <c r="L476" s="675"/>
      <c r="M476" s="676"/>
      <c r="O476" s="644"/>
    </row>
    <row r="477" ht="25.5" customHeight="1">
      <c r="A477" s="635"/>
      <c r="B477" s="1238"/>
      <c r="C477" s="620"/>
      <c r="D477" s="613"/>
      <c r="E477" s="675"/>
      <c r="F477" s="675"/>
      <c r="G477" s="189"/>
      <c r="H477" s="1093"/>
      <c r="I477" s="675"/>
      <c r="J477" s="189"/>
      <c r="K477" s="189"/>
      <c r="L477" s="675"/>
      <c r="M477" s="676"/>
      <c r="O477" s="644"/>
    </row>
    <row r="478" ht="25.5" customHeight="1">
      <c r="A478" s="635"/>
      <c r="B478" s="1238"/>
      <c r="C478" s="620"/>
      <c r="D478" s="613"/>
      <c r="E478" s="675"/>
      <c r="F478" s="675"/>
      <c r="G478" s="189"/>
      <c r="H478" s="1093"/>
      <c r="I478" s="675"/>
      <c r="J478" s="189"/>
      <c r="K478" s="189"/>
      <c r="L478" s="675"/>
      <c r="M478" s="676"/>
      <c r="O478" s="644"/>
    </row>
    <row r="479" ht="25.5" customHeight="1">
      <c r="A479" s="635"/>
      <c r="B479" s="1238"/>
      <c r="C479" s="620"/>
      <c r="D479" s="613"/>
      <c r="E479" s="675"/>
      <c r="F479" s="675"/>
      <c r="G479" s="189"/>
      <c r="H479" s="1093"/>
      <c r="I479" s="675"/>
      <c r="J479" s="189"/>
      <c r="K479" s="189"/>
      <c r="L479" s="675"/>
      <c r="M479" s="676"/>
      <c r="O479" s="644"/>
    </row>
    <row r="480" ht="25.5" customHeight="1">
      <c r="A480" s="635"/>
      <c r="B480" s="1238"/>
      <c r="C480" s="620"/>
      <c r="D480" s="613"/>
      <c r="E480" s="675"/>
      <c r="F480" s="675"/>
      <c r="G480" s="189"/>
      <c r="H480" s="1093"/>
      <c r="I480" s="675"/>
      <c r="J480" s="189"/>
      <c r="K480" s="189"/>
      <c r="L480" s="675"/>
      <c r="M480" s="676"/>
      <c r="O480" s="644"/>
    </row>
    <row r="481" ht="25.5" customHeight="1">
      <c r="A481" s="635"/>
      <c r="B481" s="1238"/>
      <c r="C481" s="620"/>
      <c r="D481" s="613"/>
      <c r="E481" s="675"/>
      <c r="F481" s="675"/>
      <c r="G481" s="189"/>
      <c r="H481" s="1093"/>
      <c r="I481" s="675"/>
      <c r="J481" s="189"/>
      <c r="K481" s="189"/>
      <c r="L481" s="675"/>
      <c r="M481" s="676"/>
      <c r="O481" s="644"/>
    </row>
    <row r="482" ht="25.5" customHeight="1">
      <c r="A482" s="635"/>
      <c r="B482" s="1238"/>
      <c r="C482" s="620"/>
      <c r="D482" s="613"/>
      <c r="E482" s="675"/>
      <c r="F482" s="675"/>
      <c r="G482" s="189"/>
      <c r="H482" s="1093"/>
      <c r="I482" s="675"/>
      <c r="J482" s="189"/>
      <c r="K482" s="189"/>
      <c r="L482" s="675"/>
      <c r="M482" s="676"/>
      <c r="O482" s="644"/>
    </row>
    <row r="483" ht="25.5" customHeight="1">
      <c r="A483" s="635"/>
      <c r="B483" s="1238"/>
      <c r="C483" s="620"/>
      <c r="D483" s="613"/>
      <c r="E483" s="675"/>
      <c r="F483" s="675"/>
      <c r="G483" s="189"/>
      <c r="H483" s="1093"/>
      <c r="I483" s="675"/>
      <c r="J483" s="189"/>
      <c r="K483" s="189"/>
      <c r="L483" s="675"/>
      <c r="M483" s="676"/>
      <c r="O483" s="644"/>
    </row>
    <row r="484" ht="25.5" customHeight="1">
      <c r="A484" s="635"/>
      <c r="B484" s="1238"/>
      <c r="C484" s="620"/>
      <c r="D484" s="613"/>
      <c r="E484" s="675"/>
      <c r="F484" s="675"/>
      <c r="G484" s="189"/>
      <c r="H484" s="1093"/>
      <c r="I484" s="675"/>
      <c r="J484" s="189"/>
      <c r="K484" s="189"/>
      <c r="L484" s="675"/>
      <c r="M484" s="676"/>
      <c r="O484" s="644"/>
    </row>
    <row r="485" ht="25.5" customHeight="1">
      <c r="A485" s="635"/>
      <c r="B485" s="1238"/>
      <c r="C485" s="620"/>
      <c r="D485" s="613"/>
      <c r="E485" s="675"/>
      <c r="F485" s="675"/>
      <c r="G485" s="189"/>
      <c r="H485" s="1093"/>
      <c r="I485" s="675"/>
      <c r="J485" s="189"/>
      <c r="K485" s="189"/>
      <c r="L485" s="675"/>
      <c r="M485" s="676"/>
      <c r="O485" s="644"/>
    </row>
    <row r="486" ht="25.5" customHeight="1">
      <c r="A486" s="635"/>
      <c r="B486" s="1238"/>
      <c r="C486" s="620"/>
      <c r="D486" s="613"/>
      <c r="E486" s="675"/>
      <c r="F486" s="675"/>
      <c r="G486" s="189"/>
      <c r="H486" s="1093"/>
      <c r="I486" s="675"/>
      <c r="J486" s="189"/>
      <c r="K486" s="189"/>
      <c r="L486" s="675"/>
      <c r="M486" s="676"/>
      <c r="O486" s="644"/>
    </row>
    <row r="487" ht="25.5" customHeight="1">
      <c r="A487" s="635"/>
      <c r="B487" s="1238"/>
      <c r="C487" s="620"/>
      <c r="D487" s="613"/>
      <c r="E487" s="675"/>
      <c r="F487" s="675"/>
      <c r="G487" s="189"/>
      <c r="H487" s="1093"/>
      <c r="I487" s="675"/>
      <c r="J487" s="189"/>
      <c r="K487" s="189"/>
      <c r="L487" s="675"/>
      <c r="M487" s="676"/>
      <c r="O487" s="644"/>
    </row>
    <row r="488" ht="25.5" customHeight="1">
      <c r="A488" s="635"/>
      <c r="B488" s="1238"/>
      <c r="C488" s="620"/>
      <c r="D488" s="613"/>
      <c r="E488" s="675"/>
      <c r="F488" s="675"/>
      <c r="G488" s="189"/>
      <c r="H488" s="1093"/>
      <c r="I488" s="675"/>
      <c r="J488" s="189"/>
      <c r="K488" s="189"/>
      <c r="L488" s="675"/>
      <c r="M488" s="676"/>
      <c r="O488" s="644"/>
    </row>
    <row r="489" ht="25.5" customHeight="1">
      <c r="A489" s="635"/>
      <c r="B489" s="1238"/>
      <c r="C489" s="620"/>
      <c r="D489" s="613"/>
      <c r="E489" s="675"/>
      <c r="F489" s="675"/>
      <c r="G489" s="189"/>
      <c r="H489" s="1093"/>
      <c r="I489" s="675"/>
      <c r="J489" s="189"/>
      <c r="K489" s="189"/>
      <c r="L489" s="675"/>
      <c r="M489" s="676"/>
      <c r="O489" s="644"/>
    </row>
    <row r="490" ht="25.5" customHeight="1">
      <c r="A490" s="635"/>
      <c r="B490" s="1238"/>
      <c r="C490" s="620"/>
      <c r="D490" s="613"/>
      <c r="E490" s="675"/>
      <c r="F490" s="675"/>
      <c r="G490" s="189"/>
      <c r="H490" s="1093"/>
      <c r="I490" s="675"/>
      <c r="J490" s="189"/>
      <c r="K490" s="189"/>
      <c r="L490" s="675"/>
      <c r="M490" s="676"/>
      <c r="O490" s="644"/>
    </row>
    <row r="491" ht="25.5" customHeight="1">
      <c r="A491" s="635"/>
      <c r="B491" s="1238"/>
      <c r="C491" s="620"/>
      <c r="D491" s="613"/>
      <c r="E491" s="675"/>
      <c r="F491" s="675"/>
      <c r="G491" s="189"/>
      <c r="H491" s="1093"/>
      <c r="I491" s="675"/>
      <c r="J491" s="189"/>
      <c r="K491" s="189"/>
      <c r="L491" s="675"/>
      <c r="M491" s="676"/>
      <c r="O491" s="644"/>
    </row>
    <row r="492" ht="25.5" customHeight="1">
      <c r="A492" s="635"/>
      <c r="B492" s="1238"/>
      <c r="C492" s="620"/>
      <c r="D492" s="613"/>
      <c r="E492" s="675"/>
      <c r="F492" s="675"/>
      <c r="G492" s="189"/>
      <c r="H492" s="1093"/>
      <c r="I492" s="675"/>
      <c r="J492" s="189"/>
      <c r="K492" s="189"/>
      <c r="L492" s="675"/>
      <c r="M492" s="676"/>
      <c r="O492" s="644"/>
    </row>
    <row r="493" ht="25.5" customHeight="1">
      <c r="A493" s="635"/>
      <c r="B493" s="1238"/>
      <c r="C493" s="620"/>
      <c r="D493" s="613"/>
      <c r="E493" s="675"/>
      <c r="F493" s="675"/>
      <c r="G493" s="189"/>
      <c r="H493" s="1093"/>
      <c r="I493" s="675"/>
      <c r="J493" s="189"/>
      <c r="K493" s="189"/>
      <c r="L493" s="675"/>
      <c r="M493" s="676"/>
      <c r="O493" s="644"/>
    </row>
    <row r="494" ht="25.5" customHeight="1">
      <c r="A494" s="635"/>
      <c r="B494" s="1238"/>
      <c r="C494" s="620"/>
      <c r="D494" s="613"/>
      <c r="E494" s="675"/>
      <c r="F494" s="675"/>
      <c r="G494" s="189"/>
      <c r="H494" s="1093"/>
      <c r="I494" s="675"/>
      <c r="J494" s="189"/>
      <c r="K494" s="189"/>
      <c r="L494" s="675"/>
      <c r="M494" s="676"/>
      <c r="O494" s="644"/>
    </row>
    <row r="495" ht="25.5" customHeight="1">
      <c r="A495" s="635"/>
      <c r="B495" s="1238"/>
      <c r="C495" s="620"/>
      <c r="D495" s="613"/>
      <c r="E495" s="675"/>
      <c r="F495" s="675"/>
      <c r="G495" s="189"/>
      <c r="H495" s="1093"/>
      <c r="I495" s="675"/>
      <c r="J495" s="189"/>
      <c r="K495" s="189"/>
      <c r="L495" s="675"/>
      <c r="M495" s="676"/>
      <c r="O495" s="644"/>
    </row>
    <row r="496" ht="25.5" customHeight="1">
      <c r="A496" s="635"/>
      <c r="B496" s="1238"/>
      <c r="C496" s="620"/>
      <c r="D496" s="613"/>
      <c r="E496" s="675"/>
      <c r="F496" s="675"/>
      <c r="G496" s="189"/>
      <c r="H496" s="1093"/>
      <c r="I496" s="675"/>
      <c r="J496" s="189"/>
      <c r="K496" s="189"/>
      <c r="L496" s="675"/>
      <c r="M496" s="676"/>
      <c r="O496" s="644"/>
    </row>
    <row r="497" ht="25.5" customHeight="1">
      <c r="A497" s="635"/>
      <c r="B497" s="1238"/>
      <c r="C497" s="620"/>
      <c r="D497" s="613"/>
      <c r="E497" s="675"/>
      <c r="F497" s="675"/>
      <c r="G497" s="189"/>
      <c r="H497" s="1093"/>
      <c r="I497" s="675"/>
      <c r="J497" s="189"/>
      <c r="K497" s="189"/>
      <c r="L497" s="675"/>
      <c r="M497" s="676"/>
      <c r="O497" s="644"/>
    </row>
    <row r="498" ht="25.5" customHeight="1">
      <c r="A498" s="635"/>
      <c r="B498" s="1238"/>
      <c r="C498" s="620"/>
      <c r="D498" s="613"/>
      <c r="E498" s="675"/>
      <c r="F498" s="675"/>
      <c r="G498" s="189"/>
      <c r="H498" s="1093"/>
      <c r="I498" s="675"/>
      <c r="J498" s="189"/>
      <c r="K498" s="189"/>
      <c r="L498" s="675"/>
      <c r="M498" s="676"/>
      <c r="O498" s="644"/>
    </row>
    <row r="499" ht="25.5" customHeight="1">
      <c r="A499" s="635"/>
      <c r="B499" s="1238"/>
      <c r="C499" s="620"/>
      <c r="D499" s="613"/>
      <c r="E499" s="675"/>
      <c r="F499" s="675"/>
      <c r="G499" s="189"/>
      <c r="H499" s="1093"/>
      <c r="I499" s="675"/>
      <c r="J499" s="189"/>
      <c r="K499" s="189"/>
      <c r="L499" s="675"/>
      <c r="M499" s="676"/>
      <c r="O499" s="644"/>
    </row>
    <row r="500" ht="25.5" customHeight="1">
      <c r="A500" s="635"/>
      <c r="B500" s="1238"/>
      <c r="C500" s="620"/>
      <c r="D500" s="613"/>
      <c r="E500" s="675"/>
      <c r="F500" s="675"/>
      <c r="G500" s="189"/>
      <c r="H500" s="1093"/>
      <c r="I500" s="675"/>
      <c r="J500" s="189"/>
      <c r="K500" s="189"/>
      <c r="L500" s="675"/>
      <c r="M500" s="676"/>
      <c r="O500" s="644"/>
    </row>
    <row r="501" ht="25.5" customHeight="1">
      <c r="A501" s="635"/>
      <c r="B501" s="1238"/>
      <c r="C501" s="620"/>
      <c r="D501" s="613"/>
      <c r="E501" s="675"/>
      <c r="F501" s="675"/>
      <c r="G501" s="189"/>
      <c r="H501" s="1093"/>
      <c r="I501" s="675"/>
      <c r="J501" s="189"/>
      <c r="K501" s="189"/>
      <c r="L501" s="675"/>
      <c r="M501" s="676"/>
      <c r="O501" s="644"/>
    </row>
    <row r="502" ht="25.5" customHeight="1">
      <c r="A502" s="635"/>
      <c r="B502" s="1238"/>
      <c r="C502" s="620"/>
      <c r="D502" s="613"/>
      <c r="E502" s="675"/>
      <c r="F502" s="675"/>
      <c r="G502" s="189"/>
      <c r="H502" s="1093"/>
      <c r="I502" s="675"/>
      <c r="J502" s="189"/>
      <c r="K502" s="189"/>
      <c r="L502" s="675"/>
      <c r="M502" s="676"/>
      <c r="O502" s="644"/>
    </row>
    <row r="503" ht="25.5" customHeight="1">
      <c r="A503" s="635"/>
      <c r="B503" s="1238"/>
      <c r="C503" s="620"/>
      <c r="D503" s="613"/>
      <c r="E503" s="675"/>
      <c r="F503" s="675"/>
      <c r="G503" s="189"/>
      <c r="H503" s="1093"/>
      <c r="I503" s="675"/>
      <c r="J503" s="189"/>
      <c r="K503" s="189"/>
      <c r="L503" s="675"/>
      <c r="M503" s="676"/>
      <c r="O503" s="644"/>
    </row>
    <row r="504" ht="25.5" customHeight="1">
      <c r="A504" s="635"/>
      <c r="B504" s="1238"/>
      <c r="C504" s="620"/>
      <c r="D504" s="613"/>
      <c r="E504" s="675"/>
      <c r="F504" s="675"/>
      <c r="G504" s="189"/>
      <c r="H504" s="1093"/>
      <c r="I504" s="675"/>
      <c r="J504" s="189"/>
      <c r="K504" s="189"/>
      <c r="L504" s="675"/>
      <c r="M504" s="676"/>
      <c r="O504" s="644"/>
    </row>
    <row r="505" ht="25.5" customHeight="1">
      <c r="A505" s="635"/>
      <c r="B505" s="1238"/>
      <c r="C505" s="620"/>
      <c r="D505" s="613"/>
      <c r="E505" s="675"/>
      <c r="F505" s="675"/>
      <c r="G505" s="189"/>
      <c r="H505" s="1093"/>
      <c r="I505" s="675"/>
      <c r="J505" s="189"/>
      <c r="K505" s="189"/>
      <c r="L505" s="675"/>
      <c r="M505" s="676"/>
      <c r="O505" s="644"/>
    </row>
    <row r="506" ht="25.5" customHeight="1">
      <c r="A506" s="635"/>
      <c r="B506" s="1238"/>
      <c r="C506" s="620"/>
      <c r="D506" s="613"/>
      <c r="E506" s="675"/>
      <c r="F506" s="675"/>
      <c r="G506" s="189"/>
      <c r="H506" s="1093"/>
      <c r="I506" s="675"/>
      <c r="J506" s="189"/>
      <c r="K506" s="189"/>
      <c r="L506" s="675"/>
      <c r="M506" s="676"/>
      <c r="O506" s="644"/>
    </row>
    <row r="507" ht="25.5" customHeight="1">
      <c r="A507" s="635"/>
      <c r="B507" s="1238"/>
      <c r="C507" s="620"/>
      <c r="D507" s="613"/>
      <c r="E507" s="675"/>
      <c r="F507" s="675"/>
      <c r="G507" s="189"/>
      <c r="H507" s="1093"/>
      <c r="I507" s="675"/>
      <c r="J507" s="189"/>
      <c r="K507" s="189"/>
      <c r="L507" s="675"/>
      <c r="M507" s="676"/>
      <c r="O507" s="644"/>
    </row>
    <row r="508" ht="25.5" customHeight="1">
      <c r="A508" s="635"/>
      <c r="B508" s="1238"/>
      <c r="C508" s="620"/>
      <c r="D508" s="613"/>
      <c r="E508" s="675"/>
      <c r="F508" s="675"/>
      <c r="G508" s="189"/>
      <c r="H508" s="1093"/>
      <c r="I508" s="675"/>
      <c r="J508" s="189"/>
      <c r="K508" s="189"/>
      <c r="L508" s="675"/>
      <c r="M508" s="676"/>
      <c r="O508" s="644"/>
    </row>
    <row r="509" ht="25.5" customHeight="1">
      <c r="A509" s="635"/>
      <c r="B509" s="1238"/>
      <c r="C509" s="620"/>
      <c r="D509" s="613"/>
      <c r="E509" s="675"/>
      <c r="F509" s="675"/>
      <c r="G509" s="189"/>
      <c r="H509" s="1093"/>
      <c r="I509" s="675"/>
      <c r="J509" s="189"/>
      <c r="K509" s="189"/>
      <c r="L509" s="675"/>
      <c r="M509" s="676"/>
      <c r="O509" s="644"/>
    </row>
    <row r="510" ht="25.5" customHeight="1">
      <c r="A510" s="635"/>
      <c r="B510" s="1238"/>
      <c r="C510" s="620"/>
      <c r="D510" s="613"/>
      <c r="E510" s="675"/>
      <c r="F510" s="675"/>
      <c r="G510" s="189"/>
      <c r="H510" s="1093"/>
      <c r="I510" s="675"/>
      <c r="J510" s="189"/>
      <c r="K510" s="189"/>
      <c r="L510" s="675"/>
      <c r="M510" s="676"/>
      <c r="O510" s="644"/>
    </row>
    <row r="511" ht="25.5" customHeight="1">
      <c r="A511" s="635"/>
      <c r="B511" s="1238"/>
      <c r="C511" s="620"/>
      <c r="D511" s="613"/>
      <c r="E511" s="675"/>
      <c r="F511" s="675"/>
      <c r="G511" s="189"/>
      <c r="H511" s="1093"/>
      <c r="I511" s="675"/>
      <c r="J511" s="189"/>
      <c r="K511" s="189"/>
      <c r="L511" s="675"/>
      <c r="M511" s="676"/>
      <c r="O511" s="644"/>
    </row>
    <row r="512" ht="25.5" customHeight="1">
      <c r="A512" s="635"/>
      <c r="B512" s="1238"/>
      <c r="C512" s="620"/>
      <c r="D512" s="613"/>
      <c r="E512" s="675"/>
      <c r="F512" s="675"/>
      <c r="G512" s="189"/>
      <c r="H512" s="1093"/>
      <c r="I512" s="675"/>
      <c r="J512" s="189"/>
      <c r="K512" s="189"/>
      <c r="L512" s="675"/>
      <c r="M512" s="676"/>
      <c r="O512" s="644"/>
    </row>
    <row r="513" ht="25.5" customHeight="1">
      <c r="A513" s="635"/>
      <c r="B513" s="1238"/>
      <c r="C513" s="620"/>
      <c r="D513" s="613"/>
      <c r="E513" s="675"/>
      <c r="F513" s="675"/>
      <c r="G513" s="189"/>
      <c r="H513" s="1093"/>
      <c r="I513" s="675"/>
      <c r="J513" s="189"/>
      <c r="K513" s="189"/>
      <c r="L513" s="675"/>
      <c r="M513" s="676"/>
      <c r="O513" s="644"/>
    </row>
    <row r="514" ht="25.5" customHeight="1">
      <c r="A514" s="635"/>
      <c r="B514" s="1238"/>
      <c r="C514" s="620"/>
      <c r="D514" s="613"/>
      <c r="E514" s="675"/>
      <c r="F514" s="675"/>
      <c r="G514" s="189"/>
      <c r="H514" s="1093"/>
      <c r="I514" s="675"/>
      <c r="J514" s="189"/>
      <c r="K514" s="189"/>
      <c r="L514" s="675"/>
      <c r="M514" s="676"/>
      <c r="O514" s="644"/>
    </row>
    <row r="515" ht="25.5" customHeight="1">
      <c r="A515" s="635"/>
      <c r="B515" s="1238"/>
      <c r="C515" s="620"/>
      <c r="D515" s="613"/>
      <c r="E515" s="675"/>
      <c r="F515" s="675"/>
      <c r="G515" s="189"/>
      <c r="H515" s="1093"/>
      <c r="I515" s="675"/>
      <c r="J515" s="189"/>
      <c r="K515" s="189"/>
      <c r="L515" s="675"/>
      <c r="M515" s="676"/>
      <c r="O515" s="644"/>
    </row>
    <row r="516" ht="25.5" customHeight="1">
      <c r="A516" s="635"/>
      <c r="B516" s="1238"/>
      <c r="C516" s="620"/>
      <c r="D516" s="613"/>
      <c r="E516" s="675"/>
      <c r="F516" s="675"/>
      <c r="G516" s="189"/>
      <c r="H516" s="1093"/>
      <c r="I516" s="675"/>
      <c r="J516" s="189"/>
      <c r="K516" s="189"/>
      <c r="L516" s="675"/>
      <c r="M516" s="676"/>
      <c r="O516" s="644"/>
    </row>
    <row r="517" ht="25.5" customHeight="1">
      <c r="A517" s="635"/>
      <c r="B517" s="1238"/>
      <c r="C517" s="620"/>
      <c r="D517" s="613"/>
      <c r="E517" s="675"/>
      <c r="F517" s="675"/>
      <c r="G517" s="189"/>
      <c r="H517" s="1093"/>
      <c r="I517" s="675"/>
      <c r="J517" s="189"/>
      <c r="K517" s="189"/>
      <c r="L517" s="675"/>
      <c r="M517" s="676"/>
      <c r="O517" s="644"/>
    </row>
    <row r="518" ht="25.5" customHeight="1">
      <c r="A518" s="635"/>
      <c r="B518" s="1238"/>
      <c r="C518" s="620"/>
      <c r="D518" s="613"/>
      <c r="E518" s="675"/>
      <c r="F518" s="675"/>
      <c r="G518" s="189"/>
      <c r="H518" s="1093"/>
      <c r="I518" s="675"/>
      <c r="J518" s="189"/>
      <c r="K518" s="189"/>
      <c r="L518" s="675"/>
      <c r="M518" s="676"/>
      <c r="O518" s="644"/>
    </row>
    <row r="519" ht="25.5" customHeight="1">
      <c r="A519" s="635"/>
      <c r="B519" s="1238"/>
      <c r="C519" s="620"/>
      <c r="D519" s="613"/>
      <c r="E519" s="675"/>
      <c r="F519" s="675"/>
      <c r="G519" s="189"/>
      <c r="H519" s="1093"/>
      <c r="I519" s="675"/>
      <c r="J519" s="189"/>
      <c r="K519" s="189"/>
      <c r="L519" s="675"/>
      <c r="M519" s="676"/>
      <c r="O519" s="644"/>
    </row>
    <row r="520" ht="25.5" customHeight="1">
      <c r="A520" s="635"/>
      <c r="B520" s="1238"/>
      <c r="C520" s="620"/>
      <c r="D520" s="613"/>
      <c r="E520" s="675"/>
      <c r="F520" s="675"/>
      <c r="G520" s="189"/>
      <c r="H520" s="1093"/>
      <c r="I520" s="675"/>
      <c r="J520" s="189"/>
      <c r="K520" s="189"/>
      <c r="L520" s="675"/>
      <c r="M520" s="676"/>
      <c r="O520" s="644"/>
    </row>
    <row r="521" ht="25.5" customHeight="1">
      <c r="A521" s="635"/>
      <c r="B521" s="1238"/>
      <c r="C521" s="620"/>
      <c r="D521" s="613"/>
      <c r="E521" s="675"/>
      <c r="F521" s="675"/>
      <c r="G521" s="189"/>
      <c r="H521" s="1093"/>
      <c r="I521" s="675"/>
      <c r="J521" s="189"/>
      <c r="K521" s="189"/>
      <c r="L521" s="675"/>
      <c r="M521" s="676"/>
      <c r="O521" s="644"/>
    </row>
    <row r="522" ht="25.5" customHeight="1">
      <c r="A522" s="635"/>
      <c r="B522" s="1238"/>
      <c r="C522" s="620"/>
      <c r="D522" s="613"/>
      <c r="E522" s="675"/>
      <c r="F522" s="675"/>
      <c r="G522" s="189"/>
      <c r="H522" s="1093"/>
      <c r="I522" s="675"/>
      <c r="J522" s="189"/>
      <c r="K522" s="189"/>
      <c r="L522" s="675"/>
      <c r="M522" s="676"/>
      <c r="O522" s="644"/>
    </row>
    <row r="523" ht="25.5" customHeight="1">
      <c r="A523" s="635"/>
      <c r="B523" s="1238"/>
      <c r="C523" s="620"/>
      <c r="D523" s="613"/>
      <c r="E523" s="675"/>
      <c r="F523" s="675"/>
      <c r="G523" s="189"/>
      <c r="H523" s="1093"/>
      <c r="I523" s="675"/>
      <c r="J523" s="189"/>
      <c r="K523" s="189"/>
      <c r="L523" s="675"/>
      <c r="M523" s="676"/>
      <c r="O523" s="644"/>
    </row>
    <row r="524" ht="25.5" customHeight="1">
      <c r="A524" s="635"/>
      <c r="B524" s="1238"/>
      <c r="C524" s="620"/>
      <c r="D524" s="613"/>
      <c r="E524" s="675"/>
      <c r="F524" s="675"/>
      <c r="G524" s="189"/>
      <c r="H524" s="1093"/>
      <c r="I524" s="675"/>
      <c r="J524" s="189"/>
      <c r="K524" s="189"/>
      <c r="L524" s="675"/>
      <c r="M524" s="676"/>
      <c r="O524" s="644"/>
    </row>
    <row r="525" ht="25.5" customHeight="1">
      <c r="A525" s="635"/>
      <c r="B525" s="1238"/>
      <c r="C525" s="620"/>
      <c r="D525" s="613"/>
      <c r="E525" s="675"/>
      <c r="F525" s="675"/>
      <c r="G525" s="189"/>
      <c r="H525" s="1093"/>
      <c r="I525" s="675"/>
      <c r="J525" s="189"/>
      <c r="K525" s="189"/>
      <c r="L525" s="675"/>
      <c r="M525" s="676"/>
      <c r="O525" s="644"/>
    </row>
    <row r="526" ht="25.5" customHeight="1">
      <c r="A526" s="635"/>
      <c r="B526" s="1238"/>
      <c r="C526" s="620"/>
      <c r="D526" s="613"/>
      <c r="E526" s="675"/>
      <c r="F526" s="675"/>
      <c r="G526" s="189"/>
      <c r="H526" s="1093"/>
      <c r="I526" s="675"/>
      <c r="J526" s="189"/>
      <c r="K526" s="189"/>
      <c r="L526" s="675"/>
      <c r="M526" s="676"/>
      <c r="O526" s="644"/>
    </row>
    <row r="527" ht="25.5" customHeight="1">
      <c r="A527" s="635"/>
      <c r="B527" s="1238"/>
      <c r="C527" s="620"/>
      <c r="D527" s="613"/>
      <c r="E527" s="675"/>
      <c r="F527" s="675"/>
      <c r="G527" s="189"/>
      <c r="H527" s="1093"/>
      <c r="I527" s="675"/>
      <c r="J527" s="189"/>
      <c r="K527" s="189"/>
      <c r="L527" s="675"/>
      <c r="M527" s="676"/>
      <c r="O527" s="644"/>
    </row>
    <row r="528" ht="25.5" customHeight="1">
      <c r="A528" s="635"/>
      <c r="B528" s="1238"/>
      <c r="C528" s="620"/>
      <c r="D528" s="613"/>
      <c r="E528" s="675"/>
      <c r="F528" s="675"/>
      <c r="G528" s="189"/>
      <c r="H528" s="1093"/>
      <c r="I528" s="675"/>
      <c r="J528" s="189"/>
      <c r="K528" s="189"/>
      <c r="L528" s="675"/>
      <c r="M528" s="676"/>
      <c r="O528" s="644"/>
    </row>
    <row r="529" ht="25.5" customHeight="1">
      <c r="A529" s="635"/>
      <c r="B529" s="1238"/>
      <c r="C529" s="620"/>
      <c r="D529" s="613"/>
      <c r="E529" s="675"/>
      <c r="F529" s="675"/>
      <c r="G529" s="189"/>
      <c r="H529" s="1093"/>
      <c r="I529" s="675"/>
      <c r="J529" s="189"/>
      <c r="K529" s="189"/>
      <c r="L529" s="675"/>
      <c r="M529" s="676"/>
      <c r="O529" s="644"/>
    </row>
    <row r="530" ht="25.5" customHeight="1">
      <c r="A530" s="635"/>
      <c r="B530" s="1238"/>
      <c r="C530" s="620"/>
      <c r="D530" s="613"/>
      <c r="E530" s="675"/>
      <c r="F530" s="675"/>
      <c r="G530" s="189"/>
      <c r="H530" s="1093"/>
      <c r="I530" s="675"/>
      <c r="J530" s="189"/>
      <c r="K530" s="189"/>
      <c r="L530" s="675"/>
      <c r="M530" s="676"/>
      <c r="O530" s="644"/>
    </row>
    <row r="531" ht="25.5" customHeight="1">
      <c r="A531" s="635"/>
      <c r="B531" s="1238"/>
      <c r="C531" s="620"/>
      <c r="D531" s="613"/>
      <c r="E531" s="675"/>
      <c r="F531" s="675"/>
      <c r="G531" s="189"/>
      <c r="H531" s="1093"/>
      <c r="I531" s="675"/>
      <c r="J531" s="189"/>
      <c r="K531" s="189"/>
      <c r="L531" s="675"/>
      <c r="M531" s="676"/>
      <c r="O531" s="644"/>
    </row>
    <row r="532" ht="25.5" customHeight="1">
      <c r="A532" s="635"/>
      <c r="B532" s="1238"/>
      <c r="C532" s="620"/>
      <c r="D532" s="613"/>
      <c r="E532" s="675"/>
      <c r="F532" s="675"/>
      <c r="G532" s="189"/>
      <c r="H532" s="1093"/>
      <c r="I532" s="675"/>
      <c r="J532" s="189"/>
      <c r="K532" s="189"/>
      <c r="L532" s="675"/>
      <c r="M532" s="676"/>
      <c r="O532" s="644"/>
    </row>
    <row r="533" ht="25.5" customHeight="1">
      <c r="A533" s="635"/>
      <c r="B533" s="1238"/>
      <c r="C533" s="620"/>
      <c r="D533" s="613"/>
      <c r="E533" s="675"/>
      <c r="F533" s="675"/>
      <c r="G533" s="189"/>
      <c r="H533" s="1093"/>
      <c r="I533" s="675"/>
      <c r="J533" s="189"/>
      <c r="K533" s="189"/>
      <c r="L533" s="675"/>
      <c r="M533" s="676"/>
      <c r="O533" s="644"/>
    </row>
    <row r="534" ht="25.5" customHeight="1">
      <c r="A534" s="635"/>
      <c r="B534" s="1238"/>
      <c r="C534" s="620"/>
      <c r="D534" s="613"/>
      <c r="E534" s="675"/>
      <c r="F534" s="675"/>
      <c r="G534" s="189"/>
      <c r="H534" s="1093"/>
      <c r="I534" s="675"/>
      <c r="J534" s="189"/>
      <c r="K534" s="189"/>
      <c r="L534" s="675"/>
      <c r="M534" s="676"/>
      <c r="O534" s="644"/>
    </row>
    <row r="535" ht="25.5" customHeight="1">
      <c r="A535" s="635"/>
      <c r="B535" s="1238"/>
      <c r="C535" s="620"/>
      <c r="D535" s="613"/>
      <c r="E535" s="675"/>
      <c r="F535" s="675"/>
      <c r="G535" s="189"/>
      <c r="H535" s="1093"/>
      <c r="I535" s="675"/>
      <c r="J535" s="189"/>
      <c r="K535" s="189"/>
      <c r="L535" s="675"/>
      <c r="M535" s="676"/>
      <c r="O535" s="644"/>
    </row>
    <row r="536" ht="25.5" customHeight="1">
      <c r="A536" s="635"/>
      <c r="B536" s="1238"/>
      <c r="C536" s="620"/>
      <c r="D536" s="613"/>
      <c r="E536" s="675"/>
      <c r="F536" s="675"/>
      <c r="G536" s="189"/>
      <c r="H536" s="1093"/>
      <c r="I536" s="675"/>
      <c r="J536" s="189"/>
      <c r="K536" s="189"/>
      <c r="L536" s="675"/>
      <c r="M536" s="676"/>
      <c r="O536" s="644"/>
    </row>
    <row r="537" ht="25.5" customHeight="1">
      <c r="A537" s="635"/>
      <c r="B537" s="1238"/>
      <c r="C537" s="620"/>
      <c r="D537" s="613"/>
      <c r="E537" s="675"/>
      <c r="F537" s="675"/>
      <c r="G537" s="189"/>
      <c r="H537" s="1093"/>
      <c r="I537" s="675"/>
      <c r="J537" s="189"/>
      <c r="K537" s="189"/>
      <c r="L537" s="675"/>
      <c r="M537" s="676"/>
      <c r="O537" s="644"/>
    </row>
    <row r="538" ht="25.5" customHeight="1">
      <c r="A538" s="635"/>
      <c r="B538" s="1238"/>
      <c r="C538" s="620"/>
      <c r="D538" s="613"/>
      <c r="E538" s="675"/>
      <c r="F538" s="675"/>
      <c r="G538" s="189"/>
      <c r="H538" s="1093"/>
      <c r="I538" s="675"/>
      <c r="J538" s="189"/>
      <c r="K538" s="189"/>
      <c r="L538" s="675"/>
      <c r="M538" s="676"/>
      <c r="O538" s="644"/>
    </row>
    <row r="539" ht="25.5" customHeight="1">
      <c r="A539" s="635"/>
      <c r="B539" s="1238"/>
      <c r="C539" s="620"/>
      <c r="D539" s="613"/>
      <c r="E539" s="675"/>
      <c r="F539" s="675"/>
      <c r="G539" s="189"/>
      <c r="H539" s="1093"/>
      <c r="I539" s="675"/>
      <c r="J539" s="189"/>
      <c r="K539" s="189"/>
      <c r="L539" s="675"/>
      <c r="M539" s="676"/>
      <c r="O539" s="644"/>
    </row>
    <row r="540" ht="25.5" customHeight="1">
      <c r="A540" s="635"/>
      <c r="B540" s="1238"/>
      <c r="C540" s="620"/>
      <c r="D540" s="613"/>
      <c r="E540" s="675"/>
      <c r="F540" s="675"/>
      <c r="G540" s="189"/>
      <c r="H540" s="1093"/>
      <c r="I540" s="675"/>
      <c r="J540" s="189"/>
      <c r="K540" s="189"/>
      <c r="L540" s="675"/>
      <c r="M540" s="676"/>
      <c r="O540" s="644"/>
    </row>
    <row r="541" ht="25.5" customHeight="1">
      <c r="A541" s="635"/>
      <c r="B541" s="1238"/>
      <c r="C541" s="620"/>
      <c r="D541" s="613"/>
      <c r="E541" s="675"/>
      <c r="F541" s="675"/>
      <c r="G541" s="189"/>
      <c r="H541" s="1093"/>
      <c r="I541" s="675"/>
      <c r="J541" s="189"/>
      <c r="K541" s="189"/>
      <c r="L541" s="675"/>
      <c r="M541" s="676"/>
      <c r="O541" s="644"/>
    </row>
    <row r="542" ht="25.5" customHeight="1">
      <c r="A542" s="635"/>
      <c r="B542" s="1238"/>
      <c r="C542" s="620"/>
      <c r="D542" s="613"/>
      <c r="E542" s="675"/>
      <c r="F542" s="675"/>
      <c r="G542" s="189"/>
      <c r="H542" s="1093"/>
      <c r="I542" s="675"/>
      <c r="J542" s="189"/>
      <c r="K542" s="189"/>
      <c r="L542" s="675"/>
      <c r="M542" s="676"/>
      <c r="O542" s="644"/>
    </row>
    <row r="543" ht="25.5" customHeight="1">
      <c r="A543" s="635"/>
      <c r="B543" s="1238"/>
      <c r="C543" s="620"/>
      <c r="D543" s="613"/>
      <c r="E543" s="675"/>
      <c r="F543" s="675"/>
      <c r="G543" s="189"/>
      <c r="H543" s="1093"/>
      <c r="I543" s="675"/>
      <c r="J543" s="189"/>
      <c r="K543" s="189"/>
      <c r="L543" s="675"/>
      <c r="M543" s="676"/>
      <c r="O543" s="644"/>
    </row>
    <row r="544" ht="25.5" customHeight="1">
      <c r="A544" s="635"/>
      <c r="B544" s="1238"/>
      <c r="C544" s="620"/>
      <c r="D544" s="613"/>
      <c r="E544" s="675"/>
      <c r="F544" s="675"/>
      <c r="G544" s="189"/>
      <c r="H544" s="1093"/>
      <c r="I544" s="675"/>
      <c r="J544" s="189"/>
      <c r="K544" s="189"/>
      <c r="L544" s="675"/>
      <c r="M544" s="676"/>
      <c r="O544" s="644"/>
    </row>
    <row r="545" ht="25.5" customHeight="1">
      <c r="A545" s="635"/>
      <c r="B545" s="1238"/>
      <c r="C545" s="620"/>
      <c r="D545" s="613"/>
      <c r="E545" s="675"/>
      <c r="F545" s="675"/>
      <c r="G545" s="189"/>
      <c r="H545" s="1093"/>
      <c r="I545" s="675"/>
      <c r="J545" s="189"/>
      <c r="K545" s="189"/>
      <c r="L545" s="675"/>
      <c r="M545" s="676"/>
      <c r="O545" s="644"/>
    </row>
    <row r="546" ht="25.5" customHeight="1">
      <c r="A546" s="635"/>
      <c r="B546" s="1238"/>
      <c r="C546" s="620"/>
      <c r="D546" s="613"/>
      <c r="E546" s="675"/>
      <c r="F546" s="675"/>
      <c r="G546" s="189"/>
      <c r="H546" s="1093"/>
      <c r="I546" s="675"/>
      <c r="J546" s="189"/>
      <c r="K546" s="189"/>
      <c r="L546" s="675"/>
      <c r="M546" s="676"/>
      <c r="O546" s="644"/>
    </row>
    <row r="547" ht="25.5" customHeight="1">
      <c r="A547" s="635"/>
      <c r="B547" s="1238"/>
      <c r="C547" s="620"/>
      <c r="D547" s="613"/>
      <c r="E547" s="675"/>
      <c r="F547" s="675"/>
      <c r="G547" s="189"/>
      <c r="H547" s="1093"/>
      <c r="I547" s="675"/>
      <c r="J547" s="189"/>
      <c r="K547" s="189"/>
      <c r="L547" s="675"/>
      <c r="M547" s="676"/>
      <c r="O547" s="644"/>
    </row>
    <row r="548" ht="25.5" customHeight="1">
      <c r="A548" s="635"/>
      <c r="B548" s="1238"/>
      <c r="C548" s="620"/>
      <c r="D548" s="613"/>
      <c r="E548" s="675"/>
      <c r="F548" s="675"/>
      <c r="G548" s="189"/>
      <c r="H548" s="1093"/>
      <c r="I548" s="675"/>
      <c r="J548" s="189"/>
      <c r="K548" s="189"/>
      <c r="L548" s="675"/>
      <c r="M548" s="676"/>
      <c r="O548" s="644"/>
    </row>
    <row r="549" ht="25.5" customHeight="1">
      <c r="A549" s="635"/>
      <c r="B549" s="1238"/>
      <c r="C549" s="620"/>
      <c r="D549" s="613"/>
      <c r="E549" s="675"/>
      <c r="F549" s="675"/>
      <c r="G549" s="189"/>
      <c r="H549" s="1093"/>
      <c r="I549" s="675"/>
      <c r="J549" s="189"/>
      <c r="K549" s="189"/>
      <c r="L549" s="675"/>
      <c r="M549" s="676"/>
      <c r="O549" s="644"/>
    </row>
    <row r="550" ht="25.5" customHeight="1">
      <c r="A550" s="635"/>
      <c r="B550" s="1238"/>
      <c r="C550" s="620"/>
      <c r="D550" s="613"/>
      <c r="E550" s="675"/>
      <c r="F550" s="675"/>
      <c r="G550" s="189"/>
      <c r="H550" s="1093"/>
      <c r="I550" s="675"/>
      <c r="J550" s="189"/>
      <c r="K550" s="189"/>
      <c r="L550" s="675"/>
      <c r="M550" s="676"/>
      <c r="O550" s="644"/>
    </row>
    <row r="551" ht="25.5" customHeight="1">
      <c r="A551" s="635"/>
      <c r="B551" s="1238"/>
      <c r="C551" s="620"/>
      <c r="D551" s="613"/>
      <c r="E551" s="675"/>
      <c r="F551" s="675"/>
      <c r="G551" s="189"/>
      <c r="H551" s="1093"/>
      <c r="I551" s="675"/>
      <c r="J551" s="189"/>
      <c r="K551" s="189"/>
      <c r="L551" s="675"/>
      <c r="M551" s="676"/>
      <c r="O551" s="644"/>
    </row>
    <row r="552" ht="25.5" customHeight="1">
      <c r="A552" s="635"/>
      <c r="B552" s="1238"/>
      <c r="C552" s="620"/>
      <c r="D552" s="613"/>
      <c r="E552" s="675"/>
      <c r="F552" s="675"/>
      <c r="G552" s="189"/>
      <c r="H552" s="1093"/>
      <c r="I552" s="675"/>
      <c r="J552" s="189"/>
      <c r="K552" s="189"/>
      <c r="L552" s="675"/>
      <c r="M552" s="676"/>
      <c r="O552" s="644"/>
    </row>
    <row r="553" ht="25.5" customHeight="1">
      <c r="A553" s="635"/>
      <c r="B553" s="1238"/>
      <c r="C553" s="620"/>
      <c r="D553" s="613"/>
      <c r="E553" s="675"/>
      <c r="F553" s="675"/>
      <c r="G553" s="189"/>
      <c r="H553" s="1093"/>
      <c r="I553" s="675"/>
      <c r="J553" s="189"/>
      <c r="K553" s="189"/>
      <c r="L553" s="675"/>
      <c r="M553" s="676"/>
      <c r="O553" s="644"/>
    </row>
    <row r="554" ht="25.5" customHeight="1">
      <c r="A554" s="635"/>
      <c r="B554" s="1238"/>
      <c r="C554" s="620"/>
      <c r="D554" s="613"/>
      <c r="E554" s="675"/>
      <c r="F554" s="675"/>
      <c r="G554" s="189"/>
      <c r="H554" s="1093"/>
      <c r="I554" s="675"/>
      <c r="J554" s="189"/>
      <c r="K554" s="189"/>
      <c r="L554" s="675"/>
      <c r="M554" s="676"/>
      <c r="O554" s="644"/>
    </row>
    <row r="555" ht="25.5" customHeight="1">
      <c r="A555" s="635"/>
      <c r="B555" s="1238"/>
      <c r="C555" s="620"/>
      <c r="D555" s="613"/>
      <c r="E555" s="675"/>
      <c r="F555" s="675"/>
      <c r="G555" s="189"/>
      <c r="H555" s="1093"/>
      <c r="I555" s="675"/>
      <c r="J555" s="189"/>
      <c r="K555" s="189"/>
      <c r="L555" s="675"/>
      <c r="M555" s="676"/>
      <c r="O555" s="644"/>
    </row>
    <row r="556" ht="25.5" customHeight="1">
      <c r="A556" s="635"/>
      <c r="B556" s="1238"/>
      <c r="C556" s="620"/>
      <c r="D556" s="613"/>
      <c r="E556" s="675"/>
      <c r="F556" s="675"/>
      <c r="G556" s="189"/>
      <c r="H556" s="1093"/>
      <c r="I556" s="675"/>
      <c r="J556" s="189"/>
      <c r="K556" s="189"/>
      <c r="L556" s="675"/>
      <c r="M556" s="676"/>
      <c r="O556" s="644"/>
    </row>
    <row r="557" ht="25.5" customHeight="1">
      <c r="A557" s="635"/>
      <c r="B557" s="1238"/>
      <c r="C557" s="620"/>
      <c r="D557" s="613"/>
      <c r="E557" s="675"/>
      <c r="F557" s="675"/>
      <c r="G557" s="189"/>
      <c r="H557" s="1093"/>
      <c r="I557" s="675"/>
      <c r="J557" s="189"/>
      <c r="K557" s="189"/>
      <c r="L557" s="675"/>
      <c r="M557" s="676"/>
      <c r="O557" s="644"/>
    </row>
    <row r="558" ht="25.5" customHeight="1">
      <c r="A558" s="635"/>
      <c r="B558" s="1238"/>
      <c r="C558" s="620"/>
      <c r="D558" s="613"/>
      <c r="E558" s="675"/>
      <c r="F558" s="675"/>
      <c r="G558" s="189"/>
      <c r="H558" s="1093"/>
      <c r="I558" s="675"/>
      <c r="J558" s="189"/>
      <c r="K558" s="189"/>
      <c r="L558" s="675"/>
      <c r="M558" s="676"/>
      <c r="O558" s="644"/>
    </row>
    <row r="559" ht="25.5" customHeight="1">
      <c r="A559" s="635"/>
      <c r="B559" s="1238"/>
      <c r="C559" s="620"/>
      <c r="D559" s="613"/>
      <c r="E559" s="675"/>
      <c r="F559" s="675"/>
      <c r="G559" s="189"/>
      <c r="H559" s="1093"/>
      <c r="I559" s="675"/>
      <c r="J559" s="189"/>
      <c r="K559" s="189"/>
      <c r="L559" s="675"/>
      <c r="M559" s="676"/>
      <c r="O559" s="644"/>
    </row>
    <row r="560" ht="25.5" customHeight="1">
      <c r="A560" s="635"/>
      <c r="B560" s="1238"/>
      <c r="C560" s="620"/>
      <c r="D560" s="613"/>
      <c r="E560" s="675"/>
      <c r="F560" s="675"/>
      <c r="G560" s="189"/>
      <c r="H560" s="1093"/>
      <c r="I560" s="675"/>
      <c r="J560" s="189"/>
      <c r="K560" s="189"/>
      <c r="L560" s="675"/>
      <c r="M560" s="676"/>
      <c r="O560" s="644"/>
    </row>
    <row r="561" ht="25.5" customHeight="1">
      <c r="A561" s="635"/>
      <c r="B561" s="1238"/>
      <c r="C561" s="620"/>
      <c r="D561" s="613"/>
      <c r="E561" s="675"/>
      <c r="F561" s="675"/>
      <c r="G561" s="189"/>
      <c r="H561" s="1093"/>
      <c r="I561" s="675"/>
      <c r="J561" s="189"/>
      <c r="K561" s="189"/>
      <c r="L561" s="675"/>
      <c r="M561" s="676"/>
      <c r="O561" s="644"/>
    </row>
    <row r="562" ht="25.5" customHeight="1">
      <c r="A562" s="635"/>
      <c r="B562" s="1238"/>
      <c r="C562" s="620"/>
      <c r="D562" s="613"/>
      <c r="E562" s="675"/>
      <c r="F562" s="675"/>
      <c r="G562" s="189"/>
      <c r="H562" s="1093"/>
      <c r="I562" s="675"/>
      <c r="J562" s="189"/>
      <c r="K562" s="189"/>
      <c r="L562" s="675"/>
      <c r="M562" s="676"/>
      <c r="O562" s="644"/>
    </row>
    <row r="563" ht="25.5" customHeight="1">
      <c r="A563" s="635"/>
      <c r="B563" s="1238"/>
      <c r="C563" s="620"/>
      <c r="D563" s="613"/>
      <c r="E563" s="675"/>
      <c r="F563" s="675"/>
      <c r="G563" s="189"/>
      <c r="H563" s="1093"/>
      <c r="I563" s="675"/>
      <c r="J563" s="189"/>
      <c r="K563" s="189"/>
      <c r="L563" s="675"/>
      <c r="M563" s="676"/>
      <c r="O563" s="644"/>
    </row>
    <row r="564" ht="25.5" customHeight="1">
      <c r="A564" s="635"/>
      <c r="B564" s="1238"/>
      <c r="C564" s="620"/>
      <c r="D564" s="613"/>
      <c r="E564" s="675"/>
      <c r="F564" s="675"/>
      <c r="G564" s="189"/>
      <c r="H564" s="1093"/>
      <c r="I564" s="675"/>
      <c r="J564" s="189"/>
      <c r="K564" s="189"/>
      <c r="L564" s="675"/>
      <c r="M564" s="676"/>
      <c r="O564" s="644"/>
    </row>
    <row r="565" ht="25.5" customHeight="1">
      <c r="A565" s="635"/>
      <c r="B565" s="1238"/>
      <c r="C565" s="620"/>
      <c r="D565" s="613"/>
      <c r="E565" s="675"/>
      <c r="F565" s="675"/>
      <c r="G565" s="189"/>
      <c r="H565" s="1093"/>
      <c r="I565" s="675"/>
      <c r="J565" s="189"/>
      <c r="K565" s="189"/>
      <c r="L565" s="675"/>
      <c r="M565" s="676"/>
      <c r="O565" s="644"/>
    </row>
    <row r="566" ht="25.5" customHeight="1">
      <c r="A566" s="635"/>
      <c r="B566" s="1238"/>
      <c r="C566" s="620"/>
      <c r="D566" s="613"/>
      <c r="E566" s="675"/>
      <c r="F566" s="675"/>
      <c r="G566" s="189"/>
      <c r="H566" s="1093"/>
      <c r="I566" s="675"/>
      <c r="J566" s="189"/>
      <c r="K566" s="189"/>
      <c r="L566" s="675"/>
      <c r="M566" s="676"/>
      <c r="O566" s="644"/>
    </row>
    <row r="567" ht="25.5" customHeight="1">
      <c r="A567" s="635"/>
      <c r="B567" s="1238"/>
      <c r="C567" s="620"/>
      <c r="D567" s="613"/>
      <c r="E567" s="675"/>
      <c r="F567" s="675"/>
      <c r="G567" s="189"/>
      <c r="H567" s="1093"/>
      <c r="I567" s="675"/>
      <c r="J567" s="189"/>
      <c r="K567" s="189"/>
      <c r="L567" s="675"/>
      <c r="M567" s="676"/>
      <c r="O567" s="644"/>
    </row>
    <row r="568" ht="25.5" customHeight="1">
      <c r="A568" s="635"/>
      <c r="B568" s="1238"/>
      <c r="C568" s="620"/>
      <c r="D568" s="613"/>
      <c r="E568" s="675"/>
      <c r="F568" s="675"/>
      <c r="G568" s="189"/>
      <c r="H568" s="1093"/>
      <c r="I568" s="675"/>
      <c r="J568" s="189"/>
      <c r="K568" s="189"/>
      <c r="L568" s="675"/>
      <c r="M568" s="676"/>
      <c r="O568" s="644"/>
    </row>
    <row r="569" ht="25.5" customHeight="1">
      <c r="A569" s="635"/>
      <c r="B569" s="1238"/>
      <c r="C569" s="620"/>
      <c r="D569" s="613"/>
      <c r="E569" s="675"/>
      <c r="F569" s="675"/>
      <c r="G569" s="189"/>
      <c r="H569" s="1093"/>
      <c r="I569" s="675"/>
      <c r="J569" s="189"/>
      <c r="K569" s="189"/>
      <c r="L569" s="675"/>
      <c r="M569" s="676"/>
      <c r="O569" s="644"/>
    </row>
    <row r="570" ht="25.5" customHeight="1">
      <c r="A570" s="635"/>
      <c r="B570" s="1238"/>
      <c r="C570" s="620"/>
      <c r="D570" s="613"/>
      <c r="E570" s="675"/>
      <c r="F570" s="675"/>
      <c r="G570" s="189"/>
      <c r="H570" s="1093"/>
      <c r="I570" s="675"/>
      <c r="J570" s="189"/>
      <c r="K570" s="189"/>
      <c r="L570" s="675"/>
      <c r="M570" s="676"/>
      <c r="O570" s="644"/>
    </row>
    <row r="571" ht="25.5" customHeight="1">
      <c r="A571" s="635"/>
      <c r="B571" s="1238"/>
      <c r="C571" s="620"/>
      <c r="D571" s="613"/>
      <c r="E571" s="675"/>
      <c r="F571" s="675"/>
      <c r="G571" s="189"/>
      <c r="H571" s="1093"/>
      <c r="I571" s="675"/>
      <c r="J571" s="189"/>
      <c r="K571" s="189"/>
      <c r="L571" s="675"/>
      <c r="M571" s="676"/>
      <c r="O571" s="644"/>
    </row>
    <row r="572" ht="25.5" customHeight="1">
      <c r="A572" s="635"/>
      <c r="B572" s="1238"/>
      <c r="C572" s="620"/>
      <c r="D572" s="613"/>
      <c r="E572" s="675"/>
      <c r="F572" s="675"/>
      <c r="G572" s="189"/>
      <c r="H572" s="1093"/>
      <c r="I572" s="675"/>
      <c r="J572" s="189"/>
      <c r="K572" s="189"/>
      <c r="L572" s="675"/>
      <c r="M572" s="676"/>
      <c r="O572" s="644"/>
    </row>
    <row r="573" ht="25.5" customHeight="1">
      <c r="A573" s="635"/>
      <c r="B573" s="1238"/>
      <c r="C573" s="620"/>
      <c r="D573" s="613"/>
      <c r="E573" s="675"/>
      <c r="F573" s="675"/>
      <c r="G573" s="189"/>
      <c r="H573" s="1093"/>
      <c r="I573" s="675"/>
      <c r="J573" s="189"/>
      <c r="K573" s="189"/>
      <c r="L573" s="675"/>
      <c r="M573" s="676"/>
      <c r="O573" s="644"/>
    </row>
    <row r="574" ht="25.5" customHeight="1">
      <c r="A574" s="635"/>
      <c r="B574" s="1238"/>
      <c r="C574" s="620"/>
      <c r="D574" s="613"/>
      <c r="E574" s="675"/>
      <c r="F574" s="675"/>
      <c r="G574" s="189"/>
      <c r="H574" s="1093"/>
      <c r="I574" s="675"/>
      <c r="J574" s="189"/>
      <c r="K574" s="189"/>
      <c r="L574" s="675"/>
      <c r="M574" s="676"/>
      <c r="O574" s="644"/>
    </row>
    <row r="575" ht="25.5" customHeight="1">
      <c r="A575" s="635"/>
      <c r="B575" s="1238"/>
      <c r="C575" s="620"/>
      <c r="D575" s="613"/>
      <c r="E575" s="675"/>
      <c r="F575" s="675"/>
      <c r="G575" s="189"/>
      <c r="H575" s="1093"/>
      <c r="I575" s="675"/>
      <c r="J575" s="189"/>
      <c r="K575" s="189"/>
      <c r="L575" s="675"/>
      <c r="M575" s="676"/>
      <c r="O575" s="644"/>
    </row>
    <row r="576" ht="25.5" customHeight="1">
      <c r="A576" s="635"/>
      <c r="B576" s="1238"/>
      <c r="C576" s="620"/>
      <c r="D576" s="613"/>
      <c r="E576" s="675"/>
      <c r="F576" s="675"/>
      <c r="G576" s="189"/>
      <c r="H576" s="1093"/>
      <c r="I576" s="675"/>
      <c r="J576" s="189"/>
      <c r="K576" s="189"/>
      <c r="L576" s="675"/>
      <c r="M576" s="676"/>
      <c r="O576" s="644"/>
    </row>
    <row r="577" ht="25.5" customHeight="1">
      <c r="A577" s="635"/>
      <c r="B577" s="1238"/>
      <c r="C577" s="620"/>
      <c r="D577" s="613"/>
      <c r="E577" s="675"/>
      <c r="F577" s="675"/>
      <c r="G577" s="189"/>
      <c r="H577" s="1093"/>
      <c r="I577" s="675"/>
      <c r="J577" s="189"/>
      <c r="K577" s="189"/>
      <c r="L577" s="675"/>
      <c r="M577" s="676"/>
      <c r="O577" s="644"/>
    </row>
    <row r="578" ht="25.5" customHeight="1">
      <c r="A578" s="635"/>
      <c r="B578" s="1238"/>
      <c r="C578" s="620"/>
      <c r="D578" s="613"/>
      <c r="E578" s="675"/>
      <c r="F578" s="675"/>
      <c r="G578" s="189"/>
      <c r="H578" s="1093"/>
      <c r="I578" s="675"/>
      <c r="J578" s="189"/>
      <c r="K578" s="189"/>
      <c r="L578" s="675"/>
      <c r="M578" s="676"/>
      <c r="O578" s="644"/>
    </row>
    <row r="579" ht="25.5" customHeight="1">
      <c r="A579" s="635"/>
      <c r="B579" s="1238"/>
      <c r="C579" s="620"/>
      <c r="D579" s="613"/>
      <c r="E579" s="675"/>
      <c r="F579" s="675"/>
      <c r="G579" s="189"/>
      <c r="H579" s="1093"/>
      <c r="I579" s="675"/>
      <c r="J579" s="189"/>
      <c r="K579" s="189"/>
      <c r="L579" s="675"/>
      <c r="M579" s="676"/>
      <c r="O579" s="644"/>
    </row>
    <row r="580" ht="25.5" customHeight="1">
      <c r="A580" s="635"/>
      <c r="B580" s="1238"/>
      <c r="C580" s="620"/>
      <c r="D580" s="613"/>
      <c r="E580" s="675"/>
      <c r="F580" s="675"/>
      <c r="G580" s="189"/>
      <c r="H580" s="1093"/>
      <c r="I580" s="675"/>
      <c r="J580" s="189"/>
      <c r="K580" s="189"/>
      <c r="L580" s="675"/>
      <c r="M580" s="676"/>
      <c r="O580" s="644"/>
    </row>
    <row r="581" ht="25.5" customHeight="1">
      <c r="A581" s="635"/>
      <c r="B581" s="1238"/>
      <c r="C581" s="620"/>
      <c r="D581" s="613"/>
      <c r="E581" s="675"/>
      <c r="F581" s="675"/>
      <c r="G581" s="189"/>
      <c r="H581" s="1093"/>
      <c r="I581" s="675"/>
      <c r="J581" s="189"/>
      <c r="K581" s="189"/>
      <c r="L581" s="675"/>
      <c r="M581" s="676"/>
      <c r="O581" s="644"/>
    </row>
    <row r="582" ht="25.5" customHeight="1">
      <c r="A582" s="635"/>
      <c r="B582" s="1238"/>
      <c r="C582" s="620"/>
      <c r="D582" s="613"/>
      <c r="E582" s="675"/>
      <c r="F582" s="675"/>
      <c r="G582" s="189"/>
      <c r="H582" s="1093"/>
      <c r="I582" s="675"/>
      <c r="J582" s="189"/>
      <c r="K582" s="189"/>
      <c r="L582" s="675"/>
      <c r="M582" s="676"/>
      <c r="O582" s="644"/>
    </row>
    <row r="583" ht="25.5" customHeight="1">
      <c r="A583" s="635"/>
      <c r="B583" s="1238"/>
      <c r="C583" s="620"/>
      <c r="D583" s="613"/>
      <c r="E583" s="675"/>
      <c r="F583" s="675"/>
      <c r="G583" s="189"/>
      <c r="H583" s="1093"/>
      <c r="I583" s="675"/>
      <c r="J583" s="189"/>
      <c r="K583" s="189"/>
      <c r="L583" s="675"/>
      <c r="M583" s="676"/>
      <c r="O583" s="644"/>
    </row>
    <row r="584" ht="25.5" customHeight="1">
      <c r="A584" s="635"/>
      <c r="B584" s="1238"/>
      <c r="C584" s="620"/>
      <c r="D584" s="613"/>
      <c r="E584" s="675"/>
      <c r="F584" s="675"/>
      <c r="G584" s="189"/>
      <c r="H584" s="1093"/>
      <c r="I584" s="675"/>
      <c r="J584" s="189"/>
      <c r="K584" s="189"/>
      <c r="L584" s="675"/>
      <c r="M584" s="676"/>
      <c r="O584" s="644"/>
    </row>
    <row r="585" ht="25.5" customHeight="1">
      <c r="A585" s="635"/>
      <c r="B585" s="1238"/>
      <c r="C585" s="620"/>
      <c r="D585" s="613"/>
      <c r="E585" s="675"/>
      <c r="F585" s="675"/>
      <c r="G585" s="189"/>
      <c r="H585" s="1093"/>
      <c r="I585" s="675"/>
      <c r="J585" s="189"/>
      <c r="K585" s="189"/>
      <c r="L585" s="675"/>
      <c r="M585" s="676"/>
      <c r="O585" s="644"/>
    </row>
    <row r="586" ht="25.5" customHeight="1">
      <c r="A586" s="635"/>
      <c r="B586" s="1238"/>
      <c r="C586" s="620"/>
      <c r="D586" s="613"/>
      <c r="E586" s="675"/>
      <c r="F586" s="675"/>
      <c r="G586" s="189"/>
      <c r="H586" s="1093"/>
      <c r="I586" s="675"/>
      <c r="J586" s="189"/>
      <c r="K586" s="189"/>
      <c r="L586" s="675"/>
      <c r="M586" s="676"/>
      <c r="O586" s="644"/>
    </row>
    <row r="587" ht="25.5" customHeight="1">
      <c r="A587" s="635"/>
      <c r="B587" s="1238"/>
      <c r="C587" s="620"/>
      <c r="D587" s="613"/>
      <c r="E587" s="675"/>
      <c r="F587" s="675"/>
      <c r="G587" s="189"/>
      <c r="H587" s="1093"/>
      <c r="I587" s="675"/>
      <c r="J587" s="189"/>
      <c r="K587" s="189"/>
      <c r="L587" s="675"/>
      <c r="M587" s="676"/>
      <c r="O587" s="644"/>
    </row>
    <row r="588" ht="25.5" customHeight="1">
      <c r="A588" s="635"/>
      <c r="B588" s="1238"/>
      <c r="C588" s="620"/>
      <c r="D588" s="613"/>
      <c r="E588" s="675"/>
      <c r="F588" s="675"/>
      <c r="G588" s="189"/>
      <c r="H588" s="1093"/>
      <c r="I588" s="675"/>
      <c r="J588" s="189"/>
      <c r="K588" s="189"/>
      <c r="L588" s="675"/>
      <c r="M588" s="676"/>
      <c r="O588" s="644"/>
    </row>
    <row r="589" ht="25.5" customHeight="1">
      <c r="A589" s="635"/>
      <c r="B589" s="1238"/>
      <c r="C589" s="620"/>
      <c r="D589" s="613"/>
      <c r="E589" s="675"/>
      <c r="F589" s="675"/>
      <c r="G589" s="189"/>
      <c r="H589" s="1093"/>
      <c r="I589" s="675"/>
      <c r="J589" s="189"/>
      <c r="K589" s="189"/>
      <c r="L589" s="675"/>
      <c r="M589" s="676"/>
      <c r="O589" s="644"/>
    </row>
    <row r="590" ht="25.5" customHeight="1">
      <c r="A590" s="635"/>
      <c r="B590" s="1238"/>
      <c r="C590" s="620"/>
      <c r="D590" s="613"/>
      <c r="E590" s="675"/>
      <c r="F590" s="675"/>
      <c r="G590" s="189"/>
      <c r="H590" s="1093"/>
      <c r="I590" s="675"/>
      <c r="J590" s="189"/>
      <c r="K590" s="189"/>
      <c r="L590" s="675"/>
      <c r="M590" s="676"/>
      <c r="O590" s="644"/>
    </row>
    <row r="591" ht="25.5" customHeight="1">
      <c r="A591" s="635"/>
      <c r="B591" s="1238"/>
      <c r="C591" s="620"/>
      <c r="D591" s="613"/>
      <c r="E591" s="675"/>
      <c r="F591" s="675"/>
      <c r="G591" s="189"/>
      <c r="H591" s="1093"/>
      <c r="I591" s="675"/>
      <c r="J591" s="189"/>
      <c r="K591" s="189"/>
      <c r="L591" s="675"/>
      <c r="M591" s="676"/>
      <c r="O591" s="644"/>
    </row>
    <row r="592" ht="25.5" customHeight="1">
      <c r="A592" s="635"/>
      <c r="B592" s="1238"/>
      <c r="C592" s="620"/>
      <c r="D592" s="613"/>
      <c r="E592" s="675"/>
      <c r="F592" s="675"/>
      <c r="G592" s="189"/>
      <c r="H592" s="1093"/>
      <c r="I592" s="675"/>
      <c r="J592" s="189"/>
      <c r="K592" s="189"/>
      <c r="L592" s="675"/>
      <c r="M592" s="676"/>
      <c r="O592" s="644"/>
    </row>
    <row r="593" ht="25.5" customHeight="1">
      <c r="A593" s="635"/>
      <c r="B593" s="1238"/>
      <c r="C593" s="620"/>
      <c r="D593" s="613"/>
      <c r="E593" s="675"/>
      <c r="F593" s="675"/>
      <c r="G593" s="189"/>
      <c r="H593" s="1093"/>
      <c r="I593" s="675"/>
      <c r="J593" s="189"/>
      <c r="K593" s="189"/>
      <c r="L593" s="675"/>
      <c r="M593" s="676"/>
      <c r="O593" s="644"/>
    </row>
    <row r="594" ht="25.5" customHeight="1">
      <c r="A594" s="635"/>
      <c r="B594" s="1238"/>
      <c r="C594" s="620"/>
      <c r="D594" s="613"/>
      <c r="E594" s="675"/>
      <c r="F594" s="675"/>
      <c r="G594" s="189"/>
      <c r="H594" s="1093"/>
      <c r="I594" s="675"/>
      <c r="J594" s="189"/>
      <c r="K594" s="189"/>
      <c r="L594" s="675"/>
      <c r="M594" s="676"/>
      <c r="O594" s="644"/>
    </row>
    <row r="595" ht="25.5" customHeight="1">
      <c r="A595" s="635"/>
      <c r="B595" s="1238"/>
      <c r="C595" s="620"/>
      <c r="D595" s="613"/>
      <c r="E595" s="675"/>
      <c r="F595" s="675"/>
      <c r="G595" s="189"/>
      <c r="H595" s="1093"/>
      <c r="I595" s="675"/>
      <c r="J595" s="189"/>
      <c r="K595" s="189"/>
      <c r="L595" s="675"/>
      <c r="M595" s="676"/>
      <c r="O595" s="644"/>
    </row>
    <row r="596" ht="25.5" customHeight="1">
      <c r="A596" s="635"/>
      <c r="B596" s="1238"/>
      <c r="C596" s="620"/>
      <c r="D596" s="613"/>
      <c r="E596" s="675"/>
      <c r="F596" s="675"/>
      <c r="G596" s="189"/>
      <c r="H596" s="1093"/>
      <c r="I596" s="675"/>
      <c r="J596" s="189"/>
      <c r="K596" s="189"/>
      <c r="L596" s="675"/>
      <c r="M596" s="676"/>
      <c r="O596" s="644"/>
    </row>
    <row r="597" ht="25.5" customHeight="1">
      <c r="A597" s="635"/>
      <c r="B597" s="1238"/>
      <c r="C597" s="620"/>
      <c r="D597" s="613"/>
      <c r="E597" s="675"/>
      <c r="F597" s="675"/>
      <c r="G597" s="189"/>
      <c r="H597" s="1093"/>
      <c r="I597" s="675"/>
      <c r="J597" s="189"/>
      <c r="K597" s="189"/>
      <c r="L597" s="675"/>
      <c r="M597" s="676"/>
      <c r="O597" s="644"/>
    </row>
    <row r="598" ht="25.5" customHeight="1">
      <c r="A598" s="635"/>
      <c r="B598" s="1238"/>
      <c r="C598" s="620"/>
      <c r="D598" s="613"/>
      <c r="E598" s="675"/>
      <c r="F598" s="675"/>
      <c r="G598" s="189"/>
      <c r="H598" s="1093"/>
      <c r="I598" s="675"/>
      <c r="J598" s="189"/>
      <c r="K598" s="189"/>
      <c r="L598" s="675"/>
      <c r="M598" s="676"/>
      <c r="O598" s="644"/>
    </row>
    <row r="599" ht="25.5" customHeight="1">
      <c r="A599" s="635"/>
      <c r="B599" s="1238"/>
      <c r="C599" s="620"/>
      <c r="D599" s="613"/>
      <c r="E599" s="675"/>
      <c r="F599" s="675"/>
      <c r="G599" s="189"/>
      <c r="H599" s="1093"/>
      <c r="I599" s="675"/>
      <c r="J599" s="189"/>
      <c r="K599" s="189"/>
      <c r="L599" s="675"/>
      <c r="M599" s="676"/>
      <c r="O599" s="644"/>
    </row>
    <row r="600" ht="25.5" customHeight="1">
      <c r="A600" s="635"/>
      <c r="B600" s="1238"/>
      <c r="C600" s="620"/>
      <c r="D600" s="613"/>
      <c r="E600" s="675"/>
      <c r="F600" s="675"/>
      <c r="G600" s="189"/>
      <c r="H600" s="1093"/>
      <c r="I600" s="675"/>
      <c r="J600" s="189"/>
      <c r="K600" s="189"/>
      <c r="L600" s="675"/>
      <c r="M600" s="676"/>
      <c r="O600" s="644"/>
    </row>
    <row r="601" ht="25.5" customHeight="1">
      <c r="A601" s="635"/>
      <c r="B601" s="1238"/>
      <c r="C601" s="620"/>
      <c r="D601" s="613"/>
      <c r="E601" s="675"/>
      <c r="F601" s="675"/>
      <c r="G601" s="189"/>
      <c r="H601" s="1093"/>
      <c r="I601" s="675"/>
      <c r="J601" s="189"/>
      <c r="K601" s="189"/>
      <c r="L601" s="675"/>
      <c r="M601" s="676"/>
      <c r="O601" s="644"/>
    </row>
    <row r="602" ht="25.5" customHeight="1">
      <c r="A602" s="635"/>
      <c r="B602" s="1238"/>
      <c r="C602" s="620"/>
      <c r="D602" s="613"/>
      <c r="E602" s="675"/>
      <c r="F602" s="675"/>
      <c r="G602" s="189"/>
      <c r="H602" s="1093"/>
      <c r="I602" s="675"/>
      <c r="J602" s="189"/>
      <c r="K602" s="189"/>
      <c r="L602" s="675"/>
      <c r="M602" s="676"/>
      <c r="O602" s="644"/>
    </row>
    <row r="603" ht="25.5" customHeight="1">
      <c r="A603" s="635"/>
      <c r="B603" s="1238"/>
      <c r="C603" s="620"/>
      <c r="D603" s="613"/>
      <c r="E603" s="675"/>
      <c r="F603" s="675"/>
      <c r="G603" s="189"/>
      <c r="H603" s="1093"/>
      <c r="I603" s="675"/>
      <c r="J603" s="189"/>
      <c r="K603" s="189"/>
      <c r="L603" s="675"/>
      <c r="M603" s="676"/>
      <c r="O603" s="644"/>
    </row>
    <row r="604" ht="25.5" customHeight="1">
      <c r="A604" s="635"/>
      <c r="B604" s="1238"/>
      <c r="C604" s="620"/>
      <c r="D604" s="613"/>
      <c r="E604" s="675"/>
      <c r="F604" s="675"/>
      <c r="G604" s="189"/>
      <c r="H604" s="1093"/>
      <c r="I604" s="675"/>
      <c r="J604" s="189"/>
      <c r="K604" s="189"/>
      <c r="L604" s="675"/>
      <c r="M604" s="676"/>
      <c r="O604" s="644"/>
    </row>
    <row r="605" ht="25.5" customHeight="1">
      <c r="A605" s="635"/>
      <c r="B605" s="1238"/>
      <c r="C605" s="620"/>
      <c r="D605" s="613"/>
      <c r="E605" s="675"/>
      <c r="F605" s="675"/>
      <c r="G605" s="189"/>
      <c r="H605" s="1093"/>
      <c r="I605" s="675"/>
      <c r="J605" s="189"/>
      <c r="K605" s="189"/>
      <c r="L605" s="675"/>
      <c r="M605" s="676"/>
      <c r="O605" s="644"/>
    </row>
    <row r="606" ht="25.5" customHeight="1">
      <c r="A606" s="635"/>
      <c r="B606" s="1238"/>
      <c r="C606" s="620"/>
      <c r="D606" s="613"/>
      <c r="E606" s="675"/>
      <c r="F606" s="675"/>
      <c r="G606" s="189"/>
      <c r="H606" s="1093"/>
      <c r="I606" s="675"/>
      <c r="J606" s="189"/>
      <c r="K606" s="189"/>
      <c r="L606" s="675"/>
      <c r="M606" s="676"/>
      <c r="O606" s="644"/>
    </row>
    <row r="607" ht="25.5" customHeight="1">
      <c r="A607" s="635"/>
      <c r="B607" s="1238"/>
      <c r="C607" s="620"/>
      <c r="D607" s="613"/>
      <c r="E607" s="675"/>
      <c r="F607" s="675"/>
      <c r="G607" s="189"/>
      <c r="H607" s="1093"/>
      <c r="I607" s="675"/>
      <c r="J607" s="189"/>
      <c r="K607" s="189"/>
      <c r="L607" s="675"/>
      <c r="M607" s="676"/>
      <c r="O607" s="644"/>
    </row>
    <row r="608" ht="25.5" customHeight="1">
      <c r="A608" s="635"/>
      <c r="B608" s="1238"/>
      <c r="C608" s="620"/>
      <c r="D608" s="613"/>
      <c r="E608" s="675"/>
      <c r="F608" s="675"/>
      <c r="G608" s="189"/>
      <c r="H608" s="1093"/>
      <c r="I608" s="675"/>
      <c r="J608" s="189"/>
      <c r="K608" s="189"/>
      <c r="L608" s="675"/>
      <c r="M608" s="676"/>
      <c r="O608" s="644"/>
    </row>
    <row r="609" ht="25.5" customHeight="1">
      <c r="A609" s="635"/>
      <c r="B609" s="1238"/>
      <c r="C609" s="620"/>
      <c r="D609" s="613"/>
      <c r="E609" s="675"/>
      <c r="F609" s="675"/>
      <c r="G609" s="189"/>
      <c r="H609" s="1093"/>
      <c r="I609" s="675"/>
      <c r="J609" s="189"/>
      <c r="K609" s="189"/>
      <c r="L609" s="675"/>
      <c r="M609" s="676"/>
      <c r="O609" s="644"/>
    </row>
    <row r="610" ht="25.5" customHeight="1">
      <c r="A610" s="635"/>
      <c r="B610" s="1238"/>
      <c r="C610" s="620"/>
      <c r="D610" s="613"/>
      <c r="E610" s="675"/>
      <c r="F610" s="675"/>
      <c r="G610" s="189"/>
      <c r="H610" s="1093"/>
      <c r="I610" s="675"/>
      <c r="J610" s="189"/>
      <c r="K610" s="189"/>
      <c r="L610" s="675"/>
      <c r="M610" s="676"/>
      <c r="O610" s="644"/>
    </row>
    <row r="611" ht="25.5" customHeight="1">
      <c r="A611" s="635"/>
      <c r="B611" s="1238"/>
      <c r="C611" s="620"/>
      <c r="D611" s="613"/>
      <c r="E611" s="675"/>
      <c r="F611" s="675"/>
      <c r="G611" s="189"/>
      <c r="H611" s="1093"/>
      <c r="I611" s="675"/>
      <c r="J611" s="189"/>
      <c r="K611" s="189"/>
      <c r="L611" s="675"/>
      <c r="M611" s="676"/>
      <c r="O611" s="644"/>
    </row>
    <row r="612" ht="25.5" customHeight="1">
      <c r="A612" s="635"/>
      <c r="B612" s="1238"/>
      <c r="C612" s="620"/>
      <c r="D612" s="613"/>
      <c r="E612" s="675"/>
      <c r="F612" s="675"/>
      <c r="G612" s="189"/>
      <c r="H612" s="1093"/>
      <c r="I612" s="675"/>
      <c r="J612" s="189"/>
      <c r="K612" s="189"/>
      <c r="L612" s="675"/>
      <c r="M612" s="676"/>
      <c r="O612" s="644"/>
    </row>
    <row r="613" ht="25.5" customHeight="1">
      <c r="A613" s="635"/>
      <c r="B613" s="1238"/>
      <c r="C613" s="620"/>
      <c r="D613" s="613"/>
      <c r="E613" s="675"/>
      <c r="F613" s="675"/>
      <c r="G613" s="189"/>
      <c r="H613" s="1093"/>
      <c r="I613" s="675"/>
      <c r="J613" s="189"/>
      <c r="K613" s="189"/>
      <c r="L613" s="675"/>
      <c r="M613" s="676"/>
      <c r="O613" s="644"/>
    </row>
    <row r="614" ht="25.5" customHeight="1">
      <c r="A614" s="635"/>
      <c r="B614" s="1238"/>
      <c r="C614" s="620"/>
      <c r="D614" s="613"/>
      <c r="E614" s="675"/>
      <c r="F614" s="675"/>
      <c r="G614" s="189"/>
      <c r="H614" s="1093"/>
      <c r="I614" s="675"/>
      <c r="J614" s="189"/>
      <c r="K614" s="189"/>
      <c r="L614" s="675"/>
      <c r="M614" s="676"/>
      <c r="O614" s="644"/>
    </row>
    <row r="615" ht="25.5" customHeight="1">
      <c r="A615" s="635"/>
      <c r="B615" s="1238"/>
      <c r="C615" s="620"/>
      <c r="D615" s="613"/>
      <c r="E615" s="675"/>
      <c r="F615" s="675"/>
      <c r="G615" s="189"/>
      <c r="H615" s="1093"/>
      <c r="I615" s="675"/>
      <c r="J615" s="189"/>
      <c r="K615" s="189"/>
      <c r="L615" s="675"/>
      <c r="M615" s="676"/>
      <c r="O615" s="644"/>
    </row>
    <row r="616" ht="25.5" customHeight="1">
      <c r="A616" s="635"/>
      <c r="B616" s="1238"/>
      <c r="C616" s="620"/>
      <c r="D616" s="613"/>
      <c r="E616" s="675"/>
      <c r="F616" s="675"/>
      <c r="G616" s="189"/>
      <c r="H616" s="1093"/>
      <c r="I616" s="675"/>
      <c r="J616" s="189"/>
      <c r="K616" s="189"/>
      <c r="L616" s="675"/>
      <c r="M616" s="676"/>
      <c r="O616" s="644"/>
    </row>
    <row r="617" ht="25.5" customHeight="1">
      <c r="A617" s="635"/>
      <c r="B617" s="1238"/>
      <c r="C617" s="620"/>
      <c r="D617" s="613"/>
      <c r="E617" s="675"/>
      <c r="F617" s="675"/>
      <c r="G617" s="189"/>
      <c r="H617" s="1093"/>
      <c r="I617" s="675"/>
      <c r="J617" s="189"/>
      <c r="K617" s="189"/>
      <c r="L617" s="675"/>
      <c r="M617" s="676"/>
      <c r="O617" s="644"/>
    </row>
    <row r="618" ht="25.5" customHeight="1">
      <c r="A618" s="635"/>
      <c r="B618" s="1238"/>
      <c r="C618" s="620"/>
      <c r="D618" s="613"/>
      <c r="E618" s="675"/>
      <c r="F618" s="675"/>
      <c r="G618" s="189"/>
      <c r="H618" s="1093"/>
      <c r="I618" s="675"/>
      <c r="J618" s="189"/>
      <c r="K618" s="189"/>
      <c r="L618" s="675"/>
      <c r="M618" s="676"/>
      <c r="O618" s="644"/>
    </row>
    <row r="619" ht="25.5" customHeight="1">
      <c r="A619" s="635"/>
      <c r="B619" s="1238"/>
      <c r="C619" s="620"/>
      <c r="D619" s="613"/>
      <c r="E619" s="675"/>
      <c r="F619" s="675"/>
      <c r="G619" s="189"/>
      <c r="H619" s="1093"/>
      <c r="I619" s="675"/>
      <c r="J619" s="189"/>
      <c r="K619" s="189"/>
      <c r="L619" s="675"/>
      <c r="M619" s="676"/>
      <c r="O619" s="644"/>
    </row>
    <row r="620" ht="25.5" customHeight="1">
      <c r="A620" s="635"/>
      <c r="B620" s="1238"/>
      <c r="C620" s="620"/>
      <c r="D620" s="613"/>
      <c r="E620" s="675"/>
      <c r="F620" s="675"/>
      <c r="G620" s="189"/>
      <c r="H620" s="1093"/>
      <c r="I620" s="675"/>
      <c r="J620" s="189"/>
      <c r="K620" s="189"/>
      <c r="L620" s="675"/>
      <c r="M620" s="676"/>
      <c r="O620" s="644"/>
    </row>
    <row r="621" ht="25.5" customHeight="1">
      <c r="A621" s="635"/>
      <c r="B621" s="1238"/>
      <c r="C621" s="620"/>
      <c r="D621" s="613"/>
      <c r="E621" s="675"/>
      <c r="F621" s="675"/>
      <c r="G621" s="189"/>
      <c r="H621" s="1093"/>
      <c r="I621" s="675"/>
      <c r="J621" s="189"/>
      <c r="K621" s="189"/>
      <c r="L621" s="675"/>
      <c r="M621" s="676"/>
      <c r="O621" s="644"/>
    </row>
    <row r="622" ht="25.5" customHeight="1">
      <c r="A622" s="635"/>
      <c r="B622" s="1238"/>
      <c r="C622" s="620"/>
      <c r="D622" s="613"/>
      <c r="E622" s="675"/>
      <c r="F622" s="675"/>
      <c r="G622" s="189"/>
      <c r="H622" s="1093"/>
      <c r="I622" s="675"/>
      <c r="J622" s="189"/>
      <c r="K622" s="189"/>
      <c r="L622" s="675"/>
      <c r="M622" s="676"/>
      <c r="O622" s="644"/>
    </row>
    <row r="623" ht="25.5" customHeight="1">
      <c r="A623" s="635"/>
      <c r="B623" s="1238"/>
      <c r="C623" s="620"/>
      <c r="D623" s="613"/>
      <c r="E623" s="675"/>
      <c r="F623" s="675"/>
      <c r="G623" s="189"/>
      <c r="H623" s="1093"/>
      <c r="I623" s="675"/>
      <c r="J623" s="189"/>
      <c r="K623" s="189"/>
      <c r="L623" s="675"/>
      <c r="M623" s="676"/>
      <c r="O623" s="644"/>
    </row>
    <row r="624" ht="25.5" customHeight="1">
      <c r="A624" s="635"/>
      <c r="B624" s="1238"/>
      <c r="C624" s="620"/>
      <c r="D624" s="613"/>
      <c r="E624" s="675"/>
      <c r="F624" s="675"/>
      <c r="G624" s="189"/>
      <c r="H624" s="1093"/>
      <c r="I624" s="675"/>
      <c r="J624" s="189"/>
      <c r="K624" s="189"/>
      <c r="L624" s="675"/>
      <c r="M624" s="676"/>
      <c r="O624" s="644"/>
    </row>
    <row r="625" ht="25.5" customHeight="1">
      <c r="A625" s="635"/>
      <c r="B625" s="1238"/>
      <c r="C625" s="620"/>
      <c r="D625" s="613"/>
      <c r="E625" s="675"/>
      <c r="F625" s="675"/>
      <c r="G625" s="189"/>
      <c r="H625" s="1093"/>
      <c r="I625" s="675"/>
      <c r="J625" s="189"/>
      <c r="K625" s="189"/>
      <c r="L625" s="675"/>
      <c r="M625" s="676"/>
      <c r="O625" s="644"/>
    </row>
    <row r="626" ht="25.5" customHeight="1">
      <c r="A626" s="635"/>
      <c r="B626" s="1238"/>
      <c r="C626" s="620"/>
      <c r="D626" s="613"/>
      <c r="E626" s="675"/>
      <c r="F626" s="675"/>
      <c r="G626" s="189"/>
      <c r="H626" s="1093"/>
      <c r="I626" s="675"/>
      <c r="J626" s="189"/>
      <c r="K626" s="189"/>
      <c r="L626" s="675"/>
      <c r="M626" s="676"/>
      <c r="O626" s="644"/>
    </row>
    <row r="627" ht="25.5" customHeight="1">
      <c r="A627" s="635"/>
      <c r="B627" s="1238"/>
      <c r="C627" s="620"/>
      <c r="D627" s="613"/>
      <c r="E627" s="675"/>
      <c r="F627" s="675"/>
      <c r="G627" s="189"/>
      <c r="H627" s="1093"/>
      <c r="I627" s="675"/>
      <c r="J627" s="189"/>
      <c r="K627" s="189"/>
      <c r="L627" s="675"/>
      <c r="M627" s="676"/>
      <c r="O627" s="644"/>
    </row>
    <row r="628" ht="25.5" customHeight="1">
      <c r="A628" s="635"/>
      <c r="B628" s="1238"/>
      <c r="C628" s="620"/>
      <c r="D628" s="613"/>
      <c r="E628" s="675"/>
      <c r="F628" s="675"/>
      <c r="G628" s="189"/>
      <c r="H628" s="1093"/>
      <c r="I628" s="675"/>
      <c r="J628" s="189"/>
      <c r="K628" s="189"/>
      <c r="L628" s="675"/>
      <c r="M628" s="676"/>
      <c r="O628" s="644"/>
    </row>
    <row r="629" ht="25.5" customHeight="1">
      <c r="A629" s="635"/>
      <c r="B629" s="1238"/>
      <c r="C629" s="620"/>
      <c r="D629" s="613"/>
      <c r="E629" s="675"/>
      <c r="F629" s="675"/>
      <c r="G629" s="189"/>
      <c r="H629" s="1093"/>
      <c r="I629" s="675"/>
      <c r="J629" s="189"/>
      <c r="K629" s="189"/>
      <c r="L629" s="675"/>
      <c r="M629" s="676"/>
      <c r="O629" s="644"/>
    </row>
    <row r="630" ht="25.5" customHeight="1">
      <c r="A630" s="635"/>
      <c r="B630" s="1238"/>
      <c r="C630" s="620"/>
      <c r="D630" s="613"/>
      <c r="E630" s="675"/>
      <c r="F630" s="675"/>
      <c r="G630" s="189"/>
      <c r="H630" s="1093"/>
      <c r="I630" s="675"/>
      <c r="J630" s="189"/>
      <c r="K630" s="189"/>
      <c r="L630" s="675"/>
      <c r="M630" s="676"/>
      <c r="O630" s="644"/>
    </row>
    <row r="631" ht="25.5" customHeight="1">
      <c r="A631" s="635"/>
      <c r="B631" s="1238"/>
      <c r="C631" s="620"/>
      <c r="D631" s="613"/>
      <c r="E631" s="675"/>
      <c r="F631" s="675"/>
      <c r="G631" s="189"/>
      <c r="H631" s="1093"/>
      <c r="I631" s="675"/>
      <c r="J631" s="189"/>
      <c r="K631" s="189"/>
      <c r="L631" s="675"/>
      <c r="M631" s="676"/>
      <c r="O631" s="644"/>
    </row>
    <row r="632" ht="25.5" customHeight="1">
      <c r="A632" s="635"/>
      <c r="B632" s="1238"/>
      <c r="C632" s="620"/>
      <c r="D632" s="613"/>
      <c r="E632" s="675"/>
      <c r="F632" s="675"/>
      <c r="G632" s="189"/>
      <c r="H632" s="1093"/>
      <c r="I632" s="675"/>
      <c r="J632" s="189"/>
      <c r="K632" s="189"/>
      <c r="L632" s="675"/>
      <c r="M632" s="676"/>
      <c r="O632" s="644"/>
    </row>
    <row r="633" ht="25.5" customHeight="1">
      <c r="A633" s="635"/>
      <c r="B633" s="1238"/>
      <c r="C633" s="620"/>
      <c r="D633" s="613"/>
      <c r="E633" s="675"/>
      <c r="F633" s="675"/>
      <c r="G633" s="189"/>
      <c r="H633" s="1093"/>
      <c r="I633" s="675"/>
      <c r="J633" s="189"/>
      <c r="K633" s="189"/>
      <c r="L633" s="675"/>
      <c r="M633" s="676"/>
      <c r="O633" s="644"/>
    </row>
    <row r="634" ht="25.5" customHeight="1">
      <c r="A634" s="635"/>
      <c r="B634" s="1238"/>
      <c r="C634" s="620"/>
      <c r="D634" s="613"/>
      <c r="E634" s="675"/>
      <c r="F634" s="675"/>
      <c r="G634" s="189"/>
      <c r="H634" s="1093"/>
      <c r="I634" s="675"/>
      <c r="J634" s="189"/>
      <c r="K634" s="189"/>
      <c r="L634" s="675"/>
      <c r="M634" s="676"/>
      <c r="O634" s="644"/>
    </row>
    <row r="635" ht="25.5" customHeight="1">
      <c r="A635" s="635"/>
      <c r="B635" s="1238"/>
      <c r="C635" s="620"/>
      <c r="D635" s="613"/>
      <c r="E635" s="675"/>
      <c r="F635" s="675"/>
      <c r="G635" s="189"/>
      <c r="H635" s="1093"/>
      <c r="I635" s="675"/>
      <c r="J635" s="189"/>
      <c r="K635" s="189"/>
      <c r="L635" s="675"/>
      <c r="M635" s="676"/>
      <c r="O635" s="644"/>
    </row>
    <row r="636" ht="25.5" customHeight="1">
      <c r="A636" s="635"/>
      <c r="B636" s="1238"/>
      <c r="C636" s="620"/>
      <c r="D636" s="613"/>
      <c r="E636" s="675"/>
      <c r="F636" s="675"/>
      <c r="G636" s="189"/>
      <c r="H636" s="1093"/>
      <c r="I636" s="675"/>
      <c r="J636" s="189"/>
      <c r="K636" s="189"/>
      <c r="L636" s="675"/>
      <c r="M636" s="676"/>
      <c r="O636" s="644"/>
    </row>
    <row r="637" ht="25.5" customHeight="1">
      <c r="A637" s="635"/>
      <c r="B637" s="1238"/>
      <c r="C637" s="620"/>
      <c r="D637" s="613"/>
      <c r="E637" s="675"/>
      <c r="F637" s="675"/>
      <c r="G637" s="189"/>
      <c r="H637" s="1093"/>
      <c r="I637" s="675"/>
      <c r="J637" s="189"/>
      <c r="K637" s="189"/>
      <c r="L637" s="675"/>
      <c r="M637" s="676"/>
      <c r="O637" s="644"/>
    </row>
    <row r="638" ht="25.5" customHeight="1">
      <c r="A638" s="635"/>
      <c r="B638" s="1238"/>
      <c r="C638" s="620"/>
      <c r="D638" s="613"/>
      <c r="E638" s="675"/>
      <c r="F638" s="675"/>
      <c r="G638" s="189"/>
      <c r="H638" s="1093"/>
      <c r="I638" s="675"/>
      <c r="J638" s="189"/>
      <c r="K638" s="189"/>
      <c r="L638" s="675"/>
      <c r="M638" s="676"/>
      <c r="O638" s="644"/>
    </row>
    <row r="639" ht="25.5" customHeight="1">
      <c r="A639" s="635"/>
      <c r="B639" s="1238"/>
      <c r="C639" s="620"/>
      <c r="D639" s="613"/>
      <c r="E639" s="675"/>
      <c r="F639" s="675"/>
      <c r="G639" s="189"/>
      <c r="H639" s="1093"/>
      <c r="I639" s="675"/>
      <c r="J639" s="189"/>
      <c r="K639" s="189"/>
      <c r="L639" s="675"/>
      <c r="M639" s="676"/>
      <c r="O639" s="644"/>
    </row>
    <row r="640" ht="25.5" customHeight="1">
      <c r="A640" s="635"/>
      <c r="B640" s="1238"/>
      <c r="C640" s="620"/>
      <c r="D640" s="613"/>
      <c r="E640" s="675"/>
      <c r="F640" s="675"/>
      <c r="G640" s="189"/>
      <c r="H640" s="1093"/>
      <c r="I640" s="675"/>
      <c r="J640" s="189"/>
      <c r="K640" s="189"/>
      <c r="L640" s="675"/>
      <c r="M640" s="676"/>
      <c r="O640" s="644"/>
    </row>
    <row r="641" ht="25.5" customHeight="1">
      <c r="A641" s="635"/>
      <c r="B641" s="1238"/>
      <c r="C641" s="620"/>
      <c r="D641" s="613"/>
      <c r="E641" s="675"/>
      <c r="F641" s="675"/>
      <c r="G641" s="189"/>
      <c r="H641" s="1093"/>
      <c r="I641" s="675"/>
      <c r="J641" s="189"/>
      <c r="K641" s="189"/>
      <c r="L641" s="675"/>
      <c r="M641" s="676"/>
      <c r="O641" s="644"/>
    </row>
    <row r="642" ht="25.5" customHeight="1">
      <c r="A642" s="635"/>
      <c r="B642" s="1238"/>
      <c r="C642" s="620"/>
      <c r="D642" s="613"/>
      <c r="E642" s="675"/>
      <c r="F642" s="675"/>
      <c r="G642" s="189"/>
      <c r="H642" s="1093"/>
      <c r="I642" s="675"/>
      <c r="J642" s="189"/>
      <c r="K642" s="189"/>
      <c r="L642" s="675"/>
      <c r="M642" s="676"/>
      <c r="O642" s="644"/>
    </row>
    <row r="643" ht="25.5" customHeight="1">
      <c r="A643" s="635"/>
      <c r="B643" s="1238"/>
      <c r="C643" s="620"/>
      <c r="D643" s="613"/>
      <c r="E643" s="675"/>
      <c r="F643" s="675"/>
      <c r="G643" s="189"/>
      <c r="H643" s="1093"/>
      <c r="I643" s="675"/>
      <c r="J643" s="189"/>
      <c r="K643" s="189"/>
      <c r="L643" s="675"/>
      <c r="M643" s="676"/>
      <c r="O643" s="644"/>
    </row>
    <row r="644" ht="25.5" customHeight="1">
      <c r="A644" s="635"/>
      <c r="B644" s="1238"/>
      <c r="C644" s="620"/>
      <c r="D644" s="613"/>
      <c r="E644" s="675"/>
      <c r="F644" s="675"/>
      <c r="G644" s="189"/>
      <c r="H644" s="1093"/>
      <c r="I644" s="675"/>
      <c r="J644" s="189"/>
      <c r="K644" s="189"/>
      <c r="L644" s="675"/>
      <c r="M644" s="676"/>
      <c r="O644" s="644"/>
    </row>
    <row r="645" ht="25.5" customHeight="1">
      <c r="A645" s="635"/>
      <c r="B645" s="1238"/>
      <c r="C645" s="620"/>
      <c r="D645" s="613"/>
      <c r="E645" s="675"/>
      <c r="F645" s="675"/>
      <c r="G645" s="189"/>
      <c r="H645" s="1093"/>
      <c r="I645" s="675"/>
      <c r="J645" s="189"/>
      <c r="K645" s="189"/>
      <c r="L645" s="675"/>
      <c r="M645" s="676"/>
      <c r="O645" s="644"/>
    </row>
    <row r="646" ht="25.5" customHeight="1">
      <c r="A646" s="635"/>
      <c r="B646" s="1238"/>
      <c r="C646" s="620"/>
      <c r="D646" s="613"/>
      <c r="E646" s="675"/>
      <c r="F646" s="675"/>
      <c r="G646" s="189"/>
      <c r="H646" s="1093"/>
      <c r="I646" s="675"/>
      <c r="J646" s="189"/>
      <c r="K646" s="189"/>
      <c r="L646" s="675"/>
      <c r="M646" s="676"/>
      <c r="O646" s="644"/>
    </row>
    <row r="647" ht="25.5" customHeight="1">
      <c r="A647" s="635"/>
      <c r="B647" s="1238"/>
      <c r="C647" s="620"/>
      <c r="D647" s="613"/>
      <c r="E647" s="675"/>
      <c r="F647" s="675"/>
      <c r="G647" s="189"/>
      <c r="H647" s="1093"/>
      <c r="I647" s="675"/>
      <c r="J647" s="189"/>
      <c r="K647" s="189"/>
      <c r="L647" s="675"/>
      <c r="M647" s="676"/>
      <c r="O647" s="644"/>
    </row>
    <row r="648" ht="25.5" customHeight="1">
      <c r="A648" s="635"/>
      <c r="B648" s="1238"/>
      <c r="C648" s="620"/>
      <c r="D648" s="613"/>
      <c r="E648" s="675"/>
      <c r="F648" s="675"/>
      <c r="G648" s="189"/>
      <c r="H648" s="1093"/>
      <c r="I648" s="675"/>
      <c r="J648" s="189"/>
      <c r="K648" s="189"/>
      <c r="L648" s="675"/>
      <c r="M648" s="676"/>
      <c r="O648" s="644"/>
    </row>
    <row r="649" ht="25.5" customHeight="1">
      <c r="A649" s="635"/>
      <c r="B649" s="1238"/>
      <c r="C649" s="620"/>
      <c r="D649" s="613"/>
      <c r="E649" s="675"/>
      <c r="F649" s="675"/>
      <c r="G649" s="189"/>
      <c r="H649" s="1093"/>
      <c r="I649" s="675"/>
      <c r="J649" s="189"/>
      <c r="K649" s="189"/>
      <c r="L649" s="675"/>
      <c r="M649" s="676"/>
      <c r="O649" s="644"/>
    </row>
    <row r="650" ht="25.5" customHeight="1">
      <c r="A650" s="635"/>
      <c r="B650" s="1238"/>
      <c r="C650" s="620"/>
      <c r="D650" s="613"/>
      <c r="E650" s="675"/>
      <c r="F650" s="675"/>
      <c r="G650" s="189"/>
      <c r="H650" s="1093"/>
      <c r="I650" s="675"/>
      <c r="J650" s="189"/>
      <c r="K650" s="189"/>
      <c r="L650" s="675"/>
      <c r="M650" s="676"/>
      <c r="O650" s="644"/>
    </row>
    <row r="651" ht="25.5" customHeight="1">
      <c r="A651" s="635"/>
      <c r="B651" s="1238"/>
      <c r="C651" s="620"/>
      <c r="D651" s="613"/>
      <c r="E651" s="675"/>
      <c r="F651" s="675"/>
      <c r="G651" s="189"/>
      <c r="H651" s="1093"/>
      <c r="I651" s="675"/>
      <c r="J651" s="189"/>
      <c r="K651" s="189"/>
      <c r="L651" s="675"/>
      <c r="M651" s="676"/>
      <c r="O651" s="644"/>
    </row>
    <row r="652" ht="25.5" customHeight="1">
      <c r="A652" s="635"/>
      <c r="B652" s="1238"/>
      <c r="C652" s="620"/>
      <c r="D652" s="613"/>
      <c r="E652" s="675"/>
      <c r="F652" s="675"/>
      <c r="G652" s="189"/>
      <c r="H652" s="1093"/>
      <c r="I652" s="675"/>
      <c r="J652" s="189"/>
      <c r="K652" s="189"/>
      <c r="L652" s="675"/>
      <c r="M652" s="676"/>
      <c r="O652" s="644"/>
    </row>
    <row r="653" ht="25.5" customHeight="1">
      <c r="A653" s="635"/>
      <c r="B653" s="1238"/>
      <c r="C653" s="620"/>
      <c r="D653" s="613"/>
      <c r="E653" s="675"/>
      <c r="F653" s="675"/>
      <c r="G653" s="189"/>
      <c r="H653" s="1093"/>
      <c r="I653" s="675"/>
      <c r="J653" s="189"/>
      <c r="K653" s="189"/>
      <c r="L653" s="675"/>
      <c r="M653" s="676"/>
      <c r="O653" s="644"/>
    </row>
    <row r="654" ht="25.5" customHeight="1">
      <c r="A654" s="635"/>
      <c r="B654" s="1238"/>
      <c r="C654" s="620"/>
      <c r="D654" s="613"/>
      <c r="E654" s="675"/>
      <c r="F654" s="675"/>
      <c r="G654" s="189"/>
      <c r="H654" s="1093"/>
      <c r="I654" s="675"/>
      <c r="J654" s="189"/>
      <c r="K654" s="189"/>
      <c r="L654" s="675"/>
      <c r="M654" s="676"/>
      <c r="O654" s="644"/>
    </row>
    <row r="655" ht="25.5" customHeight="1">
      <c r="A655" s="635"/>
      <c r="B655" s="1238"/>
      <c r="C655" s="620"/>
      <c r="D655" s="613"/>
      <c r="E655" s="675"/>
      <c r="F655" s="675"/>
      <c r="G655" s="189"/>
      <c r="H655" s="1093"/>
      <c r="I655" s="675"/>
      <c r="J655" s="189"/>
      <c r="K655" s="189"/>
      <c r="L655" s="675"/>
      <c r="M655" s="676"/>
      <c r="O655" s="644"/>
    </row>
    <row r="656" ht="25.5" customHeight="1">
      <c r="A656" s="635"/>
      <c r="B656" s="1238"/>
      <c r="C656" s="620"/>
      <c r="D656" s="613"/>
      <c r="E656" s="675"/>
      <c r="F656" s="675"/>
      <c r="G656" s="189"/>
      <c r="H656" s="1093"/>
      <c r="I656" s="675"/>
      <c r="J656" s="189"/>
      <c r="K656" s="189"/>
      <c r="L656" s="675"/>
      <c r="M656" s="676"/>
      <c r="O656" s="644"/>
    </row>
    <row r="657" ht="25.5" customHeight="1">
      <c r="A657" s="635"/>
      <c r="B657" s="1238"/>
      <c r="C657" s="620"/>
      <c r="D657" s="613"/>
      <c r="E657" s="675"/>
      <c r="F657" s="675"/>
      <c r="G657" s="189"/>
      <c r="H657" s="1093"/>
      <c r="I657" s="675"/>
      <c r="J657" s="189"/>
      <c r="K657" s="189"/>
      <c r="L657" s="675"/>
      <c r="M657" s="676"/>
      <c r="O657" s="644"/>
    </row>
    <row r="658" ht="25.5" customHeight="1">
      <c r="A658" s="635"/>
      <c r="B658" s="1238"/>
      <c r="C658" s="620"/>
      <c r="D658" s="613"/>
      <c r="E658" s="675"/>
      <c r="F658" s="675"/>
      <c r="G658" s="189"/>
      <c r="H658" s="1093"/>
      <c r="I658" s="675"/>
      <c r="J658" s="189"/>
      <c r="K658" s="189"/>
      <c r="L658" s="675"/>
      <c r="M658" s="676"/>
      <c r="O658" s="644"/>
    </row>
    <row r="659" ht="25.5" customHeight="1">
      <c r="A659" s="635"/>
      <c r="B659" s="1238"/>
      <c r="C659" s="620"/>
      <c r="D659" s="613"/>
      <c r="E659" s="675"/>
      <c r="F659" s="675"/>
      <c r="G659" s="189"/>
      <c r="H659" s="1093"/>
      <c r="I659" s="675"/>
      <c r="J659" s="189"/>
      <c r="K659" s="189"/>
      <c r="L659" s="675"/>
      <c r="M659" s="676"/>
      <c r="O659" s="644"/>
    </row>
    <row r="660" ht="25.5" customHeight="1">
      <c r="A660" s="635"/>
      <c r="B660" s="1238"/>
      <c r="C660" s="620"/>
      <c r="D660" s="613"/>
      <c r="E660" s="675"/>
      <c r="F660" s="675"/>
      <c r="G660" s="189"/>
      <c r="H660" s="1093"/>
      <c r="I660" s="675"/>
      <c r="J660" s="189"/>
      <c r="K660" s="189"/>
      <c r="L660" s="675"/>
      <c r="M660" s="676"/>
      <c r="O660" s="644"/>
    </row>
    <row r="661" ht="25.5" customHeight="1">
      <c r="A661" s="635"/>
      <c r="B661" s="1238"/>
      <c r="C661" s="620"/>
      <c r="D661" s="613"/>
      <c r="E661" s="675"/>
      <c r="F661" s="675"/>
      <c r="G661" s="189"/>
      <c r="H661" s="1093"/>
      <c r="I661" s="675"/>
      <c r="J661" s="189"/>
      <c r="K661" s="189"/>
      <c r="L661" s="675"/>
      <c r="M661" s="676"/>
      <c r="O661" s="644"/>
    </row>
    <row r="662" ht="25.5" customHeight="1">
      <c r="A662" s="635"/>
      <c r="B662" s="1238"/>
      <c r="C662" s="620"/>
      <c r="D662" s="613"/>
      <c r="E662" s="675"/>
      <c r="F662" s="675"/>
      <c r="G662" s="189"/>
      <c r="H662" s="1093"/>
      <c r="I662" s="675"/>
      <c r="J662" s="189"/>
      <c r="K662" s="189"/>
      <c r="L662" s="675"/>
      <c r="M662" s="676"/>
      <c r="O662" s="644"/>
    </row>
    <row r="663" ht="25.5" customHeight="1">
      <c r="A663" s="635"/>
      <c r="B663" s="1238"/>
      <c r="C663" s="620"/>
      <c r="D663" s="613"/>
      <c r="E663" s="675"/>
      <c r="F663" s="675"/>
      <c r="G663" s="189"/>
      <c r="H663" s="1093"/>
      <c r="I663" s="675"/>
      <c r="J663" s="189"/>
      <c r="K663" s="189"/>
      <c r="L663" s="675"/>
      <c r="M663" s="676"/>
      <c r="O663" s="644"/>
    </row>
    <row r="664" ht="25.5" customHeight="1">
      <c r="A664" s="635"/>
      <c r="B664" s="1238"/>
      <c r="C664" s="620"/>
      <c r="D664" s="613"/>
      <c r="E664" s="675"/>
      <c r="F664" s="675"/>
      <c r="G664" s="189"/>
      <c r="H664" s="1093"/>
      <c r="I664" s="675"/>
      <c r="J664" s="189"/>
      <c r="K664" s="189"/>
      <c r="L664" s="675"/>
      <c r="M664" s="676"/>
      <c r="O664" s="644"/>
    </row>
    <row r="665" ht="25.5" customHeight="1">
      <c r="A665" s="635"/>
      <c r="B665" s="1238"/>
      <c r="C665" s="620"/>
      <c r="D665" s="613"/>
      <c r="E665" s="675"/>
      <c r="F665" s="675"/>
      <c r="G665" s="189"/>
      <c r="H665" s="1093"/>
      <c r="I665" s="675"/>
      <c r="J665" s="189"/>
      <c r="K665" s="189"/>
      <c r="L665" s="675"/>
      <c r="M665" s="676"/>
      <c r="O665" s="644"/>
    </row>
    <row r="666" ht="25.5" customHeight="1">
      <c r="A666" s="635"/>
      <c r="B666" s="1238"/>
      <c r="C666" s="620"/>
      <c r="D666" s="613"/>
      <c r="E666" s="675"/>
      <c r="F666" s="675"/>
      <c r="G666" s="189"/>
      <c r="H666" s="1093"/>
      <c r="I666" s="675"/>
      <c r="J666" s="189"/>
      <c r="K666" s="189"/>
      <c r="L666" s="675"/>
      <c r="M666" s="676"/>
      <c r="O666" s="644"/>
    </row>
    <row r="667" ht="25.5" customHeight="1">
      <c r="A667" s="635"/>
      <c r="B667" s="1238"/>
      <c r="C667" s="620"/>
      <c r="D667" s="613"/>
      <c r="E667" s="675"/>
      <c r="F667" s="675"/>
      <c r="G667" s="189"/>
      <c r="H667" s="1093"/>
      <c r="I667" s="675"/>
      <c r="J667" s="189"/>
      <c r="K667" s="189"/>
      <c r="L667" s="675"/>
      <c r="M667" s="676"/>
      <c r="O667" s="644"/>
    </row>
    <row r="668" ht="25.5" customHeight="1">
      <c r="A668" s="635"/>
      <c r="B668" s="1238"/>
      <c r="C668" s="620"/>
      <c r="D668" s="613"/>
      <c r="E668" s="675"/>
      <c r="F668" s="675"/>
      <c r="G668" s="189"/>
      <c r="H668" s="1093"/>
      <c r="I668" s="675"/>
      <c r="J668" s="189"/>
      <c r="K668" s="189"/>
      <c r="L668" s="675"/>
      <c r="M668" s="676"/>
      <c r="O668" s="644"/>
    </row>
    <row r="669" ht="25.5" customHeight="1">
      <c r="A669" s="635"/>
      <c r="B669" s="1238"/>
      <c r="C669" s="620"/>
      <c r="D669" s="613"/>
      <c r="E669" s="675"/>
      <c r="F669" s="675"/>
      <c r="G669" s="189"/>
      <c r="H669" s="1093"/>
      <c r="I669" s="675"/>
      <c r="J669" s="189"/>
      <c r="K669" s="189"/>
      <c r="L669" s="675"/>
      <c r="M669" s="676"/>
      <c r="O669" s="644"/>
    </row>
    <row r="670" ht="25.5" customHeight="1">
      <c r="A670" s="635"/>
      <c r="B670" s="1238"/>
      <c r="C670" s="620"/>
      <c r="D670" s="613"/>
      <c r="E670" s="675"/>
      <c r="F670" s="675"/>
      <c r="G670" s="189"/>
      <c r="H670" s="1093"/>
      <c r="I670" s="675"/>
      <c r="J670" s="189"/>
      <c r="K670" s="189"/>
      <c r="L670" s="675"/>
      <c r="M670" s="676"/>
      <c r="O670" s="644"/>
    </row>
    <row r="671" ht="25.5" customHeight="1">
      <c r="A671" s="635"/>
      <c r="B671" s="1238"/>
      <c r="C671" s="620"/>
      <c r="D671" s="613"/>
      <c r="E671" s="675"/>
      <c r="F671" s="675"/>
      <c r="G671" s="189"/>
      <c r="H671" s="1093"/>
      <c r="I671" s="675"/>
      <c r="J671" s="189"/>
      <c r="K671" s="189"/>
      <c r="L671" s="675"/>
      <c r="M671" s="676"/>
      <c r="O671" s="644"/>
    </row>
    <row r="672" ht="25.5" customHeight="1">
      <c r="A672" s="635"/>
      <c r="B672" s="1238"/>
      <c r="C672" s="620"/>
      <c r="D672" s="613"/>
      <c r="E672" s="675"/>
      <c r="F672" s="675"/>
      <c r="G672" s="189"/>
      <c r="H672" s="1093"/>
      <c r="I672" s="675"/>
      <c r="J672" s="189"/>
      <c r="K672" s="189"/>
      <c r="L672" s="675"/>
      <c r="M672" s="676"/>
      <c r="O672" s="644"/>
    </row>
    <row r="673" ht="25.5" customHeight="1">
      <c r="A673" s="635"/>
      <c r="B673" s="1238"/>
      <c r="C673" s="620"/>
      <c r="D673" s="613"/>
      <c r="E673" s="675"/>
      <c r="F673" s="675"/>
      <c r="G673" s="189"/>
      <c r="H673" s="1093"/>
      <c r="I673" s="675"/>
      <c r="J673" s="189"/>
      <c r="K673" s="189"/>
      <c r="L673" s="675"/>
      <c r="M673" s="676"/>
      <c r="O673" s="644"/>
    </row>
    <row r="674" ht="25.5" customHeight="1">
      <c r="A674" s="635"/>
      <c r="B674" s="1238"/>
      <c r="C674" s="620"/>
      <c r="D674" s="613"/>
      <c r="E674" s="675"/>
      <c r="F674" s="675"/>
      <c r="G674" s="189"/>
      <c r="H674" s="1093"/>
      <c r="I674" s="675"/>
      <c r="J674" s="189"/>
      <c r="K674" s="189"/>
      <c r="L674" s="675"/>
      <c r="M674" s="676"/>
      <c r="O674" s="644"/>
    </row>
    <row r="675" ht="25.5" customHeight="1">
      <c r="A675" s="635"/>
      <c r="B675" s="1238"/>
      <c r="C675" s="620"/>
      <c r="D675" s="613"/>
      <c r="E675" s="675"/>
      <c r="F675" s="675"/>
      <c r="G675" s="189"/>
      <c r="H675" s="1093"/>
      <c r="I675" s="675"/>
      <c r="J675" s="189"/>
      <c r="K675" s="189"/>
      <c r="L675" s="675"/>
      <c r="M675" s="676"/>
      <c r="O675" s="644"/>
    </row>
    <row r="676" ht="25.5" customHeight="1">
      <c r="A676" s="635"/>
      <c r="B676" s="1238"/>
      <c r="C676" s="620"/>
      <c r="D676" s="613"/>
      <c r="E676" s="675"/>
      <c r="F676" s="675"/>
      <c r="G676" s="189"/>
      <c r="H676" s="1093"/>
      <c r="I676" s="675"/>
      <c r="J676" s="189"/>
      <c r="K676" s="189"/>
      <c r="L676" s="675"/>
      <c r="M676" s="676"/>
      <c r="O676" s="644"/>
    </row>
    <row r="677" ht="25.5" customHeight="1">
      <c r="A677" s="635"/>
      <c r="B677" s="1238"/>
      <c r="C677" s="620"/>
      <c r="D677" s="613"/>
      <c r="E677" s="675"/>
      <c r="F677" s="675"/>
      <c r="G677" s="189"/>
      <c r="H677" s="1093"/>
      <c r="I677" s="675"/>
      <c r="J677" s="189"/>
      <c r="K677" s="189"/>
      <c r="L677" s="675"/>
      <c r="M677" s="676"/>
      <c r="O677" s="644"/>
    </row>
    <row r="678" ht="25.5" customHeight="1">
      <c r="A678" s="635"/>
      <c r="B678" s="1238"/>
      <c r="C678" s="620"/>
      <c r="D678" s="613"/>
      <c r="E678" s="675"/>
      <c r="F678" s="675"/>
      <c r="G678" s="189"/>
      <c r="H678" s="1093"/>
      <c r="I678" s="675"/>
      <c r="J678" s="189"/>
      <c r="K678" s="189"/>
      <c r="L678" s="675"/>
      <c r="M678" s="676"/>
      <c r="O678" s="644"/>
    </row>
    <row r="679" ht="25.5" customHeight="1">
      <c r="A679" s="635"/>
      <c r="B679" s="1238"/>
      <c r="C679" s="620"/>
      <c r="D679" s="613"/>
      <c r="E679" s="675"/>
      <c r="F679" s="675"/>
      <c r="G679" s="189"/>
      <c r="H679" s="1093"/>
      <c r="I679" s="675"/>
      <c r="J679" s="189"/>
      <c r="K679" s="189"/>
      <c r="L679" s="675"/>
      <c r="M679" s="676"/>
      <c r="O679" s="644"/>
    </row>
    <row r="680" ht="25.5" customHeight="1">
      <c r="A680" s="635"/>
      <c r="B680" s="1238"/>
      <c r="C680" s="620"/>
      <c r="D680" s="613"/>
      <c r="E680" s="675"/>
      <c r="F680" s="675"/>
      <c r="G680" s="189"/>
      <c r="H680" s="1093"/>
      <c r="I680" s="675"/>
      <c r="J680" s="189"/>
      <c r="K680" s="189"/>
      <c r="L680" s="675"/>
      <c r="M680" s="676"/>
      <c r="O680" s="644"/>
    </row>
    <row r="681" ht="25.5" customHeight="1">
      <c r="A681" s="635"/>
      <c r="B681" s="1238"/>
      <c r="C681" s="620"/>
      <c r="D681" s="613"/>
      <c r="E681" s="675"/>
      <c r="F681" s="675"/>
      <c r="G681" s="189"/>
      <c r="H681" s="1093"/>
      <c r="I681" s="675"/>
      <c r="J681" s="189"/>
      <c r="K681" s="189"/>
      <c r="L681" s="675"/>
      <c r="M681" s="676"/>
      <c r="O681" s="644"/>
    </row>
    <row r="682" ht="25.5" customHeight="1">
      <c r="A682" s="635"/>
      <c r="B682" s="1238"/>
      <c r="C682" s="620"/>
      <c r="D682" s="613"/>
      <c r="E682" s="675"/>
      <c r="F682" s="675"/>
      <c r="G682" s="189"/>
      <c r="H682" s="1093"/>
      <c r="I682" s="675"/>
      <c r="J682" s="189"/>
      <c r="K682" s="189"/>
      <c r="L682" s="675"/>
      <c r="M682" s="676"/>
      <c r="O682" s="644"/>
    </row>
    <row r="683" ht="25.5" customHeight="1">
      <c r="A683" s="635"/>
      <c r="B683" s="1238"/>
      <c r="C683" s="620"/>
      <c r="D683" s="613"/>
      <c r="E683" s="675"/>
      <c r="F683" s="675"/>
      <c r="G683" s="189"/>
      <c r="H683" s="1093"/>
      <c r="I683" s="675"/>
      <c r="J683" s="189"/>
      <c r="K683" s="189"/>
      <c r="L683" s="675"/>
      <c r="M683" s="676"/>
      <c r="O683" s="644"/>
    </row>
    <row r="684" ht="25.5" customHeight="1">
      <c r="A684" s="635"/>
      <c r="B684" s="1238"/>
      <c r="C684" s="620"/>
      <c r="D684" s="613"/>
      <c r="E684" s="675"/>
      <c r="F684" s="675"/>
      <c r="G684" s="189"/>
      <c r="H684" s="1093"/>
      <c r="I684" s="675"/>
      <c r="J684" s="189"/>
      <c r="K684" s="189"/>
      <c r="L684" s="675"/>
      <c r="M684" s="676"/>
      <c r="O684" s="644"/>
    </row>
    <row r="685" ht="25.5" customHeight="1">
      <c r="A685" s="635"/>
      <c r="B685" s="1238"/>
      <c r="C685" s="620"/>
      <c r="D685" s="613"/>
      <c r="E685" s="675"/>
      <c r="F685" s="675"/>
      <c r="G685" s="189"/>
      <c r="H685" s="1093"/>
      <c r="I685" s="675"/>
      <c r="J685" s="189"/>
      <c r="K685" s="189"/>
      <c r="L685" s="675"/>
      <c r="M685" s="676"/>
      <c r="O685" s="644"/>
    </row>
    <row r="686" ht="25.5" customHeight="1">
      <c r="A686" s="635"/>
      <c r="B686" s="1238"/>
      <c r="C686" s="620"/>
      <c r="D686" s="613"/>
      <c r="E686" s="675"/>
      <c r="F686" s="675"/>
      <c r="G686" s="189"/>
      <c r="H686" s="1093"/>
      <c r="I686" s="675"/>
      <c r="J686" s="189"/>
      <c r="K686" s="189"/>
      <c r="L686" s="675"/>
      <c r="M686" s="676"/>
      <c r="O686" s="644"/>
    </row>
    <row r="687" ht="25.5" customHeight="1">
      <c r="A687" s="635"/>
      <c r="B687" s="1238"/>
      <c r="C687" s="620"/>
      <c r="D687" s="613"/>
      <c r="E687" s="675"/>
      <c r="F687" s="675"/>
      <c r="G687" s="189"/>
      <c r="H687" s="1093"/>
      <c r="I687" s="675"/>
      <c r="J687" s="189"/>
      <c r="K687" s="189"/>
      <c r="L687" s="675"/>
      <c r="M687" s="676"/>
      <c r="O687" s="644"/>
    </row>
    <row r="688" ht="25.5" customHeight="1">
      <c r="A688" s="635"/>
      <c r="B688" s="1238"/>
      <c r="C688" s="620"/>
      <c r="D688" s="613"/>
      <c r="E688" s="675"/>
      <c r="F688" s="675"/>
      <c r="G688" s="189"/>
      <c r="H688" s="1093"/>
      <c r="I688" s="675"/>
      <c r="J688" s="189"/>
      <c r="K688" s="189"/>
      <c r="L688" s="675"/>
      <c r="M688" s="676"/>
      <c r="O688" s="644"/>
    </row>
    <row r="689" ht="25.5" customHeight="1">
      <c r="A689" s="635"/>
      <c r="B689" s="1238"/>
      <c r="C689" s="620"/>
      <c r="D689" s="613"/>
      <c r="E689" s="675"/>
      <c r="F689" s="675"/>
      <c r="G689" s="189"/>
      <c r="H689" s="1093"/>
      <c r="I689" s="675"/>
      <c r="J689" s="189"/>
      <c r="K689" s="189"/>
      <c r="L689" s="675"/>
      <c r="M689" s="676"/>
      <c r="O689" s="644"/>
    </row>
    <row r="690" ht="25.5" customHeight="1">
      <c r="A690" s="635"/>
      <c r="B690" s="1238"/>
      <c r="C690" s="620"/>
      <c r="D690" s="613"/>
      <c r="E690" s="675"/>
      <c r="F690" s="675"/>
      <c r="G690" s="189"/>
      <c r="H690" s="1093"/>
      <c r="I690" s="675"/>
      <c r="J690" s="189"/>
      <c r="K690" s="189"/>
      <c r="L690" s="675"/>
      <c r="M690" s="676"/>
      <c r="O690" s="644"/>
    </row>
    <row r="691" ht="25.5" customHeight="1">
      <c r="A691" s="635"/>
      <c r="B691" s="1238"/>
      <c r="C691" s="620"/>
      <c r="D691" s="613"/>
      <c r="E691" s="675"/>
      <c r="F691" s="675"/>
      <c r="G691" s="189"/>
      <c r="H691" s="1093"/>
      <c r="I691" s="675"/>
      <c r="J691" s="189"/>
      <c r="K691" s="189"/>
      <c r="L691" s="675"/>
      <c r="M691" s="676"/>
      <c r="O691" s="644"/>
    </row>
    <row r="692" ht="25.5" customHeight="1">
      <c r="A692" s="635"/>
      <c r="B692" s="1238"/>
      <c r="C692" s="620"/>
      <c r="D692" s="613"/>
      <c r="E692" s="675"/>
      <c r="F692" s="675"/>
      <c r="G692" s="189"/>
      <c r="H692" s="1093"/>
      <c r="I692" s="675"/>
      <c r="J692" s="189"/>
      <c r="K692" s="189"/>
      <c r="L692" s="675"/>
      <c r="M692" s="676"/>
      <c r="O692" s="644"/>
    </row>
    <row r="693" ht="25.5" customHeight="1">
      <c r="A693" s="635"/>
      <c r="B693" s="1238"/>
      <c r="C693" s="620"/>
      <c r="D693" s="613"/>
      <c r="E693" s="675"/>
      <c r="F693" s="675"/>
      <c r="G693" s="189"/>
      <c r="H693" s="1093"/>
      <c r="I693" s="675"/>
      <c r="J693" s="189"/>
      <c r="K693" s="189"/>
      <c r="L693" s="675"/>
      <c r="M693" s="676"/>
      <c r="O693" s="644"/>
    </row>
    <row r="694" ht="25.5" customHeight="1">
      <c r="A694" s="635"/>
      <c r="B694" s="1238"/>
      <c r="C694" s="620"/>
      <c r="D694" s="613"/>
      <c r="E694" s="675"/>
      <c r="F694" s="675"/>
      <c r="G694" s="189"/>
      <c r="H694" s="1093"/>
      <c r="I694" s="675"/>
      <c r="J694" s="189"/>
      <c r="K694" s="189"/>
      <c r="L694" s="675"/>
      <c r="M694" s="676"/>
      <c r="O694" s="644"/>
    </row>
    <row r="695" ht="25.5" customHeight="1">
      <c r="A695" s="635"/>
      <c r="B695" s="1238"/>
      <c r="C695" s="620"/>
      <c r="D695" s="613"/>
      <c r="E695" s="675"/>
      <c r="F695" s="675"/>
      <c r="G695" s="189"/>
      <c r="H695" s="1093"/>
      <c r="I695" s="675"/>
      <c r="J695" s="189"/>
      <c r="K695" s="189"/>
      <c r="L695" s="675"/>
      <c r="M695" s="676"/>
      <c r="O695" s="644"/>
    </row>
    <row r="696" ht="25.5" customHeight="1">
      <c r="A696" s="635"/>
      <c r="B696" s="1238"/>
      <c r="C696" s="620"/>
      <c r="D696" s="613"/>
      <c r="E696" s="675"/>
      <c r="F696" s="675"/>
      <c r="G696" s="189"/>
      <c r="H696" s="1093"/>
      <c r="I696" s="675"/>
      <c r="J696" s="189"/>
      <c r="K696" s="189"/>
      <c r="L696" s="675"/>
      <c r="M696" s="676"/>
      <c r="O696" s="644"/>
    </row>
    <row r="697" ht="25.5" customHeight="1">
      <c r="A697" s="635"/>
      <c r="B697" s="1238"/>
      <c r="C697" s="620"/>
      <c r="D697" s="613"/>
      <c r="E697" s="675"/>
      <c r="F697" s="675"/>
      <c r="G697" s="189"/>
      <c r="H697" s="1093"/>
      <c r="I697" s="675"/>
      <c r="J697" s="189"/>
      <c r="K697" s="189"/>
      <c r="L697" s="675"/>
      <c r="M697" s="676"/>
      <c r="O697" s="644"/>
    </row>
    <row r="698" ht="25.5" customHeight="1">
      <c r="A698" s="635"/>
      <c r="B698" s="1238"/>
      <c r="C698" s="620"/>
      <c r="D698" s="613"/>
      <c r="E698" s="675"/>
      <c r="F698" s="675"/>
      <c r="G698" s="189"/>
      <c r="H698" s="1093"/>
      <c r="I698" s="675"/>
      <c r="J698" s="189"/>
      <c r="K698" s="189"/>
      <c r="L698" s="675"/>
      <c r="M698" s="676"/>
      <c r="O698" s="644"/>
    </row>
    <row r="699" ht="25.5" customHeight="1">
      <c r="A699" s="635"/>
      <c r="B699" s="1238"/>
      <c r="C699" s="620"/>
      <c r="D699" s="613"/>
      <c r="E699" s="675"/>
      <c r="F699" s="675"/>
      <c r="G699" s="189"/>
      <c r="H699" s="1093"/>
      <c r="I699" s="675"/>
      <c r="J699" s="189"/>
      <c r="K699" s="189"/>
      <c r="L699" s="675"/>
      <c r="M699" s="676"/>
      <c r="O699" s="644"/>
    </row>
    <row r="700" ht="25.5" customHeight="1">
      <c r="A700" s="635"/>
      <c r="B700" s="1238"/>
      <c r="C700" s="620"/>
      <c r="D700" s="613"/>
      <c r="E700" s="675"/>
      <c r="F700" s="675"/>
      <c r="G700" s="189"/>
      <c r="H700" s="1093"/>
      <c r="I700" s="675"/>
      <c r="J700" s="189"/>
      <c r="K700" s="189"/>
      <c r="L700" s="675"/>
      <c r="M700" s="676"/>
      <c r="O700" s="644"/>
    </row>
    <row r="701" ht="25.5" customHeight="1">
      <c r="A701" s="635"/>
      <c r="B701" s="1238"/>
      <c r="C701" s="620"/>
      <c r="D701" s="613"/>
      <c r="E701" s="675"/>
      <c r="F701" s="675"/>
      <c r="G701" s="189"/>
      <c r="H701" s="1093"/>
      <c r="I701" s="675"/>
      <c r="J701" s="189"/>
      <c r="K701" s="189"/>
      <c r="L701" s="675"/>
      <c r="M701" s="676"/>
      <c r="O701" s="644"/>
    </row>
    <row r="702" ht="25.5" customHeight="1">
      <c r="A702" s="635"/>
      <c r="B702" s="1238"/>
      <c r="C702" s="620"/>
      <c r="D702" s="613"/>
      <c r="E702" s="675"/>
      <c r="F702" s="675"/>
      <c r="G702" s="189"/>
      <c r="H702" s="1093"/>
      <c r="I702" s="675"/>
      <c r="J702" s="189"/>
      <c r="K702" s="189"/>
      <c r="L702" s="675"/>
      <c r="M702" s="676"/>
      <c r="O702" s="644"/>
    </row>
    <row r="703" ht="25.5" customHeight="1">
      <c r="A703" s="635"/>
      <c r="B703" s="1238"/>
      <c r="C703" s="620"/>
      <c r="D703" s="613"/>
      <c r="E703" s="675"/>
      <c r="F703" s="675"/>
      <c r="G703" s="189"/>
      <c r="H703" s="1093"/>
      <c r="I703" s="675"/>
      <c r="J703" s="189"/>
      <c r="K703" s="189"/>
      <c r="L703" s="675"/>
      <c r="M703" s="676"/>
      <c r="O703" s="644"/>
    </row>
    <row r="704" ht="25.5" customHeight="1">
      <c r="A704" s="635"/>
      <c r="B704" s="1238"/>
      <c r="C704" s="620"/>
      <c r="D704" s="613"/>
      <c r="E704" s="675"/>
      <c r="F704" s="675"/>
      <c r="G704" s="189"/>
      <c r="H704" s="1093"/>
      <c r="I704" s="675"/>
      <c r="J704" s="189"/>
      <c r="K704" s="189"/>
      <c r="L704" s="675"/>
      <c r="M704" s="676"/>
      <c r="O704" s="644"/>
    </row>
    <row r="705" ht="25.5" customHeight="1">
      <c r="A705" s="635"/>
      <c r="B705" s="1238"/>
      <c r="C705" s="620"/>
      <c r="D705" s="613"/>
      <c r="E705" s="675"/>
      <c r="F705" s="675"/>
      <c r="G705" s="189"/>
      <c r="H705" s="1093"/>
      <c r="I705" s="675"/>
      <c r="J705" s="189"/>
      <c r="K705" s="189"/>
      <c r="L705" s="675"/>
      <c r="M705" s="676"/>
      <c r="O705" s="644"/>
    </row>
    <row r="706" ht="25.5" customHeight="1">
      <c r="A706" s="635"/>
      <c r="B706" s="1238"/>
      <c r="C706" s="620"/>
      <c r="D706" s="613"/>
      <c r="E706" s="675"/>
      <c r="F706" s="675"/>
      <c r="G706" s="189"/>
      <c r="H706" s="1093"/>
      <c r="I706" s="675"/>
      <c r="J706" s="189"/>
      <c r="K706" s="189"/>
      <c r="L706" s="675"/>
      <c r="M706" s="676"/>
      <c r="O706" s="644"/>
    </row>
    <row r="707" ht="25.5" customHeight="1">
      <c r="A707" s="635"/>
      <c r="B707" s="1238"/>
      <c r="C707" s="620"/>
      <c r="D707" s="613"/>
      <c r="E707" s="675"/>
      <c r="F707" s="675"/>
      <c r="G707" s="189"/>
      <c r="H707" s="1093"/>
      <c r="I707" s="675"/>
      <c r="J707" s="189"/>
      <c r="K707" s="189"/>
      <c r="L707" s="675"/>
      <c r="M707" s="676"/>
      <c r="O707" s="644"/>
    </row>
    <row r="708" ht="25.5" customHeight="1">
      <c r="A708" s="635"/>
      <c r="B708" s="1238"/>
      <c r="C708" s="620"/>
      <c r="D708" s="613"/>
      <c r="E708" s="675"/>
      <c r="F708" s="675"/>
      <c r="G708" s="189"/>
      <c r="H708" s="1093"/>
      <c r="I708" s="675"/>
      <c r="J708" s="189"/>
      <c r="K708" s="189"/>
      <c r="L708" s="675"/>
      <c r="M708" s="676"/>
      <c r="O708" s="644"/>
    </row>
    <row r="709" ht="25.5" customHeight="1">
      <c r="A709" s="635"/>
      <c r="B709" s="1238"/>
      <c r="C709" s="620"/>
      <c r="D709" s="613"/>
      <c r="E709" s="675"/>
      <c r="F709" s="675"/>
      <c r="G709" s="189"/>
      <c r="H709" s="1093"/>
      <c r="I709" s="675"/>
      <c r="J709" s="189"/>
      <c r="K709" s="189"/>
      <c r="L709" s="675"/>
      <c r="M709" s="676"/>
      <c r="O709" s="644"/>
    </row>
    <row r="710" ht="25.5" customHeight="1">
      <c r="A710" s="635"/>
      <c r="B710" s="1238"/>
      <c r="C710" s="620"/>
      <c r="D710" s="613"/>
      <c r="E710" s="675"/>
      <c r="F710" s="675"/>
      <c r="G710" s="189"/>
      <c r="H710" s="1093"/>
      <c r="I710" s="675"/>
      <c r="J710" s="189"/>
      <c r="K710" s="189"/>
      <c r="L710" s="675"/>
      <c r="M710" s="676"/>
      <c r="O710" s="644"/>
    </row>
    <row r="711" ht="25.5" customHeight="1">
      <c r="A711" s="635"/>
      <c r="B711" s="1238"/>
      <c r="C711" s="620"/>
      <c r="D711" s="613"/>
      <c r="E711" s="675"/>
      <c r="F711" s="675"/>
      <c r="G711" s="189"/>
      <c r="H711" s="1093"/>
      <c r="I711" s="675"/>
      <c r="J711" s="189"/>
      <c r="K711" s="189"/>
      <c r="L711" s="675"/>
      <c r="M711" s="676"/>
      <c r="O711" s="644"/>
    </row>
    <row r="712" ht="25.5" customHeight="1">
      <c r="A712" s="635"/>
      <c r="B712" s="1238"/>
      <c r="C712" s="620"/>
      <c r="D712" s="613"/>
      <c r="E712" s="675"/>
      <c r="F712" s="675"/>
      <c r="G712" s="189"/>
      <c r="H712" s="1093"/>
      <c r="I712" s="675"/>
      <c r="J712" s="189"/>
      <c r="K712" s="189"/>
      <c r="L712" s="675"/>
      <c r="M712" s="676"/>
      <c r="O712" s="644"/>
    </row>
    <row r="713" ht="25.5" customHeight="1">
      <c r="A713" s="635"/>
      <c r="B713" s="1238"/>
      <c r="C713" s="620"/>
      <c r="D713" s="613"/>
      <c r="E713" s="675"/>
      <c r="F713" s="675"/>
      <c r="G713" s="189"/>
      <c r="H713" s="1093"/>
      <c r="I713" s="675"/>
      <c r="J713" s="189"/>
      <c r="K713" s="189"/>
      <c r="L713" s="675"/>
      <c r="M713" s="676"/>
      <c r="O713" s="644"/>
    </row>
    <row r="714" ht="25.5" customHeight="1">
      <c r="A714" s="635"/>
      <c r="B714" s="1238"/>
      <c r="C714" s="620"/>
      <c r="D714" s="613"/>
      <c r="E714" s="675"/>
      <c r="F714" s="675"/>
      <c r="G714" s="189"/>
      <c r="H714" s="1093"/>
      <c r="I714" s="675"/>
      <c r="J714" s="189"/>
      <c r="K714" s="189"/>
      <c r="L714" s="675"/>
      <c r="M714" s="676"/>
      <c r="O714" s="644"/>
    </row>
    <row r="715" ht="25.5" customHeight="1">
      <c r="A715" s="635"/>
      <c r="B715" s="1238"/>
      <c r="C715" s="620"/>
      <c r="D715" s="613"/>
      <c r="E715" s="675"/>
      <c r="F715" s="675"/>
      <c r="G715" s="189"/>
      <c r="H715" s="1093"/>
      <c r="I715" s="675"/>
      <c r="J715" s="189"/>
      <c r="K715" s="189"/>
      <c r="L715" s="675"/>
      <c r="M715" s="676"/>
      <c r="O715" s="644"/>
    </row>
    <row r="716" ht="25.5" customHeight="1">
      <c r="A716" s="635"/>
      <c r="B716" s="1238"/>
      <c r="C716" s="620"/>
      <c r="D716" s="613"/>
      <c r="E716" s="675"/>
      <c r="F716" s="675"/>
      <c r="G716" s="189"/>
      <c r="H716" s="1093"/>
      <c r="I716" s="675"/>
      <c r="J716" s="189"/>
      <c r="K716" s="189"/>
      <c r="L716" s="675"/>
      <c r="M716" s="676"/>
      <c r="O716" s="644"/>
    </row>
    <row r="717" ht="25.5" customHeight="1">
      <c r="A717" s="635"/>
      <c r="B717" s="1238"/>
      <c r="C717" s="620"/>
      <c r="D717" s="613"/>
      <c r="E717" s="675"/>
      <c r="F717" s="675"/>
      <c r="G717" s="189"/>
      <c r="H717" s="1093"/>
      <c r="I717" s="675"/>
      <c r="J717" s="189"/>
      <c r="K717" s="189"/>
      <c r="L717" s="675"/>
      <c r="M717" s="676"/>
      <c r="O717" s="644"/>
    </row>
    <row r="718" ht="25.5" customHeight="1">
      <c r="A718" s="635"/>
      <c r="B718" s="1238"/>
      <c r="C718" s="620"/>
      <c r="D718" s="613"/>
      <c r="E718" s="675"/>
      <c r="F718" s="675"/>
      <c r="G718" s="189"/>
      <c r="H718" s="1093"/>
      <c r="I718" s="675"/>
      <c r="J718" s="189"/>
      <c r="K718" s="189"/>
      <c r="L718" s="675"/>
      <c r="M718" s="676"/>
      <c r="O718" s="644"/>
    </row>
    <row r="719" ht="25.5" customHeight="1">
      <c r="A719" s="635"/>
      <c r="B719" s="1238"/>
      <c r="C719" s="620"/>
      <c r="D719" s="613"/>
      <c r="E719" s="675"/>
      <c r="F719" s="675"/>
      <c r="G719" s="189"/>
      <c r="H719" s="1093"/>
      <c r="I719" s="675"/>
      <c r="J719" s="189"/>
      <c r="K719" s="189"/>
      <c r="L719" s="675"/>
      <c r="M719" s="676"/>
      <c r="O719" s="644"/>
    </row>
    <row r="720" ht="25.5" customHeight="1">
      <c r="A720" s="635"/>
      <c r="B720" s="1238"/>
      <c r="C720" s="620"/>
      <c r="D720" s="613"/>
      <c r="E720" s="675"/>
      <c r="F720" s="675"/>
      <c r="G720" s="189"/>
      <c r="H720" s="1093"/>
      <c r="I720" s="675"/>
      <c r="J720" s="189"/>
      <c r="K720" s="189"/>
      <c r="L720" s="675"/>
      <c r="M720" s="676"/>
      <c r="O720" s="644"/>
    </row>
    <row r="721" ht="25.5" customHeight="1">
      <c r="A721" s="635"/>
      <c r="B721" s="1238"/>
      <c r="C721" s="620"/>
      <c r="D721" s="613"/>
      <c r="E721" s="675"/>
      <c r="F721" s="675"/>
      <c r="G721" s="189"/>
      <c r="H721" s="1093"/>
      <c r="I721" s="675"/>
      <c r="J721" s="189"/>
      <c r="K721" s="189"/>
      <c r="L721" s="675"/>
      <c r="M721" s="676"/>
      <c r="O721" s="644"/>
    </row>
    <row r="722" ht="25.5" customHeight="1">
      <c r="A722" s="635"/>
      <c r="B722" s="1238"/>
      <c r="C722" s="620"/>
      <c r="D722" s="613"/>
      <c r="E722" s="675"/>
      <c r="F722" s="675"/>
      <c r="G722" s="189"/>
      <c r="H722" s="1093"/>
      <c r="I722" s="675"/>
      <c r="J722" s="189"/>
      <c r="K722" s="189"/>
      <c r="L722" s="675"/>
      <c r="M722" s="676"/>
      <c r="O722" s="644"/>
    </row>
    <row r="723" ht="25.5" customHeight="1">
      <c r="A723" s="635"/>
      <c r="B723" s="1238"/>
      <c r="C723" s="620"/>
      <c r="D723" s="613"/>
      <c r="E723" s="675"/>
      <c r="F723" s="675"/>
      <c r="G723" s="189"/>
      <c r="H723" s="1093"/>
      <c r="I723" s="675"/>
      <c r="J723" s="189"/>
      <c r="K723" s="189"/>
      <c r="L723" s="675"/>
      <c r="M723" s="676"/>
      <c r="O723" s="644"/>
    </row>
    <row r="724" ht="25.5" customHeight="1">
      <c r="A724" s="635"/>
      <c r="B724" s="1238"/>
      <c r="C724" s="620"/>
      <c r="D724" s="613"/>
      <c r="E724" s="675"/>
      <c r="F724" s="675"/>
      <c r="G724" s="189"/>
      <c r="H724" s="1093"/>
      <c r="I724" s="675"/>
      <c r="J724" s="189"/>
      <c r="K724" s="189"/>
      <c r="L724" s="675"/>
      <c r="M724" s="676"/>
      <c r="O724" s="644"/>
    </row>
    <row r="725" ht="25.5" customHeight="1">
      <c r="A725" s="635"/>
      <c r="B725" s="1238"/>
      <c r="C725" s="620"/>
      <c r="D725" s="613"/>
      <c r="E725" s="675"/>
      <c r="F725" s="675"/>
      <c r="G725" s="189"/>
      <c r="H725" s="1093"/>
      <c r="I725" s="675"/>
      <c r="J725" s="189"/>
      <c r="K725" s="189"/>
      <c r="L725" s="675"/>
      <c r="M725" s="676"/>
      <c r="O725" s="644"/>
    </row>
    <row r="726" ht="25.5" customHeight="1">
      <c r="A726" s="635"/>
      <c r="B726" s="1238"/>
      <c r="C726" s="620"/>
      <c r="D726" s="613"/>
      <c r="E726" s="675"/>
      <c r="F726" s="675"/>
      <c r="G726" s="189"/>
      <c r="H726" s="1093"/>
      <c r="I726" s="675"/>
      <c r="J726" s="189"/>
      <c r="K726" s="189"/>
      <c r="L726" s="675"/>
      <c r="M726" s="676"/>
      <c r="O726" s="644"/>
    </row>
    <row r="727" ht="25.5" customHeight="1">
      <c r="A727" s="635"/>
      <c r="B727" s="1238"/>
      <c r="C727" s="620"/>
      <c r="D727" s="613"/>
      <c r="E727" s="675"/>
      <c r="F727" s="675"/>
      <c r="G727" s="189"/>
      <c r="H727" s="1093"/>
      <c r="I727" s="675"/>
      <c r="J727" s="189"/>
      <c r="K727" s="189"/>
      <c r="L727" s="675"/>
      <c r="M727" s="676"/>
      <c r="O727" s="644"/>
    </row>
    <row r="728" ht="25.5" customHeight="1">
      <c r="A728" s="635"/>
      <c r="B728" s="1238"/>
      <c r="C728" s="620"/>
      <c r="D728" s="613"/>
      <c r="E728" s="675"/>
      <c r="F728" s="675"/>
      <c r="G728" s="189"/>
      <c r="H728" s="1093"/>
      <c r="I728" s="675"/>
      <c r="J728" s="189"/>
      <c r="K728" s="189"/>
      <c r="L728" s="675"/>
      <c r="M728" s="676"/>
      <c r="O728" s="644"/>
    </row>
    <row r="729" ht="25.5" customHeight="1">
      <c r="A729" s="635"/>
      <c r="B729" s="1238"/>
      <c r="C729" s="620"/>
      <c r="D729" s="613"/>
      <c r="E729" s="675"/>
      <c r="F729" s="675"/>
      <c r="G729" s="189"/>
      <c r="H729" s="1093"/>
      <c r="I729" s="675"/>
      <c r="J729" s="189"/>
      <c r="K729" s="189"/>
      <c r="L729" s="675"/>
      <c r="M729" s="676"/>
      <c r="O729" s="644"/>
    </row>
    <row r="730" ht="25.5" customHeight="1">
      <c r="A730" s="635"/>
      <c r="B730" s="1238"/>
      <c r="C730" s="620"/>
      <c r="D730" s="613"/>
      <c r="E730" s="675"/>
      <c r="F730" s="675"/>
      <c r="G730" s="189"/>
      <c r="H730" s="1093"/>
      <c r="I730" s="675"/>
      <c r="J730" s="189"/>
      <c r="K730" s="189"/>
      <c r="L730" s="675"/>
      <c r="M730" s="676"/>
      <c r="O730" s="644"/>
    </row>
    <row r="731" ht="25.5" customHeight="1">
      <c r="A731" s="635"/>
      <c r="B731" s="1238"/>
      <c r="C731" s="620"/>
      <c r="D731" s="613"/>
      <c r="E731" s="675"/>
      <c r="F731" s="675"/>
      <c r="G731" s="189"/>
      <c r="H731" s="1093"/>
      <c r="I731" s="675"/>
      <c r="J731" s="189"/>
      <c r="K731" s="189"/>
      <c r="L731" s="675"/>
      <c r="M731" s="676"/>
      <c r="O731" s="644"/>
    </row>
    <row r="732" ht="25.5" customHeight="1">
      <c r="A732" s="635"/>
      <c r="B732" s="1238"/>
      <c r="C732" s="620"/>
      <c r="D732" s="613"/>
      <c r="E732" s="675"/>
      <c r="F732" s="675"/>
      <c r="G732" s="189"/>
      <c r="H732" s="1093"/>
      <c r="I732" s="675"/>
      <c r="J732" s="189"/>
      <c r="K732" s="189"/>
      <c r="L732" s="675"/>
      <c r="M732" s="676"/>
      <c r="O732" s="644"/>
    </row>
    <row r="733" ht="25.5" customHeight="1">
      <c r="A733" s="635"/>
      <c r="B733" s="1238"/>
      <c r="C733" s="620"/>
      <c r="D733" s="613"/>
      <c r="E733" s="675"/>
      <c r="F733" s="675"/>
      <c r="G733" s="189"/>
      <c r="H733" s="1093"/>
      <c r="I733" s="675"/>
      <c r="J733" s="189"/>
      <c r="K733" s="189"/>
      <c r="L733" s="675"/>
      <c r="M733" s="676"/>
      <c r="O733" s="644"/>
    </row>
    <row r="734" ht="25.5" customHeight="1">
      <c r="A734" s="635"/>
      <c r="B734" s="1238"/>
      <c r="C734" s="620"/>
      <c r="D734" s="613"/>
      <c r="E734" s="675"/>
      <c r="F734" s="675"/>
      <c r="G734" s="189"/>
      <c r="H734" s="1093"/>
      <c r="I734" s="675"/>
      <c r="J734" s="189"/>
      <c r="K734" s="189"/>
      <c r="L734" s="675"/>
      <c r="M734" s="676"/>
      <c r="O734" s="644"/>
    </row>
    <row r="735" ht="25.5" customHeight="1">
      <c r="A735" s="635"/>
      <c r="B735" s="1238"/>
      <c r="C735" s="620"/>
      <c r="D735" s="613"/>
      <c r="E735" s="675"/>
      <c r="F735" s="675"/>
      <c r="G735" s="189"/>
      <c r="H735" s="1093"/>
      <c r="I735" s="675"/>
      <c r="J735" s="189"/>
      <c r="K735" s="189"/>
      <c r="L735" s="675"/>
      <c r="M735" s="676"/>
      <c r="O735" s="644"/>
    </row>
    <row r="736" ht="25.5" customHeight="1">
      <c r="A736" s="635"/>
      <c r="B736" s="1238"/>
      <c r="C736" s="620"/>
      <c r="D736" s="613"/>
      <c r="E736" s="675"/>
      <c r="F736" s="675"/>
      <c r="G736" s="189"/>
      <c r="H736" s="1093"/>
      <c r="I736" s="675"/>
      <c r="J736" s="189"/>
      <c r="K736" s="189"/>
      <c r="L736" s="675"/>
      <c r="M736" s="676"/>
      <c r="O736" s="644"/>
    </row>
    <row r="737" ht="25.5" customHeight="1">
      <c r="A737" s="635"/>
      <c r="B737" s="1238"/>
      <c r="C737" s="620"/>
      <c r="D737" s="613"/>
      <c r="E737" s="675"/>
      <c r="F737" s="675"/>
      <c r="G737" s="189"/>
      <c r="H737" s="1093"/>
      <c r="I737" s="675"/>
      <c r="J737" s="189"/>
      <c r="K737" s="189"/>
      <c r="L737" s="675"/>
      <c r="M737" s="676"/>
      <c r="O737" s="644"/>
    </row>
    <row r="738" ht="25.5" customHeight="1">
      <c r="A738" s="635"/>
      <c r="B738" s="1238"/>
      <c r="C738" s="620"/>
      <c r="D738" s="613"/>
      <c r="E738" s="675"/>
      <c r="F738" s="675"/>
      <c r="G738" s="189"/>
      <c r="H738" s="1093"/>
      <c r="I738" s="675"/>
      <c r="J738" s="189"/>
      <c r="K738" s="189"/>
      <c r="L738" s="675"/>
      <c r="M738" s="676"/>
      <c r="O738" s="644"/>
    </row>
    <row r="739" ht="25.5" customHeight="1">
      <c r="A739" s="635"/>
      <c r="B739" s="1238"/>
      <c r="C739" s="620"/>
      <c r="D739" s="613"/>
      <c r="E739" s="675"/>
      <c r="F739" s="675"/>
      <c r="G739" s="189"/>
      <c r="H739" s="1093"/>
      <c r="I739" s="675"/>
      <c r="J739" s="189"/>
      <c r="K739" s="189"/>
      <c r="L739" s="675"/>
      <c r="M739" s="676"/>
      <c r="O739" s="644"/>
    </row>
    <row r="740" ht="25.5" customHeight="1">
      <c r="A740" s="635"/>
      <c r="B740" s="1238"/>
      <c r="C740" s="620"/>
      <c r="D740" s="613"/>
      <c r="E740" s="675"/>
      <c r="F740" s="675"/>
      <c r="G740" s="189"/>
      <c r="H740" s="1093"/>
      <c r="I740" s="675"/>
      <c r="J740" s="189"/>
      <c r="K740" s="189"/>
      <c r="L740" s="675"/>
      <c r="M740" s="676"/>
      <c r="O740" s="644"/>
    </row>
    <row r="741" ht="25.5" customHeight="1">
      <c r="A741" s="635"/>
      <c r="B741" s="1238"/>
      <c r="C741" s="620"/>
      <c r="D741" s="613"/>
      <c r="E741" s="675"/>
      <c r="F741" s="675"/>
      <c r="G741" s="189"/>
      <c r="H741" s="1093"/>
      <c r="I741" s="675"/>
      <c r="J741" s="189"/>
      <c r="K741" s="189"/>
      <c r="L741" s="675"/>
      <c r="M741" s="676"/>
      <c r="O741" s="644"/>
    </row>
    <row r="742" ht="25.5" customHeight="1">
      <c r="A742" s="635"/>
      <c r="B742" s="1238"/>
      <c r="C742" s="620"/>
      <c r="D742" s="613"/>
      <c r="E742" s="675"/>
      <c r="F742" s="675"/>
      <c r="G742" s="189"/>
      <c r="H742" s="1093"/>
      <c r="I742" s="675"/>
      <c r="J742" s="189"/>
      <c r="K742" s="189"/>
      <c r="L742" s="675"/>
      <c r="M742" s="676"/>
      <c r="O742" s="644"/>
    </row>
    <row r="743" ht="25.5" customHeight="1">
      <c r="A743" s="635"/>
      <c r="B743" s="1238"/>
      <c r="C743" s="620"/>
      <c r="D743" s="613"/>
      <c r="E743" s="675"/>
      <c r="F743" s="675"/>
      <c r="G743" s="189"/>
      <c r="H743" s="1093"/>
      <c r="I743" s="675"/>
      <c r="J743" s="189"/>
      <c r="K743" s="189"/>
      <c r="L743" s="675"/>
      <c r="M743" s="676"/>
      <c r="O743" s="644"/>
    </row>
    <row r="744" ht="25.5" customHeight="1">
      <c r="A744" s="635"/>
      <c r="B744" s="1238"/>
      <c r="C744" s="620"/>
      <c r="D744" s="613"/>
      <c r="E744" s="675"/>
      <c r="F744" s="675"/>
      <c r="G744" s="189"/>
      <c r="H744" s="1093"/>
      <c r="I744" s="675"/>
      <c r="J744" s="189"/>
      <c r="K744" s="189"/>
      <c r="L744" s="675"/>
      <c r="M744" s="676"/>
      <c r="O744" s="644"/>
    </row>
    <row r="745" ht="25.5" customHeight="1">
      <c r="A745" s="635"/>
      <c r="B745" s="1238"/>
      <c r="C745" s="620"/>
      <c r="D745" s="613"/>
      <c r="E745" s="675"/>
      <c r="F745" s="675"/>
      <c r="G745" s="189"/>
      <c r="H745" s="1093"/>
      <c r="I745" s="675"/>
      <c r="J745" s="189"/>
      <c r="K745" s="189"/>
      <c r="L745" s="675"/>
      <c r="M745" s="676"/>
      <c r="O745" s="644"/>
    </row>
    <row r="746" ht="25.5" customHeight="1">
      <c r="A746" s="635"/>
      <c r="B746" s="1238"/>
      <c r="C746" s="620"/>
      <c r="D746" s="613"/>
      <c r="E746" s="675"/>
      <c r="F746" s="675"/>
      <c r="G746" s="189"/>
      <c r="H746" s="1093"/>
      <c r="I746" s="675"/>
      <c r="J746" s="189"/>
      <c r="K746" s="189"/>
      <c r="L746" s="675"/>
      <c r="M746" s="676"/>
      <c r="O746" s="644"/>
    </row>
    <row r="747" ht="25.5" customHeight="1">
      <c r="A747" s="635"/>
      <c r="B747" s="1238"/>
      <c r="C747" s="620"/>
      <c r="D747" s="613"/>
      <c r="E747" s="675"/>
      <c r="F747" s="675"/>
      <c r="G747" s="189"/>
      <c r="H747" s="1093"/>
      <c r="I747" s="675"/>
      <c r="J747" s="189"/>
      <c r="K747" s="189"/>
      <c r="L747" s="675"/>
      <c r="M747" s="676"/>
      <c r="O747" s="644"/>
    </row>
    <row r="748" ht="25.5" customHeight="1">
      <c r="A748" s="635"/>
      <c r="B748" s="1238"/>
      <c r="C748" s="620"/>
      <c r="D748" s="613"/>
      <c r="E748" s="675"/>
      <c r="F748" s="675"/>
      <c r="G748" s="189"/>
      <c r="H748" s="1093"/>
      <c r="I748" s="675"/>
      <c r="J748" s="189"/>
      <c r="K748" s="189"/>
      <c r="L748" s="675"/>
      <c r="M748" s="676"/>
      <c r="O748" s="644"/>
    </row>
    <row r="749" ht="25.5" customHeight="1">
      <c r="A749" s="635"/>
      <c r="B749" s="1238"/>
      <c r="C749" s="620"/>
      <c r="D749" s="613"/>
      <c r="E749" s="675"/>
      <c r="F749" s="675"/>
      <c r="G749" s="189"/>
      <c r="H749" s="1093"/>
      <c r="I749" s="675"/>
      <c r="J749" s="189"/>
      <c r="K749" s="189"/>
      <c r="L749" s="675"/>
      <c r="M749" s="676"/>
      <c r="O749" s="644"/>
    </row>
    <row r="750" ht="25.5" customHeight="1">
      <c r="A750" s="635"/>
      <c r="B750" s="1238"/>
      <c r="C750" s="620"/>
      <c r="D750" s="613"/>
      <c r="E750" s="675"/>
      <c r="F750" s="675"/>
      <c r="G750" s="189"/>
      <c r="H750" s="1093"/>
      <c r="I750" s="675"/>
      <c r="J750" s="189"/>
      <c r="K750" s="189"/>
      <c r="L750" s="675"/>
      <c r="M750" s="676"/>
      <c r="O750" s="644"/>
    </row>
    <row r="751" ht="25.5" customHeight="1">
      <c r="A751" s="635"/>
      <c r="B751" s="1238"/>
      <c r="C751" s="620"/>
      <c r="D751" s="613"/>
      <c r="E751" s="675"/>
      <c r="F751" s="675"/>
      <c r="G751" s="189"/>
      <c r="H751" s="1093"/>
      <c r="I751" s="675"/>
      <c r="J751" s="189"/>
      <c r="K751" s="189"/>
      <c r="L751" s="675"/>
      <c r="M751" s="676"/>
      <c r="O751" s="644"/>
    </row>
    <row r="752" ht="25.5" customHeight="1">
      <c r="A752" s="635"/>
      <c r="B752" s="1238"/>
      <c r="C752" s="620"/>
      <c r="D752" s="613"/>
      <c r="E752" s="675"/>
      <c r="F752" s="675"/>
      <c r="G752" s="189"/>
      <c r="H752" s="1093"/>
      <c r="I752" s="675"/>
      <c r="J752" s="189"/>
      <c r="K752" s="189"/>
      <c r="L752" s="675"/>
      <c r="M752" s="676"/>
      <c r="O752" s="644"/>
    </row>
    <row r="753" ht="25.5" customHeight="1">
      <c r="A753" s="635"/>
      <c r="B753" s="1238"/>
      <c r="C753" s="620"/>
      <c r="D753" s="613"/>
      <c r="E753" s="675"/>
      <c r="F753" s="675"/>
      <c r="G753" s="189"/>
      <c r="H753" s="1093"/>
      <c r="I753" s="675"/>
      <c r="J753" s="189"/>
      <c r="K753" s="189"/>
      <c r="L753" s="675"/>
      <c r="M753" s="676"/>
      <c r="O753" s="644"/>
    </row>
    <row r="754" ht="25.5" customHeight="1">
      <c r="A754" s="635"/>
      <c r="B754" s="1238"/>
      <c r="C754" s="620"/>
      <c r="D754" s="613"/>
      <c r="E754" s="675"/>
      <c r="F754" s="675"/>
      <c r="G754" s="189"/>
      <c r="H754" s="1093"/>
      <c r="I754" s="675"/>
      <c r="J754" s="189"/>
      <c r="K754" s="189"/>
      <c r="L754" s="675"/>
      <c r="M754" s="676"/>
      <c r="O754" s="644"/>
    </row>
    <row r="755" ht="25.5" customHeight="1">
      <c r="A755" s="635"/>
      <c r="B755" s="1238"/>
      <c r="C755" s="620"/>
      <c r="D755" s="613"/>
      <c r="E755" s="675"/>
      <c r="F755" s="675"/>
      <c r="G755" s="189"/>
      <c r="H755" s="1093"/>
      <c r="I755" s="675"/>
      <c r="J755" s="189"/>
      <c r="K755" s="189"/>
      <c r="L755" s="675"/>
      <c r="M755" s="676"/>
      <c r="O755" s="644"/>
    </row>
    <row r="756" ht="25.5" customHeight="1">
      <c r="A756" s="635"/>
      <c r="B756" s="1238"/>
      <c r="C756" s="620"/>
      <c r="D756" s="613"/>
      <c r="E756" s="675"/>
      <c r="F756" s="675"/>
      <c r="G756" s="189"/>
      <c r="H756" s="1093"/>
      <c r="I756" s="675"/>
      <c r="J756" s="189"/>
      <c r="K756" s="189"/>
      <c r="L756" s="675"/>
      <c r="M756" s="676"/>
      <c r="O756" s="644"/>
    </row>
    <row r="757" ht="25.5" customHeight="1">
      <c r="A757" s="635"/>
      <c r="B757" s="1238"/>
      <c r="C757" s="620"/>
      <c r="D757" s="613"/>
      <c r="E757" s="675"/>
      <c r="F757" s="675"/>
      <c r="G757" s="189"/>
      <c r="H757" s="1093"/>
      <c r="I757" s="675"/>
      <c r="J757" s="189"/>
      <c r="K757" s="189"/>
      <c r="L757" s="675"/>
      <c r="M757" s="676"/>
      <c r="O757" s="644"/>
    </row>
    <row r="758" ht="25.5" customHeight="1">
      <c r="A758" s="635"/>
      <c r="B758" s="1238"/>
      <c r="C758" s="620"/>
      <c r="D758" s="613"/>
      <c r="E758" s="675"/>
      <c r="F758" s="675"/>
      <c r="G758" s="189"/>
      <c r="H758" s="1093"/>
      <c r="I758" s="675"/>
      <c r="J758" s="189"/>
      <c r="K758" s="189"/>
      <c r="L758" s="675"/>
      <c r="M758" s="676"/>
      <c r="O758" s="644"/>
    </row>
    <row r="759" ht="25.5" customHeight="1">
      <c r="A759" s="635"/>
      <c r="B759" s="1238"/>
      <c r="C759" s="620"/>
      <c r="D759" s="613"/>
      <c r="E759" s="675"/>
      <c r="F759" s="675"/>
      <c r="G759" s="189"/>
      <c r="H759" s="1093"/>
      <c r="I759" s="675"/>
      <c r="J759" s="189"/>
      <c r="K759" s="189"/>
      <c r="L759" s="675"/>
      <c r="M759" s="676"/>
      <c r="O759" s="644"/>
    </row>
    <row r="760" ht="25.5" customHeight="1">
      <c r="A760" s="635"/>
      <c r="B760" s="1238"/>
      <c r="C760" s="620"/>
      <c r="D760" s="613"/>
      <c r="E760" s="675"/>
      <c r="F760" s="675"/>
      <c r="G760" s="189"/>
      <c r="H760" s="1093"/>
      <c r="I760" s="675"/>
      <c r="J760" s="189"/>
      <c r="K760" s="189"/>
      <c r="L760" s="675"/>
      <c r="M760" s="676"/>
      <c r="O760" s="644"/>
    </row>
    <row r="761" ht="25.5" customHeight="1">
      <c r="A761" s="635"/>
      <c r="B761" s="1238"/>
      <c r="C761" s="620"/>
      <c r="D761" s="613"/>
      <c r="E761" s="675"/>
      <c r="F761" s="675"/>
      <c r="G761" s="189"/>
      <c r="H761" s="1093"/>
      <c r="I761" s="675"/>
      <c r="J761" s="189"/>
      <c r="K761" s="189"/>
      <c r="L761" s="675"/>
      <c r="M761" s="676"/>
      <c r="O761" s="644"/>
    </row>
    <row r="762" ht="25.5" customHeight="1">
      <c r="A762" s="635"/>
      <c r="B762" s="1238"/>
      <c r="C762" s="620"/>
      <c r="D762" s="613"/>
      <c r="E762" s="675"/>
      <c r="F762" s="675"/>
      <c r="G762" s="189"/>
      <c r="H762" s="1093"/>
      <c r="I762" s="675"/>
      <c r="J762" s="189"/>
      <c r="K762" s="189"/>
      <c r="L762" s="675"/>
      <c r="M762" s="676"/>
      <c r="O762" s="644"/>
    </row>
    <row r="763" ht="25.5" customHeight="1">
      <c r="A763" s="635"/>
      <c r="B763" s="1238"/>
      <c r="C763" s="620"/>
      <c r="D763" s="613"/>
      <c r="E763" s="675"/>
      <c r="F763" s="675"/>
      <c r="G763" s="189"/>
      <c r="H763" s="1093"/>
      <c r="I763" s="675"/>
      <c r="J763" s="189"/>
      <c r="K763" s="189"/>
      <c r="L763" s="675"/>
      <c r="M763" s="676"/>
      <c r="O763" s="644"/>
    </row>
    <row r="764" ht="25.5" customHeight="1">
      <c r="A764" s="635"/>
      <c r="B764" s="1238"/>
      <c r="C764" s="620"/>
      <c r="D764" s="613"/>
      <c r="E764" s="675"/>
      <c r="F764" s="675"/>
      <c r="G764" s="189"/>
      <c r="H764" s="1093"/>
      <c r="I764" s="675"/>
      <c r="J764" s="189"/>
      <c r="K764" s="189"/>
      <c r="L764" s="675"/>
      <c r="M764" s="676"/>
      <c r="O764" s="644"/>
    </row>
    <row r="765" ht="25.5" customHeight="1">
      <c r="A765" s="635"/>
      <c r="B765" s="1238"/>
      <c r="C765" s="620"/>
      <c r="D765" s="613"/>
      <c r="E765" s="675"/>
      <c r="F765" s="675"/>
      <c r="G765" s="189"/>
      <c r="H765" s="1093"/>
      <c r="I765" s="675"/>
      <c r="J765" s="189"/>
      <c r="K765" s="189"/>
      <c r="L765" s="675"/>
      <c r="M765" s="676"/>
      <c r="O765" s="644"/>
    </row>
    <row r="766" ht="25.5" customHeight="1">
      <c r="A766" s="635"/>
      <c r="B766" s="1238"/>
      <c r="C766" s="620"/>
      <c r="D766" s="613"/>
      <c r="E766" s="675"/>
      <c r="F766" s="675"/>
      <c r="G766" s="189"/>
      <c r="H766" s="1093"/>
      <c r="I766" s="675"/>
      <c r="J766" s="189"/>
      <c r="K766" s="189"/>
      <c r="L766" s="675"/>
      <c r="M766" s="676"/>
      <c r="O766" s="644"/>
    </row>
    <row r="767" ht="25.5" customHeight="1">
      <c r="A767" s="635"/>
      <c r="B767" s="1238"/>
      <c r="C767" s="620"/>
      <c r="D767" s="613"/>
      <c r="E767" s="675"/>
      <c r="F767" s="675"/>
      <c r="G767" s="189"/>
      <c r="H767" s="1093"/>
      <c r="I767" s="675"/>
      <c r="J767" s="189"/>
      <c r="K767" s="189"/>
      <c r="L767" s="675"/>
      <c r="M767" s="676"/>
      <c r="O767" s="644"/>
    </row>
    <row r="768" ht="25.5" customHeight="1">
      <c r="A768" s="635"/>
      <c r="B768" s="1238"/>
      <c r="C768" s="620"/>
      <c r="D768" s="613"/>
      <c r="E768" s="675"/>
      <c r="F768" s="675"/>
      <c r="G768" s="189"/>
      <c r="H768" s="1093"/>
      <c r="I768" s="675"/>
      <c r="J768" s="189"/>
      <c r="K768" s="189"/>
      <c r="L768" s="675"/>
      <c r="M768" s="676"/>
      <c r="O768" s="644"/>
    </row>
    <row r="769" ht="25.5" customHeight="1">
      <c r="A769" s="635"/>
      <c r="B769" s="1238"/>
      <c r="C769" s="620"/>
      <c r="D769" s="613"/>
      <c r="E769" s="675"/>
      <c r="F769" s="675"/>
      <c r="G769" s="189"/>
      <c r="H769" s="1093"/>
      <c r="I769" s="675"/>
      <c r="J769" s="189"/>
      <c r="K769" s="189"/>
      <c r="L769" s="675"/>
      <c r="M769" s="676"/>
      <c r="O769" s="644"/>
    </row>
    <row r="770" ht="25.5" customHeight="1">
      <c r="A770" s="635"/>
      <c r="B770" s="1238"/>
      <c r="C770" s="620"/>
      <c r="D770" s="613"/>
      <c r="E770" s="675"/>
      <c r="F770" s="675"/>
      <c r="G770" s="189"/>
      <c r="H770" s="1093"/>
      <c r="I770" s="675"/>
      <c r="J770" s="189"/>
      <c r="K770" s="189"/>
      <c r="L770" s="675"/>
      <c r="M770" s="676"/>
      <c r="O770" s="644"/>
    </row>
    <row r="771" ht="25.5" customHeight="1">
      <c r="A771" s="635"/>
      <c r="B771" s="1238"/>
      <c r="C771" s="620"/>
      <c r="D771" s="613"/>
      <c r="E771" s="675"/>
      <c r="F771" s="675"/>
      <c r="G771" s="189"/>
      <c r="H771" s="1093"/>
      <c r="I771" s="675"/>
      <c r="J771" s="189"/>
      <c r="K771" s="189"/>
      <c r="L771" s="675"/>
      <c r="M771" s="676"/>
      <c r="O771" s="644"/>
    </row>
    <row r="772" ht="25.5" customHeight="1">
      <c r="A772" s="635"/>
      <c r="B772" s="1238"/>
      <c r="C772" s="620"/>
      <c r="D772" s="613"/>
      <c r="E772" s="675"/>
      <c r="F772" s="675"/>
      <c r="G772" s="189"/>
      <c r="H772" s="1093"/>
      <c r="I772" s="675"/>
      <c r="J772" s="189"/>
      <c r="K772" s="189"/>
      <c r="L772" s="675"/>
      <c r="M772" s="676"/>
      <c r="O772" s="644"/>
    </row>
    <row r="773" ht="25.5" customHeight="1">
      <c r="A773" s="635"/>
      <c r="B773" s="1238"/>
      <c r="C773" s="620"/>
      <c r="D773" s="613"/>
      <c r="E773" s="675"/>
      <c r="F773" s="675"/>
      <c r="G773" s="189"/>
      <c r="H773" s="1093"/>
      <c r="I773" s="675"/>
      <c r="J773" s="189"/>
      <c r="K773" s="189"/>
      <c r="L773" s="675"/>
      <c r="M773" s="676"/>
      <c r="O773" s="644"/>
    </row>
    <row r="774" ht="25.5" customHeight="1">
      <c r="A774" s="635"/>
      <c r="B774" s="1238"/>
      <c r="C774" s="620"/>
      <c r="D774" s="613"/>
      <c r="E774" s="675"/>
      <c r="F774" s="675"/>
      <c r="G774" s="189"/>
      <c r="H774" s="1093"/>
      <c r="I774" s="675"/>
      <c r="J774" s="189"/>
      <c r="K774" s="189"/>
      <c r="L774" s="675"/>
      <c r="M774" s="676"/>
      <c r="O774" s="644"/>
    </row>
    <row r="775" ht="25.5" customHeight="1">
      <c r="A775" s="635"/>
      <c r="B775" s="1238"/>
      <c r="C775" s="620"/>
      <c r="D775" s="613"/>
      <c r="E775" s="675"/>
      <c r="F775" s="675"/>
      <c r="G775" s="189"/>
      <c r="H775" s="1093"/>
      <c r="I775" s="675"/>
      <c r="J775" s="189"/>
      <c r="K775" s="189"/>
      <c r="L775" s="675"/>
      <c r="M775" s="676"/>
      <c r="O775" s="644"/>
    </row>
    <row r="776" ht="25.5" customHeight="1">
      <c r="A776" s="635"/>
      <c r="B776" s="1238"/>
      <c r="C776" s="620"/>
      <c r="D776" s="613"/>
      <c r="E776" s="675"/>
      <c r="F776" s="675"/>
      <c r="G776" s="189"/>
      <c r="H776" s="1093"/>
      <c r="I776" s="675"/>
      <c r="J776" s="189"/>
      <c r="K776" s="189"/>
      <c r="L776" s="675"/>
      <c r="M776" s="676"/>
      <c r="O776" s="644"/>
    </row>
    <row r="777" ht="25.5" customHeight="1">
      <c r="A777" s="635"/>
      <c r="B777" s="1238"/>
      <c r="C777" s="620"/>
      <c r="D777" s="613"/>
      <c r="E777" s="675"/>
      <c r="F777" s="675"/>
      <c r="G777" s="189"/>
      <c r="H777" s="1093"/>
      <c r="I777" s="675"/>
      <c r="J777" s="189"/>
      <c r="K777" s="189"/>
      <c r="L777" s="675"/>
      <c r="M777" s="676"/>
      <c r="O777" s="644"/>
    </row>
    <row r="778" ht="25.5" customHeight="1">
      <c r="A778" s="635"/>
      <c r="B778" s="1238"/>
      <c r="C778" s="620"/>
      <c r="D778" s="613"/>
      <c r="E778" s="675"/>
      <c r="F778" s="675"/>
      <c r="G778" s="189"/>
      <c r="H778" s="1093"/>
      <c r="I778" s="675"/>
      <c r="J778" s="189"/>
      <c r="K778" s="189"/>
      <c r="L778" s="675"/>
      <c r="M778" s="676"/>
      <c r="O778" s="644"/>
    </row>
    <row r="779" ht="25.5" customHeight="1">
      <c r="A779" s="635"/>
      <c r="B779" s="1238"/>
      <c r="C779" s="620"/>
      <c r="D779" s="613"/>
      <c r="E779" s="675"/>
      <c r="F779" s="675"/>
      <c r="G779" s="189"/>
      <c r="H779" s="1093"/>
      <c r="I779" s="675"/>
      <c r="J779" s="189"/>
      <c r="K779" s="189"/>
      <c r="L779" s="675"/>
      <c r="M779" s="676"/>
      <c r="O779" s="644"/>
    </row>
    <row r="780" ht="25.5" customHeight="1">
      <c r="A780" s="635"/>
      <c r="B780" s="1238"/>
      <c r="C780" s="620"/>
      <c r="D780" s="613"/>
      <c r="E780" s="675"/>
      <c r="F780" s="675"/>
      <c r="G780" s="189"/>
      <c r="H780" s="1093"/>
      <c r="I780" s="675"/>
      <c r="J780" s="189"/>
      <c r="K780" s="189"/>
      <c r="L780" s="675"/>
      <c r="M780" s="676"/>
      <c r="O780" s="644"/>
    </row>
    <row r="781" ht="25.5" customHeight="1">
      <c r="A781" s="635"/>
      <c r="B781" s="1238"/>
      <c r="C781" s="620"/>
      <c r="D781" s="613"/>
      <c r="E781" s="675"/>
      <c r="F781" s="675"/>
      <c r="G781" s="189"/>
      <c r="H781" s="1093"/>
      <c r="I781" s="675"/>
      <c r="J781" s="189"/>
      <c r="K781" s="189"/>
      <c r="L781" s="675"/>
      <c r="M781" s="676"/>
      <c r="O781" s="644"/>
    </row>
    <row r="782" ht="25.5" customHeight="1">
      <c r="A782" s="635"/>
      <c r="B782" s="1238"/>
      <c r="C782" s="620"/>
      <c r="D782" s="613"/>
      <c r="E782" s="675"/>
      <c r="F782" s="675"/>
      <c r="G782" s="189"/>
      <c r="H782" s="1093"/>
      <c r="I782" s="675"/>
      <c r="J782" s="189"/>
      <c r="K782" s="189"/>
      <c r="L782" s="675"/>
      <c r="M782" s="676"/>
      <c r="O782" s="644"/>
    </row>
    <row r="783" ht="25.5" customHeight="1">
      <c r="A783" s="635"/>
      <c r="B783" s="1238"/>
      <c r="C783" s="620"/>
      <c r="D783" s="613"/>
      <c r="E783" s="675"/>
      <c r="F783" s="675"/>
      <c r="G783" s="189"/>
      <c r="H783" s="1093"/>
      <c r="I783" s="675"/>
      <c r="J783" s="189"/>
      <c r="K783" s="189"/>
      <c r="L783" s="675"/>
      <c r="M783" s="676"/>
      <c r="O783" s="644"/>
    </row>
    <row r="784" ht="25.5" customHeight="1">
      <c r="A784" s="635"/>
      <c r="B784" s="1238"/>
      <c r="C784" s="620"/>
      <c r="D784" s="613"/>
      <c r="E784" s="675"/>
      <c r="F784" s="675"/>
      <c r="G784" s="189"/>
      <c r="H784" s="1093"/>
      <c r="I784" s="675"/>
      <c r="J784" s="189"/>
      <c r="K784" s="189"/>
      <c r="L784" s="675"/>
      <c r="M784" s="676"/>
      <c r="O784" s="644"/>
    </row>
    <row r="785" ht="25.5" customHeight="1">
      <c r="A785" s="635"/>
      <c r="B785" s="1238"/>
      <c r="C785" s="620"/>
      <c r="D785" s="613"/>
      <c r="E785" s="675"/>
      <c r="F785" s="675"/>
      <c r="G785" s="189"/>
      <c r="H785" s="1093"/>
      <c r="I785" s="675"/>
      <c r="J785" s="189"/>
      <c r="K785" s="189"/>
      <c r="L785" s="675"/>
      <c r="M785" s="676"/>
      <c r="O785" s="644"/>
    </row>
    <row r="786" ht="25.5" customHeight="1">
      <c r="A786" s="635"/>
      <c r="B786" s="1238"/>
      <c r="C786" s="620"/>
      <c r="D786" s="613"/>
      <c r="E786" s="675"/>
      <c r="F786" s="675"/>
      <c r="G786" s="189"/>
      <c r="H786" s="1093"/>
      <c r="I786" s="675"/>
      <c r="J786" s="189"/>
      <c r="K786" s="189"/>
      <c r="L786" s="675"/>
      <c r="M786" s="676"/>
      <c r="O786" s="644"/>
    </row>
    <row r="787" ht="25.5" customHeight="1">
      <c r="A787" s="635"/>
      <c r="B787" s="1238"/>
      <c r="C787" s="620"/>
      <c r="D787" s="613"/>
      <c r="E787" s="675"/>
      <c r="F787" s="675"/>
      <c r="G787" s="189"/>
      <c r="H787" s="1093"/>
      <c r="I787" s="675"/>
      <c r="J787" s="189"/>
      <c r="K787" s="189"/>
      <c r="L787" s="675"/>
      <c r="M787" s="676"/>
      <c r="O787" s="644"/>
    </row>
    <row r="788" ht="25.5" customHeight="1">
      <c r="A788" s="635"/>
      <c r="B788" s="1238"/>
      <c r="C788" s="620"/>
      <c r="D788" s="613"/>
      <c r="E788" s="675"/>
      <c r="F788" s="675"/>
      <c r="G788" s="189"/>
      <c r="H788" s="1093"/>
      <c r="I788" s="675"/>
      <c r="J788" s="189"/>
      <c r="K788" s="189"/>
      <c r="L788" s="675"/>
      <c r="M788" s="676"/>
      <c r="O788" s="644"/>
    </row>
    <row r="789" ht="25.5" customHeight="1">
      <c r="A789" s="635"/>
      <c r="B789" s="1238"/>
      <c r="C789" s="620"/>
      <c r="D789" s="613"/>
      <c r="E789" s="675"/>
      <c r="F789" s="675"/>
      <c r="G789" s="189"/>
      <c r="H789" s="1093"/>
      <c r="I789" s="675"/>
      <c r="J789" s="189"/>
      <c r="K789" s="189"/>
      <c r="L789" s="675"/>
      <c r="M789" s="676"/>
      <c r="O789" s="644"/>
    </row>
    <row r="790" ht="25.5" customHeight="1">
      <c r="A790" s="635"/>
      <c r="B790" s="1238"/>
      <c r="C790" s="620"/>
      <c r="D790" s="613"/>
      <c r="E790" s="675"/>
      <c r="F790" s="675"/>
      <c r="G790" s="189"/>
      <c r="H790" s="1093"/>
      <c r="I790" s="675"/>
      <c r="J790" s="189"/>
      <c r="K790" s="189"/>
      <c r="L790" s="675"/>
      <c r="M790" s="676"/>
      <c r="O790" s="644"/>
    </row>
    <row r="791" ht="25.5" customHeight="1">
      <c r="A791" s="635"/>
      <c r="B791" s="1238"/>
      <c r="C791" s="620"/>
      <c r="D791" s="613"/>
      <c r="E791" s="675"/>
      <c r="F791" s="675"/>
      <c r="G791" s="189"/>
      <c r="H791" s="1093"/>
      <c r="I791" s="675"/>
      <c r="J791" s="189"/>
      <c r="K791" s="189"/>
      <c r="L791" s="675"/>
      <c r="M791" s="676"/>
      <c r="O791" s="644"/>
    </row>
    <row r="792" ht="25.5" customHeight="1">
      <c r="A792" s="635"/>
      <c r="B792" s="1238"/>
      <c r="C792" s="620"/>
      <c r="D792" s="613"/>
      <c r="E792" s="675"/>
      <c r="F792" s="675"/>
      <c r="G792" s="189"/>
      <c r="H792" s="1093"/>
      <c r="I792" s="675"/>
      <c r="J792" s="189"/>
      <c r="K792" s="189"/>
      <c r="L792" s="675"/>
      <c r="M792" s="676"/>
      <c r="O792" s="644"/>
    </row>
    <row r="793" ht="25.5" customHeight="1">
      <c r="A793" s="635"/>
      <c r="B793" s="1238"/>
      <c r="C793" s="620"/>
      <c r="D793" s="613"/>
      <c r="E793" s="675"/>
      <c r="F793" s="675"/>
      <c r="G793" s="189"/>
      <c r="H793" s="1093"/>
      <c r="I793" s="675"/>
      <c r="J793" s="189"/>
      <c r="K793" s="189"/>
      <c r="L793" s="675"/>
      <c r="M793" s="676"/>
      <c r="O793" s="644"/>
    </row>
    <row r="794" ht="25.5" customHeight="1">
      <c r="A794" s="635"/>
      <c r="B794" s="1238"/>
      <c r="C794" s="620"/>
      <c r="D794" s="613"/>
      <c r="E794" s="675"/>
      <c r="F794" s="675"/>
      <c r="G794" s="189"/>
      <c r="H794" s="1093"/>
      <c r="I794" s="675"/>
      <c r="J794" s="189"/>
      <c r="K794" s="189"/>
      <c r="L794" s="675"/>
      <c r="M794" s="676"/>
      <c r="O794" s="644"/>
    </row>
    <row r="795" ht="25.5" customHeight="1">
      <c r="A795" s="635"/>
      <c r="B795" s="1238"/>
      <c r="C795" s="620"/>
      <c r="D795" s="613"/>
      <c r="E795" s="675"/>
      <c r="F795" s="675"/>
      <c r="G795" s="189"/>
      <c r="H795" s="1093"/>
      <c r="I795" s="675"/>
      <c r="J795" s="189"/>
      <c r="K795" s="189"/>
      <c r="L795" s="675"/>
      <c r="M795" s="676"/>
      <c r="O795" s="644"/>
    </row>
    <row r="796" ht="25.5" customHeight="1">
      <c r="A796" s="635"/>
      <c r="B796" s="1238"/>
      <c r="C796" s="620"/>
      <c r="D796" s="613"/>
      <c r="E796" s="675"/>
      <c r="F796" s="675"/>
      <c r="G796" s="189"/>
      <c r="H796" s="1093"/>
      <c r="I796" s="675"/>
      <c r="J796" s="189"/>
      <c r="K796" s="189"/>
      <c r="L796" s="675"/>
      <c r="M796" s="676"/>
      <c r="O796" s="644"/>
    </row>
    <row r="797" ht="25.5" customHeight="1">
      <c r="A797" s="635"/>
      <c r="B797" s="1238"/>
      <c r="C797" s="620"/>
      <c r="D797" s="613"/>
      <c r="E797" s="675"/>
      <c r="F797" s="675"/>
      <c r="G797" s="189"/>
      <c r="H797" s="1093"/>
      <c r="I797" s="675"/>
      <c r="J797" s="189"/>
      <c r="K797" s="189"/>
      <c r="L797" s="675"/>
      <c r="M797" s="676"/>
      <c r="O797" s="644"/>
    </row>
    <row r="798" ht="25.5" customHeight="1">
      <c r="A798" s="635"/>
      <c r="B798" s="1238"/>
      <c r="C798" s="620"/>
      <c r="D798" s="613"/>
      <c r="E798" s="675"/>
      <c r="F798" s="675"/>
      <c r="G798" s="189"/>
      <c r="H798" s="1093"/>
      <c r="I798" s="675"/>
      <c r="J798" s="189"/>
      <c r="K798" s="189"/>
      <c r="L798" s="675"/>
      <c r="M798" s="676"/>
      <c r="O798" s="644"/>
    </row>
    <row r="799" ht="25.5" customHeight="1">
      <c r="A799" s="635"/>
      <c r="B799" s="1238"/>
      <c r="C799" s="620"/>
      <c r="D799" s="613"/>
      <c r="E799" s="675"/>
      <c r="F799" s="675"/>
      <c r="G799" s="189"/>
      <c r="H799" s="1093"/>
      <c r="I799" s="675"/>
      <c r="J799" s="189"/>
      <c r="K799" s="189"/>
      <c r="L799" s="675"/>
      <c r="M799" s="676"/>
      <c r="O799" s="644"/>
    </row>
    <row r="800" ht="25.5" customHeight="1">
      <c r="A800" s="635"/>
      <c r="B800" s="1238"/>
      <c r="C800" s="620"/>
      <c r="D800" s="613"/>
      <c r="E800" s="675"/>
      <c r="F800" s="675"/>
      <c r="G800" s="189"/>
      <c r="H800" s="1093"/>
      <c r="I800" s="675"/>
      <c r="J800" s="189"/>
      <c r="K800" s="189"/>
      <c r="L800" s="675"/>
      <c r="M800" s="676"/>
      <c r="O800" s="644"/>
    </row>
    <row r="801" ht="25.5" customHeight="1">
      <c r="A801" s="635"/>
      <c r="B801" s="1238"/>
      <c r="C801" s="620"/>
      <c r="D801" s="613"/>
      <c r="E801" s="675"/>
      <c r="F801" s="675"/>
      <c r="G801" s="189"/>
      <c r="H801" s="1093"/>
      <c r="I801" s="675"/>
      <c r="J801" s="189"/>
      <c r="K801" s="189"/>
      <c r="L801" s="675"/>
      <c r="M801" s="676"/>
      <c r="O801" s="644"/>
    </row>
    <row r="802" ht="25.5" customHeight="1">
      <c r="A802" s="635"/>
      <c r="B802" s="1238"/>
      <c r="C802" s="620"/>
      <c r="D802" s="613"/>
      <c r="E802" s="675"/>
      <c r="F802" s="675"/>
      <c r="G802" s="189"/>
      <c r="H802" s="1093"/>
      <c r="I802" s="675"/>
      <c r="J802" s="189"/>
      <c r="K802" s="189"/>
      <c r="L802" s="675"/>
      <c r="M802" s="676"/>
      <c r="O802" s="644"/>
    </row>
    <row r="803" ht="25.5" customHeight="1">
      <c r="A803" s="635"/>
      <c r="B803" s="1238"/>
      <c r="C803" s="620"/>
      <c r="D803" s="613"/>
      <c r="E803" s="675"/>
      <c r="F803" s="675"/>
      <c r="G803" s="189"/>
      <c r="H803" s="1093"/>
      <c r="I803" s="675"/>
      <c r="J803" s="189"/>
      <c r="K803" s="189"/>
      <c r="L803" s="675"/>
      <c r="M803" s="676"/>
      <c r="O803" s="644"/>
    </row>
    <row r="804" ht="25.5" customHeight="1">
      <c r="A804" s="635"/>
      <c r="B804" s="1238"/>
      <c r="C804" s="620"/>
      <c r="D804" s="613"/>
      <c r="E804" s="675"/>
      <c r="F804" s="675"/>
      <c r="G804" s="189"/>
      <c r="H804" s="1093"/>
      <c r="I804" s="675"/>
      <c r="J804" s="189"/>
      <c r="K804" s="189"/>
      <c r="L804" s="675"/>
      <c r="M804" s="676"/>
      <c r="O804" s="644"/>
    </row>
    <row r="805" ht="25.5" customHeight="1">
      <c r="A805" s="635"/>
      <c r="B805" s="1238"/>
      <c r="C805" s="620"/>
      <c r="D805" s="613"/>
      <c r="E805" s="675"/>
      <c r="F805" s="675"/>
      <c r="G805" s="189"/>
      <c r="H805" s="1093"/>
      <c r="I805" s="675"/>
      <c r="J805" s="189"/>
      <c r="K805" s="189"/>
      <c r="L805" s="675"/>
      <c r="M805" s="676"/>
      <c r="O805" s="644"/>
    </row>
    <row r="806" ht="25.5" customHeight="1">
      <c r="A806" s="635"/>
      <c r="B806" s="1238"/>
      <c r="C806" s="620"/>
      <c r="D806" s="613"/>
      <c r="E806" s="675"/>
      <c r="F806" s="675"/>
      <c r="G806" s="189"/>
      <c r="H806" s="1093"/>
      <c r="I806" s="675"/>
      <c r="J806" s="189"/>
      <c r="K806" s="189"/>
      <c r="L806" s="675"/>
      <c r="M806" s="676"/>
      <c r="O806" s="644"/>
    </row>
    <row r="807" ht="25.5" customHeight="1">
      <c r="A807" s="635"/>
      <c r="B807" s="1238"/>
      <c r="C807" s="620"/>
      <c r="D807" s="613"/>
      <c r="E807" s="675"/>
      <c r="F807" s="675"/>
      <c r="G807" s="189"/>
      <c r="H807" s="1093"/>
      <c r="I807" s="675"/>
      <c r="J807" s="189"/>
      <c r="K807" s="189"/>
      <c r="L807" s="675"/>
      <c r="M807" s="676"/>
      <c r="O807" s="644"/>
    </row>
    <row r="808" ht="25.5" customHeight="1">
      <c r="A808" s="635"/>
      <c r="B808" s="1238"/>
      <c r="C808" s="620"/>
      <c r="D808" s="613"/>
      <c r="E808" s="675"/>
      <c r="F808" s="675"/>
      <c r="G808" s="189"/>
      <c r="H808" s="1093"/>
      <c r="I808" s="675"/>
      <c r="J808" s="189"/>
      <c r="K808" s="189"/>
      <c r="L808" s="675"/>
      <c r="M808" s="676"/>
      <c r="O808" s="644"/>
    </row>
    <row r="809" ht="25.5" customHeight="1">
      <c r="A809" s="635"/>
      <c r="B809" s="1238"/>
      <c r="C809" s="620"/>
      <c r="D809" s="613"/>
      <c r="E809" s="675"/>
      <c r="F809" s="675"/>
      <c r="G809" s="189"/>
      <c r="H809" s="1093"/>
      <c r="I809" s="675"/>
      <c r="J809" s="189"/>
      <c r="K809" s="189"/>
      <c r="L809" s="675"/>
      <c r="M809" s="676"/>
      <c r="O809" s="644"/>
    </row>
    <row r="810" ht="25.5" customHeight="1">
      <c r="A810" s="635"/>
      <c r="B810" s="1238"/>
      <c r="C810" s="620"/>
      <c r="D810" s="613"/>
      <c r="E810" s="675"/>
      <c r="F810" s="675"/>
      <c r="G810" s="189"/>
      <c r="H810" s="1093"/>
      <c r="I810" s="675"/>
      <c r="J810" s="189"/>
      <c r="K810" s="189"/>
      <c r="L810" s="675"/>
      <c r="M810" s="676"/>
      <c r="O810" s="644"/>
    </row>
    <row r="811" ht="25.5" customHeight="1">
      <c r="A811" s="635"/>
      <c r="B811" s="1238"/>
      <c r="C811" s="620"/>
      <c r="D811" s="613"/>
      <c r="E811" s="675"/>
      <c r="F811" s="675"/>
      <c r="G811" s="189"/>
      <c r="H811" s="1093"/>
      <c r="I811" s="675"/>
      <c r="J811" s="189"/>
      <c r="K811" s="189"/>
      <c r="L811" s="675"/>
      <c r="M811" s="676"/>
      <c r="O811" s="644"/>
    </row>
    <row r="812" ht="25.5" customHeight="1">
      <c r="A812" s="635"/>
      <c r="B812" s="1238"/>
      <c r="C812" s="620"/>
      <c r="D812" s="613"/>
      <c r="E812" s="675"/>
      <c r="F812" s="675"/>
      <c r="G812" s="189"/>
      <c r="H812" s="1093"/>
      <c r="I812" s="675"/>
      <c r="J812" s="189"/>
      <c r="K812" s="189"/>
      <c r="L812" s="675"/>
      <c r="M812" s="676"/>
      <c r="O812" s="644"/>
    </row>
    <row r="813" ht="25.5" customHeight="1">
      <c r="A813" s="635"/>
      <c r="B813" s="1238"/>
      <c r="C813" s="620"/>
      <c r="D813" s="613"/>
      <c r="E813" s="675"/>
      <c r="F813" s="675"/>
      <c r="G813" s="189"/>
      <c r="H813" s="1093"/>
      <c r="I813" s="675"/>
      <c r="J813" s="189"/>
      <c r="K813" s="189"/>
      <c r="L813" s="675"/>
      <c r="M813" s="676"/>
      <c r="O813" s="644"/>
    </row>
    <row r="814" ht="25.5" customHeight="1">
      <c r="A814" s="635"/>
      <c r="B814" s="1238"/>
      <c r="C814" s="620"/>
      <c r="D814" s="613"/>
      <c r="E814" s="675"/>
      <c r="F814" s="675"/>
      <c r="G814" s="189"/>
      <c r="H814" s="1093"/>
      <c r="I814" s="675"/>
      <c r="J814" s="189"/>
      <c r="K814" s="189"/>
      <c r="L814" s="675"/>
      <c r="M814" s="676"/>
      <c r="O814" s="644"/>
    </row>
    <row r="815" ht="25.5" customHeight="1">
      <c r="A815" s="635"/>
      <c r="B815" s="1238"/>
      <c r="C815" s="620"/>
      <c r="D815" s="613"/>
      <c r="E815" s="675"/>
      <c r="F815" s="675"/>
      <c r="G815" s="189"/>
      <c r="H815" s="1093"/>
      <c r="I815" s="675"/>
      <c r="J815" s="189"/>
      <c r="K815" s="189"/>
      <c r="L815" s="675"/>
      <c r="M815" s="676"/>
      <c r="O815" s="644"/>
    </row>
    <row r="816" ht="25.5" customHeight="1">
      <c r="A816" s="635"/>
      <c r="B816" s="1238"/>
      <c r="C816" s="620"/>
      <c r="D816" s="613"/>
      <c r="E816" s="675"/>
      <c r="F816" s="675"/>
      <c r="G816" s="189"/>
      <c r="H816" s="1093"/>
      <c r="I816" s="675"/>
      <c r="J816" s="189"/>
      <c r="K816" s="189"/>
      <c r="L816" s="675"/>
      <c r="M816" s="676"/>
      <c r="O816" s="644"/>
    </row>
    <row r="817" ht="25.5" customHeight="1">
      <c r="A817" s="635"/>
      <c r="B817" s="1238"/>
      <c r="C817" s="620"/>
      <c r="D817" s="613"/>
      <c r="E817" s="675"/>
      <c r="F817" s="675"/>
      <c r="G817" s="189"/>
      <c r="H817" s="1093"/>
      <c r="I817" s="675"/>
      <c r="J817" s="189"/>
      <c r="K817" s="189"/>
      <c r="L817" s="675"/>
      <c r="M817" s="676"/>
      <c r="O817" s="644"/>
    </row>
    <row r="818" ht="25.5" customHeight="1">
      <c r="A818" s="635"/>
      <c r="B818" s="1238"/>
      <c r="C818" s="620"/>
      <c r="D818" s="613"/>
      <c r="E818" s="675"/>
      <c r="F818" s="675"/>
      <c r="G818" s="189"/>
      <c r="H818" s="1093"/>
      <c r="I818" s="675"/>
      <c r="J818" s="189"/>
      <c r="K818" s="189"/>
      <c r="L818" s="675"/>
      <c r="M818" s="676"/>
      <c r="O818" s="644"/>
    </row>
    <row r="819" ht="25.5" customHeight="1">
      <c r="A819" s="635"/>
      <c r="B819" s="1238"/>
      <c r="C819" s="620"/>
      <c r="D819" s="613"/>
      <c r="E819" s="675"/>
      <c r="F819" s="675"/>
      <c r="G819" s="189"/>
      <c r="H819" s="1093"/>
      <c r="I819" s="675"/>
      <c r="J819" s="189"/>
      <c r="K819" s="189"/>
      <c r="L819" s="675"/>
      <c r="M819" s="676"/>
      <c r="O819" s="644"/>
    </row>
    <row r="820" ht="25.5" customHeight="1">
      <c r="A820" s="635"/>
      <c r="B820" s="1238"/>
      <c r="C820" s="620"/>
      <c r="D820" s="613"/>
      <c r="E820" s="675"/>
      <c r="F820" s="675"/>
      <c r="G820" s="189"/>
      <c r="H820" s="1093"/>
      <c r="I820" s="675"/>
      <c r="J820" s="189"/>
      <c r="K820" s="189"/>
      <c r="L820" s="675"/>
      <c r="M820" s="676"/>
      <c r="O820" s="644"/>
    </row>
    <row r="821" ht="25.5" customHeight="1">
      <c r="A821" s="635"/>
      <c r="B821" s="1238"/>
      <c r="C821" s="620"/>
      <c r="D821" s="613"/>
      <c r="E821" s="675"/>
      <c r="F821" s="675"/>
      <c r="G821" s="189"/>
      <c r="H821" s="1093"/>
      <c r="I821" s="675"/>
      <c r="J821" s="189"/>
      <c r="K821" s="189"/>
      <c r="L821" s="675"/>
      <c r="M821" s="676"/>
      <c r="O821" s="644"/>
    </row>
    <row r="822" ht="25.5" customHeight="1">
      <c r="A822" s="635"/>
      <c r="B822" s="1238"/>
      <c r="C822" s="620"/>
      <c r="D822" s="613"/>
      <c r="E822" s="675"/>
      <c r="F822" s="675"/>
      <c r="G822" s="189"/>
      <c r="H822" s="1093"/>
      <c r="I822" s="675"/>
      <c r="J822" s="189"/>
      <c r="K822" s="189"/>
      <c r="L822" s="675"/>
      <c r="M822" s="676"/>
      <c r="O822" s="644"/>
    </row>
    <row r="823" ht="25.5" customHeight="1">
      <c r="A823" s="635"/>
      <c r="B823" s="1238"/>
      <c r="C823" s="620"/>
      <c r="D823" s="613"/>
      <c r="E823" s="675"/>
      <c r="F823" s="675"/>
      <c r="G823" s="189"/>
      <c r="H823" s="1093"/>
      <c r="I823" s="675"/>
      <c r="J823" s="189"/>
      <c r="K823" s="189"/>
      <c r="L823" s="675"/>
      <c r="M823" s="676"/>
      <c r="O823" s="644"/>
    </row>
    <row r="824" ht="25.5" customHeight="1">
      <c r="A824" s="635"/>
      <c r="B824" s="1238"/>
      <c r="C824" s="620"/>
      <c r="D824" s="613"/>
      <c r="E824" s="675"/>
      <c r="F824" s="675"/>
      <c r="G824" s="189"/>
      <c r="H824" s="1093"/>
      <c r="I824" s="675"/>
      <c r="J824" s="189"/>
      <c r="K824" s="189"/>
      <c r="L824" s="675"/>
      <c r="M824" s="676"/>
      <c r="O824" s="644"/>
    </row>
    <row r="825" ht="25.5" customHeight="1">
      <c r="A825" s="635"/>
      <c r="B825" s="1238"/>
      <c r="C825" s="620"/>
      <c r="D825" s="613"/>
      <c r="E825" s="675"/>
      <c r="F825" s="675"/>
      <c r="G825" s="189"/>
      <c r="H825" s="1093"/>
      <c r="I825" s="675"/>
      <c r="J825" s="189"/>
      <c r="K825" s="189"/>
      <c r="L825" s="675"/>
      <c r="M825" s="676"/>
      <c r="O825" s="644"/>
    </row>
    <row r="826" ht="25.5" customHeight="1">
      <c r="A826" s="635"/>
      <c r="B826" s="1238"/>
      <c r="C826" s="620"/>
      <c r="D826" s="613"/>
      <c r="E826" s="675"/>
      <c r="F826" s="675"/>
      <c r="G826" s="189"/>
      <c r="H826" s="1093"/>
      <c r="I826" s="675"/>
      <c r="J826" s="189"/>
      <c r="K826" s="189"/>
      <c r="L826" s="675"/>
      <c r="M826" s="676"/>
      <c r="O826" s="644"/>
    </row>
    <row r="827" ht="25.5" customHeight="1">
      <c r="A827" s="635"/>
      <c r="B827" s="1238"/>
      <c r="C827" s="620"/>
      <c r="D827" s="613"/>
      <c r="E827" s="675"/>
      <c r="F827" s="675"/>
      <c r="G827" s="189"/>
      <c r="H827" s="1093"/>
      <c r="I827" s="675"/>
      <c r="J827" s="189"/>
      <c r="K827" s="189"/>
      <c r="L827" s="675"/>
      <c r="M827" s="676"/>
      <c r="O827" s="644"/>
    </row>
    <row r="828" ht="25.5" customHeight="1">
      <c r="A828" s="635"/>
      <c r="B828" s="1238"/>
      <c r="C828" s="620"/>
      <c r="D828" s="613"/>
      <c r="E828" s="675"/>
      <c r="F828" s="675"/>
      <c r="G828" s="189"/>
      <c r="H828" s="1093"/>
      <c r="I828" s="675"/>
      <c r="J828" s="189"/>
      <c r="K828" s="189"/>
      <c r="L828" s="675"/>
      <c r="M828" s="676"/>
      <c r="O828" s="644"/>
    </row>
    <row r="829" ht="25.5" customHeight="1">
      <c r="A829" s="635"/>
      <c r="B829" s="1238"/>
      <c r="C829" s="620"/>
      <c r="D829" s="613"/>
      <c r="E829" s="675"/>
      <c r="F829" s="675"/>
      <c r="G829" s="189"/>
      <c r="H829" s="1093"/>
      <c r="I829" s="675"/>
      <c r="J829" s="189"/>
      <c r="K829" s="189"/>
      <c r="L829" s="675"/>
      <c r="M829" s="676"/>
      <c r="O829" s="644"/>
    </row>
    <row r="830" ht="25.5" customHeight="1">
      <c r="A830" s="635"/>
      <c r="B830" s="1238"/>
      <c r="C830" s="620"/>
      <c r="D830" s="613"/>
      <c r="E830" s="675"/>
      <c r="F830" s="675"/>
      <c r="G830" s="189"/>
      <c r="H830" s="1093"/>
      <c r="I830" s="675"/>
      <c r="J830" s="189"/>
      <c r="K830" s="189"/>
      <c r="L830" s="675"/>
      <c r="M830" s="676"/>
      <c r="O830" s="644"/>
    </row>
    <row r="831" ht="25.5" customHeight="1">
      <c r="A831" s="635"/>
      <c r="B831" s="1238"/>
      <c r="C831" s="620"/>
      <c r="D831" s="613"/>
      <c r="E831" s="675"/>
      <c r="F831" s="675"/>
      <c r="G831" s="189"/>
      <c r="H831" s="1093"/>
      <c r="I831" s="675"/>
      <c r="J831" s="189"/>
      <c r="K831" s="189"/>
      <c r="L831" s="675"/>
      <c r="M831" s="676"/>
      <c r="O831" s="644"/>
    </row>
    <row r="832" ht="25.5" customHeight="1">
      <c r="A832" s="635"/>
      <c r="B832" s="1238"/>
      <c r="C832" s="620"/>
      <c r="D832" s="613"/>
      <c r="E832" s="675"/>
      <c r="F832" s="675"/>
      <c r="G832" s="189"/>
      <c r="H832" s="1093"/>
      <c r="I832" s="675"/>
      <c r="J832" s="189"/>
      <c r="K832" s="189"/>
      <c r="L832" s="675"/>
      <c r="M832" s="676"/>
      <c r="O832" s="644"/>
    </row>
    <row r="833" ht="25.5" customHeight="1">
      <c r="A833" s="635"/>
      <c r="B833" s="1238"/>
      <c r="C833" s="620"/>
      <c r="D833" s="613"/>
      <c r="E833" s="675"/>
      <c r="F833" s="675"/>
      <c r="G833" s="189"/>
      <c r="H833" s="1093"/>
      <c r="I833" s="675"/>
      <c r="J833" s="189"/>
      <c r="K833" s="189"/>
      <c r="L833" s="675"/>
      <c r="M833" s="676"/>
      <c r="O833" s="644"/>
    </row>
    <row r="834" ht="25.5" customHeight="1">
      <c r="A834" s="635"/>
      <c r="B834" s="1238"/>
      <c r="C834" s="620"/>
      <c r="D834" s="613"/>
      <c r="E834" s="675"/>
      <c r="F834" s="675"/>
      <c r="G834" s="189"/>
      <c r="H834" s="1093"/>
      <c r="I834" s="675"/>
      <c r="J834" s="189"/>
      <c r="K834" s="189"/>
      <c r="L834" s="675"/>
      <c r="M834" s="676"/>
      <c r="O834" s="644"/>
    </row>
    <row r="835" ht="25.5" customHeight="1">
      <c r="A835" s="635"/>
      <c r="B835" s="1238"/>
      <c r="C835" s="620"/>
      <c r="D835" s="613"/>
      <c r="E835" s="675"/>
      <c r="F835" s="675"/>
      <c r="G835" s="189"/>
      <c r="H835" s="1093"/>
      <c r="I835" s="675"/>
      <c r="J835" s="189"/>
      <c r="K835" s="189"/>
      <c r="L835" s="675"/>
      <c r="M835" s="676"/>
      <c r="O835" s="644"/>
    </row>
    <row r="836" ht="25.5" customHeight="1">
      <c r="A836" s="635"/>
      <c r="B836" s="1238"/>
      <c r="C836" s="620"/>
      <c r="D836" s="613"/>
      <c r="E836" s="675"/>
      <c r="F836" s="675"/>
      <c r="G836" s="189"/>
      <c r="H836" s="1093"/>
      <c r="I836" s="675"/>
      <c r="J836" s="189"/>
      <c r="K836" s="189"/>
      <c r="L836" s="675"/>
      <c r="M836" s="676"/>
      <c r="O836" s="644"/>
    </row>
    <row r="837" ht="25.5" customHeight="1">
      <c r="A837" s="635"/>
      <c r="B837" s="1238"/>
      <c r="C837" s="620"/>
      <c r="D837" s="613"/>
      <c r="E837" s="675"/>
      <c r="F837" s="675"/>
      <c r="G837" s="189"/>
      <c r="H837" s="1093"/>
      <c r="I837" s="675"/>
      <c r="J837" s="189"/>
      <c r="K837" s="189"/>
      <c r="L837" s="675"/>
      <c r="M837" s="676"/>
      <c r="O837" s="644"/>
    </row>
    <row r="838" ht="25.5" customHeight="1">
      <c r="A838" s="635"/>
      <c r="B838" s="1238"/>
      <c r="C838" s="620"/>
      <c r="D838" s="613"/>
      <c r="E838" s="675"/>
      <c r="F838" s="675"/>
      <c r="G838" s="189"/>
      <c r="H838" s="1093"/>
      <c r="I838" s="675"/>
      <c r="J838" s="189"/>
      <c r="K838" s="189"/>
      <c r="L838" s="675"/>
      <c r="M838" s="676"/>
      <c r="O838" s="644"/>
    </row>
    <row r="839" ht="25.5" customHeight="1">
      <c r="A839" s="635"/>
      <c r="B839" s="1238"/>
      <c r="C839" s="620"/>
      <c r="D839" s="613"/>
      <c r="E839" s="675"/>
      <c r="F839" s="675"/>
      <c r="G839" s="189"/>
      <c r="H839" s="1093"/>
      <c r="I839" s="675"/>
      <c r="J839" s="189"/>
      <c r="K839" s="189"/>
      <c r="L839" s="675"/>
      <c r="M839" s="676"/>
      <c r="O839" s="644"/>
    </row>
    <row r="840" ht="25.5" customHeight="1">
      <c r="A840" s="635"/>
      <c r="B840" s="1238"/>
      <c r="C840" s="620"/>
      <c r="D840" s="613"/>
      <c r="E840" s="675"/>
      <c r="F840" s="675"/>
      <c r="G840" s="189"/>
      <c r="H840" s="1093"/>
      <c r="I840" s="675"/>
      <c r="J840" s="189"/>
      <c r="K840" s="189"/>
      <c r="L840" s="675"/>
      <c r="M840" s="676"/>
      <c r="O840" s="644"/>
    </row>
    <row r="841" ht="25.5" customHeight="1">
      <c r="A841" s="635"/>
      <c r="B841" s="1238"/>
      <c r="C841" s="620"/>
      <c r="D841" s="613"/>
      <c r="E841" s="675"/>
      <c r="F841" s="675"/>
      <c r="G841" s="189"/>
      <c r="H841" s="1093"/>
      <c r="I841" s="675"/>
      <c r="J841" s="189"/>
      <c r="K841" s="189"/>
      <c r="L841" s="675"/>
      <c r="M841" s="676"/>
      <c r="O841" s="644"/>
    </row>
    <row r="842" ht="25.5" customHeight="1">
      <c r="A842" s="635"/>
      <c r="B842" s="1238"/>
      <c r="C842" s="620"/>
      <c r="D842" s="613"/>
      <c r="E842" s="675"/>
      <c r="F842" s="675"/>
      <c r="G842" s="189"/>
      <c r="H842" s="1093"/>
      <c r="I842" s="675"/>
      <c r="J842" s="189"/>
      <c r="K842" s="189"/>
      <c r="L842" s="675"/>
      <c r="M842" s="676"/>
      <c r="O842" s="644"/>
    </row>
    <row r="843" ht="25.5" customHeight="1">
      <c r="A843" s="635"/>
      <c r="B843" s="1238"/>
      <c r="C843" s="620"/>
      <c r="D843" s="613"/>
      <c r="E843" s="675"/>
      <c r="F843" s="675"/>
      <c r="G843" s="189"/>
      <c r="H843" s="1093"/>
      <c r="I843" s="675"/>
      <c r="J843" s="189"/>
      <c r="K843" s="189"/>
      <c r="L843" s="675"/>
      <c r="M843" s="676"/>
      <c r="O843" s="644"/>
    </row>
    <row r="844" ht="25.5" customHeight="1">
      <c r="A844" s="635"/>
      <c r="B844" s="1238"/>
      <c r="C844" s="620"/>
      <c r="D844" s="613"/>
      <c r="E844" s="675"/>
      <c r="F844" s="675"/>
      <c r="G844" s="189"/>
      <c r="H844" s="1093"/>
      <c r="I844" s="675"/>
      <c r="J844" s="189"/>
      <c r="K844" s="189"/>
      <c r="L844" s="675"/>
      <c r="M844" s="676"/>
      <c r="O844" s="644"/>
    </row>
    <row r="845" ht="25.5" customHeight="1">
      <c r="A845" s="635"/>
      <c r="B845" s="1238"/>
      <c r="C845" s="620"/>
      <c r="D845" s="613"/>
      <c r="E845" s="675"/>
      <c r="F845" s="675"/>
      <c r="G845" s="189"/>
      <c r="H845" s="1093"/>
      <c r="I845" s="675"/>
      <c r="J845" s="189"/>
      <c r="K845" s="189"/>
      <c r="L845" s="675"/>
      <c r="M845" s="676"/>
      <c r="O845" s="644"/>
    </row>
    <row r="846" ht="25.5" customHeight="1">
      <c r="A846" s="635"/>
      <c r="B846" s="1238"/>
      <c r="C846" s="620"/>
      <c r="D846" s="613"/>
      <c r="E846" s="675"/>
      <c r="F846" s="675"/>
      <c r="G846" s="189"/>
      <c r="H846" s="1093"/>
      <c r="I846" s="675"/>
      <c r="J846" s="189"/>
      <c r="K846" s="189"/>
      <c r="L846" s="675"/>
      <c r="M846" s="676"/>
      <c r="O846" s="644"/>
    </row>
    <row r="847" ht="25.5" customHeight="1">
      <c r="A847" s="635"/>
      <c r="B847" s="1238"/>
      <c r="C847" s="620"/>
      <c r="D847" s="613"/>
      <c r="E847" s="675"/>
      <c r="F847" s="675"/>
      <c r="G847" s="189"/>
      <c r="H847" s="1093"/>
      <c r="I847" s="675"/>
      <c r="J847" s="189"/>
      <c r="K847" s="189"/>
      <c r="L847" s="675"/>
      <c r="M847" s="676"/>
      <c r="O847" s="644"/>
    </row>
    <row r="848" ht="25.5" customHeight="1">
      <c r="A848" s="635"/>
      <c r="B848" s="1238"/>
      <c r="C848" s="620"/>
      <c r="D848" s="613"/>
      <c r="E848" s="675"/>
      <c r="F848" s="675"/>
      <c r="G848" s="189"/>
      <c r="H848" s="1093"/>
      <c r="I848" s="675"/>
      <c r="J848" s="189"/>
      <c r="K848" s="189"/>
      <c r="L848" s="675"/>
      <c r="M848" s="676"/>
      <c r="O848" s="644"/>
    </row>
    <row r="849" ht="25.5" customHeight="1">
      <c r="A849" s="635"/>
      <c r="B849" s="1238"/>
      <c r="C849" s="620"/>
      <c r="D849" s="613"/>
      <c r="E849" s="675"/>
      <c r="F849" s="675"/>
      <c r="G849" s="189"/>
      <c r="H849" s="1093"/>
      <c r="I849" s="675"/>
      <c r="J849" s="189"/>
      <c r="K849" s="189"/>
      <c r="L849" s="675"/>
      <c r="M849" s="676"/>
      <c r="O849" s="644"/>
    </row>
    <row r="850" ht="25.5" customHeight="1">
      <c r="A850" s="635"/>
      <c r="B850" s="1238"/>
      <c r="C850" s="620"/>
      <c r="D850" s="613"/>
      <c r="E850" s="675"/>
      <c r="F850" s="675"/>
      <c r="G850" s="189"/>
      <c r="H850" s="1093"/>
      <c r="I850" s="675"/>
      <c r="J850" s="189"/>
      <c r="K850" s="189"/>
      <c r="L850" s="675"/>
      <c r="M850" s="676"/>
      <c r="O850" s="644"/>
    </row>
    <row r="851" ht="25.5" customHeight="1">
      <c r="A851" s="635"/>
      <c r="B851" s="1238"/>
      <c r="C851" s="620"/>
      <c r="D851" s="613"/>
      <c r="E851" s="675"/>
      <c r="F851" s="675"/>
      <c r="G851" s="189"/>
      <c r="H851" s="1093"/>
      <c r="I851" s="675"/>
      <c r="J851" s="189"/>
      <c r="K851" s="189"/>
      <c r="L851" s="675"/>
      <c r="M851" s="676"/>
      <c r="O851" s="644"/>
    </row>
    <row r="852" ht="25.5" customHeight="1">
      <c r="A852" s="635"/>
      <c r="B852" s="1238"/>
      <c r="C852" s="620"/>
      <c r="D852" s="613"/>
      <c r="E852" s="675"/>
      <c r="F852" s="675"/>
      <c r="G852" s="189"/>
      <c r="H852" s="1093"/>
      <c r="I852" s="675"/>
      <c r="J852" s="189"/>
      <c r="K852" s="189"/>
      <c r="L852" s="675"/>
      <c r="M852" s="676"/>
      <c r="O852" s="644"/>
    </row>
    <row r="853" ht="25.5" customHeight="1">
      <c r="A853" s="635"/>
      <c r="B853" s="1238"/>
      <c r="C853" s="620"/>
      <c r="D853" s="613"/>
      <c r="E853" s="675"/>
      <c r="F853" s="675"/>
      <c r="G853" s="189"/>
      <c r="H853" s="1093"/>
      <c r="I853" s="675"/>
      <c r="J853" s="189"/>
      <c r="K853" s="189"/>
      <c r="L853" s="675"/>
      <c r="M853" s="676"/>
      <c r="O853" s="644"/>
    </row>
    <row r="854" ht="25.5" customHeight="1">
      <c r="A854" s="635"/>
      <c r="B854" s="1238"/>
      <c r="C854" s="620"/>
      <c r="D854" s="613"/>
      <c r="E854" s="675"/>
      <c r="F854" s="675"/>
      <c r="G854" s="189"/>
      <c r="H854" s="1093"/>
      <c r="I854" s="675"/>
      <c r="J854" s="189"/>
      <c r="K854" s="189"/>
      <c r="L854" s="675"/>
      <c r="M854" s="676"/>
      <c r="O854" s="644"/>
    </row>
    <row r="855" ht="25.5" customHeight="1">
      <c r="A855" s="635"/>
      <c r="B855" s="1238"/>
      <c r="C855" s="620"/>
      <c r="D855" s="613"/>
      <c r="E855" s="675"/>
      <c r="F855" s="675"/>
      <c r="G855" s="189"/>
      <c r="H855" s="1093"/>
      <c r="I855" s="675"/>
      <c r="J855" s="189"/>
      <c r="K855" s="189"/>
      <c r="L855" s="675"/>
      <c r="M855" s="676"/>
      <c r="O855" s="644"/>
    </row>
    <row r="856" ht="25.5" customHeight="1">
      <c r="A856" s="635"/>
      <c r="B856" s="1238"/>
      <c r="C856" s="620"/>
      <c r="D856" s="613"/>
      <c r="E856" s="675"/>
      <c r="F856" s="675"/>
      <c r="G856" s="189"/>
      <c r="H856" s="1093"/>
      <c r="I856" s="675"/>
      <c r="J856" s="189"/>
      <c r="K856" s="189"/>
      <c r="L856" s="675"/>
      <c r="M856" s="676"/>
      <c r="O856" s="644"/>
    </row>
    <row r="857" ht="25.5" customHeight="1">
      <c r="A857" s="635"/>
      <c r="B857" s="1238"/>
      <c r="C857" s="620"/>
      <c r="D857" s="613"/>
      <c r="E857" s="675"/>
      <c r="F857" s="675"/>
      <c r="G857" s="189"/>
      <c r="H857" s="1093"/>
      <c r="I857" s="675"/>
      <c r="J857" s="189"/>
      <c r="K857" s="189"/>
      <c r="L857" s="675"/>
      <c r="M857" s="676"/>
      <c r="O857" s="644"/>
    </row>
    <row r="858" ht="25.5" customHeight="1">
      <c r="A858" s="635"/>
      <c r="B858" s="1238"/>
      <c r="C858" s="620"/>
      <c r="D858" s="613"/>
      <c r="E858" s="675"/>
      <c r="F858" s="675"/>
      <c r="G858" s="189"/>
      <c r="H858" s="1093"/>
      <c r="I858" s="675"/>
      <c r="J858" s="189"/>
      <c r="K858" s="189"/>
      <c r="L858" s="675"/>
      <c r="M858" s="676"/>
      <c r="O858" s="644"/>
    </row>
    <row r="859" ht="25.5" customHeight="1">
      <c r="A859" s="635"/>
      <c r="B859" s="1238"/>
      <c r="C859" s="620"/>
      <c r="D859" s="613"/>
      <c r="E859" s="675"/>
      <c r="F859" s="675"/>
      <c r="G859" s="189"/>
      <c r="H859" s="1093"/>
      <c r="I859" s="675"/>
      <c r="J859" s="189"/>
      <c r="K859" s="189"/>
      <c r="L859" s="675"/>
      <c r="M859" s="676"/>
      <c r="O859" s="644"/>
    </row>
    <row r="860" ht="25.5" customHeight="1">
      <c r="A860" s="635"/>
      <c r="B860" s="1238"/>
      <c r="C860" s="620"/>
      <c r="D860" s="613"/>
      <c r="E860" s="675"/>
      <c r="F860" s="675"/>
      <c r="G860" s="189"/>
      <c r="H860" s="1093"/>
      <c r="I860" s="675"/>
      <c r="J860" s="189"/>
      <c r="K860" s="189"/>
      <c r="L860" s="675"/>
      <c r="M860" s="676"/>
      <c r="O860" s="644"/>
    </row>
    <row r="861" ht="25.5" customHeight="1">
      <c r="A861" s="635"/>
      <c r="B861" s="1238"/>
      <c r="C861" s="620"/>
      <c r="D861" s="613"/>
      <c r="E861" s="675"/>
      <c r="F861" s="675"/>
      <c r="G861" s="189"/>
      <c r="H861" s="1093"/>
      <c r="I861" s="675"/>
      <c r="J861" s="189"/>
      <c r="K861" s="189"/>
      <c r="L861" s="675"/>
      <c r="M861" s="676"/>
      <c r="O861" s="644"/>
    </row>
    <row r="862" ht="25.5" customHeight="1">
      <c r="A862" s="635"/>
      <c r="B862" s="1238"/>
      <c r="C862" s="620"/>
      <c r="D862" s="613"/>
      <c r="E862" s="675"/>
      <c r="F862" s="675"/>
      <c r="G862" s="189"/>
      <c r="H862" s="1093"/>
      <c r="I862" s="675"/>
      <c r="J862" s="189"/>
      <c r="K862" s="189"/>
      <c r="L862" s="675"/>
      <c r="M862" s="676"/>
      <c r="O862" s="644"/>
    </row>
    <row r="863" ht="25.5" customHeight="1">
      <c r="A863" s="635"/>
      <c r="B863" s="1238"/>
      <c r="C863" s="620"/>
      <c r="D863" s="613"/>
      <c r="E863" s="675"/>
      <c r="F863" s="675"/>
      <c r="G863" s="189"/>
      <c r="H863" s="1093"/>
      <c r="I863" s="675"/>
      <c r="J863" s="189"/>
      <c r="K863" s="189"/>
      <c r="L863" s="675"/>
      <c r="M863" s="676"/>
      <c r="O863" s="644"/>
    </row>
    <row r="864" ht="25.5" customHeight="1">
      <c r="A864" s="635"/>
      <c r="B864" s="1238"/>
      <c r="C864" s="620"/>
      <c r="D864" s="613"/>
      <c r="E864" s="675"/>
      <c r="F864" s="675"/>
      <c r="G864" s="189"/>
      <c r="H864" s="1093"/>
      <c r="I864" s="675"/>
      <c r="J864" s="189"/>
      <c r="K864" s="189"/>
      <c r="L864" s="675"/>
      <c r="M864" s="676"/>
      <c r="O864" s="644"/>
    </row>
    <row r="865" ht="25.5" customHeight="1">
      <c r="A865" s="635"/>
      <c r="B865" s="1238"/>
      <c r="C865" s="620"/>
      <c r="D865" s="613"/>
      <c r="E865" s="675"/>
      <c r="F865" s="675"/>
      <c r="G865" s="189"/>
      <c r="H865" s="1093"/>
      <c r="I865" s="675"/>
      <c r="J865" s="189"/>
      <c r="K865" s="189"/>
      <c r="L865" s="675"/>
      <c r="M865" s="676"/>
      <c r="O865" s="644"/>
    </row>
    <row r="866" ht="25.5" customHeight="1">
      <c r="A866" s="635"/>
      <c r="B866" s="1238"/>
      <c r="C866" s="620"/>
      <c r="D866" s="613"/>
      <c r="E866" s="675"/>
      <c r="F866" s="675"/>
      <c r="G866" s="189"/>
      <c r="H866" s="1093"/>
      <c r="I866" s="675"/>
      <c r="J866" s="189"/>
      <c r="K866" s="189"/>
      <c r="L866" s="675"/>
      <c r="M866" s="676"/>
      <c r="O866" s="644"/>
    </row>
    <row r="867" ht="25.5" customHeight="1">
      <c r="A867" s="635"/>
      <c r="B867" s="1238"/>
      <c r="C867" s="620"/>
      <c r="D867" s="613"/>
      <c r="E867" s="675"/>
      <c r="F867" s="675"/>
      <c r="G867" s="189"/>
      <c r="H867" s="1093"/>
      <c r="I867" s="675"/>
      <c r="J867" s="189"/>
      <c r="K867" s="189"/>
      <c r="L867" s="675"/>
      <c r="M867" s="676"/>
      <c r="O867" s="644"/>
    </row>
    <row r="868" ht="25.5" customHeight="1">
      <c r="A868" s="635"/>
      <c r="B868" s="1238"/>
      <c r="C868" s="620"/>
      <c r="D868" s="613"/>
      <c r="E868" s="675"/>
      <c r="F868" s="675"/>
      <c r="G868" s="189"/>
      <c r="H868" s="1093"/>
      <c r="I868" s="675"/>
      <c r="J868" s="189"/>
      <c r="K868" s="189"/>
      <c r="L868" s="675"/>
      <c r="M868" s="676"/>
      <c r="O868" s="644"/>
    </row>
    <row r="869" ht="25.5" customHeight="1">
      <c r="A869" s="635"/>
      <c r="B869" s="1238"/>
      <c r="C869" s="620"/>
      <c r="D869" s="613"/>
      <c r="E869" s="675"/>
      <c r="F869" s="675"/>
      <c r="G869" s="189"/>
      <c r="H869" s="1093"/>
      <c r="I869" s="675"/>
      <c r="J869" s="189"/>
      <c r="K869" s="189"/>
      <c r="L869" s="675"/>
      <c r="M869" s="676"/>
      <c r="O869" s="644"/>
    </row>
    <row r="870" ht="25.5" customHeight="1">
      <c r="A870" s="635"/>
      <c r="B870" s="1238"/>
      <c r="C870" s="620"/>
      <c r="D870" s="613"/>
      <c r="E870" s="675"/>
      <c r="F870" s="675"/>
      <c r="G870" s="189"/>
      <c r="H870" s="1093"/>
      <c r="I870" s="675"/>
      <c r="J870" s="189"/>
      <c r="K870" s="189"/>
      <c r="L870" s="675"/>
      <c r="M870" s="676"/>
      <c r="O870" s="644"/>
    </row>
    <row r="871" ht="25.5" customHeight="1">
      <c r="A871" s="635"/>
      <c r="B871" s="1238"/>
      <c r="C871" s="620"/>
      <c r="D871" s="613"/>
      <c r="E871" s="675"/>
      <c r="F871" s="675"/>
      <c r="G871" s="189"/>
      <c r="H871" s="1093"/>
      <c r="I871" s="675"/>
      <c r="J871" s="189"/>
      <c r="K871" s="189"/>
      <c r="L871" s="675"/>
      <c r="M871" s="676"/>
      <c r="O871" s="644"/>
    </row>
    <row r="872" ht="25.5" customHeight="1">
      <c r="A872" s="635"/>
      <c r="B872" s="1238"/>
      <c r="C872" s="620"/>
      <c r="D872" s="613"/>
      <c r="E872" s="675"/>
      <c r="F872" s="675"/>
      <c r="G872" s="189"/>
      <c r="H872" s="1093"/>
      <c r="I872" s="675"/>
      <c r="J872" s="189"/>
      <c r="K872" s="189"/>
      <c r="L872" s="675"/>
      <c r="M872" s="676"/>
      <c r="O872" s="644"/>
    </row>
    <row r="873" ht="25.5" customHeight="1">
      <c r="A873" s="635"/>
      <c r="B873" s="1238"/>
      <c r="C873" s="620"/>
      <c r="D873" s="613"/>
      <c r="E873" s="675"/>
      <c r="F873" s="675"/>
      <c r="G873" s="189"/>
      <c r="H873" s="1093"/>
      <c r="I873" s="675"/>
      <c r="J873" s="189"/>
      <c r="K873" s="189"/>
      <c r="L873" s="675"/>
      <c r="M873" s="676"/>
      <c r="O873" s="644"/>
    </row>
    <row r="874" ht="25.5" customHeight="1">
      <c r="A874" s="635"/>
      <c r="B874" s="1238"/>
      <c r="C874" s="620"/>
      <c r="D874" s="613"/>
      <c r="E874" s="675"/>
      <c r="F874" s="675"/>
      <c r="G874" s="189"/>
      <c r="H874" s="1093"/>
      <c r="I874" s="675"/>
      <c r="J874" s="189"/>
      <c r="K874" s="189"/>
      <c r="L874" s="675"/>
      <c r="M874" s="676"/>
      <c r="O874" s="644"/>
    </row>
    <row r="875" ht="25.5" customHeight="1">
      <c r="A875" s="635"/>
      <c r="B875" s="1238"/>
      <c r="C875" s="620"/>
      <c r="D875" s="613"/>
      <c r="E875" s="675"/>
      <c r="F875" s="675"/>
      <c r="G875" s="189"/>
      <c r="H875" s="1093"/>
      <c r="I875" s="675"/>
      <c r="J875" s="189"/>
      <c r="K875" s="189"/>
      <c r="L875" s="675"/>
      <c r="M875" s="676"/>
      <c r="O875" s="644"/>
    </row>
    <row r="876" ht="25.5" customHeight="1">
      <c r="A876" s="635"/>
      <c r="B876" s="1238"/>
      <c r="C876" s="620"/>
      <c r="D876" s="613"/>
      <c r="E876" s="675"/>
      <c r="F876" s="675"/>
      <c r="G876" s="189"/>
      <c r="H876" s="1093"/>
      <c r="I876" s="675"/>
      <c r="J876" s="189"/>
      <c r="K876" s="189"/>
      <c r="L876" s="675"/>
      <c r="M876" s="676"/>
      <c r="O876" s="644"/>
    </row>
    <row r="877" ht="25.5" customHeight="1">
      <c r="A877" s="635"/>
      <c r="B877" s="1238"/>
      <c r="C877" s="620"/>
      <c r="D877" s="613"/>
      <c r="E877" s="675"/>
      <c r="F877" s="675"/>
      <c r="G877" s="189"/>
      <c r="H877" s="1093"/>
      <c r="I877" s="675"/>
      <c r="J877" s="189"/>
      <c r="K877" s="189"/>
      <c r="L877" s="675"/>
      <c r="M877" s="676"/>
      <c r="O877" s="644"/>
    </row>
    <row r="878" ht="25.5" customHeight="1">
      <c r="A878" s="635"/>
      <c r="B878" s="1238"/>
      <c r="C878" s="620"/>
      <c r="D878" s="613"/>
      <c r="E878" s="675"/>
      <c r="F878" s="675"/>
      <c r="G878" s="189"/>
      <c r="H878" s="1093"/>
      <c r="I878" s="675"/>
      <c r="J878" s="189"/>
      <c r="K878" s="189"/>
      <c r="L878" s="675"/>
      <c r="M878" s="676"/>
      <c r="O878" s="644"/>
    </row>
    <row r="879" ht="25.5" customHeight="1">
      <c r="A879" s="635"/>
      <c r="B879" s="1238"/>
      <c r="C879" s="620"/>
      <c r="D879" s="613"/>
      <c r="E879" s="675"/>
      <c r="F879" s="675"/>
      <c r="G879" s="189"/>
      <c r="H879" s="1093"/>
      <c r="I879" s="675"/>
      <c r="J879" s="189"/>
      <c r="K879" s="189"/>
      <c r="L879" s="675"/>
      <c r="M879" s="676"/>
      <c r="O879" s="644"/>
    </row>
    <row r="880" ht="25.5" customHeight="1">
      <c r="A880" s="635"/>
      <c r="B880" s="1238"/>
      <c r="C880" s="620"/>
      <c r="D880" s="613"/>
      <c r="E880" s="675"/>
      <c r="F880" s="675"/>
      <c r="G880" s="189"/>
      <c r="H880" s="1093"/>
      <c r="I880" s="675"/>
      <c r="J880" s="189"/>
      <c r="K880" s="189"/>
      <c r="L880" s="675"/>
      <c r="M880" s="676"/>
      <c r="O880" s="644"/>
    </row>
    <row r="881" ht="25.5" customHeight="1">
      <c r="A881" s="635"/>
      <c r="B881" s="1238"/>
      <c r="C881" s="620"/>
      <c r="D881" s="613"/>
      <c r="E881" s="675"/>
      <c r="F881" s="675"/>
      <c r="G881" s="189"/>
      <c r="H881" s="1093"/>
      <c r="I881" s="675"/>
      <c r="J881" s="189"/>
      <c r="K881" s="189"/>
      <c r="L881" s="675"/>
      <c r="M881" s="676"/>
      <c r="O881" s="644"/>
    </row>
    <row r="882" ht="25.5" customHeight="1">
      <c r="A882" s="635"/>
      <c r="B882" s="1238"/>
      <c r="C882" s="620"/>
      <c r="D882" s="613"/>
      <c r="E882" s="675"/>
      <c r="F882" s="675"/>
      <c r="G882" s="189"/>
      <c r="H882" s="1093"/>
      <c r="I882" s="675"/>
      <c r="J882" s="189"/>
      <c r="K882" s="189"/>
      <c r="L882" s="675"/>
      <c r="M882" s="676"/>
      <c r="O882" s="644"/>
    </row>
    <row r="883" ht="25.5" customHeight="1">
      <c r="A883" s="635"/>
      <c r="B883" s="1238"/>
      <c r="C883" s="620"/>
      <c r="D883" s="613"/>
      <c r="E883" s="675"/>
      <c r="F883" s="675"/>
      <c r="G883" s="189"/>
      <c r="H883" s="1093"/>
      <c r="I883" s="675"/>
      <c r="J883" s="189"/>
      <c r="K883" s="189"/>
      <c r="L883" s="675"/>
      <c r="M883" s="676"/>
      <c r="O883" s="644"/>
    </row>
    <row r="884" ht="25.5" customHeight="1">
      <c r="A884" s="635"/>
      <c r="B884" s="1238"/>
      <c r="C884" s="620"/>
      <c r="D884" s="613"/>
      <c r="E884" s="675"/>
      <c r="F884" s="675"/>
      <c r="G884" s="189"/>
      <c r="H884" s="1093"/>
      <c r="I884" s="675"/>
      <c r="J884" s="189"/>
      <c r="K884" s="189"/>
      <c r="L884" s="675"/>
      <c r="M884" s="676"/>
      <c r="O884" s="644"/>
    </row>
    <row r="885" ht="25.5" customHeight="1">
      <c r="A885" s="635"/>
      <c r="B885" s="1238"/>
      <c r="C885" s="620"/>
      <c r="D885" s="613"/>
      <c r="E885" s="675"/>
      <c r="F885" s="675"/>
      <c r="G885" s="189"/>
      <c r="H885" s="1093"/>
      <c r="I885" s="675"/>
      <c r="J885" s="189"/>
      <c r="K885" s="189"/>
      <c r="L885" s="675"/>
      <c r="M885" s="676"/>
      <c r="O885" s="644"/>
    </row>
    <row r="886" ht="25.5" customHeight="1">
      <c r="A886" s="635"/>
      <c r="B886" s="1238"/>
      <c r="C886" s="620"/>
      <c r="D886" s="613"/>
      <c r="E886" s="675"/>
      <c r="F886" s="675"/>
      <c r="G886" s="189"/>
      <c r="H886" s="1093"/>
      <c r="I886" s="675"/>
      <c r="J886" s="189"/>
      <c r="K886" s="189"/>
      <c r="L886" s="675"/>
      <c r="M886" s="676"/>
      <c r="O886" s="644"/>
    </row>
    <row r="887" ht="25.5" customHeight="1">
      <c r="A887" s="635"/>
      <c r="B887" s="1238"/>
      <c r="C887" s="620"/>
      <c r="D887" s="613"/>
      <c r="E887" s="675"/>
      <c r="F887" s="675"/>
      <c r="G887" s="189"/>
      <c r="H887" s="1093"/>
      <c r="I887" s="675"/>
      <c r="J887" s="189"/>
      <c r="K887" s="189"/>
      <c r="L887" s="675"/>
      <c r="M887" s="676"/>
      <c r="O887" s="644"/>
    </row>
    <row r="888" ht="25.5" customHeight="1">
      <c r="A888" s="635"/>
      <c r="B888" s="1238"/>
      <c r="C888" s="620"/>
      <c r="D888" s="613"/>
      <c r="E888" s="675"/>
      <c r="F888" s="675"/>
      <c r="G888" s="189"/>
      <c r="H888" s="1093"/>
      <c r="I888" s="675"/>
      <c r="J888" s="189"/>
      <c r="K888" s="189"/>
      <c r="L888" s="675"/>
      <c r="M888" s="676"/>
      <c r="O888" s="644"/>
    </row>
    <row r="889" ht="25.5" customHeight="1">
      <c r="A889" s="635"/>
      <c r="B889" s="1238"/>
      <c r="C889" s="620"/>
      <c r="D889" s="613"/>
      <c r="E889" s="675"/>
      <c r="F889" s="675"/>
      <c r="G889" s="189"/>
      <c r="H889" s="1093"/>
      <c r="I889" s="675"/>
      <c r="J889" s="189"/>
      <c r="K889" s="189"/>
      <c r="L889" s="675"/>
      <c r="M889" s="676"/>
      <c r="O889" s="644"/>
    </row>
    <row r="890" ht="25.5" customHeight="1">
      <c r="A890" s="635"/>
      <c r="B890" s="1238"/>
      <c r="C890" s="620"/>
      <c r="D890" s="613"/>
      <c r="E890" s="675"/>
      <c r="F890" s="675"/>
      <c r="G890" s="189"/>
      <c r="H890" s="1093"/>
      <c r="I890" s="675"/>
      <c r="J890" s="189"/>
      <c r="K890" s="189"/>
      <c r="L890" s="675"/>
      <c r="M890" s="676"/>
      <c r="O890" s="644"/>
    </row>
    <row r="891" ht="25.5" customHeight="1">
      <c r="A891" s="635"/>
      <c r="B891" s="1238"/>
      <c r="C891" s="620"/>
      <c r="D891" s="613"/>
      <c r="E891" s="675"/>
      <c r="F891" s="675"/>
      <c r="G891" s="189"/>
      <c r="H891" s="1093"/>
      <c r="I891" s="675"/>
      <c r="J891" s="189"/>
      <c r="K891" s="189"/>
      <c r="L891" s="675"/>
      <c r="M891" s="676"/>
      <c r="O891" s="644"/>
    </row>
    <row r="892" ht="25.5" customHeight="1">
      <c r="A892" s="635"/>
      <c r="B892" s="1238"/>
      <c r="C892" s="620"/>
      <c r="D892" s="613"/>
      <c r="E892" s="675"/>
      <c r="F892" s="675"/>
      <c r="G892" s="189"/>
      <c r="H892" s="1093"/>
      <c r="I892" s="675"/>
      <c r="J892" s="189"/>
      <c r="K892" s="189"/>
      <c r="L892" s="675"/>
      <c r="M892" s="676"/>
      <c r="O892" s="644"/>
    </row>
    <row r="893" ht="25.5" customHeight="1">
      <c r="A893" s="635"/>
      <c r="B893" s="1238"/>
      <c r="C893" s="620"/>
      <c r="D893" s="613"/>
      <c r="E893" s="675"/>
      <c r="F893" s="675"/>
      <c r="G893" s="189"/>
      <c r="H893" s="1093"/>
      <c r="I893" s="675"/>
      <c r="J893" s="189"/>
      <c r="K893" s="189"/>
      <c r="L893" s="675"/>
      <c r="M893" s="676"/>
      <c r="O893" s="644"/>
    </row>
    <row r="894" ht="25.5" customHeight="1">
      <c r="A894" s="635"/>
      <c r="B894" s="1238"/>
      <c r="C894" s="620"/>
      <c r="D894" s="613"/>
      <c r="E894" s="675"/>
      <c r="F894" s="675"/>
      <c r="G894" s="189"/>
      <c r="H894" s="1093"/>
      <c r="I894" s="675"/>
      <c r="J894" s="189"/>
      <c r="K894" s="189"/>
      <c r="L894" s="675"/>
      <c r="M894" s="676"/>
      <c r="O894" s="644"/>
    </row>
    <row r="895" ht="25.5" customHeight="1">
      <c r="A895" s="635"/>
      <c r="B895" s="1238"/>
      <c r="C895" s="620"/>
      <c r="D895" s="613"/>
      <c r="E895" s="675"/>
      <c r="F895" s="675"/>
      <c r="G895" s="189"/>
      <c r="H895" s="1093"/>
      <c r="I895" s="675"/>
      <c r="J895" s="189"/>
      <c r="K895" s="189"/>
      <c r="L895" s="675"/>
      <c r="M895" s="676"/>
      <c r="O895" s="644"/>
    </row>
    <row r="896" ht="25.5" customHeight="1">
      <c r="A896" s="635"/>
      <c r="B896" s="1238"/>
      <c r="C896" s="620"/>
      <c r="D896" s="613"/>
      <c r="E896" s="675"/>
      <c r="F896" s="675"/>
      <c r="G896" s="189"/>
      <c r="H896" s="1093"/>
      <c r="I896" s="675"/>
      <c r="J896" s="189"/>
      <c r="K896" s="189"/>
      <c r="L896" s="675"/>
      <c r="M896" s="676"/>
      <c r="O896" s="644"/>
    </row>
    <row r="897" ht="25.5" customHeight="1">
      <c r="A897" s="635"/>
      <c r="B897" s="1238"/>
      <c r="C897" s="620"/>
      <c r="D897" s="613"/>
      <c r="E897" s="675"/>
      <c r="F897" s="675"/>
      <c r="G897" s="189"/>
      <c r="H897" s="1093"/>
      <c r="I897" s="675"/>
      <c r="J897" s="189"/>
      <c r="K897" s="189"/>
      <c r="L897" s="675"/>
      <c r="M897" s="676"/>
      <c r="O897" s="644"/>
    </row>
    <row r="898" ht="25.5" customHeight="1">
      <c r="A898" s="635"/>
      <c r="B898" s="1238"/>
      <c r="C898" s="620"/>
      <c r="D898" s="613"/>
      <c r="E898" s="675"/>
      <c r="F898" s="675"/>
      <c r="G898" s="189"/>
      <c r="H898" s="1093"/>
      <c r="I898" s="675"/>
      <c r="J898" s="189"/>
      <c r="K898" s="189"/>
      <c r="L898" s="675"/>
      <c r="M898" s="676"/>
      <c r="O898" s="644"/>
    </row>
    <row r="899" ht="25.5" customHeight="1">
      <c r="A899" s="635"/>
      <c r="B899" s="1238"/>
      <c r="C899" s="620"/>
      <c r="D899" s="613"/>
      <c r="E899" s="675"/>
      <c r="F899" s="675"/>
      <c r="G899" s="189"/>
      <c r="H899" s="1093"/>
      <c r="I899" s="675"/>
      <c r="J899" s="189"/>
      <c r="K899" s="189"/>
      <c r="L899" s="675"/>
      <c r="M899" s="676"/>
      <c r="O899" s="644"/>
    </row>
    <row r="900" ht="25.5" customHeight="1">
      <c r="A900" s="635"/>
      <c r="B900" s="1238"/>
      <c r="C900" s="620"/>
      <c r="D900" s="613"/>
      <c r="E900" s="675"/>
      <c r="F900" s="675"/>
      <c r="G900" s="189"/>
      <c r="H900" s="1093"/>
      <c r="I900" s="675"/>
      <c r="J900" s="189"/>
      <c r="K900" s="189"/>
      <c r="L900" s="675"/>
      <c r="M900" s="676"/>
      <c r="O900" s="644"/>
    </row>
    <row r="901" ht="25.5" customHeight="1">
      <c r="A901" s="635"/>
      <c r="B901" s="1238"/>
      <c r="C901" s="620"/>
      <c r="D901" s="613"/>
      <c r="E901" s="675"/>
      <c r="F901" s="675"/>
      <c r="G901" s="189"/>
      <c r="H901" s="1093"/>
      <c r="I901" s="675"/>
      <c r="J901" s="189"/>
      <c r="K901" s="189"/>
      <c r="L901" s="675"/>
      <c r="M901" s="676"/>
      <c r="O901" s="644"/>
    </row>
    <row r="902" ht="25.5" customHeight="1">
      <c r="A902" s="635"/>
      <c r="B902" s="1238"/>
      <c r="C902" s="620"/>
      <c r="D902" s="613"/>
      <c r="E902" s="675"/>
      <c r="F902" s="675"/>
      <c r="G902" s="189"/>
      <c r="H902" s="1093"/>
      <c r="I902" s="675"/>
      <c r="J902" s="189"/>
      <c r="K902" s="189"/>
      <c r="L902" s="675"/>
      <c r="M902" s="676"/>
      <c r="O902" s="644"/>
    </row>
    <row r="903" ht="25.5" customHeight="1">
      <c r="A903" s="635"/>
      <c r="B903" s="1238"/>
      <c r="C903" s="620"/>
      <c r="D903" s="613"/>
      <c r="E903" s="675"/>
      <c r="F903" s="675"/>
      <c r="G903" s="189"/>
      <c r="H903" s="1093"/>
      <c r="I903" s="675"/>
      <c r="J903" s="189"/>
      <c r="K903" s="189"/>
      <c r="L903" s="675"/>
      <c r="M903" s="676"/>
      <c r="O903" s="644"/>
    </row>
    <row r="904" ht="25.5" customHeight="1">
      <c r="A904" s="635"/>
      <c r="B904" s="1238"/>
      <c r="C904" s="620"/>
      <c r="D904" s="613"/>
      <c r="E904" s="675"/>
      <c r="F904" s="675"/>
      <c r="G904" s="189"/>
      <c r="H904" s="1093"/>
      <c r="I904" s="675"/>
      <c r="J904" s="189"/>
      <c r="K904" s="189"/>
      <c r="L904" s="675"/>
      <c r="M904" s="676"/>
      <c r="O904" s="644"/>
    </row>
    <row r="905" ht="25.5" customHeight="1">
      <c r="A905" s="635"/>
      <c r="B905" s="1238"/>
      <c r="C905" s="620"/>
      <c r="D905" s="613"/>
      <c r="E905" s="675"/>
      <c r="F905" s="675"/>
      <c r="G905" s="189"/>
      <c r="H905" s="1093"/>
      <c r="I905" s="675"/>
      <c r="J905" s="189"/>
      <c r="K905" s="189"/>
      <c r="L905" s="675"/>
      <c r="M905" s="676"/>
      <c r="O905" s="644"/>
    </row>
    <row r="906" ht="25.5" customHeight="1">
      <c r="A906" s="635"/>
      <c r="B906" s="1238"/>
      <c r="C906" s="620"/>
      <c r="D906" s="613"/>
      <c r="E906" s="675"/>
      <c r="F906" s="675"/>
      <c r="G906" s="189"/>
      <c r="H906" s="1093"/>
      <c r="I906" s="675"/>
      <c r="J906" s="189"/>
      <c r="K906" s="189"/>
      <c r="L906" s="675"/>
      <c r="M906" s="676"/>
      <c r="O906" s="644"/>
    </row>
    <row r="907" ht="25.5" customHeight="1">
      <c r="A907" s="635"/>
      <c r="B907" s="1238"/>
      <c r="C907" s="620"/>
      <c r="D907" s="613"/>
      <c r="E907" s="675"/>
      <c r="F907" s="675"/>
      <c r="G907" s="189"/>
      <c r="H907" s="1093"/>
      <c r="I907" s="675"/>
      <c r="J907" s="189"/>
      <c r="K907" s="189"/>
      <c r="L907" s="675"/>
      <c r="M907" s="676"/>
      <c r="O907" s="644"/>
    </row>
    <row r="908" ht="25.5" customHeight="1">
      <c r="A908" s="635"/>
      <c r="B908" s="1238"/>
      <c r="C908" s="620"/>
      <c r="D908" s="613"/>
      <c r="E908" s="675"/>
      <c r="F908" s="675"/>
      <c r="G908" s="189"/>
      <c r="H908" s="1093"/>
      <c r="I908" s="675"/>
      <c r="J908" s="189"/>
      <c r="K908" s="189"/>
      <c r="L908" s="675"/>
      <c r="M908" s="676"/>
      <c r="O908" s="644"/>
    </row>
    <row r="909" ht="25.5" customHeight="1">
      <c r="A909" s="635"/>
      <c r="B909" s="1238"/>
      <c r="C909" s="620"/>
      <c r="D909" s="613"/>
      <c r="E909" s="675"/>
      <c r="F909" s="675"/>
      <c r="G909" s="189"/>
      <c r="H909" s="1093"/>
      <c r="I909" s="675"/>
      <c r="J909" s="189"/>
      <c r="K909" s="189"/>
      <c r="L909" s="675"/>
      <c r="M909" s="676"/>
      <c r="O909" s="644"/>
    </row>
    <row r="910" ht="25.5" customHeight="1">
      <c r="A910" s="635"/>
      <c r="B910" s="1238"/>
      <c r="C910" s="620"/>
      <c r="D910" s="613"/>
      <c r="E910" s="675"/>
      <c r="F910" s="675"/>
      <c r="G910" s="189"/>
      <c r="H910" s="1093"/>
      <c r="I910" s="675"/>
      <c r="J910" s="189"/>
      <c r="K910" s="189"/>
      <c r="L910" s="675"/>
      <c r="M910" s="676"/>
      <c r="O910" s="644"/>
    </row>
    <row r="911" ht="25.5" customHeight="1">
      <c r="A911" s="635"/>
      <c r="B911" s="1238"/>
      <c r="C911" s="620"/>
      <c r="D911" s="613"/>
      <c r="E911" s="675"/>
      <c r="F911" s="675"/>
      <c r="G911" s="189"/>
      <c r="H911" s="1093"/>
      <c r="I911" s="675"/>
      <c r="J911" s="189"/>
      <c r="K911" s="189"/>
      <c r="L911" s="675"/>
      <c r="M911" s="676"/>
      <c r="O911" s="644"/>
    </row>
    <row r="912" ht="25.5" customHeight="1">
      <c r="A912" s="635"/>
      <c r="B912" s="1238"/>
      <c r="C912" s="620"/>
      <c r="D912" s="613"/>
      <c r="E912" s="675"/>
      <c r="F912" s="675"/>
      <c r="G912" s="189"/>
      <c r="H912" s="1093"/>
      <c r="I912" s="675"/>
      <c r="J912" s="189"/>
      <c r="K912" s="189"/>
      <c r="L912" s="675"/>
      <c r="M912" s="676"/>
      <c r="O912" s="644"/>
    </row>
    <row r="913" ht="25.5" customHeight="1">
      <c r="A913" s="635"/>
      <c r="B913" s="1238"/>
      <c r="C913" s="620"/>
      <c r="D913" s="613"/>
      <c r="E913" s="675"/>
      <c r="F913" s="675"/>
      <c r="G913" s="189"/>
      <c r="H913" s="1093"/>
      <c r="I913" s="675"/>
      <c r="J913" s="189"/>
      <c r="K913" s="189"/>
      <c r="L913" s="675"/>
      <c r="M913" s="676"/>
      <c r="O913" s="644"/>
    </row>
    <row r="914" ht="25.5" customHeight="1">
      <c r="A914" s="635"/>
      <c r="B914" s="1238"/>
      <c r="C914" s="620"/>
      <c r="D914" s="613"/>
      <c r="E914" s="675"/>
      <c r="F914" s="675"/>
      <c r="G914" s="189"/>
      <c r="H914" s="1093"/>
      <c r="I914" s="675"/>
      <c r="J914" s="189"/>
      <c r="K914" s="189"/>
      <c r="L914" s="675"/>
      <c r="M914" s="676"/>
      <c r="O914" s="644"/>
    </row>
    <row r="915" ht="25.5" customHeight="1">
      <c r="A915" s="635"/>
      <c r="B915" s="1238"/>
      <c r="C915" s="620"/>
      <c r="D915" s="613"/>
      <c r="E915" s="675"/>
      <c r="F915" s="675"/>
      <c r="G915" s="189"/>
      <c r="H915" s="1093"/>
      <c r="I915" s="675"/>
      <c r="J915" s="189"/>
      <c r="K915" s="189"/>
      <c r="L915" s="675"/>
      <c r="M915" s="676"/>
      <c r="O915" s="644"/>
    </row>
    <row r="916" ht="25.5" customHeight="1">
      <c r="A916" s="635"/>
      <c r="B916" s="1238"/>
      <c r="C916" s="620"/>
      <c r="D916" s="613"/>
      <c r="E916" s="675"/>
      <c r="F916" s="675"/>
      <c r="G916" s="189"/>
      <c r="H916" s="1093"/>
      <c r="I916" s="675"/>
      <c r="J916" s="189"/>
      <c r="K916" s="189"/>
      <c r="L916" s="675"/>
      <c r="M916" s="676"/>
      <c r="O916" s="644"/>
    </row>
    <row r="917" ht="25.5" customHeight="1">
      <c r="A917" s="635"/>
      <c r="B917" s="1238"/>
      <c r="C917" s="620"/>
      <c r="D917" s="613"/>
      <c r="E917" s="675"/>
      <c r="F917" s="675"/>
      <c r="G917" s="189"/>
      <c r="H917" s="1093"/>
      <c r="I917" s="675"/>
      <c r="J917" s="189"/>
      <c r="K917" s="189"/>
      <c r="L917" s="675"/>
      <c r="M917" s="676"/>
      <c r="O917" s="644"/>
    </row>
    <row r="918" ht="25.5" customHeight="1">
      <c r="A918" s="635"/>
      <c r="B918" s="1238"/>
      <c r="C918" s="620"/>
      <c r="D918" s="613"/>
      <c r="E918" s="675"/>
      <c r="F918" s="675"/>
      <c r="G918" s="189"/>
      <c r="H918" s="1093"/>
      <c r="I918" s="675"/>
      <c r="J918" s="189"/>
      <c r="K918" s="189"/>
      <c r="L918" s="675"/>
      <c r="M918" s="676"/>
      <c r="O918" s="644"/>
    </row>
    <row r="919" ht="25.5" customHeight="1">
      <c r="A919" s="635"/>
      <c r="B919" s="1238"/>
      <c r="C919" s="620"/>
      <c r="D919" s="613"/>
      <c r="E919" s="675"/>
      <c r="F919" s="675"/>
      <c r="G919" s="189"/>
      <c r="H919" s="1093"/>
      <c r="I919" s="675"/>
      <c r="J919" s="189"/>
      <c r="K919" s="189"/>
      <c r="L919" s="675"/>
      <c r="M919" s="676"/>
      <c r="O919" s="644"/>
    </row>
    <row r="920" ht="25.5" customHeight="1">
      <c r="A920" s="635"/>
      <c r="B920" s="1238"/>
      <c r="C920" s="620"/>
      <c r="D920" s="613"/>
      <c r="E920" s="675"/>
      <c r="F920" s="675"/>
      <c r="G920" s="189"/>
      <c r="H920" s="1093"/>
      <c r="I920" s="675"/>
      <c r="J920" s="189"/>
      <c r="K920" s="189"/>
      <c r="L920" s="675"/>
      <c r="M920" s="676"/>
      <c r="O920" s="644"/>
    </row>
    <row r="921" ht="25.5" customHeight="1">
      <c r="A921" s="635"/>
      <c r="B921" s="1238"/>
      <c r="C921" s="620"/>
      <c r="D921" s="613"/>
      <c r="E921" s="675"/>
      <c r="F921" s="675"/>
      <c r="G921" s="189"/>
      <c r="H921" s="1093"/>
      <c r="I921" s="675"/>
      <c r="J921" s="189"/>
      <c r="K921" s="189"/>
      <c r="L921" s="675"/>
      <c r="M921" s="676"/>
      <c r="O921" s="644"/>
    </row>
    <row r="922" ht="25.5" customHeight="1">
      <c r="A922" s="635"/>
      <c r="B922" s="1238"/>
      <c r="C922" s="620"/>
      <c r="D922" s="613"/>
      <c r="E922" s="675"/>
      <c r="F922" s="675"/>
      <c r="G922" s="189"/>
      <c r="H922" s="1093"/>
      <c r="I922" s="675"/>
      <c r="J922" s="189"/>
      <c r="K922" s="189"/>
      <c r="L922" s="675"/>
      <c r="M922" s="676"/>
      <c r="O922" s="644"/>
    </row>
    <row r="923" ht="25.5" customHeight="1">
      <c r="A923" s="635"/>
      <c r="B923" s="1238"/>
      <c r="C923" s="620"/>
      <c r="D923" s="613"/>
      <c r="E923" s="675"/>
      <c r="F923" s="675"/>
      <c r="G923" s="189"/>
      <c r="H923" s="1093"/>
      <c r="I923" s="675"/>
      <c r="J923" s="189"/>
      <c r="K923" s="189"/>
      <c r="L923" s="675"/>
      <c r="M923" s="676"/>
      <c r="O923" s="644"/>
    </row>
    <row r="924" ht="25.5" customHeight="1">
      <c r="A924" s="635"/>
      <c r="B924" s="1238"/>
      <c r="C924" s="620"/>
      <c r="D924" s="613"/>
      <c r="E924" s="675"/>
      <c r="F924" s="675"/>
      <c r="G924" s="189"/>
      <c r="H924" s="1093"/>
      <c r="I924" s="675"/>
      <c r="J924" s="189"/>
      <c r="K924" s="189"/>
      <c r="L924" s="675"/>
      <c r="M924" s="676"/>
      <c r="O924" s="644"/>
    </row>
    <row r="925" ht="25.5" customHeight="1">
      <c r="A925" s="635"/>
      <c r="B925" s="1238"/>
      <c r="C925" s="620"/>
      <c r="D925" s="613"/>
      <c r="E925" s="675"/>
      <c r="F925" s="675"/>
      <c r="G925" s="189"/>
      <c r="H925" s="1093"/>
      <c r="I925" s="675"/>
      <c r="J925" s="189"/>
      <c r="K925" s="189"/>
      <c r="L925" s="675"/>
      <c r="M925" s="676"/>
      <c r="O925" s="644"/>
    </row>
    <row r="926" ht="25.5" customHeight="1">
      <c r="A926" s="635"/>
      <c r="B926" s="1238"/>
      <c r="C926" s="620"/>
      <c r="D926" s="613"/>
      <c r="E926" s="675"/>
      <c r="F926" s="675"/>
      <c r="G926" s="189"/>
      <c r="H926" s="1093"/>
      <c r="I926" s="675"/>
      <c r="J926" s="189"/>
      <c r="K926" s="189"/>
      <c r="L926" s="675"/>
      <c r="M926" s="676"/>
      <c r="O926" s="644"/>
    </row>
    <row r="927" ht="25.5" customHeight="1">
      <c r="A927" s="635"/>
      <c r="B927" s="1238"/>
      <c r="C927" s="620"/>
      <c r="D927" s="613"/>
      <c r="E927" s="675"/>
      <c r="F927" s="675"/>
      <c r="G927" s="189"/>
      <c r="H927" s="1093"/>
      <c r="I927" s="675"/>
      <c r="J927" s="189"/>
      <c r="K927" s="189"/>
      <c r="L927" s="675"/>
      <c r="M927" s="676"/>
      <c r="O927" s="644"/>
    </row>
    <row r="928" ht="25.5" customHeight="1">
      <c r="A928" s="635"/>
      <c r="B928" s="1238"/>
      <c r="C928" s="620"/>
      <c r="D928" s="613"/>
      <c r="E928" s="675"/>
      <c r="F928" s="675"/>
      <c r="G928" s="189"/>
      <c r="H928" s="1093"/>
      <c r="I928" s="675"/>
      <c r="J928" s="189"/>
      <c r="K928" s="189"/>
      <c r="L928" s="675"/>
      <c r="M928" s="676"/>
      <c r="O928" s="644"/>
    </row>
    <row r="929" ht="25.5" customHeight="1">
      <c r="A929" s="635"/>
      <c r="B929" s="1238"/>
      <c r="C929" s="620"/>
      <c r="D929" s="613"/>
      <c r="E929" s="675"/>
      <c r="F929" s="675"/>
      <c r="G929" s="189"/>
      <c r="H929" s="1093"/>
      <c r="I929" s="675"/>
      <c r="J929" s="189"/>
      <c r="K929" s="189"/>
      <c r="L929" s="675"/>
      <c r="M929" s="676"/>
      <c r="O929" s="644"/>
    </row>
    <row r="930" ht="25.5" customHeight="1">
      <c r="A930" s="635"/>
      <c r="B930" s="1238"/>
      <c r="C930" s="620"/>
      <c r="D930" s="613"/>
      <c r="E930" s="675"/>
      <c r="F930" s="675"/>
      <c r="G930" s="189"/>
      <c r="H930" s="1093"/>
      <c r="I930" s="675"/>
      <c r="J930" s="189"/>
      <c r="K930" s="189"/>
      <c r="L930" s="675"/>
      <c r="M930" s="676"/>
      <c r="O930" s="644"/>
    </row>
    <row r="931" ht="25.5" customHeight="1">
      <c r="A931" s="635"/>
      <c r="B931" s="1238"/>
      <c r="C931" s="620"/>
      <c r="D931" s="613"/>
      <c r="E931" s="675"/>
      <c r="F931" s="675"/>
      <c r="G931" s="189"/>
      <c r="H931" s="1093"/>
      <c r="I931" s="675"/>
      <c r="J931" s="189"/>
      <c r="K931" s="189"/>
      <c r="L931" s="675"/>
      <c r="M931" s="676"/>
      <c r="O931" s="644"/>
    </row>
    <row r="932" ht="25.5" customHeight="1">
      <c r="A932" s="635"/>
      <c r="B932" s="1238"/>
      <c r="C932" s="620"/>
      <c r="D932" s="613"/>
      <c r="E932" s="675"/>
      <c r="F932" s="675"/>
      <c r="G932" s="189"/>
      <c r="H932" s="1093"/>
      <c r="I932" s="675"/>
      <c r="J932" s="189"/>
      <c r="K932" s="189"/>
      <c r="L932" s="675"/>
      <c r="M932" s="676"/>
      <c r="O932" s="644"/>
    </row>
    <row r="933" ht="25.5" customHeight="1">
      <c r="A933" s="635"/>
      <c r="B933" s="1238"/>
      <c r="C933" s="620"/>
      <c r="D933" s="613"/>
      <c r="E933" s="675"/>
      <c r="F933" s="675"/>
      <c r="G933" s="189"/>
      <c r="H933" s="1093"/>
      <c r="I933" s="675"/>
      <c r="J933" s="189"/>
      <c r="K933" s="189"/>
      <c r="L933" s="675"/>
      <c r="M933" s="676"/>
      <c r="O933" s="644"/>
    </row>
    <row r="934" ht="25.5" customHeight="1">
      <c r="A934" s="635"/>
      <c r="B934" s="1238"/>
      <c r="C934" s="620"/>
      <c r="D934" s="613"/>
      <c r="E934" s="675"/>
      <c r="F934" s="675"/>
      <c r="G934" s="189"/>
      <c r="H934" s="1093"/>
      <c r="I934" s="675"/>
      <c r="J934" s="189"/>
      <c r="K934" s="189"/>
      <c r="L934" s="675"/>
      <c r="M934" s="676"/>
      <c r="O934" s="644"/>
    </row>
    <row r="935" ht="25.5" customHeight="1">
      <c r="A935" s="635"/>
      <c r="B935" s="1238"/>
      <c r="C935" s="620"/>
      <c r="D935" s="613"/>
      <c r="E935" s="675"/>
      <c r="F935" s="675"/>
      <c r="G935" s="189"/>
      <c r="H935" s="1093"/>
      <c r="I935" s="675"/>
      <c r="J935" s="189"/>
      <c r="K935" s="189"/>
      <c r="L935" s="675"/>
      <c r="M935" s="676"/>
      <c r="O935" s="644"/>
    </row>
    <row r="936" ht="25.5" customHeight="1">
      <c r="A936" s="635"/>
      <c r="B936" s="1238"/>
      <c r="C936" s="620"/>
      <c r="D936" s="613"/>
      <c r="E936" s="675"/>
      <c r="F936" s="675"/>
      <c r="G936" s="189"/>
      <c r="H936" s="1093"/>
      <c r="I936" s="675"/>
      <c r="J936" s="189"/>
      <c r="K936" s="189"/>
      <c r="L936" s="675"/>
      <c r="M936" s="676"/>
      <c r="O936" s="644"/>
    </row>
    <row r="937" ht="25.5" customHeight="1">
      <c r="A937" s="635"/>
      <c r="B937" s="1238"/>
      <c r="C937" s="620"/>
      <c r="D937" s="613"/>
      <c r="E937" s="675"/>
      <c r="F937" s="675"/>
      <c r="G937" s="189"/>
      <c r="H937" s="1093"/>
      <c r="I937" s="675"/>
      <c r="J937" s="189"/>
      <c r="K937" s="189"/>
      <c r="L937" s="675"/>
      <c r="M937" s="676"/>
      <c r="O937" s="644"/>
    </row>
    <row r="938" ht="25.5" customHeight="1">
      <c r="A938" s="635"/>
      <c r="B938" s="1238"/>
      <c r="C938" s="620"/>
      <c r="D938" s="613"/>
      <c r="E938" s="675"/>
      <c r="F938" s="675"/>
      <c r="G938" s="189"/>
      <c r="H938" s="1093"/>
      <c r="I938" s="675"/>
      <c r="J938" s="189"/>
      <c r="K938" s="189"/>
      <c r="L938" s="675"/>
      <c r="M938" s="676"/>
      <c r="O938" s="644"/>
    </row>
    <row r="939" ht="25.5" customHeight="1">
      <c r="A939" s="635"/>
      <c r="B939" s="1238"/>
      <c r="C939" s="620"/>
      <c r="D939" s="613"/>
      <c r="E939" s="675"/>
      <c r="F939" s="675"/>
      <c r="G939" s="189"/>
      <c r="H939" s="1093"/>
      <c r="I939" s="675"/>
      <c r="J939" s="189"/>
      <c r="K939" s="189"/>
      <c r="L939" s="675"/>
      <c r="M939" s="676"/>
      <c r="O939" s="644"/>
    </row>
    <row r="940" ht="25.5" customHeight="1">
      <c r="A940" s="635"/>
      <c r="B940" s="1238"/>
      <c r="C940" s="620"/>
      <c r="D940" s="613"/>
      <c r="E940" s="675"/>
      <c r="F940" s="675"/>
      <c r="G940" s="189"/>
      <c r="H940" s="1093"/>
      <c r="I940" s="675"/>
      <c r="J940" s="189"/>
      <c r="K940" s="189"/>
      <c r="L940" s="675"/>
      <c r="M940" s="676"/>
      <c r="O940" s="644"/>
    </row>
    <row r="941" ht="25.5" customHeight="1">
      <c r="A941" s="635"/>
      <c r="B941" s="1238"/>
      <c r="C941" s="620"/>
      <c r="D941" s="613"/>
      <c r="E941" s="675"/>
      <c r="F941" s="675"/>
      <c r="G941" s="189"/>
      <c r="H941" s="1093"/>
      <c r="I941" s="675"/>
      <c r="J941" s="189"/>
      <c r="K941" s="189"/>
      <c r="L941" s="675"/>
      <c r="M941" s="676"/>
      <c r="O941" s="644"/>
    </row>
    <row r="942" ht="25.5" customHeight="1">
      <c r="A942" s="635"/>
      <c r="B942" s="1238"/>
      <c r="C942" s="620"/>
      <c r="D942" s="613"/>
      <c r="E942" s="675"/>
      <c r="F942" s="675"/>
      <c r="G942" s="189"/>
      <c r="H942" s="1093"/>
      <c r="I942" s="675"/>
      <c r="J942" s="189"/>
      <c r="K942" s="189"/>
      <c r="L942" s="675"/>
      <c r="M942" s="676"/>
      <c r="O942" s="644"/>
    </row>
    <row r="943" ht="25.5" customHeight="1">
      <c r="A943" s="635"/>
      <c r="B943" s="1238"/>
      <c r="C943" s="620"/>
      <c r="D943" s="613"/>
      <c r="E943" s="675"/>
      <c r="F943" s="675"/>
      <c r="G943" s="189"/>
      <c r="H943" s="1093"/>
      <c r="I943" s="675"/>
      <c r="J943" s="189"/>
      <c r="K943" s="189"/>
      <c r="L943" s="675"/>
      <c r="M943" s="676"/>
      <c r="O943" s="644"/>
    </row>
    <row r="944" ht="25.5" customHeight="1">
      <c r="A944" s="635"/>
      <c r="B944" s="1238"/>
      <c r="C944" s="620"/>
      <c r="D944" s="613"/>
      <c r="E944" s="675"/>
      <c r="F944" s="675"/>
      <c r="G944" s="189"/>
      <c r="H944" s="1093"/>
      <c r="I944" s="675"/>
      <c r="J944" s="189"/>
      <c r="K944" s="189"/>
      <c r="L944" s="675"/>
      <c r="M944" s="676"/>
      <c r="O944" s="644"/>
    </row>
    <row r="945" ht="25.5" customHeight="1">
      <c r="A945" s="635"/>
      <c r="B945" s="1238"/>
      <c r="C945" s="620"/>
      <c r="D945" s="613"/>
      <c r="E945" s="675"/>
      <c r="F945" s="675"/>
      <c r="G945" s="189"/>
      <c r="H945" s="1093"/>
      <c r="I945" s="675"/>
      <c r="J945" s="189"/>
      <c r="K945" s="189"/>
      <c r="L945" s="675"/>
      <c r="M945" s="676"/>
      <c r="O945" s="644"/>
    </row>
    <row r="946" ht="25.5" customHeight="1">
      <c r="A946" s="635"/>
      <c r="B946" s="1238"/>
      <c r="C946" s="620"/>
      <c r="D946" s="613"/>
      <c r="E946" s="675"/>
      <c r="F946" s="675"/>
      <c r="G946" s="189"/>
      <c r="H946" s="1093"/>
      <c r="I946" s="675"/>
      <c r="J946" s="189"/>
      <c r="K946" s="189"/>
      <c r="L946" s="675"/>
      <c r="M946" s="676"/>
      <c r="O946" s="644"/>
    </row>
    <row r="947" ht="25.5" customHeight="1">
      <c r="A947" s="635"/>
      <c r="B947" s="1238"/>
      <c r="C947" s="620"/>
      <c r="D947" s="613"/>
      <c r="E947" s="675"/>
      <c r="F947" s="675"/>
      <c r="G947" s="189"/>
      <c r="H947" s="1093"/>
      <c r="I947" s="675"/>
      <c r="J947" s="189"/>
      <c r="K947" s="189"/>
      <c r="L947" s="675"/>
      <c r="M947" s="676"/>
      <c r="O947" s="644"/>
    </row>
    <row r="948" ht="25.5" customHeight="1">
      <c r="A948" s="635"/>
      <c r="B948" s="1238"/>
      <c r="C948" s="620"/>
      <c r="D948" s="613"/>
      <c r="E948" s="675"/>
      <c r="F948" s="675"/>
      <c r="G948" s="189"/>
      <c r="H948" s="1093"/>
      <c r="I948" s="675"/>
      <c r="J948" s="189"/>
      <c r="K948" s="189"/>
      <c r="L948" s="675"/>
      <c r="M948" s="676"/>
      <c r="O948" s="644"/>
    </row>
    <row r="949" ht="25.5" customHeight="1">
      <c r="A949" s="635"/>
      <c r="B949" s="1238"/>
      <c r="C949" s="620"/>
      <c r="D949" s="613"/>
      <c r="E949" s="675"/>
      <c r="F949" s="675"/>
      <c r="G949" s="189"/>
      <c r="H949" s="1093"/>
      <c r="I949" s="675"/>
      <c r="J949" s="189"/>
      <c r="K949" s="189"/>
      <c r="L949" s="675"/>
      <c r="M949" s="676"/>
      <c r="O949" s="644"/>
    </row>
    <row r="950" ht="25.5" customHeight="1">
      <c r="A950" s="635"/>
      <c r="B950" s="1238"/>
      <c r="C950" s="620"/>
      <c r="D950" s="613"/>
      <c r="E950" s="675"/>
      <c r="F950" s="675"/>
      <c r="G950" s="189"/>
      <c r="H950" s="1093"/>
      <c r="I950" s="675"/>
      <c r="J950" s="189"/>
      <c r="K950" s="189"/>
      <c r="L950" s="675"/>
      <c r="M950" s="676"/>
      <c r="O950" s="644"/>
    </row>
    <row r="951" ht="25.5" customHeight="1">
      <c r="A951" s="635"/>
      <c r="B951" s="1238"/>
      <c r="C951" s="620"/>
      <c r="D951" s="613"/>
      <c r="E951" s="675"/>
      <c r="F951" s="675"/>
      <c r="G951" s="189"/>
      <c r="H951" s="1093"/>
      <c r="I951" s="675"/>
      <c r="J951" s="189"/>
      <c r="K951" s="189"/>
      <c r="L951" s="675"/>
      <c r="M951" s="676"/>
      <c r="O951" s="644"/>
    </row>
    <row r="952" ht="25.5" customHeight="1">
      <c r="A952" s="635"/>
      <c r="B952" s="1238"/>
      <c r="C952" s="620"/>
      <c r="D952" s="613"/>
      <c r="E952" s="675"/>
      <c r="F952" s="675"/>
      <c r="G952" s="189"/>
      <c r="H952" s="1093"/>
      <c r="I952" s="675"/>
      <c r="J952" s="189"/>
      <c r="K952" s="189"/>
      <c r="L952" s="675"/>
      <c r="M952" s="676"/>
      <c r="O952" s="644"/>
    </row>
    <row r="953" ht="25.5" customHeight="1">
      <c r="A953" s="635"/>
      <c r="B953" s="1238"/>
      <c r="C953" s="620"/>
      <c r="D953" s="613"/>
      <c r="E953" s="675"/>
      <c r="F953" s="675"/>
      <c r="G953" s="189"/>
      <c r="H953" s="1093"/>
      <c r="I953" s="675"/>
      <c r="J953" s="189"/>
      <c r="K953" s="189"/>
      <c r="L953" s="675"/>
      <c r="M953" s="676"/>
      <c r="O953" s="644"/>
    </row>
    <row r="954" ht="25.5" customHeight="1">
      <c r="A954" s="635"/>
      <c r="B954" s="1238"/>
      <c r="C954" s="620"/>
      <c r="D954" s="613"/>
      <c r="E954" s="675"/>
      <c r="F954" s="675"/>
      <c r="G954" s="189"/>
      <c r="H954" s="1093"/>
      <c r="I954" s="675"/>
      <c r="J954" s="189"/>
      <c r="K954" s="189"/>
      <c r="L954" s="675"/>
      <c r="M954" s="676"/>
      <c r="O954" s="644"/>
    </row>
    <row r="955" ht="25.5" customHeight="1">
      <c r="A955" s="635"/>
      <c r="B955" s="1238"/>
      <c r="C955" s="620"/>
      <c r="D955" s="613"/>
      <c r="E955" s="675"/>
      <c r="F955" s="675"/>
      <c r="G955" s="189"/>
      <c r="H955" s="1093"/>
      <c r="I955" s="675"/>
      <c r="J955" s="189"/>
      <c r="K955" s="189"/>
      <c r="L955" s="675"/>
      <c r="M955" s="676"/>
      <c r="O955" s="644"/>
    </row>
    <row r="956" ht="25.5" customHeight="1">
      <c r="A956" s="635"/>
      <c r="B956" s="1238"/>
      <c r="C956" s="620"/>
      <c r="D956" s="613"/>
      <c r="E956" s="675"/>
      <c r="F956" s="675"/>
      <c r="G956" s="189"/>
      <c r="H956" s="1093"/>
      <c r="I956" s="675"/>
      <c r="J956" s="189"/>
      <c r="K956" s="189"/>
      <c r="L956" s="675"/>
      <c r="M956" s="676"/>
      <c r="O956" s="644"/>
    </row>
    <row r="957" ht="25.5" customHeight="1">
      <c r="A957" s="635"/>
      <c r="B957" s="1238"/>
      <c r="C957" s="620"/>
      <c r="D957" s="613"/>
      <c r="E957" s="675"/>
      <c r="F957" s="675"/>
      <c r="G957" s="189"/>
      <c r="H957" s="1093"/>
      <c r="I957" s="675"/>
      <c r="J957" s="189"/>
      <c r="K957" s="189"/>
      <c r="L957" s="675"/>
      <c r="M957" s="676"/>
      <c r="O957" s="644"/>
    </row>
  </sheetData>
  <hyperlinks>
    <hyperlink r:id="rId1" ref="P6"/>
    <hyperlink r:id="rId2" ref="P11"/>
    <hyperlink r:id="rId3" ref="P12"/>
    <hyperlink r:id="rId4" ref="P15"/>
    <hyperlink r:id="rId5" ref="P17"/>
    <hyperlink r:id="rId6" ref="P21"/>
    <hyperlink r:id="rId7" ref="P23"/>
    <hyperlink r:id="rId8" ref="P25"/>
    <hyperlink r:id="rId9" ref="O35"/>
    <hyperlink r:id="rId10" ref="P47"/>
  </hyperlinks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9.0" ySplit="4.0" topLeftCell="J5" activePane="bottomRight" state="frozen"/>
      <selection activeCell="J1" sqref="J1" pane="topRight"/>
      <selection activeCell="A5" sqref="A5" pane="bottomLeft"/>
      <selection activeCell="J5" sqref="J5" pane="bottomRight"/>
    </sheetView>
  </sheetViews>
  <sheetFormatPr customHeight="1" defaultColWidth="11.22" defaultRowHeight="15.75"/>
  <cols>
    <col customWidth="1" min="1" max="1" width="8.0"/>
    <col customWidth="1" min="2" max="2" width="19.67"/>
    <col customWidth="1" min="3" max="4" width="8.22"/>
    <col customWidth="1" min="9" max="9" width="13.11"/>
    <col customWidth="1" min="10" max="10" width="7.44"/>
    <col customWidth="1" min="17" max="17" width="9.56"/>
    <col customWidth="1" min="18" max="18" width="64.11"/>
    <col customWidth="1" min="19" max="19" width="66.22"/>
  </cols>
  <sheetData>
    <row r="1" ht="25.5" customHeight="1">
      <c r="A1" s="1055"/>
      <c r="B1" s="1257"/>
      <c r="C1" s="571"/>
      <c r="D1" s="1258"/>
      <c r="E1" s="675"/>
      <c r="F1" s="675"/>
      <c r="O1" s="646">
        <f>100000-O2</f>
        <v>0</v>
      </c>
      <c r="P1" s="53">
        <f>P2-53250</f>
        <v>-53250</v>
      </c>
      <c r="Q1" s="53"/>
      <c r="R1" s="53"/>
      <c r="S1" s="608"/>
      <c r="T1" s="53"/>
      <c r="U1" s="53" t="s">
        <v>1014</v>
      </c>
      <c r="V1" s="53" t="s">
        <v>31</v>
      </c>
      <c r="W1" s="53" t="s">
        <v>32</v>
      </c>
      <c r="X1" s="53" t="s">
        <v>33</v>
      </c>
      <c r="Y1" s="53" t="s">
        <v>52</v>
      </c>
      <c r="Z1" s="53"/>
      <c r="AA1" s="53"/>
      <c r="AB1" s="53"/>
      <c r="AC1" s="53"/>
      <c r="AD1" s="53"/>
      <c r="AE1" s="53"/>
      <c r="AF1" s="53"/>
      <c r="AG1" s="53"/>
      <c r="AH1" s="53"/>
      <c r="AI1" s="53"/>
    </row>
    <row r="2" ht="25.5" customHeight="1">
      <c r="A2" s="1055"/>
      <c r="B2" s="571" t="s">
        <v>944</v>
      </c>
      <c r="C2" s="571">
        <f t="shared" ref="C2:Q2" si="1">SUM(C3:C1007)</f>
        <v>6.61628</v>
      </c>
      <c r="D2" s="1258">
        <f t="shared" si="1"/>
        <v>0.168231218</v>
      </c>
      <c r="E2" s="1206">
        <f t="shared" si="1"/>
        <v>16622.35</v>
      </c>
      <c r="F2" s="1206">
        <f t="shared" si="1"/>
        <v>128960</v>
      </c>
      <c r="G2" s="571">
        <f t="shared" si="1"/>
        <v>0</v>
      </c>
      <c r="H2" s="571">
        <f t="shared" si="1"/>
        <v>144408.7732</v>
      </c>
      <c r="I2" s="571">
        <f t="shared" si="1"/>
        <v>-1.68999999</v>
      </c>
      <c r="J2" s="571">
        <f t="shared" si="1"/>
        <v>-0.97527</v>
      </c>
      <c r="K2" s="571">
        <f t="shared" si="1"/>
        <v>0</v>
      </c>
      <c r="L2" s="571">
        <f t="shared" si="1"/>
        <v>-0.08</v>
      </c>
      <c r="M2" s="571">
        <f t="shared" si="1"/>
        <v>-5371.8869</v>
      </c>
      <c r="N2" s="571">
        <f t="shared" si="1"/>
        <v>5001</v>
      </c>
      <c r="O2" s="571">
        <f t="shared" si="1"/>
        <v>100000</v>
      </c>
      <c r="P2" s="571">
        <f t="shared" si="1"/>
        <v>0</v>
      </c>
      <c r="Q2" s="571">
        <f t="shared" si="1"/>
        <v>-0.0000000009313225746</v>
      </c>
      <c r="R2" s="53"/>
      <c r="S2" s="608"/>
      <c r="T2" s="53"/>
      <c r="U2" s="1077">
        <v>44927.0</v>
      </c>
      <c r="V2" s="53">
        <v>400129.0</v>
      </c>
      <c r="W2" s="53">
        <v>3.589</v>
      </c>
      <c r="X2" s="53">
        <v>0.0</v>
      </c>
      <c r="Y2" s="53">
        <v>52667.0</v>
      </c>
      <c r="Z2" s="53"/>
      <c r="AA2" s="53"/>
      <c r="AB2" s="53"/>
      <c r="AC2" s="53"/>
      <c r="AD2" s="53"/>
      <c r="AE2" s="53"/>
      <c r="AF2" s="53"/>
      <c r="AG2" s="53"/>
      <c r="AH2" s="53"/>
      <c r="AI2" s="53"/>
    </row>
    <row r="3" ht="25.5" customHeight="1">
      <c r="A3" s="1208"/>
      <c r="B3" s="449" t="s">
        <v>1015</v>
      </c>
      <c r="C3" s="449">
        <v>3.589</v>
      </c>
      <c r="D3" s="1259">
        <v>0.2867</v>
      </c>
      <c r="E3" s="1260">
        <v>0.0</v>
      </c>
      <c r="F3" s="1260">
        <v>400129.0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/>
      <c r="R3" s="1"/>
      <c r="S3" s="1214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ht="25.5" customHeight="1">
      <c r="A4" s="1222" t="s">
        <v>113</v>
      </c>
      <c r="B4" s="1261" t="s">
        <v>114</v>
      </c>
      <c r="C4" s="1222" t="s">
        <v>32</v>
      </c>
      <c r="D4" s="1262" t="s">
        <v>33</v>
      </c>
      <c r="E4" s="1228" t="s">
        <v>585</v>
      </c>
      <c r="F4" s="1228" t="s">
        <v>31</v>
      </c>
      <c r="G4" s="1222" t="s">
        <v>1016</v>
      </c>
      <c r="H4" s="1222" t="s">
        <v>30</v>
      </c>
      <c r="I4" s="1222" t="s">
        <v>1017</v>
      </c>
      <c r="J4" s="1222" t="s">
        <v>1018</v>
      </c>
      <c r="K4" s="1230" t="s">
        <v>1019</v>
      </c>
      <c r="L4" s="1230" t="s">
        <v>952</v>
      </c>
      <c r="M4" s="1230" t="s">
        <v>1020</v>
      </c>
      <c r="N4" s="1230" t="s">
        <v>1021</v>
      </c>
      <c r="O4" s="1230" t="s">
        <v>1022</v>
      </c>
      <c r="P4" s="1230" t="s">
        <v>1023</v>
      </c>
      <c r="Q4" s="1230" t="s">
        <v>1024</v>
      </c>
      <c r="R4" s="1230" t="s">
        <v>17</v>
      </c>
      <c r="S4" s="1222" t="s">
        <v>188</v>
      </c>
      <c r="T4" s="1222" t="s">
        <v>959</v>
      </c>
      <c r="U4" s="860"/>
      <c r="V4" s="860"/>
      <c r="W4" s="860"/>
      <c r="X4" s="860"/>
      <c r="Y4" s="860"/>
      <c r="Z4" s="860"/>
      <c r="AA4" s="860"/>
      <c r="AB4" s="860"/>
      <c r="AC4" s="860"/>
      <c r="AD4" s="860"/>
      <c r="AE4" s="860"/>
      <c r="AF4" s="860"/>
      <c r="AG4" s="860"/>
      <c r="AH4" s="860"/>
      <c r="AI4" s="860"/>
    </row>
    <row r="5" ht="25.5" customHeight="1">
      <c r="A5" s="1055"/>
      <c r="B5" s="1263"/>
      <c r="C5" s="712"/>
      <c r="D5" s="1264"/>
      <c r="E5" s="675"/>
      <c r="F5" s="675"/>
      <c r="G5" s="1265"/>
      <c r="H5" s="1265"/>
      <c r="I5" s="712"/>
      <c r="J5" s="712"/>
      <c r="K5" s="1266"/>
      <c r="L5" s="1266"/>
      <c r="M5" s="1266"/>
      <c r="N5" s="1233"/>
      <c r="O5" s="1233"/>
      <c r="P5" s="1233"/>
      <c r="Q5" s="1233"/>
      <c r="R5" s="1233"/>
      <c r="S5" s="608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</row>
    <row r="6" ht="25.5" customHeight="1">
      <c r="A6" s="1267"/>
      <c r="B6" s="1268"/>
      <c r="C6" s="1269"/>
      <c r="D6" s="1270"/>
      <c r="E6" s="1271"/>
      <c r="F6" s="1271"/>
      <c r="G6" s="1272"/>
      <c r="H6" s="1272"/>
      <c r="I6" s="1269"/>
      <c r="J6" s="1269"/>
      <c r="K6" s="1273"/>
      <c r="L6" s="1273"/>
      <c r="M6" s="1273"/>
      <c r="N6" s="1274"/>
      <c r="O6" s="1274"/>
      <c r="P6" s="1274"/>
      <c r="Q6" s="1274"/>
      <c r="R6" s="1274"/>
      <c r="S6" s="1275" t="s">
        <v>1025</v>
      </c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</row>
    <row r="7" ht="25.5" customHeight="1">
      <c r="A7" s="1267"/>
      <c r="B7" s="1268"/>
      <c r="C7" s="1269">
        <v>-3.589</v>
      </c>
      <c r="D7" s="1270"/>
      <c r="E7" s="1276"/>
      <c r="F7" s="1276">
        <v>55458.0</v>
      </c>
      <c r="G7" s="1272"/>
      <c r="H7" s="1272"/>
      <c r="I7" s="1269"/>
      <c r="J7" s="1269"/>
      <c r="K7" s="1273"/>
      <c r="L7" s="1273"/>
      <c r="M7" s="1273"/>
      <c r="N7" s="1274"/>
      <c r="O7" s="1274"/>
      <c r="P7" s="1274"/>
      <c r="Q7" s="1274"/>
      <c r="R7" s="1274"/>
      <c r="S7" s="1275" t="s">
        <v>1026</v>
      </c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</row>
    <row r="8" ht="25.5" customHeight="1">
      <c r="A8" s="1267"/>
      <c r="B8" s="1268"/>
      <c r="C8" s="1269"/>
      <c r="D8" s="1270"/>
      <c r="E8" s="1271"/>
      <c r="F8" s="1271"/>
      <c r="G8" s="1272"/>
      <c r="H8" s="1272"/>
      <c r="I8" s="1269"/>
      <c r="J8" s="1269"/>
      <c r="K8" s="1273"/>
      <c r="L8" s="1273"/>
      <c r="M8" s="1273"/>
      <c r="N8" s="1274"/>
      <c r="O8" s="1274"/>
      <c r="P8" s="1274"/>
      <c r="Q8" s="1274"/>
      <c r="R8" s="1274"/>
      <c r="S8" s="1275" t="s">
        <v>1027</v>
      </c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</row>
    <row r="9" ht="25.5" customHeight="1">
      <c r="A9" s="1055"/>
      <c r="B9" s="1263"/>
      <c r="C9" s="712"/>
      <c r="D9" s="1264"/>
      <c r="E9" s="675"/>
      <c r="F9" s="675"/>
      <c r="G9" s="1265"/>
      <c r="H9" s="1265"/>
      <c r="I9" s="712"/>
      <c r="J9" s="712"/>
      <c r="K9" s="1266"/>
      <c r="L9" s="1266"/>
      <c r="M9" s="1266"/>
      <c r="N9" s="1233"/>
      <c r="O9" s="1233"/>
      <c r="P9" s="1233"/>
      <c r="Q9" s="1233"/>
      <c r="R9" s="1233"/>
      <c r="S9" s="608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</row>
    <row r="10" ht="25.5" customHeight="1">
      <c r="A10" s="1055"/>
      <c r="B10" s="1263">
        <v>44944.33332175926</v>
      </c>
      <c r="C10" s="712"/>
      <c r="D10" s="1264"/>
      <c r="E10" s="675"/>
      <c r="F10" s="675"/>
      <c r="G10" s="1265"/>
      <c r="H10" s="1265"/>
      <c r="I10" s="712"/>
      <c r="J10" s="712"/>
      <c r="K10" s="1266"/>
      <c r="L10" s="1266"/>
      <c r="M10" s="1266"/>
      <c r="N10" s="1233"/>
      <c r="O10" s="1233"/>
      <c r="P10" s="1233"/>
      <c r="Q10" s="1233"/>
      <c r="R10" s="1233"/>
      <c r="S10" s="608" t="s">
        <v>1028</v>
      </c>
      <c r="T10" s="609" t="s">
        <v>1029</v>
      </c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</row>
    <row r="11" ht="25.5" customHeight="1">
      <c r="A11" s="1055"/>
      <c r="B11" s="1263">
        <v>44996.35221064815</v>
      </c>
      <c r="C11" s="712"/>
      <c r="D11" s="1264"/>
      <c r="E11" s="1206"/>
      <c r="F11" s="1206">
        <v>1229.0</v>
      </c>
      <c r="G11" s="1265"/>
      <c r="H11" s="1265"/>
      <c r="I11" s="712"/>
      <c r="J11" s="712"/>
      <c r="K11" s="1266"/>
      <c r="L11" s="1266"/>
      <c r="M11" s="1266"/>
      <c r="N11" s="1233"/>
      <c r="O11" s="1233"/>
      <c r="P11" s="1233"/>
      <c r="Q11" s="1233"/>
      <c r="R11" s="1233"/>
      <c r="S11" s="608" t="s">
        <v>1030</v>
      </c>
      <c r="T11" s="609" t="s">
        <v>1031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</row>
    <row r="12" ht="25.5" customHeight="1">
      <c r="A12" s="1055"/>
      <c r="B12" s="1263">
        <v>44996.64221064815</v>
      </c>
      <c r="C12" s="712"/>
      <c r="D12" s="1264">
        <v>144.9432511</v>
      </c>
      <c r="E12" s="1206"/>
      <c r="F12" s="1206">
        <v>-228408.0</v>
      </c>
      <c r="G12" s="1265"/>
      <c r="H12" s="1265"/>
      <c r="I12" s="712"/>
      <c r="J12" s="712"/>
      <c r="K12" s="1266"/>
      <c r="L12" s="1266"/>
      <c r="M12" s="1266"/>
      <c r="N12" s="1233"/>
      <c r="O12" s="1233"/>
      <c r="P12" s="1233"/>
      <c r="Q12" s="1233"/>
      <c r="R12" s="1233"/>
      <c r="S12" s="608" t="s">
        <v>1032</v>
      </c>
      <c r="T12" s="609" t="s">
        <v>1033</v>
      </c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</row>
    <row r="13" ht="25.5" customHeight="1">
      <c r="A13" s="1055"/>
      <c r="B13" s="1263">
        <v>44996.869982442135</v>
      </c>
      <c r="C13" s="712"/>
      <c r="D13" s="1264">
        <v>74.19484614</v>
      </c>
      <c r="E13" s="1206"/>
      <c r="F13" s="1206">
        <v>-114200.0</v>
      </c>
      <c r="G13" s="1265"/>
      <c r="H13" s="1265"/>
      <c r="I13" s="712"/>
      <c r="J13" s="712"/>
      <c r="K13" s="1266"/>
      <c r="L13" s="1266"/>
      <c r="M13" s="1266"/>
      <c r="N13" s="1233"/>
      <c r="O13" s="1233"/>
      <c r="P13" s="1233"/>
      <c r="Q13" s="1233"/>
      <c r="R13" s="1233"/>
      <c r="S13" s="608" t="s">
        <v>1034</v>
      </c>
      <c r="T13" s="609" t="s">
        <v>1035</v>
      </c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</row>
    <row r="14" ht="25.5" customHeight="1">
      <c r="A14" s="1055"/>
      <c r="B14" s="1277">
        <v>44997.0</v>
      </c>
      <c r="C14" s="712"/>
      <c r="D14" s="1264"/>
      <c r="E14" s="1206"/>
      <c r="F14" s="1206">
        <v>-114208.0</v>
      </c>
      <c r="G14" s="712"/>
      <c r="H14" s="712"/>
      <c r="I14" s="712">
        <v>111130.42</v>
      </c>
      <c r="J14" s="712"/>
      <c r="K14" s="1266"/>
      <c r="L14" s="1266"/>
      <c r="M14" s="1266"/>
      <c r="N14" s="1233"/>
      <c r="O14" s="1233"/>
      <c r="P14" s="1233"/>
      <c r="Q14" s="1233"/>
      <c r="R14" s="1233"/>
      <c r="S14" s="608" t="s">
        <v>1036</v>
      </c>
      <c r="T14" s="658" t="s">
        <v>1037</v>
      </c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</row>
    <row r="15" ht="25.5" customHeight="1">
      <c r="A15" s="1055"/>
      <c r="B15" s="1278">
        <v>44997.78383101852</v>
      </c>
      <c r="C15" s="712"/>
      <c r="D15" s="1264">
        <v>-50.0</v>
      </c>
      <c r="E15" s="675"/>
      <c r="F15" s="675"/>
      <c r="G15" s="1265"/>
      <c r="H15" s="1265"/>
      <c r="I15" s="712"/>
      <c r="J15" s="712">
        <v>70900.0</v>
      </c>
      <c r="K15" s="1266"/>
      <c r="L15" s="1266"/>
      <c r="M15" s="1266"/>
      <c r="N15" s="1233"/>
      <c r="O15" s="1233"/>
      <c r="P15" s="1233"/>
      <c r="Q15" s="1233"/>
      <c r="R15" s="1233"/>
      <c r="S15" s="608" t="s">
        <v>1038</v>
      </c>
      <c r="T15" s="609" t="s">
        <v>1039</v>
      </c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</row>
    <row r="16" ht="25.5" customHeight="1">
      <c r="A16" s="1055"/>
      <c r="B16" s="1278">
        <v>44997.790717592594</v>
      </c>
      <c r="C16" s="712"/>
      <c r="D16" s="1264">
        <v>-51.0</v>
      </c>
      <c r="E16" s="675"/>
      <c r="F16" s="675"/>
      <c r="G16" s="1265"/>
      <c r="H16" s="1265"/>
      <c r="I16" s="712"/>
      <c r="J16" s="712">
        <v>74460.0</v>
      </c>
      <c r="K16" s="1266"/>
      <c r="L16" s="1266"/>
      <c r="M16" s="1266"/>
      <c r="N16" s="1233"/>
      <c r="O16" s="1233"/>
      <c r="P16" s="1233"/>
      <c r="Q16" s="1233"/>
      <c r="R16" s="1233"/>
      <c r="S16" s="608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</row>
    <row r="17" ht="25.5" customHeight="1">
      <c r="A17" s="1055"/>
      <c r="B17" s="1278">
        <v>44997.801099537035</v>
      </c>
      <c r="C17" s="712"/>
      <c r="D17" s="1264"/>
      <c r="E17" s="675"/>
      <c r="F17" s="675"/>
      <c r="G17" s="1265"/>
      <c r="H17" s="1265"/>
      <c r="I17" s="712"/>
      <c r="J17" s="712">
        <v>-149.7566</v>
      </c>
      <c r="K17" s="1266"/>
      <c r="L17" s="1266"/>
      <c r="M17" s="1266"/>
      <c r="N17" s="1233"/>
      <c r="O17" s="1233"/>
      <c r="P17" s="1233"/>
      <c r="Q17" s="1233"/>
      <c r="R17" s="1233"/>
      <c r="S17" s="608" t="s">
        <v>1040</v>
      </c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</row>
    <row r="18" ht="25.5" customHeight="1">
      <c r="A18" s="1055"/>
      <c r="B18" s="1278">
        <v>45002.616793981484</v>
      </c>
      <c r="C18" s="712"/>
      <c r="D18" s="1264">
        <v>-51.0</v>
      </c>
      <c r="E18" s="675"/>
      <c r="F18" s="675"/>
      <c r="G18" s="1265"/>
      <c r="H18" s="1265"/>
      <c r="I18" s="712"/>
      <c r="J18" s="712">
        <v>85996.71</v>
      </c>
      <c r="K18" s="1266"/>
      <c r="L18" s="1266"/>
      <c r="M18" s="1266"/>
      <c r="N18" s="1233"/>
      <c r="O18" s="1233"/>
      <c r="P18" s="1233"/>
      <c r="Q18" s="1233"/>
      <c r="R18" s="1233"/>
      <c r="S18" s="608" t="s">
        <v>1041</v>
      </c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</row>
    <row r="19" ht="25.5" customHeight="1">
      <c r="A19" s="1055"/>
      <c r="B19" s="1263"/>
      <c r="C19" s="712"/>
      <c r="D19" s="1264"/>
      <c r="E19" s="675"/>
      <c r="F19" s="675"/>
      <c r="G19" s="712"/>
      <c r="H19" s="712"/>
      <c r="I19" s="712"/>
      <c r="J19" s="712">
        <v>-53.9</v>
      </c>
      <c r="K19" s="1266"/>
      <c r="L19" s="1266"/>
      <c r="M19" s="1266"/>
      <c r="N19" s="1233"/>
      <c r="O19" s="1233"/>
      <c r="P19" s="1233"/>
      <c r="Q19" s="1233"/>
      <c r="R19" s="1233"/>
      <c r="S19" s="608" t="s">
        <v>1042</v>
      </c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</row>
    <row r="20" ht="25.5" customHeight="1">
      <c r="A20" s="1055"/>
      <c r="B20" s="1263">
        <v>45004.86571759259</v>
      </c>
      <c r="C20" s="712"/>
      <c r="D20" s="1264">
        <v>-11.65</v>
      </c>
      <c r="E20" s="675"/>
      <c r="F20" s="675"/>
      <c r="G20" s="712"/>
      <c r="H20" s="712">
        <v>21220.358</v>
      </c>
      <c r="I20" s="712"/>
      <c r="J20" s="712"/>
      <c r="K20" s="1266"/>
      <c r="L20" s="1266"/>
      <c r="M20" s="1266"/>
      <c r="N20" s="1233"/>
      <c r="O20" s="1233"/>
      <c r="P20" s="1233"/>
      <c r="Q20" s="1233"/>
      <c r="R20" s="1233"/>
      <c r="S20" s="608" t="s">
        <v>1043</v>
      </c>
      <c r="T20" s="609" t="s">
        <v>1044</v>
      </c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</row>
    <row r="21" ht="25.5" customHeight="1">
      <c r="A21" s="1055"/>
      <c r="B21" s="1263">
        <v>45004.87509259259</v>
      </c>
      <c r="C21" s="712"/>
      <c r="D21" s="1264"/>
      <c r="E21" s="675"/>
      <c r="F21" s="675"/>
      <c r="G21" s="712"/>
      <c r="H21" s="712"/>
      <c r="I21" s="712"/>
      <c r="J21" s="712">
        <v>-99.8621</v>
      </c>
      <c r="K21" s="1266"/>
      <c r="L21" s="1266"/>
      <c r="M21" s="1266"/>
      <c r="N21" s="1233"/>
      <c r="O21" s="1233"/>
      <c r="P21" s="1233"/>
      <c r="Q21" s="1233"/>
      <c r="R21" s="1233"/>
      <c r="S21" s="608" t="s">
        <v>1045</v>
      </c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</row>
    <row r="22" ht="25.5" customHeight="1">
      <c r="A22" s="1055"/>
      <c r="B22" s="1279">
        <v>45004.90200231481</v>
      </c>
      <c r="C22" s="712"/>
      <c r="D22" s="1264">
        <v>-11.223</v>
      </c>
      <c r="E22" s="675"/>
      <c r="F22" s="675"/>
      <c r="G22" s="712"/>
      <c r="H22" s="712">
        <v>20212.623</v>
      </c>
      <c r="I22" s="712"/>
      <c r="J22" s="712"/>
      <c r="K22" s="1266"/>
      <c r="L22" s="1266"/>
      <c r="M22" s="1266"/>
      <c r="N22" s="1233"/>
      <c r="O22" s="1233"/>
      <c r="P22" s="1233"/>
      <c r="Q22" s="1233"/>
      <c r="R22" s="1233"/>
      <c r="S22" s="608" t="s">
        <v>1046</v>
      </c>
      <c r="T22" s="609" t="s">
        <v>1047</v>
      </c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</row>
    <row r="23" ht="25.5" customHeight="1">
      <c r="A23" s="1055"/>
      <c r="B23" s="1263">
        <v>45005.208333333336</v>
      </c>
      <c r="C23" s="712"/>
      <c r="D23" s="1264">
        <v>-3.2073</v>
      </c>
      <c r="E23" s="675"/>
      <c r="F23" s="675"/>
      <c r="G23" s="712"/>
      <c r="H23" s="712">
        <v>5600.0</v>
      </c>
      <c r="I23" s="712"/>
      <c r="J23" s="712"/>
      <c r="K23" s="1266"/>
      <c r="L23" s="1266"/>
      <c r="M23" s="1266"/>
      <c r="N23" s="1233"/>
      <c r="O23" s="1233"/>
      <c r="P23" s="1233"/>
      <c r="Q23" s="1233"/>
      <c r="R23" s="1233"/>
      <c r="S23" s="608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</row>
    <row r="24" ht="25.5" customHeight="1">
      <c r="A24" s="1055"/>
      <c r="B24" s="1263">
        <v>45005.208333333336</v>
      </c>
      <c r="C24" s="712"/>
      <c r="D24" s="1264">
        <v>-11.6495</v>
      </c>
      <c r="E24" s="1206"/>
      <c r="F24" s="1206">
        <v>20340.0</v>
      </c>
      <c r="G24" s="1265"/>
      <c r="H24" s="1265"/>
      <c r="I24" s="712"/>
      <c r="J24" s="712"/>
      <c r="K24" s="1266"/>
      <c r="L24" s="1266"/>
      <c r="M24" s="1266"/>
      <c r="N24" s="1233"/>
      <c r="O24" s="1233"/>
      <c r="P24" s="1233"/>
      <c r="Q24" s="1233"/>
      <c r="R24" s="1233"/>
      <c r="S24" s="608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</row>
    <row r="25" ht="25.5" customHeight="1">
      <c r="A25" s="1280"/>
      <c r="B25" s="1263">
        <v>45006.11082175926</v>
      </c>
      <c r="C25" s="712"/>
      <c r="D25" s="1264">
        <v>-0.100119952782019</v>
      </c>
      <c r="E25" s="675"/>
      <c r="F25" s="675"/>
      <c r="G25" s="1265"/>
      <c r="H25" s="1265"/>
      <c r="I25" s="712"/>
      <c r="J25" s="712"/>
      <c r="K25" s="1266"/>
      <c r="L25" s="1266"/>
      <c r="M25" s="1266"/>
      <c r="N25" s="1233"/>
      <c r="O25" s="1233"/>
      <c r="P25" s="1233"/>
      <c r="Q25" s="1233"/>
      <c r="R25" s="1233"/>
      <c r="S25" s="608" t="s">
        <v>1048</v>
      </c>
      <c r="T25" s="609" t="s">
        <v>1049</v>
      </c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</row>
    <row r="26" ht="25.5" customHeight="1">
      <c r="A26" s="1281"/>
      <c r="B26" s="1282">
        <v>45006.520833333336</v>
      </c>
      <c r="C26" s="1283"/>
      <c r="D26" s="1284"/>
      <c r="E26" s="1285"/>
      <c r="F26" s="1285"/>
      <c r="G26" s="1286"/>
      <c r="H26" s="1286"/>
      <c r="I26" s="1283"/>
      <c r="J26" s="1283">
        <v>-60001.0</v>
      </c>
      <c r="K26" s="1287"/>
      <c r="L26" s="1287"/>
      <c r="M26" s="1287"/>
      <c r="N26" s="1288"/>
      <c r="O26" s="1288"/>
      <c r="P26" s="1288"/>
      <c r="Q26" s="1288"/>
      <c r="R26" s="1288"/>
      <c r="S26" s="1289" t="s">
        <v>1050</v>
      </c>
      <c r="T26" s="1288"/>
      <c r="U26" s="1288"/>
      <c r="V26" s="1288"/>
      <c r="W26" s="1288"/>
      <c r="X26" s="1288"/>
      <c r="Y26" s="1288"/>
      <c r="Z26" s="1288"/>
      <c r="AA26" s="1288"/>
      <c r="AB26" s="1288"/>
      <c r="AC26" s="1288"/>
      <c r="AD26" s="1288"/>
      <c r="AE26" s="1288"/>
      <c r="AF26" s="1288"/>
      <c r="AG26" s="1288"/>
      <c r="AH26" s="1288"/>
      <c r="AI26" s="1288"/>
    </row>
    <row r="27" ht="25.5" customHeight="1">
      <c r="A27" s="1055"/>
      <c r="B27" s="1263">
        <v>45006.571921296294</v>
      </c>
      <c r="C27" s="712"/>
      <c r="D27" s="1264">
        <v>-12.6202</v>
      </c>
      <c r="E27" s="1206"/>
      <c r="F27" s="1206">
        <v>22590.0</v>
      </c>
      <c r="G27" s="1265"/>
      <c r="H27" s="1265"/>
      <c r="I27" s="712"/>
      <c r="J27" s="712"/>
      <c r="K27" s="1266"/>
      <c r="L27" s="1266"/>
      <c r="M27" s="1266"/>
      <c r="N27" s="1233"/>
      <c r="O27" s="1233"/>
      <c r="P27" s="1233"/>
      <c r="Q27" s="1233"/>
      <c r="R27" s="1233"/>
      <c r="S27" s="608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</row>
    <row r="28" ht="25.5" customHeight="1">
      <c r="A28" s="1055"/>
      <c r="B28" s="1278">
        <v>45007.398043981484</v>
      </c>
      <c r="C28" s="712"/>
      <c r="D28" s="1264"/>
      <c r="E28" s="675"/>
      <c r="F28" s="675"/>
      <c r="G28" s="1265"/>
      <c r="H28" s="1265"/>
      <c r="I28" s="712"/>
      <c r="J28" s="712"/>
      <c r="K28" s="1266"/>
      <c r="L28" s="1266"/>
      <c r="M28" s="1266"/>
      <c r="N28" s="1233"/>
      <c r="O28" s="1233"/>
      <c r="P28" s="1233"/>
      <c r="Q28" s="1233"/>
      <c r="R28" s="1233"/>
      <c r="S28" s="608" t="s">
        <v>1051</v>
      </c>
      <c r="T28" s="609" t="s">
        <v>1052</v>
      </c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</row>
    <row r="29" ht="25.5" customHeight="1">
      <c r="A29" s="1281"/>
      <c r="B29" s="1290">
        <v>45007.48148148148</v>
      </c>
      <c r="C29" s="1283"/>
      <c r="D29" s="1284"/>
      <c r="E29" s="1291"/>
      <c r="F29" s="1291"/>
      <c r="G29" s="1283"/>
      <c r="H29" s="1283"/>
      <c r="I29" s="1283"/>
      <c r="J29" s="1283">
        <v>-98000.0</v>
      </c>
      <c r="K29" s="1287"/>
      <c r="L29" s="1287"/>
      <c r="M29" s="1287"/>
      <c r="N29" s="1288"/>
      <c r="O29" s="1288"/>
      <c r="P29" s="1288"/>
      <c r="Q29" s="1288"/>
      <c r="R29" s="1288"/>
      <c r="S29" s="1289" t="s">
        <v>1053</v>
      </c>
      <c r="T29" s="1288"/>
      <c r="U29" s="1288"/>
      <c r="V29" s="1288"/>
      <c r="W29" s="1288"/>
      <c r="X29" s="1288"/>
      <c r="Y29" s="1288"/>
      <c r="Z29" s="1288"/>
      <c r="AA29" s="1288"/>
      <c r="AB29" s="1288"/>
      <c r="AC29" s="1288"/>
      <c r="AD29" s="1288"/>
      <c r="AE29" s="1288"/>
      <c r="AF29" s="1288"/>
      <c r="AG29" s="1288"/>
      <c r="AH29" s="1288"/>
      <c r="AI29" s="1288"/>
    </row>
    <row r="30" ht="25.5" customHeight="1">
      <c r="A30" s="1055"/>
      <c r="B30" s="1278">
        <v>45007.8478125</v>
      </c>
      <c r="C30" s="712"/>
      <c r="D30" s="1264">
        <v>-9.95</v>
      </c>
      <c r="E30" s="675"/>
      <c r="F30" s="675"/>
      <c r="G30" s="712"/>
      <c r="H30" s="712">
        <v>17442.35</v>
      </c>
      <c r="I30" s="712"/>
      <c r="J30" s="712"/>
      <c r="K30" s="1266"/>
      <c r="L30" s="1266"/>
      <c r="M30" s="1266"/>
      <c r="N30" s="1233"/>
      <c r="O30" s="1233"/>
      <c r="P30" s="1233"/>
      <c r="Q30" s="1233"/>
      <c r="R30" s="1233"/>
      <c r="S30" s="608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</row>
    <row r="31" ht="25.5" customHeight="1">
      <c r="A31" s="36"/>
      <c r="B31" s="1278">
        <v>45007.86712962963</v>
      </c>
      <c r="C31" s="36"/>
      <c r="D31" s="1292">
        <v>-6.85</v>
      </c>
      <c r="E31" s="1206"/>
      <c r="F31" s="1206">
        <v>11782.0</v>
      </c>
    </row>
    <row r="32" ht="25.5" customHeight="1">
      <c r="A32" s="36"/>
      <c r="B32" s="808">
        <v>45008.44298611111</v>
      </c>
      <c r="C32" s="36"/>
      <c r="D32" s="1293"/>
      <c r="E32" s="1206"/>
      <c r="F32" s="1206">
        <v>889.0</v>
      </c>
      <c r="G32" s="53"/>
      <c r="H32" s="53">
        <v>-892.0</v>
      </c>
      <c r="I32" s="36"/>
      <c r="S32" s="53" t="s">
        <v>1054</v>
      </c>
    </row>
    <row r="33" ht="18.0" customHeight="1">
      <c r="A33" s="36"/>
      <c r="B33" s="808"/>
      <c r="C33" s="36"/>
      <c r="D33" s="1293"/>
      <c r="E33" s="675"/>
      <c r="F33" s="675"/>
      <c r="N33" s="1294"/>
      <c r="O33" s="1294"/>
      <c r="S33" s="1295" t="s">
        <v>1055</v>
      </c>
      <c r="T33" s="609" t="s">
        <v>1056</v>
      </c>
    </row>
    <row r="34" ht="18.0" customHeight="1">
      <c r="A34" s="36"/>
      <c r="B34" s="808"/>
      <c r="C34" s="36"/>
      <c r="D34" s="1293"/>
      <c r="E34" s="675"/>
      <c r="F34" s="675"/>
      <c r="N34" s="1296"/>
      <c r="O34" s="1296"/>
      <c r="S34" s="1295" t="s">
        <v>1057</v>
      </c>
      <c r="T34" s="609" t="s">
        <v>1058</v>
      </c>
    </row>
    <row r="35" ht="18.0" customHeight="1">
      <c r="A35" s="36"/>
      <c r="B35" s="1297"/>
      <c r="D35" s="1292">
        <v>-6.1740334917E-4</v>
      </c>
      <c r="E35" s="675"/>
      <c r="F35" s="675"/>
      <c r="S35" s="53" t="s">
        <v>1059</v>
      </c>
      <c r="T35" s="609" t="s">
        <v>1060</v>
      </c>
    </row>
    <row r="36" ht="18.0" customHeight="1">
      <c r="A36" s="36"/>
      <c r="B36" s="1297"/>
      <c r="D36" s="1292">
        <v>-7.6152347571E-4</v>
      </c>
      <c r="E36" s="675"/>
      <c r="F36" s="675"/>
      <c r="S36" s="53" t="s">
        <v>1061</v>
      </c>
      <c r="T36" s="609" t="s">
        <v>1062</v>
      </c>
    </row>
    <row r="37" ht="18.0" customHeight="1">
      <c r="A37" s="1298"/>
      <c r="B37" s="1299">
        <v>45008.45096064815</v>
      </c>
      <c r="C37" s="1140"/>
      <c r="D37" s="1300">
        <v>-0.00418861</v>
      </c>
      <c r="E37" s="1301"/>
      <c r="F37" s="1301"/>
      <c r="G37" s="1302"/>
      <c r="H37" s="1302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302" t="s">
        <v>1063</v>
      </c>
      <c r="T37" s="609" t="s">
        <v>1064</v>
      </c>
    </row>
    <row r="38" ht="18.0" customHeight="1">
      <c r="A38" s="36"/>
      <c r="B38" s="1297"/>
      <c r="D38" s="1292">
        <v>-8.68532432486004E-4</v>
      </c>
      <c r="E38" s="675"/>
      <c r="F38" s="675"/>
      <c r="S38" s="53" t="s">
        <v>1065</v>
      </c>
    </row>
    <row r="39" ht="18.0" customHeight="1">
      <c r="A39" s="36"/>
      <c r="B39" s="1297"/>
      <c r="D39" s="1293"/>
      <c r="E39" s="675"/>
      <c r="F39" s="675"/>
      <c r="S39" s="53" t="s">
        <v>1066</v>
      </c>
    </row>
    <row r="40" ht="18.0" customHeight="1">
      <c r="A40" s="36"/>
      <c r="B40" s="808">
        <v>45008.729166666664</v>
      </c>
      <c r="D40" s="1293"/>
      <c r="E40" s="675"/>
      <c r="F40" s="675"/>
      <c r="G40" s="53"/>
      <c r="H40" s="53">
        <v>5562.0</v>
      </c>
      <c r="S40" s="53" t="s">
        <v>1067</v>
      </c>
    </row>
    <row r="41" ht="18.0" customHeight="1">
      <c r="A41" s="36"/>
      <c r="B41" s="808">
        <v>45009.38214120371</v>
      </c>
      <c r="D41" s="1293"/>
      <c r="E41" s="675"/>
      <c r="F41" s="675"/>
      <c r="G41" s="53"/>
      <c r="H41" s="53">
        <v>23898.0</v>
      </c>
      <c r="J41" s="53">
        <v>-22250.0</v>
      </c>
      <c r="S41" s="53" t="s">
        <v>1068</v>
      </c>
    </row>
    <row r="42" ht="18.0" customHeight="1">
      <c r="A42" s="36"/>
      <c r="B42" s="1303">
        <v>45009.37847222222</v>
      </c>
      <c r="D42" s="1293"/>
      <c r="E42" s="675"/>
      <c r="F42" s="675"/>
      <c r="G42" s="53"/>
      <c r="H42" s="53">
        <v>54800.0</v>
      </c>
      <c r="I42" s="53">
        <f>-54843.83999999-109.88</f>
        <v>-54953.72</v>
      </c>
      <c r="S42" s="53" t="s">
        <v>1069</v>
      </c>
    </row>
    <row r="43" ht="18.0" customHeight="1">
      <c r="A43" s="1304"/>
      <c r="B43" s="1305">
        <v>45012.36082175926</v>
      </c>
      <c r="C43" s="1304"/>
      <c r="D43" s="1306">
        <v>1.94189</v>
      </c>
      <c r="E43" s="1307"/>
      <c r="F43" s="1307"/>
      <c r="G43" s="1308"/>
      <c r="H43" s="1308">
        <v>-3434.55776</v>
      </c>
      <c r="I43" s="1309"/>
      <c r="J43" s="1309"/>
      <c r="K43" s="1309"/>
      <c r="L43" s="1309"/>
      <c r="M43" s="1309"/>
      <c r="N43" s="1309"/>
      <c r="O43" s="1309"/>
      <c r="P43" s="1309"/>
      <c r="Q43" s="1309"/>
      <c r="R43" s="1309"/>
      <c r="S43" s="1308" t="s">
        <v>1070</v>
      </c>
      <c r="T43" s="1310" t="s">
        <v>1071</v>
      </c>
      <c r="U43" s="1309"/>
      <c r="V43" s="1309"/>
      <c r="W43" s="1309"/>
      <c r="X43" s="1309"/>
      <c r="Y43" s="1309"/>
      <c r="Z43" s="1309"/>
      <c r="AA43" s="1309"/>
      <c r="AB43" s="1309"/>
      <c r="AC43" s="1309"/>
      <c r="AD43" s="1309"/>
      <c r="AE43" s="1309"/>
      <c r="AF43" s="1309"/>
      <c r="AG43" s="1309"/>
      <c r="AH43" s="1309"/>
      <c r="AI43" s="1309"/>
    </row>
    <row r="44" ht="25.5" customHeight="1">
      <c r="A44" s="1309"/>
      <c r="B44" s="1305"/>
      <c r="C44" s="1304"/>
      <c r="D44" s="1311"/>
      <c r="E44" s="1307"/>
      <c r="F44" s="1307"/>
      <c r="G44" s="1309"/>
      <c r="H44" s="1309"/>
      <c r="I44" s="1309"/>
      <c r="J44" s="1309"/>
      <c r="K44" s="1309"/>
      <c r="L44" s="1309"/>
      <c r="M44" s="1309"/>
      <c r="N44" s="1309"/>
      <c r="O44" s="1309"/>
      <c r="P44" s="1309"/>
      <c r="Q44" s="1309"/>
      <c r="R44" s="1309"/>
      <c r="S44" s="1308" t="s">
        <v>1072</v>
      </c>
      <c r="T44" s="1310" t="s">
        <v>1073</v>
      </c>
      <c r="U44" s="1309"/>
      <c r="V44" s="1309"/>
      <c r="W44" s="1309"/>
      <c r="X44" s="1309"/>
      <c r="Y44" s="1309"/>
      <c r="Z44" s="1309"/>
      <c r="AA44" s="1308" t="s">
        <v>1074</v>
      </c>
      <c r="AB44" s="1309"/>
      <c r="AC44" s="1309"/>
      <c r="AD44" s="1309"/>
      <c r="AE44" s="1309"/>
      <c r="AF44" s="1309"/>
      <c r="AG44" s="1309"/>
      <c r="AH44" s="1309"/>
      <c r="AI44" s="1309"/>
    </row>
    <row r="45" ht="25.5" customHeight="1">
      <c r="A45" s="1312"/>
      <c r="B45" s="1313" t="s">
        <v>1075</v>
      </c>
      <c r="C45" s="1312"/>
      <c r="D45" s="1314">
        <v>-1.9419</v>
      </c>
      <c r="E45" s="1315"/>
      <c r="F45" s="1315">
        <v>3359.0</v>
      </c>
      <c r="G45" s="1309"/>
      <c r="H45" s="1309"/>
      <c r="I45" s="1309"/>
      <c r="J45" s="1309"/>
      <c r="K45" s="1309"/>
      <c r="L45" s="1309"/>
      <c r="M45" s="1309"/>
      <c r="N45" s="1309"/>
      <c r="O45" s="1309"/>
      <c r="P45" s="1309"/>
      <c r="Q45" s="1309"/>
      <c r="R45" s="1309"/>
      <c r="S45" s="1316" t="s">
        <v>1076</v>
      </c>
      <c r="T45" s="1309"/>
      <c r="U45" s="1309"/>
      <c r="V45" s="1309"/>
      <c r="W45" s="1309"/>
      <c r="X45" s="1309"/>
      <c r="Y45" s="1309"/>
      <c r="Z45" s="1309"/>
      <c r="AA45" s="1309"/>
      <c r="AB45" s="1309"/>
      <c r="AC45" s="1309"/>
      <c r="AD45" s="1309"/>
      <c r="AE45" s="1309"/>
      <c r="AF45" s="1309"/>
      <c r="AG45" s="1309"/>
      <c r="AH45" s="1309"/>
      <c r="AI45" s="1309"/>
    </row>
    <row r="46" ht="25.5" customHeight="1">
      <c r="A46" s="635"/>
      <c r="B46" s="1257">
        <v>45018.708333333336</v>
      </c>
      <c r="C46" s="635"/>
      <c r="D46" s="1317"/>
      <c r="E46" s="675"/>
      <c r="F46" s="675"/>
      <c r="S46" s="608" t="s">
        <v>1077</v>
      </c>
      <c r="T46" s="1318" t="s">
        <v>1078</v>
      </c>
      <c r="U46" s="609" t="s">
        <v>1079</v>
      </c>
    </row>
    <row r="47" ht="25.5" customHeight="1">
      <c r="A47" s="635"/>
      <c r="B47" s="1257">
        <v>45018.743055555555</v>
      </c>
      <c r="C47" s="635"/>
      <c r="D47" s="1317"/>
      <c r="E47" s="675"/>
      <c r="F47" s="675"/>
      <c r="S47" s="608" t="s">
        <v>1080</v>
      </c>
      <c r="T47" s="609" t="s">
        <v>1081</v>
      </c>
      <c r="AB47" s="1319">
        <v>93418.0158156589</v>
      </c>
      <c r="AC47" s="53" t="s">
        <v>1082</v>
      </c>
    </row>
    <row r="48" ht="25.5" customHeight="1">
      <c r="A48" s="635"/>
      <c r="B48" s="1257">
        <v>45032.886087962965</v>
      </c>
      <c r="C48" s="571">
        <v>0.5</v>
      </c>
      <c r="D48" s="1317"/>
      <c r="E48" s="675"/>
      <c r="F48" s="675"/>
      <c r="J48" s="53">
        <v>-13888.805</v>
      </c>
      <c r="P48" s="53"/>
      <c r="Q48" s="53"/>
      <c r="R48" s="53">
        <v>1.09944</v>
      </c>
      <c r="S48" s="608" t="s">
        <v>1083</v>
      </c>
    </row>
    <row r="49" ht="25.5" customHeight="1">
      <c r="A49" s="635"/>
      <c r="B49" s="1257">
        <v>45034.1640625</v>
      </c>
      <c r="C49" s="571">
        <v>0.5</v>
      </c>
      <c r="D49" s="1317"/>
      <c r="E49" s="675"/>
      <c r="F49" s="675"/>
      <c r="J49" s="53">
        <f>-26975.5/2</f>
        <v>-13487.75</v>
      </c>
      <c r="P49" s="53"/>
      <c r="Q49" s="53"/>
      <c r="R49" s="53">
        <v>1.0931</v>
      </c>
      <c r="S49" s="608" t="s">
        <v>1083</v>
      </c>
    </row>
    <row r="50" ht="25.5" customHeight="1">
      <c r="A50" s="635"/>
      <c r="B50" s="1257">
        <v>45036.05645833333</v>
      </c>
      <c r="C50" s="571">
        <v>0.5</v>
      </c>
      <c r="D50" s="1317"/>
      <c r="E50" s="675"/>
      <c r="F50" s="675"/>
      <c r="J50" s="53">
        <v>-13130.0</v>
      </c>
      <c r="P50" s="53"/>
      <c r="Q50" s="53"/>
      <c r="R50" s="53">
        <v>1.09545</v>
      </c>
      <c r="S50" s="608" t="s">
        <v>1083</v>
      </c>
    </row>
    <row r="51" ht="25.5" customHeight="1">
      <c r="A51" s="635"/>
      <c r="B51" s="1257">
        <v>45037.55631944445</v>
      </c>
      <c r="C51" s="571">
        <v>0.40333</v>
      </c>
      <c r="D51" s="1317"/>
      <c r="E51" s="675"/>
      <c r="F51" s="675"/>
      <c r="J51" s="53">
        <v>-10296.61157</v>
      </c>
      <c r="P51" s="53"/>
      <c r="Q51" s="53"/>
      <c r="R51" s="53">
        <v>1.09787</v>
      </c>
      <c r="S51" s="608" t="s">
        <v>1083</v>
      </c>
    </row>
    <row r="52" ht="25.5" customHeight="1">
      <c r="A52" s="635"/>
      <c r="B52" s="1257">
        <v>45037.71875</v>
      </c>
      <c r="C52" s="571">
        <v>0.5</v>
      </c>
      <c r="D52" s="1317"/>
      <c r="E52" s="675"/>
      <c r="F52" s="675"/>
      <c r="I52" s="1078">
        <f>-13768.76-8.25</f>
        <v>-13777.01</v>
      </c>
      <c r="P52" s="53"/>
      <c r="Q52" s="53"/>
      <c r="R52" s="53">
        <v>1.09895</v>
      </c>
      <c r="S52" s="608" t="s">
        <v>1084</v>
      </c>
    </row>
    <row r="53" ht="25.5" customHeight="1">
      <c r="A53" s="635"/>
      <c r="B53" s="1257">
        <v>45041.575</v>
      </c>
      <c r="C53" s="635"/>
      <c r="D53" s="1317"/>
      <c r="E53" s="1206">
        <v>3904.0</v>
      </c>
      <c r="F53" s="675"/>
      <c r="I53" s="53">
        <v>-5008.0</v>
      </c>
      <c r="P53" s="53"/>
      <c r="Q53" s="53"/>
      <c r="R53" s="53">
        <v>1.10148</v>
      </c>
      <c r="S53" s="608" t="s">
        <v>1085</v>
      </c>
    </row>
    <row r="54" ht="25.5" customHeight="1">
      <c r="A54" s="635"/>
      <c r="B54" s="1257">
        <v>45044.34861111111</v>
      </c>
      <c r="C54" s="571">
        <v>0.5</v>
      </c>
      <c r="D54" s="1317"/>
      <c r="E54" s="675"/>
      <c r="F54" s="675"/>
      <c r="I54" s="53">
        <f>-14725-23.56</f>
        <v>-14748.56</v>
      </c>
      <c r="P54" s="53"/>
      <c r="Q54" s="53"/>
      <c r="R54" s="53">
        <v>1.1006</v>
      </c>
      <c r="S54" s="608" t="s">
        <v>1084</v>
      </c>
    </row>
    <row r="55" ht="25.5" customHeight="1">
      <c r="A55" s="635"/>
      <c r="B55" s="1257">
        <v>45044.42013888889</v>
      </c>
      <c r="C55" s="571">
        <v>0.1</v>
      </c>
      <c r="D55" s="1317"/>
      <c r="E55" s="675"/>
      <c r="F55" s="675"/>
      <c r="I55" s="53">
        <f>-2946-4.71</f>
        <v>-2950.71</v>
      </c>
      <c r="P55" s="53"/>
      <c r="Q55" s="53"/>
      <c r="R55" s="53">
        <v>1.1006</v>
      </c>
      <c r="S55" s="608" t="s">
        <v>1084</v>
      </c>
    </row>
    <row r="56" ht="25.5" customHeight="1">
      <c r="A56" s="635"/>
      <c r="B56" s="1257">
        <v>45044.575</v>
      </c>
      <c r="C56" s="635"/>
      <c r="D56" s="1317"/>
      <c r="E56" s="1206">
        <v>3906.25</v>
      </c>
      <c r="F56" s="675"/>
      <c r="I56" s="1235">
        <v>-5516.63</v>
      </c>
      <c r="P56" s="53"/>
      <c r="Q56" s="53"/>
      <c r="R56" s="53">
        <v>1.09842</v>
      </c>
      <c r="S56" s="608" t="s">
        <v>1085</v>
      </c>
    </row>
    <row r="57" ht="25.5" customHeight="1">
      <c r="A57" s="635"/>
      <c r="B57" s="1257">
        <v>45047.2375</v>
      </c>
      <c r="C57" s="571">
        <v>0.5</v>
      </c>
      <c r="D57" s="1317"/>
      <c r="E57" s="675"/>
      <c r="F57" s="675"/>
      <c r="I57" s="53">
        <f>-14155-22.48</f>
        <v>-14177.48</v>
      </c>
      <c r="P57" s="53"/>
      <c r="Q57" s="53"/>
      <c r="R57" s="53">
        <v>1.10097</v>
      </c>
      <c r="S57" s="608" t="s">
        <v>1086</v>
      </c>
    </row>
    <row r="58" ht="25.5" customHeight="1">
      <c r="A58" s="635"/>
      <c r="B58" s="1320">
        <v>45047.0</v>
      </c>
      <c r="C58" s="571">
        <v>-3.0E-4</v>
      </c>
      <c r="D58" s="1317"/>
      <c r="E58" s="675"/>
      <c r="F58" s="675"/>
      <c r="P58" s="53"/>
      <c r="Q58" s="53"/>
      <c r="R58" s="53">
        <v>1.10097</v>
      </c>
      <c r="S58" s="608" t="s">
        <v>1087</v>
      </c>
    </row>
    <row r="59" ht="25.5" customHeight="1">
      <c r="A59" s="635"/>
      <c r="B59" s="1253">
        <v>45050.0</v>
      </c>
      <c r="C59" s="635"/>
      <c r="D59" s="1317"/>
      <c r="E59" s="675"/>
      <c r="F59" s="675"/>
      <c r="K59" s="53"/>
      <c r="L59" s="53"/>
      <c r="M59" s="53">
        <v>100000.0</v>
      </c>
      <c r="S59" s="608" t="s">
        <v>1088</v>
      </c>
      <c r="T59" s="609" t="s">
        <v>1089</v>
      </c>
      <c r="AB59" s="53">
        <v>93444.29</v>
      </c>
      <c r="AC59" s="53" t="s">
        <v>1082</v>
      </c>
    </row>
    <row r="60" ht="25.5" customHeight="1">
      <c r="A60" s="635"/>
      <c r="B60" s="1253">
        <v>45050.0</v>
      </c>
      <c r="C60" s="635"/>
      <c r="D60" s="1317"/>
      <c r="E60" s="675"/>
      <c r="F60" s="1206">
        <v>70000.0</v>
      </c>
      <c r="K60" s="53"/>
      <c r="L60" s="53"/>
      <c r="M60" s="53">
        <v>-70000.0</v>
      </c>
      <c r="S60" s="608" t="s">
        <v>1090</v>
      </c>
      <c r="T60" s="609" t="s">
        <v>1091</v>
      </c>
    </row>
    <row r="61" ht="25.5" customHeight="1">
      <c r="A61" s="635"/>
      <c r="B61" s="1257">
        <v>45054.45596064815</v>
      </c>
      <c r="C61" s="635"/>
      <c r="D61" s="1317"/>
      <c r="F61" s="675"/>
      <c r="S61" s="608" t="s">
        <v>1092</v>
      </c>
      <c r="T61" s="609" t="s">
        <v>1093</v>
      </c>
    </row>
    <row r="62" ht="25.5" customHeight="1">
      <c r="A62" s="635"/>
      <c r="B62" s="1257">
        <v>45054.45596064815</v>
      </c>
      <c r="C62" s="635"/>
      <c r="D62" s="1317"/>
      <c r="E62" s="1206">
        <v>4343.0</v>
      </c>
      <c r="F62" s="675"/>
      <c r="K62" s="53"/>
      <c r="L62" s="53"/>
      <c r="M62" s="53">
        <v>-5000.964</v>
      </c>
      <c r="P62" s="53"/>
      <c r="Q62" s="53"/>
      <c r="R62" s="53">
        <v>1.1031</v>
      </c>
      <c r="S62" s="608" t="s">
        <v>1094</v>
      </c>
    </row>
    <row r="63" ht="25.5" customHeight="1">
      <c r="A63" s="635"/>
      <c r="B63" s="1253">
        <v>45055.0</v>
      </c>
      <c r="C63" s="635"/>
      <c r="D63" s="1317"/>
      <c r="E63" s="675"/>
      <c r="F63" s="675"/>
      <c r="O63" s="53">
        <v>50000.0</v>
      </c>
      <c r="S63" s="608" t="s">
        <v>1095</v>
      </c>
      <c r="T63" s="609" t="s">
        <v>1096</v>
      </c>
      <c r="U63" s="609" t="s">
        <v>1097</v>
      </c>
    </row>
    <row r="64" ht="25.5" customHeight="1">
      <c r="A64" s="635"/>
      <c r="B64" s="1321">
        <v>45058.20547453704</v>
      </c>
      <c r="C64" s="571">
        <v>0.5</v>
      </c>
      <c r="D64" s="1317"/>
      <c r="E64" s="675"/>
      <c r="F64" s="675"/>
      <c r="K64" s="53"/>
      <c r="L64" s="53"/>
      <c r="M64" s="53">
        <v>-13325.0</v>
      </c>
      <c r="P64" s="53"/>
      <c r="Q64" s="53"/>
      <c r="R64" s="53">
        <v>1.09199</v>
      </c>
      <c r="S64" s="608" t="s">
        <v>1098</v>
      </c>
    </row>
    <row r="65" ht="25.5" customHeight="1">
      <c r="A65" s="635"/>
      <c r="B65" s="1253">
        <v>45265.0</v>
      </c>
      <c r="C65" s="635"/>
      <c r="D65" s="1317"/>
      <c r="E65" s="675"/>
      <c r="F65" s="675"/>
      <c r="K65" s="53"/>
      <c r="L65" s="53"/>
      <c r="M65" s="53">
        <v>20000.0</v>
      </c>
      <c r="S65" s="608" t="s">
        <v>1099</v>
      </c>
      <c r="T65" s="609" t="s">
        <v>1100</v>
      </c>
    </row>
    <row r="66" ht="25.5" customHeight="1">
      <c r="A66" s="635"/>
      <c r="B66" s="1253">
        <v>45265.0</v>
      </c>
      <c r="C66" s="635"/>
      <c r="D66" s="1317"/>
      <c r="E66" s="675"/>
      <c r="F66" s="675"/>
      <c r="K66" s="53"/>
      <c r="L66" s="53"/>
      <c r="M66" s="53">
        <v>-30.0</v>
      </c>
      <c r="S66" s="608" t="s">
        <v>1101</v>
      </c>
    </row>
    <row r="67" ht="25.5" customHeight="1">
      <c r="A67" s="635"/>
      <c r="B67" s="1253">
        <v>45265.0</v>
      </c>
      <c r="C67" s="635"/>
      <c r="D67" s="1317"/>
      <c r="E67" s="675"/>
      <c r="F67" s="675"/>
      <c r="K67" s="53"/>
      <c r="L67" s="53"/>
      <c r="M67" s="53">
        <v>-5003.0</v>
      </c>
      <c r="N67" s="53">
        <v>5001.0</v>
      </c>
      <c r="S67" s="608" t="s">
        <v>1102</v>
      </c>
    </row>
    <row r="68" ht="25.5" customHeight="1">
      <c r="A68" s="635"/>
      <c r="B68" s="571" t="s">
        <v>1103</v>
      </c>
      <c r="C68" s="635"/>
      <c r="D68" s="1317"/>
      <c r="E68" s="675"/>
      <c r="F68" s="675"/>
      <c r="O68" s="53">
        <v>-500.0</v>
      </c>
      <c r="P68" s="53"/>
      <c r="Q68" s="53">
        <v>345563.5</v>
      </c>
      <c r="S68" s="608" t="s">
        <v>1104</v>
      </c>
      <c r="T68" s="1322" t="s">
        <v>1105</v>
      </c>
    </row>
    <row r="69" ht="25.5" customHeight="1">
      <c r="A69" s="635"/>
      <c r="B69" s="571" t="s">
        <v>1103</v>
      </c>
      <c r="C69" s="635"/>
      <c r="D69" s="1317"/>
      <c r="E69" s="675"/>
      <c r="F69" s="675"/>
      <c r="O69" s="53">
        <v>-500.0</v>
      </c>
      <c r="P69" s="53"/>
      <c r="Q69" s="53">
        <v>343368.267</v>
      </c>
      <c r="S69" s="608" t="s">
        <v>1104</v>
      </c>
      <c r="T69" s="1322" t="s">
        <v>1106</v>
      </c>
    </row>
    <row r="70" ht="25.5" customHeight="1">
      <c r="A70" s="635"/>
      <c r="B70" s="571" t="s">
        <v>1107</v>
      </c>
      <c r="C70" s="635"/>
      <c r="D70" s="1317"/>
      <c r="E70" s="675"/>
      <c r="F70" s="675"/>
      <c r="O70" s="53">
        <v>-500.0</v>
      </c>
      <c r="P70" s="1235"/>
      <c r="Q70" s="1235">
        <v>342444.58</v>
      </c>
      <c r="S70" s="608" t="s">
        <v>1104</v>
      </c>
      <c r="T70" s="609" t="s">
        <v>1108</v>
      </c>
    </row>
    <row r="71" ht="25.5" customHeight="1">
      <c r="A71" s="635"/>
      <c r="B71" s="571" t="s">
        <v>1107</v>
      </c>
      <c r="C71" s="635"/>
      <c r="D71" s="1317"/>
      <c r="E71" s="675"/>
      <c r="F71" s="675"/>
      <c r="O71" s="53">
        <v>-500.0</v>
      </c>
      <c r="P71" s="1235"/>
      <c r="Q71" s="1235">
        <v>322155.09</v>
      </c>
      <c r="S71" s="608" t="s">
        <v>1104</v>
      </c>
      <c r="T71" s="1322" t="s">
        <v>1109</v>
      </c>
    </row>
    <row r="72" ht="25.5" customHeight="1">
      <c r="A72" s="635"/>
      <c r="B72" s="571" t="s">
        <v>1107</v>
      </c>
      <c r="O72" s="53">
        <v>-1250.0</v>
      </c>
      <c r="P72" s="1235"/>
      <c r="Q72" s="1235">
        <v>650894.146262039</v>
      </c>
      <c r="S72" s="608" t="s">
        <v>1104</v>
      </c>
      <c r="T72" s="658" t="s">
        <v>1110</v>
      </c>
    </row>
    <row r="73" ht="25.5" customHeight="1">
      <c r="A73" s="635"/>
      <c r="B73" s="1321">
        <v>45064.81811342593</v>
      </c>
      <c r="C73" s="571">
        <v>0.5</v>
      </c>
      <c r="D73" s="1317"/>
      <c r="E73" s="675"/>
      <c r="F73" s="675"/>
      <c r="K73" s="53"/>
      <c r="L73" s="53"/>
      <c r="M73" s="53">
        <v>-13445.0</v>
      </c>
      <c r="R73" s="53">
        <v>1.07635</v>
      </c>
      <c r="S73" s="608" t="s">
        <v>1111</v>
      </c>
    </row>
    <row r="74" ht="25.5" customHeight="1">
      <c r="A74" s="635"/>
      <c r="B74" s="1257">
        <v>45067.78193287037</v>
      </c>
      <c r="C74" s="635"/>
      <c r="D74" s="1317"/>
      <c r="E74" s="1206">
        <v>4469.1</v>
      </c>
      <c r="F74" s="675"/>
      <c r="K74" s="53"/>
      <c r="L74" s="53"/>
      <c r="M74" s="53">
        <v>-5000.9229</v>
      </c>
      <c r="R74" s="53">
        <v>1.08179</v>
      </c>
      <c r="S74" s="608" t="s">
        <v>1112</v>
      </c>
    </row>
    <row r="75" ht="25.5" customHeight="1">
      <c r="A75" s="635"/>
      <c r="B75" s="1234">
        <v>45086.666666666664</v>
      </c>
      <c r="C75" s="635"/>
      <c r="D75" s="1317"/>
      <c r="E75" s="675"/>
      <c r="F75" s="675"/>
      <c r="K75" s="53">
        <v>13567.0</v>
      </c>
      <c r="L75" s="53"/>
      <c r="M75" s="53">
        <v>-13567.0</v>
      </c>
      <c r="S75" s="644"/>
    </row>
    <row r="76" ht="25.5" customHeight="1">
      <c r="A76" s="635"/>
      <c r="B76" s="1257">
        <v>45086.67328703704</v>
      </c>
      <c r="C76" s="635"/>
      <c r="D76" s="1317"/>
      <c r="E76" s="675"/>
      <c r="F76" s="675"/>
      <c r="K76" s="53">
        <v>-13567.0</v>
      </c>
      <c r="L76" s="53">
        <v>13553.0</v>
      </c>
      <c r="S76" s="644"/>
    </row>
    <row r="77" ht="25.5" customHeight="1">
      <c r="A77" s="635"/>
      <c r="B77" s="1257">
        <v>45087.26482638889</v>
      </c>
      <c r="C77" s="571">
        <v>0.5171</v>
      </c>
      <c r="D77" s="1317"/>
      <c r="E77" s="675"/>
      <c r="F77" s="675"/>
      <c r="L77" s="53">
        <v>-13553.0</v>
      </c>
      <c r="R77" s="53">
        <v>1.07496</v>
      </c>
      <c r="S77" s="608" t="s">
        <v>1113</v>
      </c>
    </row>
    <row r="78" ht="25.5" customHeight="1">
      <c r="A78" s="635"/>
      <c r="B78" s="1257">
        <v>45092.368055555555</v>
      </c>
      <c r="C78" s="635"/>
      <c r="D78" s="1317"/>
      <c r="E78" s="675"/>
      <c r="F78" s="675"/>
      <c r="O78" s="53">
        <v>100679.45</v>
      </c>
      <c r="S78" s="608" t="s">
        <v>1114</v>
      </c>
      <c r="T78" s="609" t="s">
        <v>1115</v>
      </c>
    </row>
    <row r="79" ht="25.5" customHeight="1">
      <c r="A79" s="635"/>
      <c r="B79" s="1257">
        <v>45092.368055555555</v>
      </c>
      <c r="C79" s="635"/>
      <c r="D79" s="1317"/>
      <c r="E79" s="675"/>
      <c r="F79" s="675"/>
      <c r="O79" s="53">
        <v>-100679.45</v>
      </c>
      <c r="P79" s="53">
        <v>100861.73</v>
      </c>
      <c r="S79" s="608" t="s">
        <v>1116</v>
      </c>
      <c r="T79" s="609" t="s">
        <v>1117</v>
      </c>
    </row>
    <row r="80" ht="25.5" customHeight="1">
      <c r="A80" s="635"/>
      <c r="B80" s="1257">
        <v>45092.375</v>
      </c>
      <c r="C80" s="571"/>
      <c r="D80" s="1317"/>
      <c r="E80" s="675"/>
      <c r="F80" s="675"/>
      <c r="L80" s="53">
        <v>13000.0</v>
      </c>
      <c r="P80" s="53">
        <v>-13000.0</v>
      </c>
      <c r="S80" s="608" t="s">
        <v>1118</v>
      </c>
      <c r="T80" s="609" t="s">
        <v>1119</v>
      </c>
    </row>
    <row r="81" ht="25.5" customHeight="1">
      <c r="A81" s="635"/>
      <c r="B81" s="1257">
        <v>45095.770833333336</v>
      </c>
      <c r="C81" s="635"/>
      <c r="D81" s="1317"/>
      <c r="E81" s="675"/>
      <c r="F81" s="675"/>
      <c r="P81" s="53">
        <v>737.4494</v>
      </c>
      <c r="Q81" s="53">
        <v>-2004425.58326204</v>
      </c>
      <c r="S81" s="672" t="s">
        <v>1120</v>
      </c>
    </row>
    <row r="82" ht="25.5" customHeight="1">
      <c r="A82" s="635"/>
      <c r="B82" s="1257">
        <v>45100.65976851852</v>
      </c>
      <c r="C82" s="571">
        <v>0.4339</v>
      </c>
      <c r="D82" s="1317"/>
      <c r="E82" s="675"/>
      <c r="F82" s="675"/>
      <c r="L82" s="53">
        <v>-13000.08</v>
      </c>
      <c r="R82" s="1237">
        <v>1.08867</v>
      </c>
      <c r="S82" s="608" t="s">
        <v>1121</v>
      </c>
    </row>
    <row r="83" ht="25.5" customHeight="1">
      <c r="A83" s="635"/>
      <c r="B83" s="1323">
        <v>45101.40546050926</v>
      </c>
      <c r="C83" s="635"/>
      <c r="D83" s="1317"/>
      <c r="E83" s="675"/>
      <c r="F83" s="675"/>
      <c r="O83" s="53">
        <v>53250.0</v>
      </c>
      <c r="P83" s="53">
        <v>-53238.0</v>
      </c>
      <c r="S83" s="608" t="s">
        <v>1122</v>
      </c>
      <c r="T83" s="609" t="s">
        <v>1123</v>
      </c>
    </row>
    <row r="84" ht="25.5" customHeight="1">
      <c r="A84" s="635"/>
      <c r="B84" s="1323">
        <v>45102.645075625</v>
      </c>
      <c r="C84" s="635"/>
      <c r="D84" s="1317"/>
      <c r="E84" s="675"/>
      <c r="F84" s="675"/>
      <c r="N84" s="53">
        <v>17000.0</v>
      </c>
      <c r="P84" s="53">
        <v>-17000.0</v>
      </c>
      <c r="S84" s="608" t="s">
        <v>1124</v>
      </c>
      <c r="T84" s="609" t="s">
        <v>1125</v>
      </c>
    </row>
    <row r="85" ht="25.5" customHeight="1">
      <c r="A85" s="635"/>
      <c r="B85" s="1257">
        <v>45102.70625</v>
      </c>
      <c r="C85" s="571">
        <v>0.55639</v>
      </c>
      <c r="D85" s="1317"/>
      <c r="E85" s="675"/>
      <c r="F85" s="675"/>
      <c r="N85" s="53">
        <v>-17000.0</v>
      </c>
      <c r="R85" s="53">
        <v>1.0896</v>
      </c>
      <c r="S85" s="608" t="s">
        <v>1126</v>
      </c>
    </row>
    <row r="86" ht="25.5" customHeight="1">
      <c r="A86" s="635"/>
      <c r="B86" s="1257">
        <v>45103.375</v>
      </c>
      <c r="C86" s="571"/>
      <c r="D86" s="1317"/>
      <c r="E86" s="675"/>
      <c r="F86" s="675"/>
      <c r="N86" s="53">
        <v>18372.7045</v>
      </c>
      <c r="P86" s="53">
        <v>-18372.7045</v>
      </c>
      <c r="R86" s="53"/>
      <c r="S86" s="608"/>
    </row>
    <row r="87" ht="25.5" customHeight="1">
      <c r="A87" s="635"/>
      <c r="B87" s="1257">
        <v>45103.39365740741</v>
      </c>
      <c r="C87" s="571">
        <v>0.60586</v>
      </c>
      <c r="D87" s="1317"/>
      <c r="E87" s="675"/>
      <c r="F87" s="675"/>
      <c r="N87" s="53">
        <v>-18372.7045</v>
      </c>
      <c r="R87" s="53">
        <v>1.09057</v>
      </c>
      <c r="S87" s="608" t="s">
        <v>1126</v>
      </c>
    </row>
    <row r="88" ht="25.5" customHeight="1">
      <c r="A88" s="635"/>
      <c r="B88" s="1257">
        <v>45103.375</v>
      </c>
      <c r="C88" s="635"/>
      <c r="D88" s="1317"/>
      <c r="E88" s="675"/>
      <c r="F88" s="675"/>
      <c r="P88" s="646">
        <f>11.5251</f>
        <v>11.5251</v>
      </c>
      <c r="S88" s="608" t="s">
        <v>1127</v>
      </c>
    </row>
    <row r="89" ht="25.5" customHeight="1">
      <c r="A89" s="635"/>
      <c r="B89" s="1323"/>
      <c r="C89" s="635"/>
      <c r="D89" s="1317"/>
      <c r="E89" s="675"/>
      <c r="F89" s="675"/>
      <c r="S89" s="644"/>
    </row>
    <row r="90" ht="25.5" customHeight="1">
      <c r="A90" s="635"/>
      <c r="B90" s="1323"/>
      <c r="C90" s="635"/>
      <c r="D90" s="1317"/>
      <c r="E90" s="675"/>
      <c r="F90" s="675"/>
      <c r="S90" s="644"/>
    </row>
    <row r="91" ht="25.5" customHeight="1">
      <c r="A91" s="635"/>
      <c r="B91" s="1323"/>
      <c r="C91" s="635"/>
      <c r="D91" s="1317"/>
      <c r="E91" s="675"/>
      <c r="F91" s="675"/>
      <c r="S91" s="644"/>
    </row>
    <row r="92" ht="25.5" customHeight="1">
      <c r="A92" s="635"/>
      <c r="B92" s="1323"/>
      <c r="C92" s="635"/>
      <c r="D92" s="1317"/>
      <c r="E92" s="675"/>
      <c r="F92" s="675"/>
      <c r="S92" s="644"/>
    </row>
    <row r="93" ht="25.5" customHeight="1">
      <c r="A93" s="635"/>
      <c r="B93" s="1323"/>
      <c r="C93" s="635"/>
      <c r="D93" s="1317"/>
      <c r="E93" s="675"/>
      <c r="F93" s="675"/>
      <c r="S93" s="644"/>
    </row>
    <row r="94" ht="25.5" customHeight="1">
      <c r="A94" s="635"/>
      <c r="B94" s="1323"/>
      <c r="C94" s="635"/>
      <c r="D94" s="1317"/>
      <c r="E94" s="675"/>
      <c r="F94" s="675"/>
      <c r="S94" s="644"/>
    </row>
    <row r="95" ht="25.5" customHeight="1">
      <c r="A95" s="635"/>
      <c r="B95" s="1323"/>
      <c r="C95" s="635"/>
      <c r="D95" s="1317"/>
      <c r="E95" s="675"/>
      <c r="F95" s="675"/>
      <c r="S95" s="644"/>
    </row>
    <row r="96" ht="25.5" customHeight="1">
      <c r="A96" s="635"/>
      <c r="B96" s="1323"/>
      <c r="C96" s="635"/>
      <c r="D96" s="1317"/>
      <c r="E96" s="675"/>
      <c r="F96" s="675"/>
      <c r="S96" s="644"/>
    </row>
    <row r="97" ht="25.5" customHeight="1">
      <c r="A97" s="635"/>
      <c r="B97" s="1323"/>
      <c r="C97" s="635"/>
      <c r="D97" s="1317"/>
      <c r="E97" s="675"/>
      <c r="F97" s="675"/>
      <c r="S97" s="644"/>
    </row>
    <row r="98" ht="25.5" customHeight="1">
      <c r="A98" s="635"/>
      <c r="B98" s="1323"/>
      <c r="C98" s="635"/>
      <c r="D98" s="1317"/>
      <c r="E98" s="675"/>
      <c r="F98" s="675"/>
      <c r="S98" s="644"/>
    </row>
    <row r="99" ht="25.5" customHeight="1">
      <c r="A99" s="635"/>
      <c r="B99" s="1323"/>
      <c r="C99" s="635"/>
      <c r="D99" s="1317"/>
      <c r="E99" s="675"/>
      <c r="F99" s="675"/>
      <c r="S99" s="644"/>
    </row>
    <row r="100" ht="25.5" customHeight="1">
      <c r="A100" s="635"/>
      <c r="B100" s="1323"/>
      <c r="C100" s="635"/>
      <c r="D100" s="1317"/>
      <c r="E100" s="675"/>
      <c r="F100" s="675"/>
      <c r="S100" s="644"/>
    </row>
    <row r="101" ht="25.5" customHeight="1">
      <c r="A101" s="635"/>
      <c r="B101" s="1323"/>
      <c r="C101" s="635"/>
      <c r="D101" s="1317"/>
      <c r="E101" s="675"/>
      <c r="F101" s="675"/>
      <c r="S101" s="644"/>
    </row>
    <row r="102" ht="25.5" customHeight="1">
      <c r="A102" s="635"/>
      <c r="B102" s="1323"/>
      <c r="C102" s="635"/>
      <c r="D102" s="1317"/>
      <c r="E102" s="675"/>
      <c r="F102" s="675"/>
      <c r="S102" s="644"/>
    </row>
    <row r="103" ht="25.5" customHeight="1">
      <c r="A103" s="635"/>
      <c r="B103" s="1323"/>
      <c r="C103" s="635"/>
      <c r="D103" s="1317"/>
      <c r="E103" s="675"/>
      <c r="F103" s="675"/>
      <c r="S103" s="644"/>
    </row>
    <row r="104" ht="25.5" customHeight="1">
      <c r="A104" s="635"/>
      <c r="B104" s="1323"/>
      <c r="C104" s="635"/>
      <c r="D104" s="1317"/>
      <c r="E104" s="675"/>
      <c r="F104" s="675"/>
      <c r="S104" s="644"/>
    </row>
    <row r="105" ht="25.5" customHeight="1">
      <c r="A105" s="635"/>
      <c r="B105" s="1323"/>
      <c r="C105" s="635"/>
      <c r="D105" s="1317"/>
      <c r="E105" s="675"/>
      <c r="F105" s="675"/>
      <c r="S105" s="644"/>
    </row>
    <row r="106" ht="25.5" customHeight="1">
      <c r="A106" s="635"/>
      <c r="B106" s="1323"/>
      <c r="C106" s="635"/>
      <c r="D106" s="1317"/>
      <c r="E106" s="675"/>
      <c r="F106" s="675"/>
      <c r="S106" s="644"/>
    </row>
    <row r="107" ht="25.5" customHeight="1">
      <c r="A107" s="635"/>
      <c r="B107" s="1323"/>
      <c r="C107" s="635"/>
      <c r="D107" s="1317"/>
      <c r="E107" s="675"/>
      <c r="F107" s="675"/>
      <c r="S107" s="644"/>
    </row>
    <row r="108" ht="25.5" customHeight="1">
      <c r="A108" s="635"/>
      <c r="B108" s="1323"/>
      <c r="C108" s="635"/>
      <c r="D108" s="1317"/>
      <c r="E108" s="675"/>
      <c r="F108" s="675"/>
      <c r="S108" s="644"/>
    </row>
    <row r="109" ht="25.5" customHeight="1">
      <c r="A109" s="635"/>
      <c r="B109" s="1323"/>
      <c r="C109" s="635"/>
      <c r="D109" s="1317"/>
      <c r="E109" s="675"/>
      <c r="F109" s="675"/>
      <c r="S109" s="644"/>
    </row>
    <row r="110" ht="25.5" customHeight="1">
      <c r="A110" s="635"/>
      <c r="B110" s="1323"/>
      <c r="C110" s="635"/>
      <c r="D110" s="1317"/>
      <c r="E110" s="675"/>
      <c r="F110" s="675"/>
      <c r="S110" s="644"/>
    </row>
    <row r="111" ht="25.5" customHeight="1">
      <c r="A111" s="635"/>
      <c r="B111" s="1323"/>
      <c r="C111" s="635"/>
      <c r="D111" s="1317"/>
      <c r="E111" s="675"/>
      <c r="F111" s="675"/>
      <c r="S111" s="644"/>
    </row>
    <row r="112" ht="25.5" customHeight="1">
      <c r="A112" s="635"/>
      <c r="B112" s="1323"/>
      <c r="C112" s="635"/>
      <c r="D112" s="1317"/>
      <c r="E112" s="675"/>
      <c r="F112" s="675"/>
      <c r="S112" s="644"/>
    </row>
    <row r="113" ht="25.5" customHeight="1">
      <c r="A113" s="635"/>
      <c r="B113" s="1323"/>
      <c r="C113" s="635"/>
      <c r="D113" s="1317"/>
      <c r="E113" s="675"/>
      <c r="F113" s="675"/>
      <c r="S113" s="644"/>
    </row>
    <row r="114" ht="25.5" customHeight="1">
      <c r="A114" s="635"/>
      <c r="B114" s="1323"/>
      <c r="C114" s="635"/>
      <c r="D114" s="1317"/>
      <c r="E114" s="675"/>
      <c r="F114" s="675"/>
      <c r="S114" s="644"/>
    </row>
    <row r="115" ht="25.5" customHeight="1">
      <c r="A115" s="635"/>
      <c r="B115" s="1323"/>
      <c r="C115" s="635"/>
      <c r="D115" s="1317"/>
      <c r="E115" s="675"/>
      <c r="F115" s="675"/>
      <c r="S115" s="644"/>
    </row>
    <row r="116" ht="25.5" customHeight="1">
      <c r="A116" s="635"/>
      <c r="B116" s="1323"/>
      <c r="C116" s="635"/>
      <c r="D116" s="1317"/>
      <c r="E116" s="675"/>
      <c r="F116" s="675"/>
      <c r="S116" s="644"/>
    </row>
    <row r="117" ht="25.5" customHeight="1">
      <c r="A117" s="635"/>
      <c r="B117" s="1323"/>
      <c r="C117" s="635"/>
      <c r="D117" s="1317"/>
      <c r="E117" s="675"/>
      <c r="F117" s="675"/>
      <c r="S117" s="644"/>
    </row>
    <row r="118" ht="25.5" customHeight="1">
      <c r="A118" s="635"/>
      <c r="B118" s="1323"/>
      <c r="C118" s="635"/>
      <c r="D118" s="1317"/>
      <c r="E118" s="675"/>
      <c r="F118" s="675"/>
      <c r="S118" s="644"/>
    </row>
    <row r="119" ht="25.5" customHeight="1">
      <c r="A119" s="635"/>
      <c r="B119" s="1323"/>
      <c r="C119" s="635"/>
      <c r="D119" s="1317"/>
      <c r="E119" s="675"/>
      <c r="F119" s="675"/>
      <c r="S119" s="644"/>
    </row>
    <row r="120" ht="25.5" customHeight="1">
      <c r="A120" s="635"/>
      <c r="B120" s="1323"/>
      <c r="C120" s="635"/>
      <c r="D120" s="1317"/>
      <c r="E120" s="675"/>
      <c r="F120" s="675"/>
      <c r="S120" s="644"/>
    </row>
    <row r="121" ht="25.5" customHeight="1">
      <c r="A121" s="635"/>
      <c r="B121" s="1323"/>
      <c r="C121" s="635"/>
      <c r="D121" s="1317"/>
      <c r="E121" s="675"/>
      <c r="F121" s="675"/>
      <c r="S121" s="644"/>
    </row>
    <row r="122" ht="25.5" customHeight="1">
      <c r="A122" s="635"/>
      <c r="B122" s="1323"/>
      <c r="C122" s="635"/>
      <c r="D122" s="1317"/>
      <c r="E122" s="675"/>
      <c r="F122" s="675"/>
      <c r="S122" s="644"/>
    </row>
    <row r="123" ht="25.5" customHeight="1">
      <c r="A123" s="635"/>
      <c r="B123" s="1323"/>
      <c r="C123" s="635"/>
      <c r="D123" s="1317"/>
      <c r="E123" s="675"/>
      <c r="F123" s="675"/>
      <c r="S123" s="644"/>
    </row>
    <row r="124" ht="25.5" customHeight="1">
      <c r="A124" s="635"/>
      <c r="B124" s="1323"/>
      <c r="C124" s="635"/>
      <c r="D124" s="1317"/>
      <c r="E124" s="675"/>
      <c r="F124" s="675"/>
      <c r="S124" s="644"/>
    </row>
    <row r="125" ht="25.5" customHeight="1">
      <c r="A125" s="635"/>
      <c r="B125" s="1323"/>
      <c r="C125" s="635"/>
      <c r="D125" s="1317"/>
      <c r="E125" s="675"/>
      <c r="F125" s="675"/>
      <c r="S125" s="644"/>
    </row>
    <row r="126" ht="25.5" customHeight="1">
      <c r="A126" s="635"/>
      <c r="B126" s="1323"/>
      <c r="C126" s="635"/>
      <c r="D126" s="1317"/>
      <c r="E126" s="675"/>
      <c r="F126" s="675"/>
      <c r="S126" s="644"/>
    </row>
    <row r="127" ht="25.5" customHeight="1">
      <c r="A127" s="635"/>
      <c r="B127" s="1323"/>
      <c r="C127" s="635"/>
      <c r="D127" s="1317"/>
      <c r="E127" s="675"/>
      <c r="F127" s="675"/>
      <c r="S127" s="644"/>
    </row>
    <row r="128" ht="25.5" customHeight="1">
      <c r="A128" s="635"/>
      <c r="B128" s="1323"/>
      <c r="C128" s="635"/>
      <c r="D128" s="1317"/>
      <c r="E128" s="675"/>
      <c r="F128" s="675"/>
      <c r="S128" s="644"/>
    </row>
    <row r="129" ht="25.5" customHeight="1">
      <c r="A129" s="635"/>
      <c r="B129" s="1323"/>
      <c r="C129" s="635"/>
      <c r="D129" s="1317"/>
      <c r="E129" s="675"/>
      <c r="F129" s="675"/>
      <c r="S129" s="644"/>
    </row>
    <row r="130" ht="25.5" customHeight="1">
      <c r="A130" s="635"/>
      <c r="B130" s="1323"/>
      <c r="C130" s="635"/>
      <c r="D130" s="1317"/>
      <c r="E130" s="675"/>
      <c r="F130" s="675"/>
      <c r="S130" s="644"/>
    </row>
    <row r="131" ht="25.5" customHeight="1">
      <c r="A131" s="635"/>
      <c r="B131" s="1323"/>
      <c r="C131" s="635"/>
      <c r="D131" s="1317"/>
      <c r="E131" s="675"/>
      <c r="F131" s="675"/>
      <c r="S131" s="644"/>
    </row>
    <row r="132" ht="25.5" customHeight="1">
      <c r="A132" s="635"/>
      <c r="B132" s="1323"/>
      <c r="C132" s="635"/>
      <c r="D132" s="1317"/>
      <c r="E132" s="675"/>
      <c r="F132" s="675"/>
      <c r="S132" s="644"/>
    </row>
    <row r="133" ht="25.5" customHeight="1">
      <c r="A133" s="635"/>
      <c r="B133" s="1323"/>
      <c r="C133" s="635"/>
      <c r="D133" s="1317"/>
      <c r="E133" s="675"/>
      <c r="F133" s="675"/>
      <c r="S133" s="644"/>
    </row>
    <row r="134" ht="25.5" customHeight="1">
      <c r="A134" s="635"/>
      <c r="B134" s="1323"/>
      <c r="C134" s="635"/>
      <c r="D134" s="1317"/>
      <c r="E134" s="675"/>
      <c r="F134" s="675"/>
      <c r="S134" s="644"/>
    </row>
    <row r="135" ht="25.5" customHeight="1">
      <c r="A135" s="635"/>
      <c r="B135" s="1323"/>
      <c r="C135" s="635"/>
      <c r="D135" s="1317"/>
      <c r="E135" s="675"/>
      <c r="F135" s="675"/>
      <c r="S135" s="644"/>
    </row>
    <row r="136" ht="25.5" customHeight="1">
      <c r="A136" s="635"/>
      <c r="B136" s="1323"/>
      <c r="C136" s="635"/>
      <c r="D136" s="1317"/>
      <c r="E136" s="675"/>
      <c r="F136" s="675"/>
      <c r="S136" s="644"/>
    </row>
    <row r="137" ht="25.5" customHeight="1">
      <c r="A137" s="635"/>
      <c r="B137" s="1323"/>
      <c r="C137" s="635"/>
      <c r="D137" s="1317"/>
      <c r="E137" s="675"/>
      <c r="F137" s="675"/>
      <c r="S137" s="644"/>
    </row>
    <row r="138" ht="25.5" customHeight="1">
      <c r="A138" s="635"/>
      <c r="B138" s="1323"/>
      <c r="C138" s="635"/>
      <c r="D138" s="1317"/>
      <c r="E138" s="675"/>
      <c r="F138" s="675"/>
      <c r="S138" s="644"/>
    </row>
    <row r="139" ht="25.5" customHeight="1">
      <c r="A139" s="635"/>
      <c r="B139" s="1323"/>
      <c r="C139" s="635"/>
      <c r="D139" s="1317"/>
      <c r="E139" s="675"/>
      <c r="F139" s="675"/>
      <c r="S139" s="644"/>
    </row>
    <row r="140" ht="25.5" customHeight="1">
      <c r="A140" s="635"/>
      <c r="B140" s="1323"/>
      <c r="C140" s="635"/>
      <c r="D140" s="1317"/>
      <c r="E140" s="675"/>
      <c r="F140" s="675"/>
      <c r="S140" s="644"/>
    </row>
    <row r="141" ht="25.5" customHeight="1">
      <c r="A141" s="635"/>
      <c r="B141" s="1323"/>
      <c r="C141" s="635"/>
      <c r="D141" s="1317"/>
      <c r="E141" s="675"/>
      <c r="F141" s="675"/>
      <c r="S141" s="644"/>
    </row>
    <row r="142" ht="25.5" customHeight="1">
      <c r="A142" s="635"/>
      <c r="B142" s="1323"/>
      <c r="C142" s="635"/>
      <c r="D142" s="1317"/>
      <c r="E142" s="675"/>
      <c r="F142" s="675"/>
      <c r="S142" s="644"/>
    </row>
    <row r="143" ht="25.5" customHeight="1">
      <c r="A143" s="635"/>
      <c r="B143" s="1323"/>
      <c r="C143" s="635"/>
      <c r="D143" s="1317"/>
      <c r="E143" s="675"/>
      <c r="F143" s="675"/>
      <c r="S143" s="644"/>
    </row>
    <row r="144" ht="25.5" customHeight="1">
      <c r="A144" s="635"/>
      <c r="B144" s="1323"/>
      <c r="C144" s="635"/>
      <c r="D144" s="1317"/>
      <c r="E144" s="675"/>
      <c r="F144" s="675"/>
      <c r="S144" s="644"/>
    </row>
    <row r="145" ht="25.5" customHeight="1">
      <c r="A145" s="635"/>
      <c r="B145" s="1323"/>
      <c r="C145" s="635"/>
      <c r="D145" s="1317"/>
      <c r="E145" s="675"/>
      <c r="F145" s="675"/>
      <c r="S145" s="644"/>
    </row>
    <row r="146" ht="25.5" customHeight="1">
      <c r="A146" s="635"/>
      <c r="B146" s="1323"/>
      <c r="C146" s="635"/>
      <c r="D146" s="1317"/>
      <c r="E146" s="675"/>
      <c r="F146" s="675"/>
      <c r="S146" s="644"/>
    </row>
    <row r="147" ht="25.5" customHeight="1">
      <c r="A147" s="635"/>
      <c r="B147" s="1323"/>
      <c r="C147" s="635"/>
      <c r="D147" s="1317"/>
      <c r="E147" s="675"/>
      <c r="F147" s="675"/>
      <c r="S147" s="644"/>
    </row>
    <row r="148" ht="25.5" customHeight="1">
      <c r="A148" s="635"/>
      <c r="B148" s="1323"/>
      <c r="C148" s="635"/>
      <c r="D148" s="1317"/>
      <c r="E148" s="675"/>
      <c r="F148" s="675"/>
      <c r="S148" s="644"/>
    </row>
    <row r="149" ht="25.5" customHeight="1">
      <c r="A149" s="635"/>
      <c r="B149" s="1323"/>
      <c r="C149" s="635"/>
      <c r="D149" s="1317"/>
      <c r="E149" s="675"/>
      <c r="F149" s="675"/>
      <c r="S149" s="644"/>
    </row>
    <row r="150" ht="25.5" customHeight="1">
      <c r="A150" s="635"/>
      <c r="B150" s="1323"/>
      <c r="C150" s="635"/>
      <c r="D150" s="1317"/>
      <c r="E150" s="675"/>
      <c r="F150" s="675"/>
      <c r="S150" s="644"/>
    </row>
    <row r="151" ht="25.5" customHeight="1">
      <c r="A151" s="635"/>
      <c r="B151" s="1323"/>
      <c r="C151" s="635"/>
      <c r="D151" s="1317"/>
      <c r="E151" s="675"/>
      <c r="F151" s="675"/>
      <c r="S151" s="644"/>
    </row>
    <row r="152" ht="25.5" customHeight="1">
      <c r="A152" s="635"/>
      <c r="B152" s="1323"/>
      <c r="C152" s="635"/>
      <c r="D152" s="1317"/>
      <c r="E152" s="675"/>
      <c r="F152" s="675"/>
      <c r="S152" s="644"/>
    </row>
    <row r="153" ht="25.5" customHeight="1">
      <c r="A153" s="635"/>
      <c r="B153" s="1323"/>
      <c r="C153" s="635"/>
      <c r="D153" s="1317"/>
      <c r="E153" s="675"/>
      <c r="F153" s="675"/>
      <c r="S153" s="644"/>
    </row>
    <row r="154" ht="25.5" customHeight="1">
      <c r="A154" s="635"/>
      <c r="B154" s="1323"/>
      <c r="C154" s="635"/>
      <c r="D154" s="1317"/>
      <c r="E154" s="675"/>
      <c r="F154" s="675"/>
      <c r="S154" s="644"/>
    </row>
    <row r="155" ht="25.5" customHeight="1">
      <c r="A155" s="635"/>
      <c r="B155" s="1323"/>
      <c r="C155" s="635"/>
      <c r="D155" s="1317"/>
      <c r="E155" s="675"/>
      <c r="F155" s="675"/>
      <c r="S155" s="644"/>
    </row>
    <row r="156" ht="25.5" customHeight="1">
      <c r="A156" s="635"/>
      <c r="B156" s="1323"/>
      <c r="C156" s="635"/>
      <c r="D156" s="1317"/>
      <c r="E156" s="675"/>
      <c r="F156" s="675"/>
      <c r="S156" s="644"/>
    </row>
    <row r="157" ht="25.5" customHeight="1">
      <c r="A157" s="635"/>
      <c r="B157" s="1323"/>
      <c r="C157" s="635"/>
      <c r="D157" s="1317"/>
      <c r="E157" s="675"/>
      <c r="F157" s="675"/>
      <c r="S157" s="644"/>
    </row>
    <row r="158" ht="25.5" customHeight="1">
      <c r="A158" s="635"/>
      <c r="B158" s="1323"/>
      <c r="C158" s="635"/>
      <c r="D158" s="1317"/>
      <c r="E158" s="675"/>
      <c r="F158" s="675"/>
      <c r="S158" s="644"/>
    </row>
    <row r="159" ht="25.5" customHeight="1">
      <c r="A159" s="635"/>
      <c r="B159" s="1323"/>
      <c r="C159" s="635"/>
      <c r="D159" s="1317"/>
      <c r="E159" s="675"/>
      <c r="F159" s="675"/>
      <c r="S159" s="644"/>
    </row>
    <row r="160" ht="25.5" customHeight="1">
      <c r="A160" s="635"/>
      <c r="B160" s="1323"/>
      <c r="C160" s="635"/>
      <c r="D160" s="1317"/>
      <c r="E160" s="675"/>
      <c r="F160" s="675"/>
      <c r="S160" s="644"/>
    </row>
    <row r="161" ht="25.5" customHeight="1">
      <c r="A161" s="635"/>
      <c r="B161" s="1323"/>
      <c r="C161" s="635"/>
      <c r="D161" s="1317"/>
      <c r="E161" s="675"/>
      <c r="F161" s="675"/>
      <c r="S161" s="644"/>
    </row>
    <row r="162" ht="25.5" customHeight="1">
      <c r="A162" s="635"/>
      <c r="B162" s="1323"/>
      <c r="C162" s="635"/>
      <c r="D162" s="1317"/>
      <c r="E162" s="675"/>
      <c r="F162" s="675"/>
      <c r="S162" s="644"/>
    </row>
    <row r="163" ht="25.5" customHeight="1">
      <c r="A163" s="635"/>
      <c r="B163" s="1323"/>
      <c r="C163" s="635"/>
      <c r="D163" s="1317"/>
      <c r="E163" s="675"/>
      <c r="F163" s="675"/>
      <c r="S163" s="644"/>
    </row>
    <row r="164" ht="25.5" customHeight="1">
      <c r="A164" s="635"/>
      <c r="B164" s="1323"/>
      <c r="C164" s="635"/>
      <c r="D164" s="1317"/>
      <c r="E164" s="675"/>
      <c r="F164" s="675"/>
      <c r="S164" s="644"/>
    </row>
    <row r="165" ht="25.5" customHeight="1">
      <c r="A165" s="635"/>
      <c r="B165" s="1323"/>
      <c r="C165" s="635"/>
      <c r="D165" s="1317"/>
      <c r="E165" s="675"/>
      <c r="F165" s="675"/>
      <c r="S165" s="644"/>
    </row>
    <row r="166" ht="25.5" customHeight="1">
      <c r="A166" s="635"/>
      <c r="B166" s="1323"/>
      <c r="C166" s="635"/>
      <c r="D166" s="1317"/>
      <c r="E166" s="675"/>
      <c r="F166" s="675"/>
      <c r="S166" s="644"/>
    </row>
    <row r="167" ht="25.5" customHeight="1">
      <c r="A167" s="635"/>
      <c r="B167" s="1323"/>
      <c r="C167" s="635"/>
      <c r="D167" s="1317"/>
      <c r="E167" s="675"/>
      <c r="F167" s="675"/>
      <c r="S167" s="644"/>
    </row>
    <row r="168" ht="25.5" customHeight="1">
      <c r="A168" s="635"/>
      <c r="B168" s="1323"/>
      <c r="C168" s="635"/>
      <c r="D168" s="1317"/>
      <c r="E168" s="675"/>
      <c r="F168" s="675"/>
      <c r="S168" s="644"/>
    </row>
    <row r="169" ht="25.5" customHeight="1">
      <c r="A169" s="635"/>
      <c r="B169" s="1323"/>
      <c r="C169" s="635"/>
      <c r="D169" s="1317"/>
      <c r="E169" s="675"/>
      <c r="F169" s="675"/>
      <c r="S169" s="644"/>
    </row>
    <row r="170" ht="25.5" customHeight="1">
      <c r="A170" s="635"/>
      <c r="B170" s="1323"/>
      <c r="C170" s="635"/>
      <c r="D170" s="1317"/>
      <c r="E170" s="675"/>
      <c r="F170" s="675"/>
      <c r="S170" s="644"/>
    </row>
    <row r="171" ht="25.5" customHeight="1">
      <c r="A171" s="635"/>
      <c r="B171" s="1323"/>
      <c r="C171" s="635"/>
      <c r="D171" s="1317"/>
      <c r="E171" s="675"/>
      <c r="F171" s="675"/>
      <c r="S171" s="644"/>
    </row>
    <row r="172" ht="25.5" customHeight="1">
      <c r="A172" s="635"/>
      <c r="B172" s="1323"/>
      <c r="C172" s="635"/>
      <c r="D172" s="1317"/>
      <c r="E172" s="675"/>
      <c r="F172" s="675"/>
      <c r="S172" s="644"/>
    </row>
    <row r="173" ht="25.5" customHeight="1">
      <c r="A173" s="635"/>
      <c r="B173" s="1323"/>
      <c r="C173" s="635"/>
      <c r="D173" s="1317"/>
      <c r="E173" s="675"/>
      <c r="F173" s="675"/>
      <c r="S173" s="644"/>
    </row>
    <row r="174" ht="25.5" customHeight="1">
      <c r="A174" s="635"/>
      <c r="B174" s="1323"/>
      <c r="C174" s="635"/>
      <c r="D174" s="1317"/>
      <c r="E174" s="675"/>
      <c r="F174" s="675"/>
      <c r="S174" s="644"/>
    </row>
    <row r="175" ht="25.5" customHeight="1">
      <c r="A175" s="635"/>
      <c r="B175" s="1323"/>
      <c r="C175" s="635"/>
      <c r="D175" s="1317"/>
      <c r="E175" s="675"/>
      <c r="F175" s="675"/>
      <c r="S175" s="644"/>
    </row>
    <row r="176" ht="25.5" customHeight="1">
      <c r="A176" s="635"/>
      <c r="B176" s="1323"/>
      <c r="C176" s="635"/>
      <c r="D176" s="1317"/>
      <c r="E176" s="675"/>
      <c r="F176" s="675"/>
      <c r="S176" s="644"/>
    </row>
    <row r="177" ht="25.5" customHeight="1">
      <c r="A177" s="635"/>
      <c r="B177" s="1323"/>
      <c r="C177" s="635"/>
      <c r="D177" s="1317"/>
      <c r="E177" s="675"/>
      <c r="F177" s="675"/>
      <c r="S177" s="644"/>
    </row>
    <row r="178" ht="25.5" customHeight="1">
      <c r="A178" s="635"/>
      <c r="B178" s="1323"/>
      <c r="C178" s="635"/>
      <c r="D178" s="1317"/>
      <c r="E178" s="675"/>
      <c r="F178" s="675"/>
      <c r="S178" s="644"/>
    </row>
    <row r="179" ht="25.5" customHeight="1">
      <c r="A179" s="635"/>
      <c r="B179" s="1323"/>
      <c r="C179" s="635"/>
      <c r="D179" s="1317"/>
      <c r="E179" s="675"/>
      <c r="F179" s="675"/>
      <c r="S179" s="644"/>
    </row>
    <row r="180" ht="25.5" customHeight="1">
      <c r="A180" s="635"/>
      <c r="B180" s="1323"/>
      <c r="C180" s="635"/>
      <c r="D180" s="1317"/>
      <c r="E180" s="675"/>
      <c r="F180" s="675"/>
      <c r="S180" s="644"/>
    </row>
    <row r="181" ht="25.5" customHeight="1">
      <c r="A181" s="635"/>
      <c r="B181" s="1323"/>
      <c r="C181" s="635"/>
      <c r="D181" s="1317"/>
      <c r="E181" s="675"/>
      <c r="F181" s="675"/>
      <c r="S181" s="644"/>
    </row>
    <row r="182" ht="25.5" customHeight="1">
      <c r="A182" s="635"/>
      <c r="B182" s="1323"/>
      <c r="C182" s="635"/>
      <c r="D182" s="1317"/>
      <c r="E182" s="675"/>
      <c r="F182" s="675"/>
      <c r="S182" s="644"/>
    </row>
    <row r="183" ht="25.5" customHeight="1">
      <c r="A183" s="635"/>
      <c r="B183" s="1323"/>
      <c r="C183" s="635"/>
      <c r="D183" s="1317"/>
      <c r="E183" s="675"/>
      <c r="F183" s="675"/>
      <c r="S183" s="644"/>
    </row>
    <row r="184" ht="25.5" customHeight="1">
      <c r="A184" s="635"/>
      <c r="B184" s="1323"/>
      <c r="C184" s="635"/>
      <c r="D184" s="1317"/>
      <c r="E184" s="675"/>
      <c r="F184" s="675"/>
      <c r="S184" s="644"/>
    </row>
    <row r="185" ht="25.5" customHeight="1">
      <c r="A185" s="635"/>
      <c r="B185" s="1323"/>
      <c r="C185" s="635"/>
      <c r="D185" s="1317"/>
      <c r="E185" s="675"/>
      <c r="F185" s="675"/>
      <c r="S185" s="644"/>
    </row>
    <row r="186" ht="25.5" customHeight="1">
      <c r="A186" s="635"/>
      <c r="B186" s="1323"/>
      <c r="C186" s="635"/>
      <c r="D186" s="1317"/>
      <c r="E186" s="675"/>
      <c r="F186" s="675"/>
      <c r="S186" s="644"/>
    </row>
    <row r="187" ht="25.5" customHeight="1">
      <c r="A187" s="635"/>
      <c r="B187" s="1323"/>
      <c r="C187" s="635"/>
      <c r="D187" s="1317"/>
      <c r="E187" s="675"/>
      <c r="F187" s="675"/>
      <c r="S187" s="644"/>
    </row>
    <row r="188" ht="25.5" customHeight="1">
      <c r="A188" s="635"/>
      <c r="B188" s="1323"/>
      <c r="C188" s="635"/>
      <c r="D188" s="1317"/>
      <c r="E188" s="675"/>
      <c r="F188" s="675"/>
      <c r="S188" s="644"/>
    </row>
    <row r="189" ht="25.5" customHeight="1">
      <c r="A189" s="635"/>
      <c r="B189" s="1323"/>
      <c r="C189" s="635"/>
      <c r="D189" s="1317"/>
      <c r="E189" s="675"/>
      <c r="F189" s="675"/>
      <c r="S189" s="644"/>
    </row>
    <row r="190" ht="25.5" customHeight="1">
      <c r="A190" s="635"/>
      <c r="B190" s="1323"/>
      <c r="C190" s="635"/>
      <c r="D190" s="1317"/>
      <c r="E190" s="675"/>
      <c r="F190" s="675"/>
      <c r="S190" s="644"/>
    </row>
    <row r="191" ht="25.5" customHeight="1">
      <c r="A191" s="635"/>
      <c r="B191" s="1323"/>
      <c r="C191" s="635"/>
      <c r="D191" s="1317"/>
      <c r="E191" s="675"/>
      <c r="F191" s="675"/>
      <c r="S191" s="644"/>
    </row>
    <row r="192" ht="25.5" customHeight="1">
      <c r="A192" s="635"/>
      <c r="B192" s="1323"/>
      <c r="C192" s="635"/>
      <c r="D192" s="1317"/>
      <c r="E192" s="675"/>
      <c r="F192" s="675"/>
      <c r="S192" s="644"/>
    </row>
    <row r="193" ht="25.5" customHeight="1">
      <c r="A193" s="635"/>
      <c r="B193" s="1323"/>
      <c r="C193" s="635"/>
      <c r="D193" s="1317"/>
      <c r="E193" s="675"/>
      <c r="F193" s="675"/>
      <c r="S193" s="644"/>
    </row>
    <row r="194" ht="25.5" customHeight="1">
      <c r="A194" s="635"/>
      <c r="B194" s="1323"/>
      <c r="C194" s="635"/>
      <c r="D194" s="1317"/>
      <c r="E194" s="675"/>
      <c r="F194" s="675"/>
      <c r="S194" s="644"/>
    </row>
    <row r="195" ht="25.5" customHeight="1">
      <c r="A195" s="635"/>
      <c r="B195" s="1323"/>
      <c r="C195" s="635"/>
      <c r="D195" s="1317"/>
      <c r="E195" s="675"/>
      <c r="F195" s="675"/>
      <c r="S195" s="644"/>
    </row>
    <row r="196" ht="25.5" customHeight="1">
      <c r="A196" s="635"/>
      <c r="B196" s="1323"/>
      <c r="C196" s="635"/>
      <c r="D196" s="1317"/>
      <c r="E196" s="675"/>
      <c r="F196" s="675"/>
      <c r="S196" s="644"/>
    </row>
    <row r="197" ht="25.5" customHeight="1">
      <c r="A197" s="635"/>
      <c r="B197" s="1323"/>
      <c r="C197" s="635"/>
      <c r="D197" s="1317"/>
      <c r="E197" s="675"/>
      <c r="F197" s="675"/>
      <c r="S197" s="644"/>
    </row>
    <row r="198" ht="25.5" customHeight="1">
      <c r="A198" s="635"/>
      <c r="B198" s="1323"/>
      <c r="C198" s="635"/>
      <c r="D198" s="1317"/>
      <c r="E198" s="675"/>
      <c r="F198" s="675"/>
      <c r="S198" s="644"/>
    </row>
    <row r="199" ht="25.5" customHeight="1">
      <c r="A199" s="635"/>
      <c r="B199" s="1323"/>
      <c r="C199" s="635"/>
      <c r="D199" s="1317"/>
      <c r="E199" s="675"/>
      <c r="F199" s="675"/>
      <c r="S199" s="644"/>
    </row>
    <row r="200" ht="25.5" customHeight="1">
      <c r="A200" s="635"/>
      <c r="B200" s="1323"/>
      <c r="C200" s="635"/>
      <c r="D200" s="1317"/>
      <c r="E200" s="675"/>
      <c r="F200" s="675"/>
      <c r="S200" s="644"/>
    </row>
    <row r="201" ht="25.5" customHeight="1">
      <c r="A201" s="635"/>
      <c r="B201" s="1323"/>
      <c r="C201" s="635"/>
      <c r="D201" s="1317"/>
      <c r="E201" s="675"/>
      <c r="F201" s="675"/>
      <c r="S201" s="644"/>
    </row>
    <row r="202" ht="25.5" customHeight="1">
      <c r="A202" s="635"/>
      <c r="B202" s="1323"/>
      <c r="C202" s="635"/>
      <c r="D202" s="1317"/>
      <c r="E202" s="675"/>
      <c r="F202" s="675"/>
      <c r="S202" s="644"/>
    </row>
    <row r="203" ht="25.5" customHeight="1">
      <c r="A203" s="635"/>
      <c r="B203" s="1323"/>
      <c r="C203" s="635"/>
      <c r="D203" s="1317"/>
      <c r="E203" s="675"/>
      <c r="F203" s="675"/>
      <c r="S203" s="644"/>
    </row>
    <row r="204" ht="25.5" customHeight="1">
      <c r="A204" s="635"/>
      <c r="B204" s="1323"/>
      <c r="C204" s="635"/>
      <c r="D204" s="1317"/>
      <c r="E204" s="675"/>
      <c r="F204" s="675"/>
      <c r="S204" s="644"/>
    </row>
    <row r="205" ht="25.5" customHeight="1">
      <c r="A205" s="635"/>
      <c r="B205" s="1323"/>
      <c r="C205" s="635"/>
      <c r="D205" s="1317"/>
      <c r="E205" s="675"/>
      <c r="F205" s="675"/>
      <c r="S205" s="644"/>
    </row>
    <row r="206" ht="25.5" customHeight="1">
      <c r="A206" s="635"/>
      <c r="B206" s="1323"/>
      <c r="C206" s="635"/>
      <c r="D206" s="1317"/>
      <c r="E206" s="675"/>
      <c r="F206" s="675"/>
      <c r="S206" s="644"/>
    </row>
    <row r="207" ht="25.5" customHeight="1">
      <c r="A207" s="635"/>
      <c r="B207" s="1323"/>
      <c r="C207" s="635"/>
      <c r="D207" s="1317"/>
      <c r="E207" s="675"/>
      <c r="F207" s="675"/>
      <c r="S207" s="644"/>
    </row>
    <row r="208" ht="25.5" customHeight="1">
      <c r="A208" s="635"/>
      <c r="B208" s="1323"/>
      <c r="C208" s="635"/>
      <c r="D208" s="1317"/>
      <c r="E208" s="675"/>
      <c r="F208" s="675"/>
      <c r="S208" s="644"/>
    </row>
    <row r="209" ht="25.5" customHeight="1">
      <c r="A209" s="635"/>
      <c r="B209" s="1323"/>
      <c r="C209" s="635"/>
      <c r="D209" s="1317"/>
      <c r="E209" s="675"/>
      <c r="F209" s="675"/>
      <c r="S209" s="644"/>
    </row>
    <row r="210" ht="25.5" customHeight="1">
      <c r="A210" s="635"/>
      <c r="B210" s="1323"/>
      <c r="C210" s="635"/>
      <c r="D210" s="1317"/>
      <c r="E210" s="675"/>
      <c r="F210" s="675"/>
      <c r="S210" s="644"/>
    </row>
    <row r="211" ht="25.5" customHeight="1">
      <c r="A211" s="635"/>
      <c r="B211" s="1323"/>
      <c r="C211" s="635"/>
      <c r="D211" s="1317"/>
      <c r="E211" s="675"/>
      <c r="F211" s="675"/>
      <c r="S211" s="644"/>
    </row>
    <row r="212" ht="25.5" customHeight="1">
      <c r="A212" s="635"/>
      <c r="B212" s="1323"/>
      <c r="C212" s="635"/>
      <c r="D212" s="1317"/>
      <c r="E212" s="675"/>
      <c r="F212" s="675"/>
      <c r="S212" s="644"/>
    </row>
    <row r="213" ht="25.5" customHeight="1">
      <c r="A213" s="635"/>
      <c r="B213" s="1323"/>
      <c r="C213" s="635"/>
      <c r="D213" s="1317"/>
      <c r="E213" s="675"/>
      <c r="F213" s="675"/>
      <c r="S213" s="644"/>
    </row>
    <row r="214" ht="25.5" customHeight="1">
      <c r="A214" s="635"/>
      <c r="B214" s="1323"/>
      <c r="C214" s="635"/>
      <c r="D214" s="1317"/>
      <c r="E214" s="675"/>
      <c r="F214" s="675"/>
      <c r="S214" s="644"/>
    </row>
    <row r="215" ht="25.5" customHeight="1">
      <c r="A215" s="635"/>
      <c r="B215" s="1323"/>
      <c r="C215" s="635"/>
      <c r="D215" s="1317"/>
      <c r="E215" s="675"/>
      <c r="F215" s="675"/>
      <c r="S215" s="644"/>
    </row>
    <row r="216" ht="25.5" customHeight="1">
      <c r="A216" s="635"/>
      <c r="B216" s="1323"/>
      <c r="C216" s="635"/>
      <c r="D216" s="1317"/>
      <c r="E216" s="675"/>
      <c r="F216" s="675"/>
      <c r="S216" s="644"/>
    </row>
    <row r="217" ht="25.5" customHeight="1">
      <c r="A217" s="635"/>
      <c r="B217" s="1323"/>
      <c r="C217" s="635"/>
      <c r="D217" s="1317"/>
      <c r="E217" s="675"/>
      <c r="F217" s="675"/>
      <c r="S217" s="644"/>
    </row>
    <row r="218" ht="25.5" customHeight="1">
      <c r="A218" s="635"/>
      <c r="B218" s="1323"/>
      <c r="C218" s="635"/>
      <c r="D218" s="1317"/>
      <c r="E218" s="675"/>
      <c r="F218" s="675"/>
      <c r="S218" s="644"/>
    </row>
    <row r="219" ht="25.5" customHeight="1">
      <c r="A219" s="635"/>
      <c r="B219" s="1323"/>
      <c r="C219" s="635"/>
      <c r="D219" s="1317"/>
      <c r="E219" s="675"/>
      <c r="F219" s="675"/>
      <c r="S219" s="644"/>
    </row>
    <row r="220" ht="25.5" customHeight="1">
      <c r="A220" s="635"/>
      <c r="B220" s="1323"/>
      <c r="C220" s="635"/>
      <c r="D220" s="1317"/>
      <c r="E220" s="675"/>
      <c r="F220" s="675"/>
      <c r="S220" s="644"/>
    </row>
    <row r="221" ht="25.5" customHeight="1">
      <c r="A221" s="635"/>
      <c r="B221" s="1323"/>
      <c r="C221" s="635"/>
      <c r="D221" s="1317"/>
      <c r="E221" s="675"/>
      <c r="F221" s="675"/>
      <c r="S221" s="644"/>
    </row>
    <row r="222" ht="25.5" customHeight="1">
      <c r="A222" s="635"/>
      <c r="B222" s="1323"/>
      <c r="C222" s="635"/>
      <c r="D222" s="1317"/>
      <c r="E222" s="675"/>
      <c r="F222" s="675"/>
      <c r="S222" s="644"/>
    </row>
    <row r="223" ht="25.5" customHeight="1">
      <c r="A223" s="635"/>
      <c r="B223" s="1323"/>
      <c r="C223" s="635"/>
      <c r="D223" s="1317"/>
      <c r="E223" s="675"/>
      <c r="F223" s="675"/>
      <c r="S223" s="644"/>
    </row>
    <row r="224" ht="25.5" customHeight="1">
      <c r="A224" s="635"/>
      <c r="B224" s="1323"/>
      <c r="C224" s="635"/>
      <c r="D224" s="1317"/>
      <c r="E224" s="675"/>
      <c r="F224" s="675"/>
      <c r="S224" s="644"/>
    </row>
    <row r="225" ht="25.5" customHeight="1">
      <c r="A225" s="635"/>
      <c r="B225" s="1323"/>
      <c r="C225" s="635"/>
      <c r="D225" s="1317"/>
      <c r="E225" s="675"/>
      <c r="F225" s="675"/>
      <c r="S225" s="644"/>
    </row>
    <row r="226" ht="25.5" customHeight="1">
      <c r="A226" s="635"/>
      <c r="B226" s="1323"/>
      <c r="C226" s="635"/>
      <c r="D226" s="1317"/>
      <c r="E226" s="675"/>
      <c r="F226" s="675"/>
      <c r="S226" s="644"/>
    </row>
    <row r="227" ht="25.5" customHeight="1">
      <c r="A227" s="635"/>
      <c r="B227" s="1323"/>
      <c r="C227" s="635"/>
      <c r="D227" s="1317"/>
      <c r="E227" s="675"/>
      <c r="F227" s="675"/>
      <c r="S227" s="644"/>
    </row>
    <row r="228" ht="25.5" customHeight="1">
      <c r="A228" s="635"/>
      <c r="B228" s="1323"/>
      <c r="C228" s="635"/>
      <c r="D228" s="1317"/>
      <c r="E228" s="675"/>
      <c r="F228" s="675"/>
      <c r="S228" s="644"/>
    </row>
    <row r="229" ht="25.5" customHeight="1">
      <c r="A229" s="635"/>
      <c r="B229" s="1323"/>
      <c r="C229" s="635"/>
      <c r="D229" s="1317"/>
      <c r="E229" s="675"/>
      <c r="F229" s="675"/>
      <c r="S229" s="644"/>
    </row>
    <row r="230" ht="25.5" customHeight="1">
      <c r="A230" s="635"/>
      <c r="B230" s="1323"/>
      <c r="C230" s="635"/>
      <c r="D230" s="1317"/>
      <c r="E230" s="675"/>
      <c r="F230" s="675"/>
      <c r="S230" s="644"/>
    </row>
    <row r="231" ht="25.5" customHeight="1">
      <c r="A231" s="635"/>
      <c r="B231" s="1323"/>
      <c r="C231" s="635"/>
      <c r="D231" s="1317"/>
      <c r="E231" s="675"/>
      <c r="F231" s="675"/>
      <c r="S231" s="644"/>
    </row>
    <row r="232" ht="25.5" customHeight="1">
      <c r="A232" s="635"/>
      <c r="B232" s="1323"/>
      <c r="C232" s="635"/>
      <c r="D232" s="1317"/>
      <c r="E232" s="675"/>
      <c r="F232" s="675"/>
      <c r="S232" s="644"/>
    </row>
    <row r="233" ht="25.5" customHeight="1">
      <c r="A233" s="635"/>
      <c r="B233" s="1323"/>
      <c r="C233" s="635"/>
      <c r="D233" s="1317"/>
      <c r="E233" s="675"/>
      <c r="F233" s="675"/>
      <c r="S233" s="644"/>
    </row>
    <row r="234" ht="25.5" customHeight="1">
      <c r="A234" s="635"/>
      <c r="B234" s="1323"/>
      <c r="C234" s="635"/>
      <c r="D234" s="1317"/>
      <c r="E234" s="675"/>
      <c r="F234" s="675"/>
      <c r="S234" s="644"/>
    </row>
    <row r="235" ht="25.5" customHeight="1">
      <c r="A235" s="635"/>
      <c r="B235" s="1323"/>
      <c r="C235" s="635"/>
      <c r="D235" s="1317"/>
      <c r="E235" s="675"/>
      <c r="F235" s="675"/>
      <c r="S235" s="644"/>
    </row>
    <row r="236" ht="25.5" customHeight="1">
      <c r="A236" s="635"/>
      <c r="B236" s="1323"/>
      <c r="C236" s="635"/>
      <c r="D236" s="1317"/>
      <c r="E236" s="675"/>
      <c r="F236" s="675"/>
      <c r="S236" s="644"/>
    </row>
    <row r="237" ht="25.5" customHeight="1">
      <c r="A237" s="635"/>
      <c r="B237" s="1323"/>
      <c r="C237" s="635"/>
      <c r="D237" s="1317"/>
      <c r="E237" s="675"/>
      <c r="F237" s="675"/>
      <c r="S237" s="644"/>
    </row>
    <row r="238" ht="25.5" customHeight="1">
      <c r="A238" s="635"/>
      <c r="B238" s="1323"/>
      <c r="C238" s="635"/>
      <c r="D238" s="1317"/>
      <c r="E238" s="675"/>
      <c r="F238" s="675"/>
      <c r="S238" s="644"/>
    </row>
    <row r="239" ht="25.5" customHeight="1">
      <c r="A239" s="635"/>
      <c r="B239" s="1323"/>
      <c r="C239" s="635"/>
      <c r="D239" s="1317"/>
      <c r="E239" s="675"/>
      <c r="F239" s="675"/>
      <c r="S239" s="644"/>
    </row>
    <row r="240" ht="25.5" customHeight="1">
      <c r="A240" s="635"/>
      <c r="B240" s="1323"/>
      <c r="C240" s="635"/>
      <c r="D240" s="1317"/>
      <c r="E240" s="675"/>
      <c r="F240" s="675"/>
      <c r="S240" s="644"/>
    </row>
    <row r="241" ht="25.5" customHeight="1">
      <c r="A241" s="635"/>
      <c r="B241" s="1323"/>
      <c r="C241" s="635"/>
      <c r="D241" s="1317"/>
      <c r="E241" s="675"/>
      <c r="F241" s="675"/>
      <c r="S241" s="644"/>
    </row>
    <row r="242" ht="25.5" customHeight="1">
      <c r="A242" s="635"/>
      <c r="B242" s="1323"/>
      <c r="C242" s="635"/>
      <c r="D242" s="1317"/>
      <c r="E242" s="675"/>
      <c r="F242" s="675"/>
      <c r="S242" s="644"/>
    </row>
    <row r="243" ht="25.5" customHeight="1">
      <c r="A243" s="635"/>
      <c r="B243" s="1323"/>
      <c r="C243" s="635"/>
      <c r="D243" s="1317"/>
      <c r="E243" s="675"/>
      <c r="F243" s="675"/>
      <c r="S243" s="644"/>
    </row>
    <row r="244" ht="25.5" customHeight="1">
      <c r="A244" s="635"/>
      <c r="B244" s="1323"/>
      <c r="C244" s="635"/>
      <c r="D244" s="1317"/>
      <c r="E244" s="675"/>
      <c r="F244" s="675"/>
      <c r="S244" s="644"/>
    </row>
    <row r="245" ht="25.5" customHeight="1">
      <c r="A245" s="635"/>
      <c r="B245" s="1323"/>
      <c r="C245" s="635"/>
      <c r="D245" s="1317"/>
      <c r="E245" s="675"/>
      <c r="F245" s="675"/>
      <c r="S245" s="644"/>
    </row>
    <row r="246" ht="25.5" customHeight="1">
      <c r="A246" s="635"/>
      <c r="B246" s="1323"/>
      <c r="C246" s="635"/>
      <c r="D246" s="1317"/>
      <c r="E246" s="675"/>
      <c r="F246" s="675"/>
      <c r="S246" s="644"/>
    </row>
    <row r="247" ht="25.5" customHeight="1">
      <c r="A247" s="635"/>
      <c r="B247" s="1323"/>
      <c r="C247" s="635"/>
      <c r="D247" s="1317"/>
      <c r="E247" s="675"/>
      <c r="F247" s="675"/>
      <c r="S247" s="644"/>
    </row>
    <row r="248" ht="25.5" customHeight="1">
      <c r="A248" s="635"/>
      <c r="B248" s="1323"/>
      <c r="C248" s="635"/>
      <c r="D248" s="1317"/>
      <c r="E248" s="675"/>
      <c r="F248" s="675"/>
      <c r="S248" s="644"/>
    </row>
    <row r="249" ht="25.5" customHeight="1">
      <c r="A249" s="635"/>
      <c r="B249" s="1323"/>
      <c r="C249" s="635"/>
      <c r="D249" s="1317"/>
      <c r="E249" s="675"/>
      <c r="F249" s="675"/>
      <c r="S249" s="644"/>
    </row>
    <row r="250" ht="25.5" customHeight="1">
      <c r="A250" s="635"/>
      <c r="B250" s="1323"/>
      <c r="C250" s="635"/>
      <c r="D250" s="1317"/>
      <c r="E250" s="675"/>
      <c r="F250" s="675"/>
      <c r="S250" s="644"/>
    </row>
    <row r="251" ht="25.5" customHeight="1">
      <c r="A251" s="635"/>
      <c r="B251" s="1323"/>
      <c r="C251" s="635"/>
      <c r="D251" s="1317"/>
      <c r="E251" s="675"/>
      <c r="F251" s="675"/>
      <c r="S251" s="644"/>
    </row>
    <row r="252" ht="25.5" customHeight="1">
      <c r="A252" s="635"/>
      <c r="B252" s="1323"/>
      <c r="C252" s="635"/>
      <c r="D252" s="1317"/>
      <c r="E252" s="675"/>
      <c r="F252" s="675"/>
      <c r="S252" s="644"/>
    </row>
    <row r="253" ht="25.5" customHeight="1">
      <c r="A253" s="635"/>
      <c r="B253" s="1323"/>
      <c r="C253" s="635"/>
      <c r="D253" s="1317"/>
      <c r="E253" s="675"/>
      <c r="F253" s="675"/>
      <c r="S253" s="644"/>
    </row>
    <row r="254" ht="25.5" customHeight="1">
      <c r="A254" s="635"/>
      <c r="B254" s="1323"/>
      <c r="C254" s="635"/>
      <c r="D254" s="1317"/>
      <c r="E254" s="675"/>
      <c r="F254" s="675"/>
      <c r="S254" s="644"/>
    </row>
    <row r="255" ht="25.5" customHeight="1">
      <c r="A255" s="635"/>
      <c r="B255" s="1323"/>
      <c r="C255" s="635"/>
      <c r="D255" s="1317"/>
      <c r="E255" s="675"/>
      <c r="F255" s="675"/>
      <c r="S255" s="644"/>
    </row>
    <row r="256" ht="25.5" customHeight="1">
      <c r="A256" s="635"/>
      <c r="B256" s="1323"/>
      <c r="C256" s="635"/>
      <c r="D256" s="1317"/>
      <c r="E256" s="675"/>
      <c r="F256" s="675"/>
      <c r="S256" s="644"/>
    </row>
    <row r="257" ht="25.5" customHeight="1">
      <c r="A257" s="635"/>
      <c r="B257" s="1323"/>
      <c r="C257" s="635"/>
      <c r="D257" s="1317"/>
      <c r="E257" s="675"/>
      <c r="F257" s="675"/>
      <c r="S257" s="644"/>
    </row>
    <row r="258" ht="25.5" customHeight="1">
      <c r="A258" s="635"/>
      <c r="B258" s="1323"/>
      <c r="C258" s="635"/>
      <c r="D258" s="1317"/>
      <c r="E258" s="675"/>
      <c r="F258" s="675"/>
      <c r="S258" s="644"/>
    </row>
    <row r="259" ht="25.5" customHeight="1">
      <c r="A259" s="635"/>
      <c r="B259" s="1323"/>
      <c r="C259" s="635"/>
      <c r="D259" s="1317"/>
      <c r="E259" s="675"/>
      <c r="F259" s="675"/>
      <c r="S259" s="644"/>
    </row>
    <row r="260" ht="25.5" customHeight="1">
      <c r="A260" s="635"/>
      <c r="B260" s="1323"/>
      <c r="C260" s="635"/>
      <c r="D260" s="1317"/>
      <c r="E260" s="675"/>
      <c r="F260" s="675"/>
      <c r="S260" s="644"/>
    </row>
    <row r="261" ht="25.5" customHeight="1">
      <c r="A261" s="635"/>
      <c r="B261" s="1323"/>
      <c r="C261" s="635"/>
      <c r="D261" s="1317"/>
      <c r="E261" s="675"/>
      <c r="F261" s="675"/>
      <c r="S261" s="644"/>
    </row>
    <row r="262" ht="25.5" customHeight="1">
      <c r="A262" s="635"/>
      <c r="B262" s="1323"/>
      <c r="C262" s="635"/>
      <c r="D262" s="1317"/>
      <c r="E262" s="675"/>
      <c r="F262" s="675"/>
      <c r="S262" s="644"/>
    </row>
    <row r="263" ht="25.5" customHeight="1">
      <c r="A263" s="635"/>
      <c r="B263" s="1323"/>
      <c r="C263" s="635"/>
      <c r="D263" s="1317"/>
      <c r="E263" s="675"/>
      <c r="F263" s="675"/>
      <c r="S263" s="644"/>
    </row>
    <row r="264" ht="25.5" customHeight="1">
      <c r="A264" s="635"/>
      <c r="B264" s="1323"/>
      <c r="C264" s="635"/>
      <c r="D264" s="1317"/>
      <c r="E264" s="675"/>
      <c r="F264" s="675"/>
      <c r="S264" s="644"/>
    </row>
    <row r="265" ht="25.5" customHeight="1">
      <c r="A265" s="635"/>
      <c r="B265" s="1323"/>
      <c r="C265" s="635"/>
      <c r="D265" s="1317"/>
      <c r="E265" s="675"/>
      <c r="F265" s="675"/>
      <c r="S265" s="644"/>
    </row>
    <row r="266" ht="25.5" customHeight="1">
      <c r="A266" s="635"/>
      <c r="B266" s="1323"/>
      <c r="C266" s="635"/>
      <c r="D266" s="1317"/>
      <c r="E266" s="675"/>
      <c r="F266" s="675"/>
      <c r="S266" s="644"/>
    </row>
    <row r="267" ht="25.5" customHeight="1">
      <c r="A267" s="635"/>
      <c r="B267" s="1323"/>
      <c r="C267" s="635"/>
      <c r="D267" s="1317"/>
      <c r="E267" s="675"/>
      <c r="F267" s="675"/>
      <c r="S267" s="644"/>
    </row>
    <row r="268" ht="25.5" customHeight="1">
      <c r="A268" s="635"/>
      <c r="B268" s="1323"/>
      <c r="C268" s="635"/>
      <c r="D268" s="1317"/>
      <c r="E268" s="675"/>
      <c r="F268" s="675"/>
      <c r="S268" s="644"/>
    </row>
    <row r="269" ht="25.5" customHeight="1">
      <c r="A269" s="635"/>
      <c r="B269" s="1323"/>
      <c r="C269" s="635"/>
      <c r="D269" s="1317"/>
      <c r="E269" s="675"/>
      <c r="F269" s="675"/>
      <c r="S269" s="644"/>
    </row>
    <row r="270" ht="25.5" customHeight="1">
      <c r="A270" s="635"/>
      <c r="B270" s="1323"/>
      <c r="C270" s="635"/>
      <c r="D270" s="1317"/>
      <c r="E270" s="675"/>
      <c r="F270" s="675"/>
      <c r="S270" s="644"/>
    </row>
    <row r="271" ht="25.5" customHeight="1">
      <c r="A271" s="635"/>
      <c r="B271" s="1323"/>
      <c r="C271" s="635"/>
      <c r="D271" s="1317"/>
      <c r="E271" s="675"/>
      <c r="F271" s="675"/>
      <c r="S271" s="644"/>
    </row>
    <row r="272" ht="25.5" customHeight="1">
      <c r="A272" s="635"/>
      <c r="B272" s="1323"/>
      <c r="C272" s="635"/>
      <c r="D272" s="1317"/>
      <c r="E272" s="675"/>
      <c r="F272" s="675"/>
      <c r="S272" s="644"/>
    </row>
    <row r="273" ht="25.5" customHeight="1">
      <c r="A273" s="635"/>
      <c r="B273" s="1323"/>
      <c r="C273" s="635"/>
      <c r="D273" s="1317"/>
      <c r="E273" s="675"/>
      <c r="F273" s="675"/>
      <c r="S273" s="644"/>
    </row>
    <row r="274" ht="25.5" customHeight="1">
      <c r="A274" s="635"/>
      <c r="B274" s="1323"/>
      <c r="C274" s="635"/>
      <c r="D274" s="1317"/>
      <c r="E274" s="675"/>
      <c r="F274" s="675"/>
      <c r="S274" s="644"/>
    </row>
    <row r="275" ht="25.5" customHeight="1">
      <c r="A275" s="635"/>
      <c r="B275" s="1323"/>
      <c r="C275" s="635"/>
      <c r="D275" s="1317"/>
      <c r="E275" s="675"/>
      <c r="F275" s="675"/>
      <c r="S275" s="644"/>
    </row>
    <row r="276" ht="25.5" customHeight="1">
      <c r="A276" s="635"/>
      <c r="B276" s="1323"/>
      <c r="C276" s="635"/>
      <c r="D276" s="1317"/>
      <c r="E276" s="675"/>
      <c r="F276" s="675"/>
      <c r="S276" s="644"/>
    </row>
    <row r="277" ht="25.5" customHeight="1">
      <c r="A277" s="635"/>
      <c r="B277" s="1323"/>
      <c r="C277" s="635"/>
      <c r="D277" s="1317"/>
      <c r="E277" s="675"/>
      <c r="F277" s="675"/>
      <c r="S277" s="644"/>
    </row>
    <row r="278" ht="25.5" customHeight="1">
      <c r="A278" s="635"/>
      <c r="B278" s="1323"/>
      <c r="C278" s="635"/>
      <c r="D278" s="1317"/>
      <c r="E278" s="675"/>
      <c r="F278" s="675"/>
      <c r="S278" s="644"/>
    </row>
    <row r="279" ht="25.5" customHeight="1">
      <c r="A279" s="635"/>
      <c r="B279" s="1323"/>
      <c r="C279" s="635"/>
      <c r="D279" s="1317"/>
      <c r="E279" s="675"/>
      <c r="F279" s="675"/>
      <c r="S279" s="644"/>
    </row>
    <row r="280" ht="25.5" customHeight="1">
      <c r="A280" s="635"/>
      <c r="B280" s="1323"/>
      <c r="C280" s="635"/>
      <c r="D280" s="1317"/>
      <c r="E280" s="675"/>
      <c r="F280" s="675"/>
      <c r="S280" s="644"/>
    </row>
    <row r="281" ht="25.5" customHeight="1">
      <c r="A281" s="635"/>
      <c r="B281" s="1323"/>
      <c r="C281" s="635"/>
      <c r="D281" s="1317"/>
      <c r="E281" s="675"/>
      <c r="F281" s="675"/>
      <c r="S281" s="644"/>
    </row>
    <row r="282" ht="25.5" customHeight="1">
      <c r="A282" s="635"/>
      <c r="B282" s="1323"/>
      <c r="C282" s="635"/>
      <c r="D282" s="1317"/>
      <c r="E282" s="675"/>
      <c r="F282" s="675"/>
      <c r="S282" s="644"/>
    </row>
    <row r="283" ht="25.5" customHeight="1">
      <c r="A283" s="635"/>
      <c r="B283" s="1323"/>
      <c r="C283" s="635"/>
      <c r="D283" s="1317"/>
      <c r="E283" s="675"/>
      <c r="F283" s="675"/>
      <c r="S283" s="644"/>
    </row>
    <row r="284" ht="25.5" customHeight="1">
      <c r="A284" s="635"/>
      <c r="B284" s="1323"/>
      <c r="C284" s="635"/>
      <c r="D284" s="1317"/>
      <c r="E284" s="675"/>
      <c r="F284" s="675"/>
      <c r="S284" s="644"/>
    </row>
    <row r="285" ht="25.5" customHeight="1">
      <c r="A285" s="635"/>
      <c r="B285" s="1323"/>
      <c r="C285" s="635"/>
      <c r="D285" s="1317"/>
      <c r="E285" s="675"/>
      <c r="F285" s="675"/>
      <c r="S285" s="644"/>
    </row>
    <row r="286" ht="25.5" customHeight="1">
      <c r="A286" s="635"/>
      <c r="B286" s="1323"/>
      <c r="C286" s="635"/>
      <c r="D286" s="1317"/>
      <c r="E286" s="675"/>
      <c r="F286" s="675"/>
      <c r="S286" s="644"/>
    </row>
    <row r="287" ht="25.5" customHeight="1">
      <c r="A287" s="635"/>
      <c r="B287" s="1323"/>
      <c r="C287" s="635"/>
      <c r="D287" s="1317"/>
      <c r="E287" s="675"/>
      <c r="F287" s="675"/>
      <c r="S287" s="644"/>
    </row>
    <row r="288" ht="25.5" customHeight="1">
      <c r="A288" s="635"/>
      <c r="B288" s="1323"/>
      <c r="C288" s="635"/>
      <c r="D288" s="1317"/>
      <c r="E288" s="675"/>
      <c r="F288" s="675"/>
      <c r="S288" s="644"/>
    </row>
    <row r="289" ht="25.5" customHeight="1">
      <c r="A289" s="635"/>
      <c r="B289" s="1323"/>
      <c r="C289" s="635"/>
      <c r="D289" s="1317"/>
      <c r="E289" s="675"/>
      <c r="F289" s="675"/>
      <c r="S289" s="644"/>
    </row>
    <row r="290" ht="25.5" customHeight="1">
      <c r="A290" s="635"/>
      <c r="B290" s="1323"/>
      <c r="C290" s="635"/>
      <c r="D290" s="1317"/>
      <c r="E290" s="675"/>
      <c r="F290" s="675"/>
      <c r="S290" s="644"/>
    </row>
    <row r="291" ht="25.5" customHeight="1">
      <c r="A291" s="635"/>
      <c r="B291" s="1323"/>
      <c r="C291" s="635"/>
      <c r="D291" s="1317"/>
      <c r="E291" s="675"/>
      <c r="F291" s="675"/>
      <c r="S291" s="644"/>
    </row>
    <row r="292" ht="25.5" customHeight="1">
      <c r="A292" s="635"/>
      <c r="B292" s="1323"/>
      <c r="C292" s="635"/>
      <c r="D292" s="1317"/>
      <c r="E292" s="675"/>
      <c r="F292" s="675"/>
      <c r="S292" s="644"/>
    </row>
    <row r="293" ht="25.5" customHeight="1">
      <c r="A293" s="635"/>
      <c r="B293" s="1323"/>
      <c r="C293" s="635"/>
      <c r="D293" s="1317"/>
      <c r="E293" s="675"/>
      <c r="F293" s="675"/>
      <c r="S293" s="644"/>
    </row>
    <row r="294" ht="25.5" customHeight="1">
      <c r="A294" s="635"/>
      <c r="B294" s="1323"/>
      <c r="C294" s="635"/>
      <c r="D294" s="1317"/>
      <c r="E294" s="675"/>
      <c r="F294" s="675"/>
      <c r="S294" s="644"/>
    </row>
    <row r="295" ht="25.5" customHeight="1">
      <c r="A295" s="635"/>
      <c r="B295" s="1323"/>
      <c r="C295" s="635"/>
      <c r="D295" s="1317"/>
      <c r="E295" s="675"/>
      <c r="F295" s="675"/>
      <c r="S295" s="644"/>
    </row>
    <row r="296" ht="25.5" customHeight="1">
      <c r="A296" s="635"/>
      <c r="B296" s="1323"/>
      <c r="C296" s="635"/>
      <c r="D296" s="1317"/>
      <c r="E296" s="675"/>
      <c r="F296" s="675"/>
      <c r="S296" s="644"/>
    </row>
    <row r="297" ht="25.5" customHeight="1">
      <c r="A297" s="635"/>
      <c r="B297" s="1323"/>
      <c r="C297" s="635"/>
      <c r="D297" s="1317"/>
      <c r="E297" s="675"/>
      <c r="F297" s="675"/>
      <c r="S297" s="644"/>
    </row>
    <row r="298" ht="25.5" customHeight="1">
      <c r="A298" s="635"/>
      <c r="B298" s="1323"/>
      <c r="C298" s="635"/>
      <c r="D298" s="1317"/>
      <c r="E298" s="675"/>
      <c r="F298" s="675"/>
      <c r="S298" s="644"/>
    </row>
    <row r="299" ht="25.5" customHeight="1">
      <c r="A299" s="635"/>
      <c r="B299" s="1323"/>
      <c r="C299" s="635"/>
      <c r="D299" s="1317"/>
      <c r="E299" s="675"/>
      <c r="F299" s="675"/>
      <c r="S299" s="644"/>
    </row>
    <row r="300" ht="25.5" customHeight="1">
      <c r="A300" s="635"/>
      <c r="B300" s="1323"/>
      <c r="C300" s="635"/>
      <c r="D300" s="1317"/>
      <c r="E300" s="675"/>
      <c r="F300" s="675"/>
      <c r="S300" s="644"/>
    </row>
    <row r="301" ht="25.5" customHeight="1">
      <c r="A301" s="635"/>
      <c r="B301" s="1323"/>
      <c r="C301" s="635"/>
      <c r="D301" s="1317"/>
      <c r="E301" s="675"/>
      <c r="F301" s="675"/>
      <c r="S301" s="644"/>
    </row>
    <row r="302" ht="25.5" customHeight="1">
      <c r="A302" s="635"/>
      <c r="B302" s="1323"/>
      <c r="C302" s="635"/>
      <c r="D302" s="1317"/>
      <c r="E302" s="675"/>
      <c r="F302" s="675"/>
      <c r="S302" s="644"/>
    </row>
    <row r="303" ht="25.5" customHeight="1">
      <c r="A303" s="635"/>
      <c r="B303" s="1323"/>
      <c r="C303" s="635"/>
      <c r="D303" s="1317"/>
      <c r="E303" s="675"/>
      <c r="F303" s="675"/>
      <c r="S303" s="644"/>
    </row>
    <row r="304" ht="25.5" customHeight="1">
      <c r="A304" s="635"/>
      <c r="B304" s="1323"/>
      <c r="C304" s="635"/>
      <c r="D304" s="1317"/>
      <c r="E304" s="675"/>
      <c r="F304" s="675"/>
      <c r="S304" s="644"/>
    </row>
    <row r="305" ht="25.5" customHeight="1">
      <c r="A305" s="635"/>
      <c r="B305" s="1323"/>
      <c r="C305" s="635"/>
      <c r="D305" s="1317"/>
      <c r="E305" s="675"/>
      <c r="F305" s="675"/>
      <c r="S305" s="644"/>
    </row>
    <row r="306" ht="25.5" customHeight="1">
      <c r="A306" s="635"/>
      <c r="B306" s="1323"/>
      <c r="C306" s="635"/>
      <c r="D306" s="1317"/>
      <c r="E306" s="675"/>
      <c r="F306" s="675"/>
      <c r="S306" s="644"/>
    </row>
    <row r="307" ht="25.5" customHeight="1">
      <c r="A307" s="635"/>
      <c r="B307" s="1323"/>
      <c r="C307" s="635"/>
      <c r="D307" s="1317"/>
      <c r="E307" s="675"/>
      <c r="F307" s="675"/>
      <c r="S307" s="644"/>
    </row>
    <row r="308" ht="25.5" customHeight="1">
      <c r="A308" s="635"/>
      <c r="B308" s="1323"/>
      <c r="C308" s="635"/>
      <c r="D308" s="1317"/>
      <c r="E308" s="675"/>
      <c r="F308" s="675"/>
      <c r="S308" s="644"/>
    </row>
    <row r="309" ht="25.5" customHeight="1">
      <c r="A309" s="635"/>
      <c r="B309" s="1323"/>
      <c r="C309" s="635"/>
      <c r="D309" s="1317"/>
      <c r="E309" s="675"/>
      <c r="F309" s="675"/>
      <c r="S309" s="644"/>
    </row>
    <row r="310" ht="25.5" customHeight="1">
      <c r="A310" s="635"/>
      <c r="B310" s="1323"/>
      <c r="C310" s="635"/>
      <c r="D310" s="1317"/>
      <c r="E310" s="675"/>
      <c r="F310" s="675"/>
      <c r="S310" s="644"/>
    </row>
    <row r="311" ht="25.5" customHeight="1">
      <c r="A311" s="635"/>
      <c r="B311" s="1323"/>
      <c r="C311" s="635"/>
      <c r="D311" s="1317"/>
      <c r="E311" s="675"/>
      <c r="F311" s="675"/>
      <c r="S311" s="644"/>
    </row>
    <row r="312" ht="25.5" customHeight="1">
      <c r="A312" s="635"/>
      <c r="B312" s="1323"/>
      <c r="C312" s="635"/>
      <c r="D312" s="1317"/>
      <c r="E312" s="675"/>
      <c r="F312" s="675"/>
      <c r="S312" s="644"/>
    </row>
    <row r="313" ht="25.5" customHeight="1">
      <c r="A313" s="635"/>
      <c r="B313" s="1323"/>
      <c r="C313" s="635"/>
      <c r="D313" s="1317"/>
      <c r="E313" s="675"/>
      <c r="F313" s="675"/>
      <c r="S313" s="644"/>
    </row>
    <row r="314" ht="25.5" customHeight="1">
      <c r="A314" s="635"/>
      <c r="B314" s="1323"/>
      <c r="C314" s="635"/>
      <c r="D314" s="1317"/>
      <c r="E314" s="675"/>
      <c r="F314" s="675"/>
      <c r="S314" s="644"/>
    </row>
    <row r="315" ht="25.5" customHeight="1">
      <c r="A315" s="635"/>
      <c r="B315" s="1323"/>
      <c r="C315" s="635"/>
      <c r="D315" s="1317"/>
      <c r="E315" s="675"/>
      <c r="F315" s="675"/>
      <c r="S315" s="644"/>
    </row>
    <row r="316" ht="25.5" customHeight="1">
      <c r="A316" s="635"/>
      <c r="B316" s="1323"/>
      <c r="C316" s="635"/>
      <c r="D316" s="1317"/>
      <c r="E316" s="675"/>
      <c r="F316" s="675"/>
      <c r="S316" s="644"/>
    </row>
    <row r="317" ht="25.5" customHeight="1">
      <c r="A317" s="635"/>
      <c r="B317" s="1323"/>
      <c r="C317" s="635"/>
      <c r="D317" s="1317"/>
      <c r="E317" s="675"/>
      <c r="F317" s="675"/>
      <c r="S317" s="644"/>
    </row>
    <row r="318" ht="25.5" customHeight="1">
      <c r="A318" s="635"/>
      <c r="B318" s="1323"/>
      <c r="C318" s="635"/>
      <c r="D318" s="1317"/>
      <c r="E318" s="675"/>
      <c r="F318" s="675"/>
      <c r="S318" s="644"/>
    </row>
    <row r="319" ht="25.5" customHeight="1">
      <c r="A319" s="635"/>
      <c r="B319" s="1323"/>
      <c r="C319" s="635"/>
      <c r="D319" s="1317"/>
      <c r="E319" s="675"/>
      <c r="F319" s="675"/>
      <c r="S319" s="644"/>
    </row>
    <row r="320" ht="25.5" customHeight="1">
      <c r="A320" s="635"/>
      <c r="B320" s="1323"/>
      <c r="C320" s="635"/>
      <c r="D320" s="1317"/>
      <c r="E320" s="675"/>
      <c r="F320" s="675"/>
      <c r="S320" s="644"/>
    </row>
    <row r="321" ht="25.5" customHeight="1">
      <c r="A321" s="635"/>
      <c r="B321" s="1323"/>
      <c r="C321" s="635"/>
      <c r="D321" s="1317"/>
      <c r="E321" s="675"/>
      <c r="F321" s="675"/>
      <c r="S321" s="644"/>
    </row>
    <row r="322" ht="25.5" customHeight="1">
      <c r="A322" s="635"/>
      <c r="B322" s="1323"/>
      <c r="C322" s="635"/>
      <c r="D322" s="1317"/>
      <c r="E322" s="675"/>
      <c r="F322" s="675"/>
      <c r="S322" s="644"/>
    </row>
    <row r="323" ht="25.5" customHeight="1">
      <c r="A323" s="635"/>
      <c r="B323" s="1323"/>
      <c r="C323" s="635"/>
      <c r="D323" s="1317"/>
      <c r="E323" s="675"/>
      <c r="F323" s="675"/>
      <c r="S323" s="644"/>
    </row>
    <row r="324" ht="25.5" customHeight="1">
      <c r="A324" s="635"/>
      <c r="B324" s="1323"/>
      <c r="C324" s="635"/>
      <c r="D324" s="1317"/>
      <c r="E324" s="675"/>
      <c r="F324" s="675"/>
      <c r="S324" s="644"/>
    </row>
    <row r="325" ht="25.5" customHeight="1">
      <c r="A325" s="635"/>
      <c r="B325" s="1323"/>
      <c r="C325" s="635"/>
      <c r="D325" s="1317"/>
      <c r="E325" s="675"/>
      <c r="F325" s="675"/>
      <c r="S325" s="644"/>
    </row>
    <row r="326" ht="25.5" customHeight="1">
      <c r="A326" s="635"/>
      <c r="B326" s="1323"/>
      <c r="C326" s="635"/>
      <c r="D326" s="1317"/>
      <c r="E326" s="675"/>
      <c r="F326" s="675"/>
      <c r="S326" s="644"/>
    </row>
    <row r="327" ht="25.5" customHeight="1">
      <c r="A327" s="635"/>
      <c r="B327" s="1323"/>
      <c r="C327" s="635"/>
      <c r="D327" s="1317"/>
      <c r="E327" s="675"/>
      <c r="F327" s="675"/>
      <c r="S327" s="644"/>
    </row>
    <row r="328" ht="25.5" customHeight="1">
      <c r="A328" s="635"/>
      <c r="B328" s="1323"/>
      <c r="C328" s="635"/>
      <c r="D328" s="1317"/>
      <c r="E328" s="675"/>
      <c r="F328" s="675"/>
      <c r="S328" s="644"/>
    </row>
    <row r="329" ht="25.5" customHeight="1">
      <c r="A329" s="635"/>
      <c r="B329" s="1323"/>
      <c r="C329" s="635"/>
      <c r="D329" s="1317"/>
      <c r="E329" s="675"/>
      <c r="F329" s="675"/>
      <c r="S329" s="644"/>
    </row>
    <row r="330" ht="25.5" customHeight="1">
      <c r="A330" s="635"/>
      <c r="B330" s="1323"/>
      <c r="C330" s="635"/>
      <c r="D330" s="1317"/>
      <c r="E330" s="675"/>
      <c r="F330" s="675"/>
      <c r="S330" s="644"/>
    </row>
    <row r="331" ht="25.5" customHeight="1">
      <c r="A331" s="635"/>
      <c r="B331" s="1323"/>
      <c r="C331" s="635"/>
      <c r="D331" s="1317"/>
      <c r="E331" s="675"/>
      <c r="F331" s="675"/>
      <c r="S331" s="644"/>
    </row>
    <row r="332" ht="25.5" customHeight="1">
      <c r="A332" s="635"/>
      <c r="B332" s="1323"/>
      <c r="C332" s="635"/>
      <c r="D332" s="1317"/>
      <c r="E332" s="675"/>
      <c r="F332" s="675"/>
      <c r="S332" s="644"/>
    </row>
    <row r="333" ht="25.5" customHeight="1">
      <c r="A333" s="635"/>
      <c r="B333" s="1323"/>
      <c r="C333" s="635"/>
      <c r="D333" s="1317"/>
      <c r="E333" s="675"/>
      <c r="F333" s="675"/>
      <c r="S333" s="644"/>
    </row>
    <row r="334" ht="25.5" customHeight="1">
      <c r="A334" s="635"/>
      <c r="B334" s="1323"/>
      <c r="C334" s="635"/>
      <c r="D334" s="1317"/>
      <c r="E334" s="675"/>
      <c r="F334" s="675"/>
      <c r="S334" s="644"/>
    </row>
    <row r="335" ht="25.5" customHeight="1">
      <c r="A335" s="635"/>
      <c r="B335" s="1323"/>
      <c r="C335" s="635"/>
      <c r="D335" s="1317"/>
      <c r="E335" s="675"/>
      <c r="F335" s="675"/>
      <c r="S335" s="644"/>
    </row>
    <row r="336" ht="25.5" customHeight="1">
      <c r="A336" s="635"/>
      <c r="B336" s="1323"/>
      <c r="C336" s="635"/>
      <c r="D336" s="1317"/>
      <c r="E336" s="675"/>
      <c r="F336" s="675"/>
      <c r="S336" s="644"/>
    </row>
    <row r="337" ht="25.5" customHeight="1">
      <c r="A337" s="635"/>
      <c r="B337" s="1323"/>
      <c r="C337" s="635"/>
      <c r="D337" s="1317"/>
      <c r="E337" s="675"/>
      <c r="F337" s="675"/>
      <c r="S337" s="644"/>
    </row>
    <row r="338" ht="25.5" customHeight="1">
      <c r="A338" s="635"/>
      <c r="B338" s="1323"/>
      <c r="C338" s="635"/>
      <c r="D338" s="1317"/>
      <c r="E338" s="675"/>
      <c r="F338" s="675"/>
      <c r="S338" s="644"/>
    </row>
    <row r="339" ht="25.5" customHeight="1">
      <c r="A339" s="635"/>
      <c r="B339" s="1323"/>
      <c r="C339" s="635"/>
      <c r="D339" s="1317"/>
      <c r="E339" s="675"/>
      <c r="F339" s="675"/>
      <c r="S339" s="644"/>
    </row>
    <row r="340" ht="25.5" customHeight="1">
      <c r="A340" s="635"/>
      <c r="B340" s="1323"/>
      <c r="C340" s="635"/>
      <c r="D340" s="1317"/>
      <c r="E340" s="675"/>
      <c r="F340" s="675"/>
      <c r="S340" s="644"/>
    </row>
    <row r="341" ht="25.5" customHeight="1">
      <c r="A341" s="635"/>
      <c r="B341" s="1323"/>
      <c r="C341" s="635"/>
      <c r="D341" s="1317"/>
      <c r="E341" s="675"/>
      <c r="F341" s="675"/>
      <c r="S341" s="644"/>
    </row>
    <row r="342" ht="25.5" customHeight="1">
      <c r="A342" s="635"/>
      <c r="B342" s="1323"/>
      <c r="C342" s="635"/>
      <c r="D342" s="1317"/>
      <c r="E342" s="675"/>
      <c r="F342" s="675"/>
      <c r="S342" s="644"/>
    </row>
    <row r="343" ht="25.5" customHeight="1">
      <c r="A343" s="635"/>
      <c r="B343" s="1323"/>
      <c r="C343" s="635"/>
      <c r="D343" s="1317"/>
      <c r="E343" s="675"/>
      <c r="F343" s="675"/>
      <c r="S343" s="644"/>
    </row>
    <row r="344" ht="25.5" customHeight="1">
      <c r="A344" s="635"/>
      <c r="B344" s="1323"/>
      <c r="C344" s="635"/>
      <c r="D344" s="1317"/>
      <c r="E344" s="675"/>
      <c r="F344" s="675"/>
      <c r="S344" s="644"/>
    </row>
    <row r="345" ht="25.5" customHeight="1">
      <c r="A345" s="635"/>
      <c r="B345" s="1323"/>
      <c r="C345" s="635"/>
      <c r="D345" s="1317"/>
      <c r="E345" s="675"/>
      <c r="F345" s="675"/>
      <c r="S345" s="644"/>
    </row>
    <row r="346" ht="25.5" customHeight="1">
      <c r="A346" s="635"/>
      <c r="B346" s="1323"/>
      <c r="C346" s="635"/>
      <c r="D346" s="1317"/>
      <c r="E346" s="675"/>
      <c r="F346" s="675"/>
      <c r="S346" s="644"/>
    </row>
    <row r="347" ht="25.5" customHeight="1">
      <c r="A347" s="635"/>
      <c r="B347" s="1323"/>
      <c r="C347" s="635"/>
      <c r="D347" s="1317"/>
      <c r="E347" s="675"/>
      <c r="F347" s="675"/>
      <c r="S347" s="644"/>
    </row>
    <row r="348" ht="25.5" customHeight="1">
      <c r="A348" s="635"/>
      <c r="B348" s="1323"/>
      <c r="C348" s="635"/>
      <c r="D348" s="1317"/>
      <c r="E348" s="675"/>
      <c r="F348" s="675"/>
      <c r="S348" s="644"/>
    </row>
    <row r="349" ht="25.5" customHeight="1">
      <c r="A349" s="635"/>
      <c r="B349" s="1323"/>
      <c r="C349" s="635"/>
      <c r="D349" s="1317"/>
      <c r="E349" s="675"/>
      <c r="F349" s="675"/>
      <c r="S349" s="644"/>
    </row>
    <row r="350" ht="25.5" customHeight="1">
      <c r="A350" s="635"/>
      <c r="B350" s="1323"/>
      <c r="C350" s="635"/>
      <c r="D350" s="1317"/>
      <c r="E350" s="675"/>
      <c r="F350" s="675"/>
      <c r="S350" s="644"/>
    </row>
    <row r="351" ht="25.5" customHeight="1">
      <c r="A351" s="635"/>
      <c r="B351" s="1323"/>
      <c r="C351" s="635"/>
      <c r="D351" s="1317"/>
      <c r="E351" s="675"/>
      <c r="F351" s="675"/>
      <c r="S351" s="644"/>
    </row>
    <row r="352" ht="25.5" customHeight="1">
      <c r="A352" s="635"/>
      <c r="B352" s="1323"/>
      <c r="C352" s="635"/>
      <c r="D352" s="1317"/>
      <c r="E352" s="675"/>
      <c r="F352" s="675"/>
      <c r="S352" s="644"/>
    </row>
    <row r="353" ht="25.5" customHeight="1">
      <c r="A353" s="635"/>
      <c r="B353" s="1323"/>
      <c r="C353" s="635"/>
      <c r="D353" s="1317"/>
      <c r="E353" s="675"/>
      <c r="F353" s="675"/>
      <c r="S353" s="644"/>
    </row>
    <row r="354" ht="25.5" customHeight="1">
      <c r="A354" s="635"/>
      <c r="B354" s="1323"/>
      <c r="C354" s="635"/>
      <c r="D354" s="1317"/>
      <c r="E354" s="675"/>
      <c r="F354" s="675"/>
      <c r="S354" s="644"/>
    </row>
    <row r="355" ht="25.5" customHeight="1">
      <c r="A355" s="635"/>
      <c r="B355" s="1323"/>
      <c r="C355" s="635"/>
      <c r="D355" s="1317"/>
      <c r="E355" s="675"/>
      <c r="F355" s="675"/>
      <c r="S355" s="644"/>
    </row>
    <row r="356" ht="25.5" customHeight="1">
      <c r="A356" s="635"/>
      <c r="B356" s="1323"/>
      <c r="C356" s="635"/>
      <c r="D356" s="1317"/>
      <c r="E356" s="675"/>
      <c r="F356" s="675"/>
      <c r="S356" s="644"/>
    </row>
    <row r="357" ht="25.5" customHeight="1">
      <c r="A357" s="635"/>
      <c r="B357" s="1323"/>
      <c r="C357" s="635"/>
      <c r="D357" s="1317"/>
      <c r="E357" s="675"/>
      <c r="F357" s="675"/>
      <c r="S357" s="644"/>
    </row>
    <row r="358" ht="25.5" customHeight="1">
      <c r="A358" s="635"/>
      <c r="B358" s="1323"/>
      <c r="C358" s="635"/>
      <c r="D358" s="1317"/>
      <c r="E358" s="675"/>
      <c r="F358" s="675"/>
      <c r="S358" s="644"/>
    </row>
    <row r="359" ht="25.5" customHeight="1">
      <c r="A359" s="635"/>
      <c r="B359" s="1323"/>
      <c r="C359" s="635"/>
      <c r="D359" s="1317"/>
      <c r="E359" s="675"/>
      <c r="F359" s="675"/>
      <c r="S359" s="644"/>
    </row>
    <row r="360" ht="25.5" customHeight="1">
      <c r="A360" s="635"/>
      <c r="B360" s="1323"/>
      <c r="C360" s="635"/>
      <c r="D360" s="1317"/>
      <c r="E360" s="675"/>
      <c r="F360" s="675"/>
      <c r="S360" s="644"/>
    </row>
    <row r="361" ht="25.5" customHeight="1">
      <c r="A361" s="635"/>
      <c r="B361" s="1323"/>
      <c r="C361" s="635"/>
      <c r="D361" s="1317"/>
      <c r="E361" s="675"/>
      <c r="F361" s="675"/>
      <c r="S361" s="644"/>
    </row>
    <row r="362" ht="25.5" customHeight="1">
      <c r="A362" s="635"/>
      <c r="B362" s="1323"/>
      <c r="C362" s="635"/>
      <c r="D362" s="1317"/>
      <c r="E362" s="675"/>
      <c r="F362" s="675"/>
      <c r="S362" s="644"/>
    </row>
    <row r="363" ht="25.5" customHeight="1">
      <c r="A363" s="635"/>
      <c r="B363" s="1323"/>
      <c r="C363" s="635"/>
      <c r="D363" s="1317"/>
      <c r="E363" s="675"/>
      <c r="F363" s="675"/>
      <c r="S363" s="644"/>
    </row>
    <row r="364" ht="25.5" customHeight="1">
      <c r="A364" s="635"/>
      <c r="B364" s="1323"/>
      <c r="C364" s="635"/>
      <c r="D364" s="1317"/>
      <c r="E364" s="675"/>
      <c r="F364" s="675"/>
      <c r="S364" s="644"/>
    </row>
    <row r="365" ht="25.5" customHeight="1">
      <c r="A365" s="635"/>
      <c r="B365" s="1323"/>
      <c r="C365" s="635"/>
      <c r="D365" s="1317"/>
      <c r="E365" s="675"/>
      <c r="F365" s="675"/>
      <c r="S365" s="644"/>
    </row>
    <row r="366" ht="25.5" customHeight="1">
      <c r="A366" s="635"/>
      <c r="B366" s="1323"/>
      <c r="C366" s="635"/>
      <c r="D366" s="1317"/>
      <c r="E366" s="675"/>
      <c r="F366" s="675"/>
      <c r="S366" s="644"/>
    </row>
    <row r="367" ht="25.5" customHeight="1">
      <c r="A367" s="635"/>
      <c r="B367" s="1323"/>
      <c r="C367" s="635"/>
      <c r="D367" s="1317"/>
      <c r="E367" s="675"/>
      <c r="F367" s="675"/>
      <c r="S367" s="644"/>
    </row>
    <row r="368" ht="25.5" customHeight="1">
      <c r="A368" s="635"/>
      <c r="B368" s="1323"/>
      <c r="C368" s="635"/>
      <c r="D368" s="1317"/>
      <c r="E368" s="675"/>
      <c r="F368" s="675"/>
      <c r="S368" s="644"/>
    </row>
    <row r="369" ht="25.5" customHeight="1">
      <c r="A369" s="635"/>
      <c r="B369" s="1323"/>
      <c r="C369" s="635"/>
      <c r="D369" s="1317"/>
      <c r="E369" s="675"/>
      <c r="F369" s="675"/>
      <c r="S369" s="644"/>
    </row>
    <row r="370" ht="25.5" customHeight="1">
      <c r="A370" s="635"/>
      <c r="B370" s="1323"/>
      <c r="C370" s="635"/>
      <c r="D370" s="1317"/>
      <c r="E370" s="675"/>
      <c r="F370" s="675"/>
      <c r="S370" s="644"/>
    </row>
    <row r="371" ht="25.5" customHeight="1">
      <c r="A371" s="635"/>
      <c r="B371" s="1323"/>
      <c r="C371" s="635"/>
      <c r="D371" s="1317"/>
      <c r="E371" s="675"/>
      <c r="F371" s="675"/>
      <c r="S371" s="644"/>
    </row>
    <row r="372" ht="25.5" customHeight="1">
      <c r="A372" s="635"/>
      <c r="B372" s="1323"/>
      <c r="C372" s="635"/>
      <c r="D372" s="1317"/>
      <c r="E372" s="675"/>
      <c r="F372" s="675"/>
      <c r="S372" s="644"/>
    </row>
    <row r="373" ht="25.5" customHeight="1">
      <c r="A373" s="635"/>
      <c r="B373" s="1323"/>
      <c r="C373" s="635"/>
      <c r="D373" s="1317"/>
      <c r="E373" s="675"/>
      <c r="F373" s="675"/>
      <c r="S373" s="644"/>
    </row>
    <row r="374" ht="25.5" customHeight="1">
      <c r="A374" s="635"/>
      <c r="B374" s="1323"/>
      <c r="C374" s="635"/>
      <c r="D374" s="1317"/>
      <c r="E374" s="675"/>
      <c r="F374" s="675"/>
      <c r="S374" s="644"/>
    </row>
    <row r="375" ht="25.5" customHeight="1">
      <c r="A375" s="635"/>
      <c r="B375" s="1323"/>
      <c r="C375" s="635"/>
      <c r="D375" s="1317"/>
      <c r="E375" s="675"/>
      <c r="F375" s="675"/>
      <c r="S375" s="644"/>
    </row>
    <row r="376" ht="25.5" customHeight="1">
      <c r="A376" s="635"/>
      <c r="B376" s="1323"/>
      <c r="C376" s="635"/>
      <c r="D376" s="1317"/>
      <c r="E376" s="675"/>
      <c r="F376" s="675"/>
      <c r="S376" s="644"/>
    </row>
    <row r="377" ht="25.5" customHeight="1">
      <c r="A377" s="635"/>
      <c r="B377" s="1323"/>
      <c r="C377" s="635"/>
      <c r="D377" s="1317"/>
      <c r="E377" s="675"/>
      <c r="F377" s="675"/>
      <c r="S377" s="644"/>
    </row>
    <row r="378" ht="25.5" customHeight="1">
      <c r="A378" s="635"/>
      <c r="B378" s="1323"/>
      <c r="C378" s="635"/>
      <c r="D378" s="1317"/>
      <c r="E378" s="675"/>
      <c r="F378" s="675"/>
      <c r="S378" s="644"/>
    </row>
    <row r="379" ht="25.5" customHeight="1">
      <c r="A379" s="635"/>
      <c r="B379" s="1323"/>
      <c r="C379" s="635"/>
      <c r="D379" s="1317"/>
      <c r="E379" s="675"/>
      <c r="F379" s="675"/>
      <c r="S379" s="644"/>
    </row>
    <row r="380" ht="25.5" customHeight="1">
      <c r="A380" s="635"/>
      <c r="B380" s="1323"/>
      <c r="C380" s="635"/>
      <c r="D380" s="1317"/>
      <c r="E380" s="675"/>
      <c r="F380" s="675"/>
      <c r="S380" s="644"/>
    </row>
    <row r="381" ht="25.5" customHeight="1">
      <c r="A381" s="635"/>
      <c r="B381" s="1323"/>
      <c r="C381" s="635"/>
      <c r="D381" s="1317"/>
      <c r="E381" s="675"/>
      <c r="F381" s="675"/>
      <c r="S381" s="644"/>
    </row>
    <row r="382" ht="25.5" customHeight="1">
      <c r="A382" s="635"/>
      <c r="B382" s="1323"/>
      <c r="C382" s="635"/>
      <c r="D382" s="1317"/>
      <c r="E382" s="675"/>
      <c r="F382" s="675"/>
      <c r="S382" s="644"/>
    </row>
    <row r="383" ht="25.5" customHeight="1">
      <c r="A383" s="635"/>
      <c r="B383" s="1323"/>
      <c r="C383" s="635"/>
      <c r="D383" s="1317"/>
      <c r="E383" s="675"/>
      <c r="F383" s="675"/>
      <c r="S383" s="644"/>
    </row>
    <row r="384" ht="25.5" customHeight="1">
      <c r="A384" s="635"/>
      <c r="B384" s="1323"/>
      <c r="C384" s="635"/>
      <c r="D384" s="1317"/>
      <c r="E384" s="675"/>
      <c r="F384" s="675"/>
      <c r="S384" s="644"/>
    </row>
    <row r="385" ht="25.5" customHeight="1">
      <c r="A385" s="635"/>
      <c r="B385" s="1323"/>
      <c r="C385" s="635"/>
      <c r="D385" s="1317"/>
      <c r="E385" s="675"/>
      <c r="F385" s="675"/>
      <c r="S385" s="644"/>
    </row>
    <row r="386" ht="25.5" customHeight="1">
      <c r="A386" s="635"/>
      <c r="B386" s="1323"/>
      <c r="C386" s="635"/>
      <c r="D386" s="1317"/>
      <c r="E386" s="675"/>
      <c r="F386" s="675"/>
      <c r="S386" s="644"/>
    </row>
    <row r="387" ht="25.5" customHeight="1">
      <c r="A387" s="635"/>
      <c r="B387" s="1323"/>
      <c r="C387" s="635"/>
      <c r="D387" s="1317"/>
      <c r="E387" s="675"/>
      <c r="F387" s="675"/>
      <c r="S387" s="644"/>
    </row>
    <row r="388" ht="25.5" customHeight="1">
      <c r="A388" s="635"/>
      <c r="B388" s="1323"/>
      <c r="C388" s="635"/>
      <c r="D388" s="1317"/>
      <c r="E388" s="675"/>
      <c r="F388" s="675"/>
      <c r="S388" s="644"/>
    </row>
    <row r="389" ht="25.5" customHeight="1">
      <c r="A389" s="635"/>
      <c r="B389" s="1323"/>
      <c r="C389" s="635"/>
      <c r="D389" s="1317"/>
      <c r="E389" s="675"/>
      <c r="F389" s="675"/>
      <c r="S389" s="644"/>
    </row>
    <row r="390" ht="25.5" customHeight="1">
      <c r="A390" s="635"/>
      <c r="B390" s="1323"/>
      <c r="C390" s="635"/>
      <c r="D390" s="1317"/>
      <c r="E390" s="675"/>
      <c r="F390" s="675"/>
      <c r="S390" s="644"/>
    </row>
    <row r="391" ht="25.5" customHeight="1">
      <c r="A391" s="635"/>
      <c r="B391" s="1323"/>
      <c r="C391" s="635"/>
      <c r="D391" s="1317"/>
      <c r="E391" s="675"/>
      <c r="F391" s="675"/>
      <c r="S391" s="644"/>
    </row>
    <row r="392" ht="25.5" customHeight="1">
      <c r="A392" s="635"/>
      <c r="B392" s="1323"/>
      <c r="C392" s="635"/>
      <c r="D392" s="1317"/>
      <c r="E392" s="675"/>
      <c r="F392" s="675"/>
      <c r="S392" s="644"/>
    </row>
    <row r="393" ht="25.5" customHeight="1">
      <c r="A393" s="635"/>
      <c r="B393" s="1323"/>
      <c r="C393" s="635"/>
      <c r="D393" s="1317"/>
      <c r="E393" s="675"/>
      <c r="F393" s="675"/>
      <c r="S393" s="644"/>
    </row>
    <row r="394" ht="25.5" customHeight="1">
      <c r="A394" s="635"/>
      <c r="B394" s="1323"/>
      <c r="C394" s="635"/>
      <c r="D394" s="1317"/>
      <c r="E394" s="675"/>
      <c r="F394" s="675"/>
      <c r="S394" s="644"/>
    </row>
    <row r="395" ht="25.5" customHeight="1">
      <c r="A395" s="635"/>
      <c r="B395" s="1323"/>
      <c r="C395" s="635"/>
      <c r="D395" s="1317"/>
      <c r="E395" s="675"/>
      <c r="F395" s="675"/>
      <c r="S395" s="644"/>
    </row>
    <row r="396" ht="25.5" customHeight="1">
      <c r="A396" s="635"/>
      <c r="B396" s="1323"/>
      <c r="C396" s="635"/>
      <c r="D396" s="1317"/>
      <c r="E396" s="675"/>
      <c r="F396" s="675"/>
      <c r="S396" s="644"/>
    </row>
    <row r="397" ht="25.5" customHeight="1">
      <c r="A397" s="635"/>
      <c r="B397" s="1323"/>
      <c r="C397" s="635"/>
      <c r="D397" s="1317"/>
      <c r="E397" s="675"/>
      <c r="F397" s="675"/>
      <c r="S397" s="644"/>
    </row>
    <row r="398" ht="25.5" customHeight="1">
      <c r="A398" s="635"/>
      <c r="B398" s="1323"/>
      <c r="C398" s="635"/>
      <c r="D398" s="1317"/>
      <c r="E398" s="675"/>
      <c r="F398" s="675"/>
      <c r="S398" s="644"/>
    </row>
    <row r="399" ht="25.5" customHeight="1">
      <c r="A399" s="635"/>
      <c r="B399" s="1323"/>
      <c r="C399" s="635"/>
      <c r="D399" s="1317"/>
      <c r="E399" s="675"/>
      <c r="F399" s="675"/>
      <c r="S399" s="644"/>
    </row>
    <row r="400" ht="25.5" customHeight="1">
      <c r="A400" s="635"/>
      <c r="B400" s="1323"/>
      <c r="C400" s="635"/>
      <c r="D400" s="1317"/>
      <c r="E400" s="675"/>
      <c r="F400" s="675"/>
      <c r="S400" s="644"/>
    </row>
    <row r="401" ht="25.5" customHeight="1">
      <c r="A401" s="635"/>
      <c r="B401" s="1323"/>
      <c r="C401" s="635"/>
      <c r="D401" s="1317"/>
      <c r="E401" s="675"/>
      <c r="F401" s="675"/>
      <c r="S401" s="644"/>
    </row>
    <row r="402" ht="25.5" customHeight="1">
      <c r="A402" s="635"/>
      <c r="B402" s="1323"/>
      <c r="C402" s="635"/>
      <c r="D402" s="1317"/>
      <c r="E402" s="675"/>
      <c r="F402" s="675"/>
      <c r="S402" s="644"/>
    </row>
    <row r="403" ht="25.5" customHeight="1">
      <c r="A403" s="635"/>
      <c r="B403" s="1323"/>
      <c r="C403" s="635"/>
      <c r="D403" s="1317"/>
      <c r="E403" s="675"/>
      <c r="F403" s="675"/>
      <c r="S403" s="644"/>
    </row>
    <row r="404" ht="25.5" customHeight="1">
      <c r="A404" s="635"/>
      <c r="B404" s="1323"/>
      <c r="C404" s="635"/>
      <c r="D404" s="1317"/>
      <c r="E404" s="675"/>
      <c r="F404" s="675"/>
      <c r="S404" s="644"/>
    </row>
    <row r="405" ht="25.5" customHeight="1">
      <c r="A405" s="635"/>
      <c r="B405" s="1323"/>
      <c r="C405" s="635"/>
      <c r="D405" s="1317"/>
      <c r="E405" s="675"/>
      <c r="F405" s="675"/>
      <c r="S405" s="644"/>
    </row>
    <row r="406" ht="25.5" customHeight="1">
      <c r="A406" s="635"/>
      <c r="B406" s="1323"/>
      <c r="C406" s="635"/>
      <c r="D406" s="1317"/>
      <c r="E406" s="675"/>
      <c r="F406" s="675"/>
      <c r="S406" s="644"/>
    </row>
    <row r="407" ht="25.5" customHeight="1">
      <c r="A407" s="635"/>
      <c r="B407" s="1323"/>
      <c r="C407" s="635"/>
      <c r="D407" s="1317"/>
      <c r="E407" s="675"/>
      <c r="F407" s="675"/>
      <c r="S407" s="644"/>
    </row>
    <row r="408" ht="25.5" customHeight="1">
      <c r="A408" s="635"/>
      <c r="B408" s="1323"/>
      <c r="C408" s="635"/>
      <c r="D408" s="1317"/>
      <c r="E408" s="675"/>
      <c r="F408" s="675"/>
      <c r="S408" s="644"/>
    </row>
    <row r="409" ht="25.5" customHeight="1">
      <c r="A409" s="635"/>
      <c r="B409" s="1323"/>
      <c r="C409" s="635"/>
      <c r="D409" s="1317"/>
      <c r="E409" s="675"/>
      <c r="F409" s="675"/>
      <c r="S409" s="644"/>
    </row>
    <row r="410" ht="25.5" customHeight="1">
      <c r="A410" s="635"/>
      <c r="B410" s="1323"/>
      <c r="C410" s="635"/>
      <c r="D410" s="1317"/>
      <c r="E410" s="675"/>
      <c r="F410" s="675"/>
      <c r="S410" s="644"/>
    </row>
    <row r="411" ht="25.5" customHeight="1">
      <c r="A411" s="635"/>
      <c r="B411" s="1323"/>
      <c r="C411" s="635"/>
      <c r="D411" s="1317"/>
      <c r="E411" s="675"/>
      <c r="F411" s="675"/>
      <c r="S411" s="644"/>
    </row>
    <row r="412" ht="25.5" customHeight="1">
      <c r="A412" s="635"/>
      <c r="B412" s="1323"/>
      <c r="C412" s="635"/>
      <c r="D412" s="1317"/>
      <c r="E412" s="675"/>
      <c r="F412" s="675"/>
      <c r="S412" s="644"/>
    </row>
    <row r="413" ht="25.5" customHeight="1">
      <c r="A413" s="635"/>
      <c r="B413" s="1323"/>
      <c r="C413" s="635"/>
      <c r="D413" s="1317"/>
      <c r="E413" s="675"/>
      <c r="F413" s="675"/>
      <c r="S413" s="644"/>
    </row>
    <row r="414" ht="25.5" customHeight="1">
      <c r="A414" s="635"/>
      <c r="B414" s="1323"/>
      <c r="C414" s="635"/>
      <c r="D414" s="1317"/>
      <c r="E414" s="675"/>
      <c r="F414" s="675"/>
      <c r="S414" s="644"/>
    </row>
    <row r="415" ht="25.5" customHeight="1">
      <c r="A415" s="635"/>
      <c r="B415" s="1323"/>
      <c r="C415" s="635"/>
      <c r="D415" s="1317"/>
      <c r="E415" s="675"/>
      <c r="F415" s="675"/>
      <c r="S415" s="644"/>
    </row>
    <row r="416" ht="25.5" customHeight="1">
      <c r="A416" s="635"/>
      <c r="B416" s="1323"/>
      <c r="C416" s="635"/>
      <c r="D416" s="1317"/>
      <c r="E416" s="675"/>
      <c r="F416" s="675"/>
      <c r="S416" s="644"/>
    </row>
    <row r="417" ht="25.5" customHeight="1">
      <c r="A417" s="635"/>
      <c r="B417" s="1323"/>
      <c r="C417" s="635"/>
      <c r="D417" s="1317"/>
      <c r="E417" s="675"/>
      <c r="F417" s="675"/>
      <c r="S417" s="644"/>
    </row>
    <row r="418" ht="25.5" customHeight="1">
      <c r="A418" s="635"/>
      <c r="B418" s="1323"/>
      <c r="C418" s="635"/>
      <c r="D418" s="1317"/>
      <c r="E418" s="675"/>
      <c r="F418" s="675"/>
      <c r="S418" s="644"/>
    </row>
    <row r="419" ht="25.5" customHeight="1">
      <c r="A419" s="635"/>
      <c r="B419" s="1323"/>
      <c r="C419" s="635"/>
      <c r="D419" s="1317"/>
      <c r="E419" s="675"/>
      <c r="F419" s="675"/>
      <c r="S419" s="644"/>
    </row>
    <row r="420" ht="25.5" customHeight="1">
      <c r="A420" s="635"/>
      <c r="B420" s="1323"/>
      <c r="C420" s="635"/>
      <c r="D420" s="1317"/>
      <c r="E420" s="675"/>
      <c r="F420" s="675"/>
      <c r="S420" s="644"/>
    </row>
    <row r="421" ht="25.5" customHeight="1">
      <c r="A421" s="635"/>
      <c r="B421" s="1323"/>
      <c r="C421" s="635"/>
      <c r="D421" s="1317"/>
      <c r="E421" s="675"/>
      <c r="F421" s="675"/>
      <c r="S421" s="644"/>
    </row>
    <row r="422" ht="25.5" customHeight="1">
      <c r="A422" s="635"/>
      <c r="B422" s="1323"/>
      <c r="C422" s="635"/>
      <c r="D422" s="1317"/>
      <c r="E422" s="675"/>
      <c r="F422" s="675"/>
      <c r="S422" s="644"/>
    </row>
    <row r="423" ht="25.5" customHeight="1">
      <c r="A423" s="635"/>
      <c r="B423" s="1323"/>
      <c r="C423" s="635"/>
      <c r="D423" s="1317"/>
      <c r="E423" s="675"/>
      <c r="F423" s="675"/>
      <c r="S423" s="644"/>
    </row>
    <row r="424" ht="25.5" customHeight="1">
      <c r="A424" s="635"/>
      <c r="B424" s="1323"/>
      <c r="C424" s="635"/>
      <c r="D424" s="1317"/>
      <c r="E424" s="675"/>
      <c r="F424" s="675"/>
      <c r="S424" s="644"/>
    </row>
    <row r="425" ht="25.5" customHeight="1">
      <c r="A425" s="635"/>
      <c r="B425" s="1323"/>
      <c r="C425" s="635"/>
      <c r="D425" s="1317"/>
      <c r="E425" s="675"/>
      <c r="F425" s="675"/>
      <c r="S425" s="644"/>
    </row>
    <row r="426" ht="25.5" customHeight="1">
      <c r="A426" s="635"/>
      <c r="B426" s="1323"/>
      <c r="C426" s="635"/>
      <c r="D426" s="1317"/>
      <c r="E426" s="675"/>
      <c r="F426" s="675"/>
      <c r="S426" s="644"/>
    </row>
    <row r="427" ht="25.5" customHeight="1">
      <c r="A427" s="635"/>
      <c r="B427" s="1323"/>
      <c r="C427" s="635"/>
      <c r="D427" s="1317"/>
      <c r="E427" s="675"/>
      <c r="F427" s="675"/>
      <c r="S427" s="644"/>
    </row>
    <row r="428" ht="25.5" customHeight="1">
      <c r="A428" s="635"/>
      <c r="B428" s="1323"/>
      <c r="C428" s="635"/>
      <c r="D428" s="1317"/>
      <c r="E428" s="675"/>
      <c r="F428" s="675"/>
      <c r="S428" s="644"/>
    </row>
    <row r="429" ht="25.5" customHeight="1">
      <c r="A429" s="635"/>
      <c r="B429" s="1323"/>
      <c r="C429" s="635"/>
      <c r="D429" s="1317"/>
      <c r="E429" s="675"/>
      <c r="F429" s="675"/>
      <c r="S429" s="644"/>
    </row>
    <row r="430" ht="25.5" customHeight="1">
      <c r="A430" s="635"/>
      <c r="B430" s="1323"/>
      <c r="C430" s="635"/>
      <c r="D430" s="1317"/>
      <c r="E430" s="675"/>
      <c r="F430" s="675"/>
      <c r="S430" s="644"/>
    </row>
    <row r="431" ht="25.5" customHeight="1">
      <c r="A431" s="635"/>
      <c r="B431" s="1323"/>
      <c r="C431" s="635"/>
      <c r="D431" s="1317"/>
      <c r="E431" s="675"/>
      <c r="F431" s="675"/>
      <c r="S431" s="644"/>
    </row>
    <row r="432" ht="25.5" customHeight="1">
      <c r="A432" s="635"/>
      <c r="B432" s="1323"/>
      <c r="C432" s="635"/>
      <c r="D432" s="1317"/>
      <c r="E432" s="675"/>
      <c r="F432" s="675"/>
      <c r="S432" s="644"/>
    </row>
    <row r="433" ht="25.5" customHeight="1">
      <c r="A433" s="635"/>
      <c r="B433" s="1323"/>
      <c r="C433" s="635"/>
      <c r="D433" s="1317"/>
      <c r="E433" s="675"/>
      <c r="F433" s="675"/>
      <c r="S433" s="644"/>
    </row>
    <row r="434" ht="25.5" customHeight="1">
      <c r="A434" s="635"/>
      <c r="B434" s="1323"/>
      <c r="C434" s="635"/>
      <c r="D434" s="1317"/>
      <c r="E434" s="675"/>
      <c r="F434" s="675"/>
      <c r="S434" s="644"/>
    </row>
    <row r="435" ht="25.5" customHeight="1">
      <c r="A435" s="635"/>
      <c r="B435" s="1323"/>
      <c r="C435" s="635"/>
      <c r="D435" s="1317"/>
      <c r="E435" s="675"/>
      <c r="F435" s="675"/>
      <c r="S435" s="644"/>
    </row>
    <row r="436" ht="25.5" customHeight="1">
      <c r="A436" s="635"/>
      <c r="B436" s="1323"/>
      <c r="C436" s="635"/>
      <c r="D436" s="1317"/>
      <c r="E436" s="675"/>
      <c r="F436" s="675"/>
      <c r="S436" s="644"/>
    </row>
    <row r="437" ht="25.5" customHeight="1">
      <c r="A437" s="635"/>
      <c r="B437" s="1323"/>
      <c r="C437" s="635"/>
      <c r="D437" s="1317"/>
      <c r="E437" s="675"/>
      <c r="F437" s="675"/>
      <c r="S437" s="644"/>
    </row>
    <row r="438" ht="25.5" customHeight="1">
      <c r="A438" s="635"/>
      <c r="B438" s="1323"/>
      <c r="C438" s="635"/>
      <c r="D438" s="1317"/>
      <c r="E438" s="675"/>
      <c r="F438" s="675"/>
      <c r="S438" s="644"/>
    </row>
    <row r="439" ht="25.5" customHeight="1">
      <c r="A439" s="635"/>
      <c r="B439" s="1323"/>
      <c r="C439" s="635"/>
      <c r="D439" s="1317"/>
      <c r="E439" s="675"/>
      <c r="F439" s="675"/>
      <c r="S439" s="644"/>
    </row>
    <row r="440" ht="25.5" customHeight="1">
      <c r="A440" s="635"/>
      <c r="B440" s="1323"/>
      <c r="C440" s="635"/>
      <c r="D440" s="1317"/>
      <c r="E440" s="675"/>
      <c r="F440" s="675"/>
      <c r="S440" s="644"/>
    </row>
    <row r="441" ht="25.5" customHeight="1">
      <c r="A441" s="635"/>
      <c r="B441" s="1323"/>
      <c r="C441" s="635"/>
      <c r="D441" s="1317"/>
      <c r="E441" s="675"/>
      <c r="F441" s="675"/>
      <c r="S441" s="644"/>
    </row>
    <row r="442" ht="25.5" customHeight="1">
      <c r="A442" s="635"/>
      <c r="B442" s="1323"/>
      <c r="C442" s="635"/>
      <c r="D442" s="1317"/>
      <c r="E442" s="675"/>
      <c r="F442" s="675"/>
      <c r="S442" s="644"/>
    </row>
    <row r="443" ht="25.5" customHeight="1">
      <c r="A443" s="635"/>
      <c r="B443" s="1323"/>
      <c r="C443" s="635"/>
      <c r="D443" s="1317"/>
      <c r="E443" s="675"/>
      <c r="F443" s="675"/>
      <c r="S443" s="644"/>
    </row>
    <row r="444" ht="25.5" customHeight="1">
      <c r="A444" s="635"/>
      <c r="B444" s="1323"/>
      <c r="C444" s="635"/>
      <c r="D444" s="1317"/>
      <c r="E444" s="675"/>
      <c r="F444" s="675"/>
      <c r="S444" s="644"/>
    </row>
    <row r="445" ht="25.5" customHeight="1">
      <c r="A445" s="635"/>
      <c r="B445" s="1323"/>
      <c r="C445" s="635"/>
      <c r="D445" s="1317"/>
      <c r="E445" s="675"/>
      <c r="F445" s="675"/>
      <c r="S445" s="644"/>
    </row>
    <row r="446" ht="25.5" customHeight="1">
      <c r="A446" s="635"/>
      <c r="B446" s="1323"/>
      <c r="C446" s="635"/>
      <c r="D446" s="1317"/>
      <c r="E446" s="675"/>
      <c r="F446" s="675"/>
      <c r="S446" s="644"/>
    </row>
    <row r="447" ht="25.5" customHeight="1">
      <c r="A447" s="635"/>
      <c r="B447" s="1323"/>
      <c r="C447" s="635"/>
      <c r="D447" s="1317"/>
      <c r="E447" s="675"/>
      <c r="F447" s="675"/>
      <c r="S447" s="644"/>
    </row>
    <row r="448" ht="25.5" customHeight="1">
      <c r="A448" s="635"/>
      <c r="B448" s="1323"/>
      <c r="C448" s="635"/>
      <c r="D448" s="1317"/>
      <c r="E448" s="675"/>
      <c r="F448" s="675"/>
      <c r="S448" s="644"/>
    </row>
    <row r="449" ht="25.5" customHeight="1">
      <c r="A449" s="635"/>
      <c r="B449" s="1323"/>
      <c r="C449" s="635"/>
      <c r="D449" s="1317"/>
      <c r="E449" s="675"/>
      <c r="F449" s="675"/>
      <c r="S449" s="644"/>
    </row>
    <row r="450" ht="25.5" customHeight="1">
      <c r="A450" s="635"/>
      <c r="B450" s="1323"/>
      <c r="C450" s="635"/>
      <c r="D450" s="1317"/>
      <c r="E450" s="675"/>
      <c r="F450" s="675"/>
      <c r="S450" s="644"/>
    </row>
    <row r="451" ht="25.5" customHeight="1">
      <c r="A451" s="635"/>
      <c r="B451" s="1323"/>
      <c r="C451" s="635"/>
      <c r="D451" s="1317"/>
      <c r="E451" s="675"/>
      <c r="F451" s="675"/>
      <c r="S451" s="644"/>
    </row>
    <row r="452" ht="25.5" customHeight="1">
      <c r="A452" s="635"/>
      <c r="B452" s="1323"/>
      <c r="C452" s="635"/>
      <c r="D452" s="1317"/>
      <c r="E452" s="675"/>
      <c r="F452" s="675"/>
      <c r="S452" s="644"/>
    </row>
    <row r="453" ht="25.5" customHeight="1">
      <c r="A453" s="635"/>
      <c r="B453" s="1323"/>
      <c r="C453" s="635"/>
      <c r="D453" s="1317"/>
      <c r="E453" s="675"/>
      <c r="F453" s="675"/>
      <c r="S453" s="644"/>
    </row>
    <row r="454" ht="25.5" customHeight="1">
      <c r="A454" s="635"/>
      <c r="B454" s="1323"/>
      <c r="C454" s="635"/>
      <c r="D454" s="1317"/>
      <c r="E454" s="675"/>
      <c r="F454" s="675"/>
      <c r="S454" s="644"/>
    </row>
    <row r="455" ht="25.5" customHeight="1">
      <c r="A455" s="635"/>
      <c r="B455" s="1323"/>
      <c r="C455" s="635"/>
      <c r="D455" s="1317"/>
      <c r="E455" s="675"/>
      <c r="F455" s="675"/>
      <c r="S455" s="644"/>
    </row>
    <row r="456" ht="25.5" customHeight="1">
      <c r="A456" s="635"/>
      <c r="B456" s="1323"/>
      <c r="C456" s="635"/>
      <c r="D456" s="1317"/>
      <c r="E456" s="675"/>
      <c r="F456" s="675"/>
      <c r="S456" s="644"/>
    </row>
    <row r="457" ht="25.5" customHeight="1">
      <c r="A457" s="635"/>
      <c r="B457" s="1323"/>
      <c r="C457" s="635"/>
      <c r="D457" s="1317"/>
      <c r="E457" s="675"/>
      <c r="F457" s="675"/>
      <c r="S457" s="644"/>
    </row>
    <row r="458" ht="25.5" customHeight="1">
      <c r="A458" s="635"/>
      <c r="B458" s="1323"/>
      <c r="C458" s="635"/>
      <c r="D458" s="1317"/>
      <c r="E458" s="675"/>
      <c r="F458" s="675"/>
      <c r="S458" s="644"/>
    </row>
    <row r="459" ht="25.5" customHeight="1">
      <c r="A459" s="635"/>
      <c r="B459" s="1323"/>
      <c r="C459" s="635"/>
      <c r="D459" s="1317"/>
      <c r="E459" s="675"/>
      <c r="F459" s="675"/>
      <c r="S459" s="644"/>
    </row>
    <row r="460" ht="25.5" customHeight="1">
      <c r="A460" s="635"/>
      <c r="B460" s="1323"/>
      <c r="C460" s="635"/>
      <c r="D460" s="1317"/>
      <c r="E460" s="675"/>
      <c r="F460" s="675"/>
      <c r="S460" s="644"/>
    </row>
    <row r="461" ht="25.5" customHeight="1">
      <c r="A461" s="635"/>
      <c r="B461" s="1323"/>
      <c r="C461" s="635"/>
      <c r="D461" s="1317"/>
      <c r="E461" s="675"/>
      <c r="F461" s="675"/>
      <c r="S461" s="644"/>
    </row>
    <row r="462" ht="25.5" customHeight="1">
      <c r="A462" s="635"/>
      <c r="B462" s="1323"/>
      <c r="C462" s="635"/>
      <c r="D462" s="1317"/>
      <c r="E462" s="675"/>
      <c r="F462" s="675"/>
      <c r="S462" s="644"/>
    </row>
    <row r="463" ht="25.5" customHeight="1">
      <c r="A463" s="635"/>
      <c r="B463" s="1323"/>
      <c r="C463" s="635"/>
      <c r="D463" s="1317"/>
      <c r="E463" s="675"/>
      <c r="F463" s="675"/>
      <c r="S463" s="644"/>
    </row>
    <row r="464" ht="25.5" customHeight="1">
      <c r="A464" s="635"/>
      <c r="B464" s="1323"/>
      <c r="C464" s="635"/>
      <c r="D464" s="1317"/>
      <c r="E464" s="675"/>
      <c r="F464" s="675"/>
      <c r="S464" s="644"/>
    </row>
    <row r="465" ht="25.5" customHeight="1">
      <c r="A465" s="635"/>
      <c r="B465" s="1323"/>
      <c r="C465" s="635"/>
      <c r="D465" s="1317"/>
      <c r="E465" s="675"/>
      <c r="F465" s="675"/>
      <c r="S465" s="644"/>
    </row>
    <row r="466" ht="25.5" customHeight="1">
      <c r="A466" s="635"/>
      <c r="B466" s="1323"/>
      <c r="C466" s="635"/>
      <c r="D466" s="1317"/>
      <c r="E466" s="675"/>
      <c r="F466" s="675"/>
      <c r="S466" s="644"/>
    </row>
    <row r="467" ht="25.5" customHeight="1">
      <c r="A467" s="635"/>
      <c r="B467" s="1323"/>
      <c r="C467" s="635"/>
      <c r="D467" s="1317"/>
      <c r="E467" s="675"/>
      <c r="F467" s="675"/>
      <c r="S467" s="644"/>
    </row>
    <row r="468" ht="25.5" customHeight="1">
      <c r="A468" s="635"/>
      <c r="B468" s="1323"/>
      <c r="C468" s="635"/>
      <c r="D468" s="1317"/>
      <c r="E468" s="675"/>
      <c r="F468" s="675"/>
      <c r="S468" s="644"/>
    </row>
    <row r="469" ht="25.5" customHeight="1">
      <c r="A469" s="635"/>
      <c r="B469" s="1323"/>
      <c r="C469" s="635"/>
      <c r="D469" s="1317"/>
      <c r="E469" s="675"/>
      <c r="F469" s="675"/>
      <c r="S469" s="644"/>
    </row>
    <row r="470" ht="25.5" customHeight="1">
      <c r="A470" s="635"/>
      <c r="B470" s="1323"/>
      <c r="C470" s="635"/>
      <c r="D470" s="1317"/>
      <c r="E470" s="675"/>
      <c r="F470" s="675"/>
      <c r="S470" s="644"/>
    </row>
    <row r="471" ht="25.5" customHeight="1">
      <c r="A471" s="635"/>
      <c r="B471" s="1323"/>
      <c r="C471" s="635"/>
      <c r="D471" s="1317"/>
      <c r="E471" s="675"/>
      <c r="F471" s="675"/>
      <c r="S471" s="644"/>
    </row>
    <row r="472" ht="25.5" customHeight="1">
      <c r="A472" s="635"/>
      <c r="B472" s="1323"/>
      <c r="C472" s="635"/>
      <c r="D472" s="1317"/>
      <c r="E472" s="675"/>
      <c r="F472" s="675"/>
      <c r="S472" s="644"/>
    </row>
    <row r="473" ht="25.5" customHeight="1">
      <c r="A473" s="635"/>
      <c r="B473" s="1323"/>
      <c r="C473" s="635"/>
      <c r="D473" s="1317"/>
      <c r="E473" s="675"/>
      <c r="F473" s="675"/>
      <c r="S473" s="644"/>
    </row>
    <row r="474" ht="25.5" customHeight="1">
      <c r="A474" s="635"/>
      <c r="B474" s="1323"/>
      <c r="C474" s="635"/>
      <c r="D474" s="1317"/>
      <c r="E474" s="675"/>
      <c r="F474" s="675"/>
      <c r="S474" s="644"/>
    </row>
    <row r="475" ht="25.5" customHeight="1">
      <c r="A475" s="635"/>
      <c r="B475" s="1323"/>
      <c r="C475" s="635"/>
      <c r="D475" s="1317"/>
      <c r="E475" s="675"/>
      <c r="F475" s="675"/>
      <c r="S475" s="644"/>
    </row>
    <row r="476" ht="25.5" customHeight="1">
      <c r="A476" s="635"/>
      <c r="B476" s="1323"/>
      <c r="C476" s="635"/>
      <c r="D476" s="1317"/>
      <c r="E476" s="675"/>
      <c r="F476" s="675"/>
      <c r="S476" s="644"/>
    </row>
    <row r="477" ht="25.5" customHeight="1">
      <c r="A477" s="635"/>
      <c r="B477" s="1323"/>
      <c r="C477" s="635"/>
      <c r="D477" s="1317"/>
      <c r="E477" s="675"/>
      <c r="F477" s="675"/>
      <c r="S477" s="644"/>
    </row>
    <row r="478" ht="25.5" customHeight="1">
      <c r="A478" s="635"/>
      <c r="B478" s="1323"/>
      <c r="C478" s="635"/>
      <c r="D478" s="1317"/>
      <c r="E478" s="675"/>
      <c r="F478" s="675"/>
      <c r="S478" s="644"/>
    </row>
    <row r="479" ht="25.5" customHeight="1">
      <c r="A479" s="635"/>
      <c r="B479" s="1323"/>
      <c r="C479" s="635"/>
      <c r="D479" s="1317"/>
      <c r="E479" s="675"/>
      <c r="F479" s="675"/>
      <c r="S479" s="644"/>
    </row>
    <row r="480" ht="25.5" customHeight="1">
      <c r="A480" s="635"/>
      <c r="B480" s="1323"/>
      <c r="C480" s="635"/>
      <c r="D480" s="1317"/>
      <c r="E480" s="675"/>
      <c r="F480" s="675"/>
      <c r="S480" s="644"/>
    </row>
    <row r="481" ht="25.5" customHeight="1">
      <c r="A481" s="635"/>
      <c r="B481" s="1323"/>
      <c r="C481" s="635"/>
      <c r="D481" s="1317"/>
      <c r="E481" s="675"/>
      <c r="F481" s="675"/>
      <c r="S481" s="644"/>
    </row>
    <row r="482" ht="25.5" customHeight="1">
      <c r="A482" s="635"/>
      <c r="B482" s="1323"/>
      <c r="C482" s="635"/>
      <c r="D482" s="1317"/>
      <c r="E482" s="675"/>
      <c r="F482" s="675"/>
      <c r="S482" s="644"/>
    </row>
    <row r="483" ht="25.5" customHeight="1">
      <c r="A483" s="635"/>
      <c r="B483" s="1323"/>
      <c r="C483" s="635"/>
      <c r="D483" s="1317"/>
      <c r="E483" s="675"/>
      <c r="F483" s="675"/>
      <c r="S483" s="644"/>
    </row>
    <row r="484" ht="25.5" customHeight="1">
      <c r="A484" s="635"/>
      <c r="B484" s="1323"/>
      <c r="C484" s="635"/>
      <c r="D484" s="1317"/>
      <c r="E484" s="675"/>
      <c r="F484" s="675"/>
      <c r="S484" s="644"/>
    </row>
    <row r="485" ht="25.5" customHeight="1">
      <c r="A485" s="635"/>
      <c r="B485" s="1323"/>
      <c r="C485" s="635"/>
      <c r="D485" s="1317"/>
      <c r="E485" s="675"/>
      <c r="F485" s="675"/>
      <c r="S485" s="644"/>
    </row>
    <row r="486" ht="25.5" customHeight="1">
      <c r="A486" s="635"/>
      <c r="B486" s="1323"/>
      <c r="C486" s="635"/>
      <c r="D486" s="1317"/>
      <c r="E486" s="675"/>
      <c r="F486" s="675"/>
      <c r="S486" s="644"/>
    </row>
    <row r="487" ht="25.5" customHeight="1">
      <c r="A487" s="635"/>
      <c r="B487" s="1323"/>
      <c r="C487" s="635"/>
      <c r="D487" s="1317"/>
      <c r="E487" s="675"/>
      <c r="F487" s="675"/>
      <c r="S487" s="644"/>
    </row>
    <row r="488" ht="25.5" customHeight="1">
      <c r="A488" s="635"/>
      <c r="B488" s="1323"/>
      <c r="C488" s="635"/>
      <c r="D488" s="1317"/>
      <c r="E488" s="675"/>
      <c r="F488" s="675"/>
      <c r="S488" s="644"/>
    </row>
    <row r="489" ht="25.5" customHeight="1">
      <c r="A489" s="635"/>
      <c r="B489" s="1323"/>
      <c r="C489" s="635"/>
      <c r="D489" s="1317"/>
      <c r="E489" s="675"/>
      <c r="F489" s="675"/>
      <c r="S489" s="644"/>
    </row>
    <row r="490" ht="25.5" customHeight="1">
      <c r="A490" s="635"/>
      <c r="B490" s="1323"/>
      <c r="C490" s="635"/>
      <c r="D490" s="1317"/>
      <c r="E490" s="675"/>
      <c r="F490" s="675"/>
      <c r="S490" s="644"/>
    </row>
    <row r="491" ht="25.5" customHeight="1">
      <c r="A491" s="635"/>
      <c r="B491" s="1323"/>
      <c r="C491" s="635"/>
      <c r="D491" s="1317"/>
      <c r="E491" s="675"/>
      <c r="F491" s="675"/>
      <c r="S491" s="644"/>
    </row>
    <row r="492" ht="25.5" customHeight="1">
      <c r="A492" s="635"/>
      <c r="B492" s="1323"/>
      <c r="C492" s="635"/>
      <c r="D492" s="1317"/>
      <c r="E492" s="675"/>
      <c r="F492" s="675"/>
      <c r="S492" s="644"/>
    </row>
    <row r="493" ht="25.5" customHeight="1">
      <c r="A493" s="635"/>
      <c r="B493" s="1323"/>
      <c r="C493" s="635"/>
      <c r="D493" s="1317"/>
      <c r="E493" s="675"/>
      <c r="F493" s="675"/>
      <c r="S493" s="644"/>
    </row>
    <row r="494" ht="25.5" customHeight="1">
      <c r="A494" s="635"/>
      <c r="B494" s="1323"/>
      <c r="C494" s="635"/>
      <c r="D494" s="1317"/>
      <c r="E494" s="675"/>
      <c r="F494" s="675"/>
      <c r="S494" s="644"/>
    </row>
    <row r="495" ht="25.5" customHeight="1">
      <c r="A495" s="635"/>
      <c r="B495" s="1323"/>
      <c r="C495" s="635"/>
      <c r="D495" s="1317"/>
      <c r="E495" s="675"/>
      <c r="F495" s="675"/>
      <c r="S495" s="644"/>
    </row>
    <row r="496" ht="25.5" customHeight="1">
      <c r="A496" s="635"/>
      <c r="B496" s="1323"/>
      <c r="C496" s="635"/>
      <c r="D496" s="1317"/>
      <c r="E496" s="675"/>
      <c r="F496" s="675"/>
      <c r="S496" s="644"/>
    </row>
    <row r="497" ht="25.5" customHeight="1">
      <c r="A497" s="635"/>
      <c r="B497" s="1323"/>
      <c r="C497" s="635"/>
      <c r="D497" s="1317"/>
      <c r="E497" s="675"/>
      <c r="F497" s="675"/>
      <c r="S497" s="644"/>
    </row>
    <row r="498" ht="25.5" customHeight="1">
      <c r="A498" s="635"/>
      <c r="B498" s="1323"/>
      <c r="C498" s="635"/>
      <c r="D498" s="1317"/>
      <c r="E498" s="675"/>
      <c r="F498" s="675"/>
      <c r="S498" s="644"/>
    </row>
    <row r="499" ht="25.5" customHeight="1">
      <c r="A499" s="635"/>
      <c r="B499" s="1323"/>
      <c r="C499" s="635"/>
      <c r="D499" s="1317"/>
      <c r="E499" s="675"/>
      <c r="F499" s="675"/>
      <c r="S499" s="644"/>
    </row>
    <row r="500" ht="25.5" customHeight="1">
      <c r="A500" s="635"/>
      <c r="B500" s="1323"/>
      <c r="C500" s="635"/>
      <c r="D500" s="1317"/>
      <c r="E500" s="675"/>
      <c r="F500" s="675"/>
      <c r="S500" s="644"/>
    </row>
    <row r="501" ht="25.5" customHeight="1">
      <c r="A501" s="635"/>
      <c r="B501" s="1323"/>
      <c r="C501" s="635"/>
      <c r="D501" s="1317"/>
      <c r="E501" s="675"/>
      <c r="F501" s="675"/>
      <c r="S501" s="644"/>
    </row>
    <row r="502" ht="25.5" customHeight="1">
      <c r="A502" s="635"/>
      <c r="B502" s="1323"/>
      <c r="C502" s="635"/>
      <c r="D502" s="1317"/>
      <c r="E502" s="675"/>
      <c r="F502" s="675"/>
      <c r="S502" s="644"/>
    </row>
    <row r="503" ht="25.5" customHeight="1">
      <c r="A503" s="635"/>
      <c r="B503" s="1323"/>
      <c r="C503" s="635"/>
      <c r="D503" s="1317"/>
      <c r="E503" s="675"/>
      <c r="F503" s="675"/>
      <c r="S503" s="644"/>
    </row>
    <row r="504" ht="25.5" customHeight="1">
      <c r="A504" s="635"/>
      <c r="B504" s="1323"/>
      <c r="C504" s="635"/>
      <c r="D504" s="1317"/>
      <c r="E504" s="675"/>
      <c r="F504" s="675"/>
      <c r="S504" s="644"/>
    </row>
    <row r="505" ht="25.5" customHeight="1">
      <c r="A505" s="635"/>
      <c r="B505" s="1323"/>
      <c r="C505" s="635"/>
      <c r="D505" s="1317"/>
      <c r="E505" s="675"/>
      <c r="F505" s="675"/>
      <c r="S505" s="644"/>
    </row>
    <row r="506" ht="25.5" customHeight="1">
      <c r="A506" s="635"/>
      <c r="B506" s="1323"/>
      <c r="C506" s="635"/>
      <c r="D506" s="1317"/>
      <c r="E506" s="675"/>
      <c r="F506" s="675"/>
      <c r="S506" s="644"/>
    </row>
    <row r="507" ht="25.5" customHeight="1">
      <c r="A507" s="635"/>
      <c r="B507" s="1323"/>
      <c r="C507" s="635"/>
      <c r="D507" s="1317"/>
      <c r="E507" s="675"/>
      <c r="F507" s="675"/>
      <c r="S507" s="644"/>
    </row>
    <row r="508" ht="25.5" customHeight="1">
      <c r="A508" s="635"/>
      <c r="B508" s="1323"/>
      <c r="C508" s="635"/>
      <c r="D508" s="1317"/>
      <c r="E508" s="675"/>
      <c r="F508" s="675"/>
      <c r="S508" s="644"/>
    </row>
    <row r="509" ht="25.5" customHeight="1">
      <c r="A509" s="635"/>
      <c r="B509" s="1323"/>
      <c r="C509" s="635"/>
      <c r="D509" s="1317"/>
      <c r="E509" s="675"/>
      <c r="F509" s="675"/>
      <c r="S509" s="644"/>
    </row>
    <row r="510" ht="25.5" customHeight="1">
      <c r="A510" s="635"/>
      <c r="B510" s="1323"/>
      <c r="C510" s="635"/>
      <c r="D510" s="1317"/>
      <c r="E510" s="675"/>
      <c r="F510" s="675"/>
      <c r="S510" s="644"/>
    </row>
    <row r="511" ht="25.5" customHeight="1">
      <c r="A511" s="635"/>
      <c r="B511" s="1323"/>
      <c r="C511" s="635"/>
      <c r="D511" s="1317"/>
      <c r="E511" s="675"/>
      <c r="F511" s="675"/>
      <c r="S511" s="644"/>
    </row>
    <row r="512" ht="25.5" customHeight="1">
      <c r="A512" s="635"/>
      <c r="B512" s="1323"/>
      <c r="C512" s="635"/>
      <c r="D512" s="1317"/>
      <c r="E512" s="675"/>
      <c r="F512" s="675"/>
      <c r="S512" s="644"/>
    </row>
    <row r="513" ht="25.5" customHeight="1">
      <c r="A513" s="635"/>
      <c r="B513" s="1323"/>
      <c r="C513" s="635"/>
      <c r="D513" s="1317"/>
      <c r="E513" s="675"/>
      <c r="F513" s="675"/>
      <c r="S513" s="644"/>
    </row>
    <row r="514" ht="25.5" customHeight="1">
      <c r="A514" s="635"/>
      <c r="B514" s="1323"/>
      <c r="C514" s="635"/>
      <c r="D514" s="1317"/>
      <c r="E514" s="675"/>
      <c r="F514" s="675"/>
      <c r="S514" s="644"/>
    </row>
    <row r="515" ht="25.5" customHeight="1">
      <c r="A515" s="635"/>
      <c r="B515" s="1323"/>
      <c r="C515" s="635"/>
      <c r="D515" s="1317"/>
      <c r="E515" s="675"/>
      <c r="F515" s="675"/>
      <c r="S515" s="644"/>
    </row>
    <row r="516" ht="25.5" customHeight="1">
      <c r="A516" s="635"/>
      <c r="B516" s="1323"/>
      <c r="C516" s="635"/>
      <c r="D516" s="1317"/>
      <c r="E516" s="675"/>
      <c r="F516" s="675"/>
      <c r="S516" s="644"/>
    </row>
    <row r="517" ht="25.5" customHeight="1">
      <c r="A517" s="635"/>
      <c r="B517" s="1323"/>
      <c r="C517" s="635"/>
      <c r="D517" s="1317"/>
      <c r="E517" s="675"/>
      <c r="F517" s="675"/>
      <c r="S517" s="644"/>
    </row>
    <row r="518" ht="25.5" customHeight="1">
      <c r="A518" s="635"/>
      <c r="B518" s="1323"/>
      <c r="C518" s="635"/>
      <c r="D518" s="1317"/>
      <c r="E518" s="675"/>
      <c r="F518" s="675"/>
      <c r="S518" s="644"/>
    </row>
    <row r="519" ht="25.5" customHeight="1">
      <c r="A519" s="635"/>
      <c r="B519" s="1323"/>
      <c r="C519" s="635"/>
      <c r="D519" s="1317"/>
      <c r="E519" s="675"/>
      <c r="F519" s="675"/>
      <c r="S519" s="644"/>
    </row>
    <row r="520" ht="25.5" customHeight="1">
      <c r="A520" s="635"/>
      <c r="B520" s="1323"/>
      <c r="C520" s="635"/>
      <c r="D520" s="1317"/>
      <c r="E520" s="675"/>
      <c r="F520" s="675"/>
      <c r="S520" s="644"/>
    </row>
    <row r="521" ht="25.5" customHeight="1">
      <c r="A521" s="635"/>
      <c r="B521" s="1323"/>
      <c r="C521" s="635"/>
      <c r="D521" s="1317"/>
      <c r="E521" s="675"/>
      <c r="F521" s="675"/>
      <c r="S521" s="644"/>
    </row>
    <row r="522" ht="25.5" customHeight="1">
      <c r="A522" s="635"/>
      <c r="B522" s="1323"/>
      <c r="C522" s="635"/>
      <c r="D522" s="1317"/>
      <c r="E522" s="675"/>
      <c r="F522" s="675"/>
      <c r="S522" s="644"/>
    </row>
    <row r="523" ht="25.5" customHeight="1">
      <c r="A523" s="635"/>
      <c r="B523" s="1323"/>
      <c r="C523" s="635"/>
      <c r="D523" s="1317"/>
      <c r="E523" s="675"/>
      <c r="F523" s="675"/>
      <c r="S523" s="644"/>
    </row>
    <row r="524" ht="25.5" customHeight="1">
      <c r="A524" s="635"/>
      <c r="B524" s="1323"/>
      <c r="C524" s="635"/>
      <c r="D524" s="1317"/>
      <c r="E524" s="675"/>
      <c r="F524" s="675"/>
      <c r="S524" s="644"/>
    </row>
    <row r="525" ht="25.5" customHeight="1">
      <c r="A525" s="635"/>
      <c r="B525" s="1323"/>
      <c r="C525" s="635"/>
      <c r="D525" s="1317"/>
      <c r="E525" s="675"/>
      <c r="F525" s="675"/>
      <c r="S525" s="644"/>
    </row>
    <row r="526" ht="25.5" customHeight="1">
      <c r="A526" s="635"/>
      <c r="B526" s="1323"/>
      <c r="C526" s="635"/>
      <c r="D526" s="1317"/>
      <c r="E526" s="675"/>
      <c r="F526" s="675"/>
      <c r="S526" s="644"/>
    </row>
    <row r="527" ht="25.5" customHeight="1">
      <c r="A527" s="635"/>
      <c r="B527" s="1323"/>
      <c r="C527" s="635"/>
      <c r="D527" s="1317"/>
      <c r="E527" s="675"/>
      <c r="F527" s="675"/>
      <c r="S527" s="644"/>
    </row>
    <row r="528" ht="25.5" customHeight="1">
      <c r="A528" s="635"/>
      <c r="B528" s="1323"/>
      <c r="C528" s="635"/>
      <c r="D528" s="1317"/>
      <c r="E528" s="675"/>
      <c r="F528" s="675"/>
      <c r="S528" s="644"/>
    </row>
    <row r="529" ht="25.5" customHeight="1">
      <c r="A529" s="635"/>
      <c r="B529" s="1323"/>
      <c r="C529" s="635"/>
      <c r="D529" s="1317"/>
      <c r="E529" s="675"/>
      <c r="F529" s="675"/>
      <c r="S529" s="644"/>
    </row>
    <row r="530" ht="25.5" customHeight="1">
      <c r="A530" s="635"/>
      <c r="B530" s="1323"/>
      <c r="C530" s="635"/>
      <c r="D530" s="1317"/>
      <c r="E530" s="675"/>
      <c r="F530" s="675"/>
      <c r="S530" s="644"/>
    </row>
    <row r="531" ht="25.5" customHeight="1">
      <c r="A531" s="635"/>
      <c r="B531" s="1323"/>
      <c r="C531" s="635"/>
      <c r="D531" s="1317"/>
      <c r="E531" s="675"/>
      <c r="F531" s="675"/>
      <c r="S531" s="644"/>
    </row>
    <row r="532" ht="25.5" customHeight="1">
      <c r="A532" s="635"/>
      <c r="B532" s="1323"/>
      <c r="C532" s="635"/>
      <c r="D532" s="1317"/>
      <c r="E532" s="675"/>
      <c r="F532" s="675"/>
      <c r="S532" s="644"/>
    </row>
    <row r="533" ht="25.5" customHeight="1">
      <c r="A533" s="635"/>
      <c r="B533" s="1323"/>
      <c r="C533" s="635"/>
      <c r="D533" s="1317"/>
      <c r="E533" s="675"/>
      <c r="F533" s="675"/>
      <c r="S533" s="644"/>
    </row>
    <row r="534" ht="25.5" customHeight="1">
      <c r="A534" s="635"/>
      <c r="B534" s="1323"/>
      <c r="C534" s="635"/>
      <c r="D534" s="1317"/>
      <c r="E534" s="675"/>
      <c r="F534" s="675"/>
      <c r="S534" s="644"/>
    </row>
    <row r="535" ht="25.5" customHeight="1">
      <c r="A535" s="635"/>
      <c r="B535" s="1323"/>
      <c r="C535" s="635"/>
      <c r="D535" s="1317"/>
      <c r="E535" s="675"/>
      <c r="F535" s="675"/>
      <c r="S535" s="644"/>
    </row>
    <row r="536" ht="25.5" customHeight="1">
      <c r="A536" s="635"/>
      <c r="B536" s="1323"/>
      <c r="C536" s="635"/>
      <c r="D536" s="1317"/>
      <c r="E536" s="675"/>
      <c r="F536" s="675"/>
      <c r="S536" s="644"/>
    </row>
    <row r="537" ht="25.5" customHeight="1">
      <c r="A537" s="635"/>
      <c r="B537" s="1323"/>
      <c r="C537" s="635"/>
      <c r="D537" s="1317"/>
      <c r="E537" s="675"/>
      <c r="F537" s="675"/>
      <c r="S537" s="644"/>
    </row>
    <row r="538" ht="25.5" customHeight="1">
      <c r="A538" s="635"/>
      <c r="B538" s="1323"/>
      <c r="C538" s="635"/>
      <c r="D538" s="1317"/>
      <c r="E538" s="675"/>
      <c r="F538" s="675"/>
      <c r="S538" s="644"/>
    </row>
    <row r="539" ht="25.5" customHeight="1">
      <c r="A539" s="635"/>
      <c r="B539" s="1323"/>
      <c r="C539" s="635"/>
      <c r="D539" s="1317"/>
      <c r="E539" s="675"/>
      <c r="F539" s="675"/>
      <c r="S539" s="644"/>
    </row>
    <row r="540" ht="25.5" customHeight="1">
      <c r="A540" s="635"/>
      <c r="B540" s="1323"/>
      <c r="C540" s="635"/>
      <c r="D540" s="1317"/>
      <c r="E540" s="675"/>
      <c r="F540" s="675"/>
      <c r="S540" s="644"/>
    </row>
    <row r="541" ht="25.5" customHeight="1">
      <c r="A541" s="635"/>
      <c r="B541" s="1323"/>
      <c r="C541" s="635"/>
      <c r="D541" s="1317"/>
      <c r="E541" s="675"/>
      <c r="F541" s="675"/>
      <c r="S541" s="644"/>
    </row>
    <row r="542" ht="25.5" customHeight="1">
      <c r="A542" s="635"/>
      <c r="B542" s="1323"/>
      <c r="C542" s="635"/>
      <c r="D542" s="1317"/>
      <c r="E542" s="675"/>
      <c r="F542" s="675"/>
      <c r="S542" s="644"/>
    </row>
    <row r="543" ht="25.5" customHeight="1">
      <c r="A543" s="635"/>
      <c r="B543" s="1323"/>
      <c r="C543" s="635"/>
      <c r="D543" s="1317"/>
      <c r="E543" s="675"/>
      <c r="F543" s="675"/>
      <c r="S543" s="644"/>
    </row>
    <row r="544" ht="25.5" customHeight="1">
      <c r="A544" s="635"/>
      <c r="B544" s="1323"/>
      <c r="C544" s="635"/>
      <c r="D544" s="1317"/>
      <c r="E544" s="675"/>
      <c r="F544" s="675"/>
      <c r="S544" s="644"/>
    </row>
    <row r="545" ht="25.5" customHeight="1">
      <c r="A545" s="635"/>
      <c r="B545" s="1323"/>
      <c r="C545" s="635"/>
      <c r="D545" s="1317"/>
      <c r="E545" s="675"/>
      <c r="F545" s="675"/>
      <c r="S545" s="644"/>
    </row>
    <row r="546" ht="25.5" customHeight="1">
      <c r="A546" s="635"/>
      <c r="B546" s="1323"/>
      <c r="C546" s="635"/>
      <c r="D546" s="1317"/>
      <c r="E546" s="675"/>
      <c r="F546" s="675"/>
      <c r="S546" s="644"/>
    </row>
    <row r="547" ht="25.5" customHeight="1">
      <c r="A547" s="635"/>
      <c r="B547" s="1323"/>
      <c r="C547" s="635"/>
      <c r="D547" s="1317"/>
      <c r="E547" s="675"/>
      <c r="F547" s="675"/>
      <c r="S547" s="644"/>
    </row>
    <row r="548" ht="25.5" customHeight="1">
      <c r="A548" s="635"/>
      <c r="B548" s="1323"/>
      <c r="C548" s="635"/>
      <c r="D548" s="1317"/>
      <c r="E548" s="675"/>
      <c r="F548" s="675"/>
      <c r="S548" s="644"/>
    </row>
    <row r="549" ht="25.5" customHeight="1">
      <c r="A549" s="635"/>
      <c r="B549" s="1323"/>
      <c r="C549" s="635"/>
      <c r="D549" s="1317"/>
      <c r="E549" s="675"/>
      <c r="F549" s="675"/>
      <c r="S549" s="644"/>
    </row>
    <row r="550" ht="25.5" customHeight="1">
      <c r="A550" s="635"/>
      <c r="B550" s="1323"/>
      <c r="C550" s="635"/>
      <c r="D550" s="1317"/>
      <c r="E550" s="675"/>
      <c r="F550" s="675"/>
      <c r="S550" s="644"/>
    </row>
    <row r="551" ht="25.5" customHeight="1">
      <c r="A551" s="635"/>
      <c r="B551" s="1323"/>
      <c r="C551" s="635"/>
      <c r="D551" s="1317"/>
      <c r="E551" s="675"/>
      <c r="F551" s="675"/>
      <c r="S551" s="644"/>
    </row>
    <row r="552" ht="25.5" customHeight="1">
      <c r="A552" s="635"/>
      <c r="B552" s="1323"/>
      <c r="C552" s="635"/>
      <c r="D552" s="1317"/>
      <c r="E552" s="675"/>
      <c r="F552" s="675"/>
      <c r="S552" s="644"/>
    </row>
    <row r="553" ht="25.5" customHeight="1">
      <c r="A553" s="635"/>
      <c r="B553" s="1323"/>
      <c r="C553" s="635"/>
      <c r="D553" s="1317"/>
      <c r="E553" s="675"/>
      <c r="F553" s="675"/>
      <c r="S553" s="644"/>
    </row>
    <row r="554" ht="25.5" customHeight="1">
      <c r="A554" s="635"/>
      <c r="B554" s="1323"/>
      <c r="C554" s="635"/>
      <c r="D554" s="1317"/>
      <c r="E554" s="675"/>
      <c r="F554" s="675"/>
      <c r="S554" s="644"/>
    </row>
    <row r="555" ht="25.5" customHeight="1">
      <c r="A555" s="635"/>
      <c r="B555" s="1323"/>
      <c r="C555" s="635"/>
      <c r="D555" s="1317"/>
      <c r="E555" s="675"/>
      <c r="F555" s="675"/>
      <c r="S555" s="644"/>
    </row>
    <row r="556" ht="25.5" customHeight="1">
      <c r="A556" s="635"/>
      <c r="B556" s="1323"/>
      <c r="C556" s="635"/>
      <c r="D556" s="1317"/>
      <c r="E556" s="675"/>
      <c r="F556" s="675"/>
      <c r="S556" s="644"/>
    </row>
    <row r="557" ht="25.5" customHeight="1">
      <c r="A557" s="635"/>
      <c r="B557" s="1323"/>
      <c r="C557" s="635"/>
      <c r="D557" s="1317"/>
      <c r="E557" s="675"/>
      <c r="F557" s="675"/>
      <c r="S557" s="644"/>
    </row>
    <row r="558" ht="25.5" customHeight="1">
      <c r="A558" s="635"/>
      <c r="B558" s="1323"/>
      <c r="C558" s="635"/>
      <c r="D558" s="1317"/>
      <c r="E558" s="675"/>
      <c r="F558" s="675"/>
      <c r="S558" s="644"/>
    </row>
    <row r="559" ht="25.5" customHeight="1">
      <c r="A559" s="635"/>
      <c r="B559" s="1323"/>
      <c r="C559" s="635"/>
      <c r="D559" s="1317"/>
      <c r="E559" s="675"/>
      <c r="F559" s="675"/>
      <c r="S559" s="644"/>
    </row>
    <row r="560" ht="25.5" customHeight="1">
      <c r="A560" s="635"/>
      <c r="B560" s="1323"/>
      <c r="C560" s="635"/>
      <c r="D560" s="1317"/>
      <c r="E560" s="675"/>
      <c r="F560" s="675"/>
      <c r="S560" s="644"/>
    </row>
    <row r="561" ht="25.5" customHeight="1">
      <c r="A561" s="635"/>
      <c r="B561" s="1323"/>
      <c r="C561" s="635"/>
      <c r="D561" s="1317"/>
      <c r="E561" s="675"/>
      <c r="F561" s="675"/>
      <c r="S561" s="644"/>
    </row>
    <row r="562" ht="25.5" customHeight="1">
      <c r="A562" s="635"/>
      <c r="B562" s="1323"/>
      <c r="C562" s="635"/>
      <c r="D562" s="1317"/>
      <c r="E562" s="675"/>
      <c r="F562" s="675"/>
      <c r="S562" s="644"/>
    </row>
    <row r="563" ht="25.5" customHeight="1">
      <c r="A563" s="635"/>
      <c r="B563" s="1323"/>
      <c r="C563" s="635"/>
      <c r="D563" s="1317"/>
      <c r="E563" s="675"/>
      <c r="F563" s="675"/>
      <c r="S563" s="644"/>
    </row>
    <row r="564" ht="25.5" customHeight="1">
      <c r="A564" s="635"/>
      <c r="B564" s="1323"/>
      <c r="C564" s="635"/>
      <c r="D564" s="1317"/>
      <c r="E564" s="675"/>
      <c r="F564" s="675"/>
      <c r="S564" s="644"/>
    </row>
    <row r="565" ht="25.5" customHeight="1">
      <c r="A565" s="635"/>
      <c r="B565" s="1323"/>
      <c r="C565" s="635"/>
      <c r="D565" s="1317"/>
      <c r="E565" s="675"/>
      <c r="F565" s="675"/>
      <c r="S565" s="644"/>
    </row>
    <row r="566" ht="25.5" customHeight="1">
      <c r="A566" s="635"/>
      <c r="B566" s="1323"/>
      <c r="C566" s="635"/>
      <c r="D566" s="1317"/>
      <c r="E566" s="675"/>
      <c r="F566" s="675"/>
      <c r="S566" s="644"/>
    </row>
    <row r="567" ht="25.5" customHeight="1">
      <c r="A567" s="635"/>
      <c r="B567" s="1323"/>
      <c r="C567" s="635"/>
      <c r="D567" s="1317"/>
      <c r="E567" s="675"/>
      <c r="F567" s="675"/>
      <c r="S567" s="644"/>
    </row>
    <row r="568" ht="25.5" customHeight="1">
      <c r="A568" s="635"/>
      <c r="B568" s="1323"/>
      <c r="C568" s="635"/>
      <c r="D568" s="1317"/>
      <c r="E568" s="675"/>
      <c r="F568" s="675"/>
      <c r="S568" s="644"/>
    </row>
    <row r="569" ht="25.5" customHeight="1">
      <c r="A569" s="635"/>
      <c r="B569" s="1323"/>
      <c r="C569" s="635"/>
      <c r="D569" s="1317"/>
      <c r="E569" s="675"/>
      <c r="F569" s="675"/>
      <c r="S569" s="644"/>
    </row>
    <row r="570" ht="25.5" customHeight="1">
      <c r="A570" s="635"/>
      <c r="B570" s="1323"/>
      <c r="C570" s="635"/>
      <c r="D570" s="1317"/>
      <c r="E570" s="675"/>
      <c r="F570" s="675"/>
      <c r="S570" s="644"/>
    </row>
    <row r="571" ht="25.5" customHeight="1">
      <c r="A571" s="635"/>
      <c r="B571" s="1323"/>
      <c r="C571" s="635"/>
      <c r="D571" s="1317"/>
      <c r="E571" s="675"/>
      <c r="F571" s="675"/>
      <c r="S571" s="644"/>
    </row>
    <row r="572" ht="25.5" customHeight="1">
      <c r="A572" s="635"/>
      <c r="B572" s="1323"/>
      <c r="C572" s="635"/>
      <c r="D572" s="1317"/>
      <c r="E572" s="675"/>
      <c r="F572" s="675"/>
      <c r="S572" s="644"/>
    </row>
    <row r="573" ht="25.5" customHeight="1">
      <c r="A573" s="635"/>
      <c r="B573" s="1323"/>
      <c r="C573" s="635"/>
      <c r="D573" s="1317"/>
      <c r="E573" s="675"/>
      <c r="F573" s="675"/>
      <c r="S573" s="644"/>
    </row>
    <row r="574" ht="25.5" customHeight="1">
      <c r="A574" s="635"/>
      <c r="B574" s="1323"/>
      <c r="C574" s="635"/>
      <c r="D574" s="1317"/>
      <c r="E574" s="675"/>
      <c r="F574" s="675"/>
      <c r="S574" s="644"/>
    </row>
    <row r="575" ht="25.5" customHeight="1">
      <c r="A575" s="635"/>
      <c r="B575" s="1323"/>
      <c r="C575" s="635"/>
      <c r="D575" s="1317"/>
      <c r="E575" s="675"/>
      <c r="F575" s="675"/>
      <c r="S575" s="644"/>
    </row>
    <row r="576" ht="25.5" customHeight="1">
      <c r="A576" s="635"/>
      <c r="B576" s="1323"/>
      <c r="C576" s="635"/>
      <c r="D576" s="1317"/>
      <c r="E576" s="675"/>
      <c r="F576" s="675"/>
      <c r="S576" s="644"/>
    </row>
    <row r="577" ht="25.5" customHeight="1">
      <c r="A577" s="635"/>
      <c r="B577" s="1323"/>
      <c r="C577" s="635"/>
      <c r="D577" s="1317"/>
      <c r="E577" s="675"/>
      <c r="F577" s="675"/>
      <c r="S577" s="644"/>
    </row>
    <row r="578" ht="25.5" customHeight="1">
      <c r="A578" s="635"/>
      <c r="B578" s="1323"/>
      <c r="C578" s="635"/>
      <c r="D578" s="1317"/>
      <c r="E578" s="675"/>
      <c r="F578" s="675"/>
      <c r="S578" s="644"/>
    </row>
    <row r="579" ht="25.5" customHeight="1">
      <c r="A579" s="635"/>
      <c r="B579" s="1323"/>
      <c r="C579" s="635"/>
      <c r="D579" s="1317"/>
      <c r="E579" s="675"/>
      <c r="F579" s="675"/>
      <c r="S579" s="644"/>
    </row>
    <row r="580" ht="25.5" customHeight="1">
      <c r="A580" s="635"/>
      <c r="B580" s="1323"/>
      <c r="C580" s="635"/>
      <c r="D580" s="1317"/>
      <c r="E580" s="675"/>
      <c r="F580" s="675"/>
      <c r="S580" s="644"/>
    </row>
    <row r="581" ht="25.5" customHeight="1">
      <c r="A581" s="635"/>
      <c r="B581" s="1323"/>
      <c r="C581" s="635"/>
      <c r="D581" s="1317"/>
      <c r="E581" s="675"/>
      <c r="F581" s="675"/>
      <c r="S581" s="644"/>
    </row>
    <row r="582" ht="25.5" customHeight="1">
      <c r="A582" s="635"/>
      <c r="B582" s="1323"/>
      <c r="C582" s="635"/>
      <c r="D582" s="1317"/>
      <c r="E582" s="675"/>
      <c r="F582" s="675"/>
      <c r="S582" s="644"/>
    </row>
    <row r="583" ht="25.5" customHeight="1">
      <c r="A583" s="635"/>
      <c r="B583" s="1323"/>
      <c r="C583" s="635"/>
      <c r="D583" s="1317"/>
      <c r="E583" s="675"/>
      <c r="F583" s="675"/>
      <c r="S583" s="644"/>
    </row>
    <row r="584" ht="25.5" customHeight="1">
      <c r="A584" s="635"/>
      <c r="B584" s="1323"/>
      <c r="C584" s="635"/>
      <c r="D584" s="1317"/>
      <c r="E584" s="675"/>
      <c r="F584" s="675"/>
      <c r="S584" s="644"/>
    </row>
    <row r="585" ht="25.5" customHeight="1">
      <c r="A585" s="635"/>
      <c r="B585" s="1323"/>
      <c r="C585" s="635"/>
      <c r="D585" s="1317"/>
      <c r="E585" s="675"/>
      <c r="F585" s="675"/>
      <c r="S585" s="644"/>
    </row>
    <row r="586" ht="25.5" customHeight="1">
      <c r="A586" s="635"/>
      <c r="B586" s="1323"/>
      <c r="C586" s="635"/>
      <c r="D586" s="1317"/>
      <c r="E586" s="675"/>
      <c r="F586" s="675"/>
      <c r="S586" s="644"/>
    </row>
    <row r="587" ht="25.5" customHeight="1">
      <c r="A587" s="635"/>
      <c r="B587" s="1323"/>
      <c r="C587" s="635"/>
      <c r="D587" s="1317"/>
      <c r="E587" s="675"/>
      <c r="F587" s="675"/>
      <c r="S587" s="644"/>
    </row>
    <row r="588" ht="25.5" customHeight="1">
      <c r="A588" s="635"/>
      <c r="B588" s="1323"/>
      <c r="C588" s="635"/>
      <c r="D588" s="1317"/>
      <c r="E588" s="675"/>
      <c r="F588" s="675"/>
      <c r="S588" s="644"/>
    </row>
    <row r="589" ht="25.5" customHeight="1">
      <c r="A589" s="635"/>
      <c r="B589" s="1323"/>
      <c r="C589" s="635"/>
      <c r="D589" s="1317"/>
      <c r="E589" s="675"/>
      <c r="F589" s="675"/>
      <c r="S589" s="644"/>
    </row>
    <row r="590" ht="25.5" customHeight="1">
      <c r="A590" s="635"/>
      <c r="B590" s="1323"/>
      <c r="C590" s="635"/>
      <c r="D590" s="1317"/>
      <c r="E590" s="675"/>
      <c r="F590" s="675"/>
      <c r="S590" s="644"/>
    </row>
    <row r="591" ht="25.5" customHeight="1">
      <c r="A591" s="635"/>
      <c r="B591" s="1323"/>
      <c r="C591" s="635"/>
      <c r="D591" s="1317"/>
      <c r="E591" s="675"/>
      <c r="F591" s="675"/>
      <c r="S591" s="644"/>
    </row>
    <row r="592" ht="25.5" customHeight="1">
      <c r="A592" s="635"/>
      <c r="B592" s="1323"/>
      <c r="C592" s="635"/>
      <c r="D592" s="1317"/>
      <c r="E592" s="675"/>
      <c r="F592" s="675"/>
      <c r="S592" s="644"/>
    </row>
    <row r="593" ht="25.5" customHeight="1">
      <c r="A593" s="635"/>
      <c r="B593" s="1323"/>
      <c r="C593" s="635"/>
      <c r="D593" s="1317"/>
      <c r="E593" s="675"/>
      <c r="F593" s="675"/>
      <c r="S593" s="644"/>
    </row>
    <row r="594" ht="25.5" customHeight="1">
      <c r="A594" s="635"/>
      <c r="B594" s="1323"/>
      <c r="C594" s="635"/>
      <c r="D594" s="1317"/>
      <c r="E594" s="675"/>
      <c r="F594" s="675"/>
      <c r="S594" s="644"/>
    </row>
    <row r="595" ht="25.5" customHeight="1">
      <c r="A595" s="635"/>
      <c r="B595" s="1323"/>
      <c r="C595" s="635"/>
      <c r="D595" s="1317"/>
      <c r="E595" s="675"/>
      <c r="F595" s="675"/>
      <c r="S595" s="644"/>
    </row>
    <row r="596" ht="25.5" customHeight="1">
      <c r="A596" s="635"/>
      <c r="B596" s="1323"/>
      <c r="C596" s="635"/>
      <c r="D596" s="1317"/>
      <c r="E596" s="675"/>
      <c r="F596" s="675"/>
      <c r="S596" s="644"/>
    </row>
    <row r="597" ht="25.5" customHeight="1">
      <c r="A597" s="635"/>
      <c r="B597" s="1323"/>
      <c r="C597" s="635"/>
      <c r="D597" s="1317"/>
      <c r="E597" s="675"/>
      <c r="F597" s="675"/>
      <c r="S597" s="644"/>
    </row>
    <row r="598" ht="25.5" customHeight="1">
      <c r="A598" s="635"/>
      <c r="B598" s="1323"/>
      <c r="C598" s="635"/>
      <c r="D598" s="1317"/>
      <c r="E598" s="675"/>
      <c r="F598" s="675"/>
      <c r="S598" s="644"/>
    </row>
    <row r="599" ht="25.5" customHeight="1">
      <c r="A599" s="635"/>
      <c r="B599" s="1323"/>
      <c r="C599" s="635"/>
      <c r="D599" s="1317"/>
      <c r="E599" s="675"/>
      <c r="F599" s="675"/>
      <c r="S599" s="644"/>
    </row>
    <row r="600" ht="25.5" customHeight="1">
      <c r="A600" s="635"/>
      <c r="B600" s="1323"/>
      <c r="C600" s="635"/>
      <c r="D600" s="1317"/>
      <c r="E600" s="675"/>
      <c r="F600" s="675"/>
      <c r="S600" s="644"/>
    </row>
    <row r="601" ht="25.5" customHeight="1">
      <c r="A601" s="635"/>
      <c r="B601" s="1323"/>
      <c r="C601" s="635"/>
      <c r="D601" s="1317"/>
      <c r="E601" s="675"/>
      <c r="F601" s="675"/>
      <c r="S601" s="644"/>
    </row>
    <row r="602" ht="25.5" customHeight="1">
      <c r="A602" s="635"/>
      <c r="B602" s="1323"/>
      <c r="C602" s="635"/>
      <c r="D602" s="1317"/>
      <c r="E602" s="675"/>
      <c r="F602" s="675"/>
      <c r="S602" s="644"/>
    </row>
    <row r="603" ht="25.5" customHeight="1">
      <c r="A603" s="635"/>
      <c r="B603" s="1323"/>
      <c r="C603" s="635"/>
      <c r="D603" s="1317"/>
      <c r="E603" s="675"/>
      <c r="F603" s="675"/>
      <c r="S603" s="644"/>
    </row>
    <row r="604" ht="25.5" customHeight="1">
      <c r="A604" s="635"/>
      <c r="B604" s="1323"/>
      <c r="C604" s="635"/>
      <c r="D604" s="1317"/>
      <c r="E604" s="675"/>
      <c r="F604" s="675"/>
      <c r="S604" s="644"/>
    </row>
    <row r="605" ht="25.5" customHeight="1">
      <c r="A605" s="635"/>
      <c r="B605" s="1323"/>
      <c r="C605" s="635"/>
      <c r="D605" s="1317"/>
      <c r="E605" s="675"/>
      <c r="F605" s="675"/>
      <c r="S605" s="644"/>
    </row>
    <row r="606" ht="25.5" customHeight="1">
      <c r="A606" s="635"/>
      <c r="B606" s="1323"/>
      <c r="C606" s="635"/>
      <c r="D606" s="1317"/>
      <c r="E606" s="675"/>
      <c r="F606" s="675"/>
      <c r="S606" s="644"/>
    </row>
    <row r="607" ht="25.5" customHeight="1">
      <c r="A607" s="635"/>
      <c r="B607" s="1323"/>
      <c r="C607" s="635"/>
      <c r="D607" s="1317"/>
      <c r="E607" s="675"/>
      <c r="F607" s="675"/>
      <c r="S607" s="644"/>
    </row>
    <row r="608" ht="25.5" customHeight="1">
      <c r="A608" s="635"/>
      <c r="B608" s="1323"/>
      <c r="C608" s="635"/>
      <c r="D608" s="1317"/>
      <c r="E608" s="675"/>
      <c r="F608" s="675"/>
      <c r="S608" s="644"/>
    </row>
    <row r="609" ht="25.5" customHeight="1">
      <c r="A609" s="635"/>
      <c r="B609" s="1323"/>
      <c r="C609" s="635"/>
      <c r="D609" s="1317"/>
      <c r="E609" s="675"/>
      <c r="F609" s="675"/>
      <c r="S609" s="644"/>
    </row>
    <row r="610" ht="25.5" customHeight="1">
      <c r="A610" s="635"/>
      <c r="B610" s="1323"/>
      <c r="C610" s="635"/>
      <c r="D610" s="1317"/>
      <c r="E610" s="675"/>
      <c r="F610" s="675"/>
      <c r="S610" s="644"/>
    </row>
    <row r="611" ht="25.5" customHeight="1">
      <c r="A611" s="635"/>
      <c r="B611" s="1323"/>
      <c r="C611" s="635"/>
      <c r="D611" s="1317"/>
      <c r="E611" s="675"/>
      <c r="F611" s="675"/>
      <c r="S611" s="644"/>
    </row>
    <row r="612" ht="25.5" customHeight="1">
      <c r="A612" s="635"/>
      <c r="B612" s="1323"/>
      <c r="C612" s="635"/>
      <c r="D612" s="1317"/>
      <c r="E612" s="675"/>
      <c r="F612" s="675"/>
      <c r="S612" s="644"/>
    </row>
    <row r="613" ht="25.5" customHeight="1">
      <c r="A613" s="635"/>
      <c r="B613" s="1323"/>
      <c r="C613" s="635"/>
      <c r="D613" s="1317"/>
      <c r="E613" s="675"/>
      <c r="F613" s="675"/>
      <c r="S613" s="644"/>
    </row>
    <row r="614" ht="25.5" customHeight="1">
      <c r="A614" s="635"/>
      <c r="B614" s="1323"/>
      <c r="C614" s="635"/>
      <c r="D614" s="1317"/>
      <c r="E614" s="675"/>
      <c r="F614" s="675"/>
      <c r="S614" s="644"/>
    </row>
    <row r="615" ht="25.5" customHeight="1">
      <c r="A615" s="635"/>
      <c r="B615" s="1323"/>
      <c r="C615" s="635"/>
      <c r="D615" s="1317"/>
      <c r="E615" s="675"/>
      <c r="F615" s="675"/>
      <c r="S615" s="644"/>
    </row>
    <row r="616" ht="25.5" customHeight="1">
      <c r="A616" s="635"/>
      <c r="B616" s="1323"/>
      <c r="C616" s="635"/>
      <c r="D616" s="1317"/>
      <c r="E616" s="675"/>
      <c r="F616" s="675"/>
      <c r="S616" s="644"/>
    </row>
    <row r="617" ht="25.5" customHeight="1">
      <c r="A617" s="635"/>
      <c r="B617" s="1323"/>
      <c r="C617" s="635"/>
      <c r="D617" s="1317"/>
      <c r="E617" s="675"/>
      <c r="F617" s="675"/>
      <c r="S617" s="644"/>
    </row>
    <row r="618" ht="25.5" customHeight="1">
      <c r="A618" s="635"/>
      <c r="B618" s="1323"/>
      <c r="C618" s="635"/>
      <c r="D618" s="1317"/>
      <c r="E618" s="675"/>
      <c r="F618" s="675"/>
      <c r="S618" s="644"/>
    </row>
    <row r="619" ht="25.5" customHeight="1">
      <c r="A619" s="635"/>
      <c r="B619" s="1323"/>
      <c r="C619" s="635"/>
      <c r="D619" s="1317"/>
      <c r="E619" s="675"/>
      <c r="F619" s="675"/>
      <c r="S619" s="644"/>
    </row>
    <row r="620" ht="25.5" customHeight="1">
      <c r="A620" s="635"/>
      <c r="B620" s="1323"/>
      <c r="C620" s="635"/>
      <c r="D620" s="1317"/>
      <c r="E620" s="675"/>
      <c r="F620" s="675"/>
      <c r="S620" s="644"/>
    </row>
    <row r="621" ht="25.5" customHeight="1">
      <c r="A621" s="635"/>
      <c r="B621" s="1323"/>
      <c r="C621" s="635"/>
      <c r="D621" s="1317"/>
      <c r="E621" s="675"/>
      <c r="F621" s="675"/>
      <c r="S621" s="644"/>
    </row>
    <row r="622" ht="25.5" customHeight="1">
      <c r="A622" s="635"/>
      <c r="B622" s="1323"/>
      <c r="C622" s="635"/>
      <c r="D622" s="1317"/>
      <c r="E622" s="675"/>
      <c r="F622" s="675"/>
      <c r="S622" s="644"/>
    </row>
    <row r="623" ht="25.5" customHeight="1">
      <c r="A623" s="635"/>
      <c r="B623" s="1323"/>
      <c r="C623" s="635"/>
      <c r="D623" s="1317"/>
      <c r="E623" s="675"/>
      <c r="F623" s="675"/>
      <c r="S623" s="644"/>
    </row>
    <row r="624" ht="25.5" customHeight="1">
      <c r="A624" s="635"/>
      <c r="B624" s="1323"/>
      <c r="C624" s="635"/>
      <c r="D624" s="1317"/>
      <c r="E624" s="675"/>
      <c r="F624" s="675"/>
      <c r="S624" s="644"/>
    </row>
    <row r="625" ht="25.5" customHeight="1">
      <c r="A625" s="635"/>
      <c r="B625" s="1323"/>
      <c r="C625" s="635"/>
      <c r="D625" s="1317"/>
      <c r="E625" s="675"/>
      <c r="F625" s="675"/>
      <c r="S625" s="644"/>
    </row>
    <row r="626" ht="25.5" customHeight="1">
      <c r="A626" s="635"/>
      <c r="B626" s="1323"/>
      <c r="C626" s="635"/>
      <c r="D626" s="1317"/>
      <c r="E626" s="675"/>
      <c r="F626" s="675"/>
      <c r="S626" s="644"/>
    </row>
    <row r="627" ht="25.5" customHeight="1">
      <c r="A627" s="635"/>
      <c r="B627" s="1323"/>
      <c r="C627" s="635"/>
      <c r="D627" s="1317"/>
      <c r="E627" s="675"/>
      <c r="F627" s="675"/>
      <c r="S627" s="644"/>
    </row>
    <row r="628" ht="25.5" customHeight="1">
      <c r="A628" s="635"/>
      <c r="B628" s="1323"/>
      <c r="C628" s="635"/>
      <c r="D628" s="1317"/>
      <c r="E628" s="675"/>
      <c r="F628" s="675"/>
      <c r="S628" s="644"/>
    </row>
    <row r="629" ht="25.5" customHeight="1">
      <c r="A629" s="635"/>
      <c r="B629" s="1323"/>
      <c r="C629" s="635"/>
      <c r="D629" s="1317"/>
      <c r="E629" s="675"/>
      <c r="F629" s="675"/>
      <c r="S629" s="644"/>
    </row>
    <row r="630" ht="25.5" customHeight="1">
      <c r="A630" s="635"/>
      <c r="B630" s="1323"/>
      <c r="C630" s="635"/>
      <c r="D630" s="1317"/>
      <c r="E630" s="675"/>
      <c r="F630" s="675"/>
      <c r="S630" s="644"/>
    </row>
    <row r="631" ht="25.5" customHeight="1">
      <c r="A631" s="635"/>
      <c r="B631" s="1323"/>
      <c r="C631" s="635"/>
      <c r="D631" s="1317"/>
      <c r="E631" s="675"/>
      <c r="F631" s="675"/>
      <c r="S631" s="644"/>
    </row>
    <row r="632" ht="25.5" customHeight="1">
      <c r="A632" s="635"/>
      <c r="B632" s="1323"/>
      <c r="C632" s="635"/>
      <c r="D632" s="1317"/>
      <c r="E632" s="675"/>
      <c r="F632" s="675"/>
      <c r="S632" s="644"/>
    </row>
    <row r="633" ht="25.5" customHeight="1">
      <c r="A633" s="635"/>
      <c r="B633" s="1323"/>
      <c r="C633" s="635"/>
      <c r="D633" s="1317"/>
      <c r="E633" s="675"/>
      <c r="F633" s="675"/>
      <c r="S633" s="644"/>
    </row>
    <row r="634" ht="25.5" customHeight="1">
      <c r="A634" s="635"/>
      <c r="B634" s="1323"/>
      <c r="C634" s="635"/>
      <c r="D634" s="1317"/>
      <c r="E634" s="675"/>
      <c r="F634" s="675"/>
      <c r="S634" s="644"/>
    </row>
    <row r="635" ht="25.5" customHeight="1">
      <c r="A635" s="635"/>
      <c r="B635" s="1323"/>
      <c r="C635" s="635"/>
      <c r="D635" s="1317"/>
      <c r="E635" s="675"/>
      <c r="F635" s="675"/>
      <c r="S635" s="644"/>
    </row>
    <row r="636" ht="25.5" customHeight="1">
      <c r="A636" s="635"/>
      <c r="B636" s="1323"/>
      <c r="C636" s="635"/>
      <c r="D636" s="1317"/>
      <c r="E636" s="675"/>
      <c r="F636" s="675"/>
      <c r="S636" s="644"/>
    </row>
    <row r="637" ht="25.5" customHeight="1">
      <c r="A637" s="635"/>
      <c r="B637" s="1323"/>
      <c r="C637" s="635"/>
      <c r="D637" s="1317"/>
      <c r="E637" s="675"/>
      <c r="F637" s="675"/>
      <c r="S637" s="644"/>
    </row>
    <row r="638" ht="25.5" customHeight="1">
      <c r="A638" s="635"/>
      <c r="B638" s="1323"/>
      <c r="C638" s="635"/>
      <c r="D638" s="1317"/>
      <c r="E638" s="675"/>
      <c r="F638" s="675"/>
      <c r="S638" s="644"/>
    </row>
    <row r="639" ht="25.5" customHeight="1">
      <c r="A639" s="635"/>
      <c r="B639" s="1323"/>
      <c r="C639" s="635"/>
      <c r="D639" s="1317"/>
      <c r="E639" s="675"/>
      <c r="F639" s="675"/>
      <c r="S639" s="644"/>
    </row>
    <row r="640" ht="25.5" customHeight="1">
      <c r="A640" s="635"/>
      <c r="B640" s="1323"/>
      <c r="C640" s="635"/>
      <c r="D640" s="1317"/>
      <c r="E640" s="675"/>
      <c r="F640" s="675"/>
      <c r="S640" s="644"/>
    </row>
    <row r="641" ht="25.5" customHeight="1">
      <c r="A641" s="635"/>
      <c r="B641" s="1323"/>
      <c r="C641" s="635"/>
      <c r="D641" s="1317"/>
      <c r="E641" s="675"/>
      <c r="F641" s="675"/>
      <c r="S641" s="644"/>
    </row>
    <row r="642" ht="25.5" customHeight="1">
      <c r="A642" s="635"/>
      <c r="B642" s="1323"/>
      <c r="C642" s="635"/>
      <c r="D642" s="1317"/>
      <c r="E642" s="675"/>
      <c r="F642" s="675"/>
      <c r="S642" s="644"/>
    </row>
    <row r="643" ht="25.5" customHeight="1">
      <c r="A643" s="635"/>
      <c r="B643" s="1323"/>
      <c r="C643" s="635"/>
      <c r="D643" s="1317"/>
      <c r="E643" s="675"/>
      <c r="F643" s="675"/>
      <c r="S643" s="644"/>
    </row>
    <row r="644" ht="25.5" customHeight="1">
      <c r="A644" s="635"/>
      <c r="B644" s="1323"/>
      <c r="C644" s="635"/>
      <c r="D644" s="1317"/>
      <c r="E644" s="675"/>
      <c r="F644" s="675"/>
      <c r="S644" s="644"/>
    </row>
    <row r="645" ht="25.5" customHeight="1">
      <c r="A645" s="635"/>
      <c r="B645" s="1323"/>
      <c r="C645" s="635"/>
      <c r="D645" s="1317"/>
      <c r="E645" s="675"/>
      <c r="F645" s="675"/>
      <c r="S645" s="644"/>
    </row>
    <row r="646" ht="25.5" customHeight="1">
      <c r="A646" s="635"/>
      <c r="B646" s="1323"/>
      <c r="C646" s="635"/>
      <c r="D646" s="1317"/>
      <c r="E646" s="675"/>
      <c r="F646" s="675"/>
      <c r="S646" s="644"/>
    </row>
    <row r="647" ht="25.5" customHeight="1">
      <c r="A647" s="635"/>
      <c r="B647" s="1323"/>
      <c r="C647" s="635"/>
      <c r="D647" s="1317"/>
      <c r="E647" s="675"/>
      <c r="F647" s="675"/>
      <c r="S647" s="644"/>
    </row>
    <row r="648" ht="25.5" customHeight="1">
      <c r="A648" s="635"/>
      <c r="B648" s="1323"/>
      <c r="C648" s="635"/>
      <c r="D648" s="1317"/>
      <c r="E648" s="675"/>
      <c r="F648" s="675"/>
      <c r="S648" s="644"/>
    </row>
    <row r="649" ht="25.5" customHeight="1">
      <c r="A649" s="635"/>
      <c r="B649" s="1323"/>
      <c r="C649" s="635"/>
      <c r="D649" s="1317"/>
      <c r="E649" s="675"/>
      <c r="F649" s="675"/>
      <c r="S649" s="644"/>
    </row>
    <row r="650" ht="25.5" customHeight="1">
      <c r="A650" s="635"/>
      <c r="B650" s="1323"/>
      <c r="C650" s="635"/>
      <c r="D650" s="1317"/>
      <c r="E650" s="675"/>
      <c r="F650" s="675"/>
      <c r="S650" s="644"/>
    </row>
    <row r="651" ht="25.5" customHeight="1">
      <c r="A651" s="635"/>
      <c r="B651" s="1323"/>
      <c r="C651" s="635"/>
      <c r="D651" s="1317"/>
      <c r="E651" s="675"/>
      <c r="F651" s="675"/>
      <c r="S651" s="644"/>
    </row>
    <row r="652" ht="25.5" customHeight="1">
      <c r="A652" s="635"/>
      <c r="B652" s="1323"/>
      <c r="C652" s="635"/>
      <c r="D652" s="1317"/>
      <c r="E652" s="675"/>
      <c r="F652" s="675"/>
      <c r="S652" s="644"/>
    </row>
    <row r="653" ht="25.5" customHeight="1">
      <c r="A653" s="635"/>
      <c r="B653" s="1323"/>
      <c r="C653" s="635"/>
      <c r="D653" s="1317"/>
      <c r="E653" s="675"/>
      <c r="F653" s="675"/>
      <c r="S653" s="644"/>
    </row>
    <row r="654" ht="25.5" customHeight="1">
      <c r="A654" s="635"/>
      <c r="B654" s="1323"/>
      <c r="C654" s="635"/>
      <c r="D654" s="1317"/>
      <c r="E654" s="675"/>
      <c r="F654" s="675"/>
      <c r="S654" s="644"/>
    </row>
    <row r="655" ht="25.5" customHeight="1">
      <c r="A655" s="635"/>
      <c r="B655" s="1323"/>
      <c r="C655" s="635"/>
      <c r="D655" s="1317"/>
      <c r="E655" s="675"/>
      <c r="F655" s="675"/>
      <c r="S655" s="644"/>
    </row>
    <row r="656" ht="25.5" customHeight="1">
      <c r="A656" s="635"/>
      <c r="B656" s="1323"/>
      <c r="C656" s="635"/>
      <c r="D656" s="1317"/>
      <c r="E656" s="675"/>
      <c r="F656" s="675"/>
      <c r="S656" s="644"/>
    </row>
    <row r="657" ht="25.5" customHeight="1">
      <c r="A657" s="635"/>
      <c r="B657" s="1323"/>
      <c r="C657" s="635"/>
      <c r="D657" s="1317"/>
      <c r="E657" s="675"/>
      <c r="F657" s="675"/>
      <c r="S657" s="644"/>
    </row>
    <row r="658" ht="25.5" customHeight="1">
      <c r="A658" s="635"/>
      <c r="B658" s="1323"/>
      <c r="C658" s="635"/>
      <c r="D658" s="1317"/>
      <c r="E658" s="675"/>
      <c r="F658" s="675"/>
      <c r="S658" s="644"/>
    </row>
    <row r="659" ht="25.5" customHeight="1">
      <c r="A659" s="635"/>
      <c r="B659" s="1323"/>
      <c r="C659" s="635"/>
      <c r="D659" s="1317"/>
      <c r="E659" s="675"/>
      <c r="F659" s="675"/>
      <c r="S659" s="644"/>
    </row>
    <row r="660" ht="25.5" customHeight="1">
      <c r="A660" s="635"/>
      <c r="B660" s="1323"/>
      <c r="C660" s="635"/>
      <c r="D660" s="1317"/>
      <c r="E660" s="675"/>
      <c r="F660" s="675"/>
      <c r="S660" s="644"/>
    </row>
    <row r="661" ht="25.5" customHeight="1">
      <c r="A661" s="635"/>
      <c r="B661" s="1323"/>
      <c r="C661" s="635"/>
      <c r="D661" s="1317"/>
      <c r="E661" s="675"/>
      <c r="F661" s="675"/>
      <c r="S661" s="644"/>
    </row>
    <row r="662" ht="25.5" customHeight="1">
      <c r="A662" s="635"/>
      <c r="B662" s="1323"/>
      <c r="C662" s="635"/>
      <c r="D662" s="1317"/>
      <c r="E662" s="675"/>
      <c r="F662" s="675"/>
      <c r="S662" s="644"/>
    </row>
    <row r="663" ht="25.5" customHeight="1">
      <c r="A663" s="635"/>
      <c r="B663" s="1323"/>
      <c r="C663" s="635"/>
      <c r="D663" s="1317"/>
      <c r="E663" s="675"/>
      <c r="F663" s="675"/>
      <c r="S663" s="644"/>
    </row>
    <row r="664" ht="25.5" customHeight="1">
      <c r="A664" s="635"/>
      <c r="B664" s="1323"/>
      <c r="C664" s="635"/>
      <c r="D664" s="1317"/>
      <c r="E664" s="675"/>
      <c r="F664" s="675"/>
      <c r="S664" s="644"/>
    </row>
    <row r="665" ht="25.5" customHeight="1">
      <c r="A665" s="635"/>
      <c r="B665" s="1323"/>
      <c r="C665" s="635"/>
      <c r="D665" s="1317"/>
      <c r="E665" s="675"/>
      <c r="F665" s="675"/>
      <c r="S665" s="644"/>
    </row>
    <row r="666" ht="25.5" customHeight="1">
      <c r="A666" s="635"/>
      <c r="B666" s="1323"/>
      <c r="C666" s="635"/>
      <c r="D666" s="1317"/>
      <c r="E666" s="675"/>
      <c r="F666" s="675"/>
      <c r="S666" s="644"/>
    </row>
    <row r="667" ht="25.5" customHeight="1">
      <c r="A667" s="635"/>
      <c r="B667" s="1323"/>
      <c r="C667" s="635"/>
      <c r="D667" s="1317"/>
      <c r="E667" s="675"/>
      <c r="F667" s="675"/>
      <c r="S667" s="644"/>
    </row>
    <row r="668" ht="25.5" customHeight="1">
      <c r="A668" s="635"/>
      <c r="B668" s="1323"/>
      <c r="C668" s="635"/>
      <c r="D668" s="1317"/>
      <c r="E668" s="675"/>
      <c r="F668" s="675"/>
      <c r="S668" s="644"/>
    </row>
    <row r="669" ht="25.5" customHeight="1">
      <c r="A669" s="635"/>
      <c r="B669" s="1323"/>
      <c r="C669" s="635"/>
      <c r="D669" s="1317"/>
      <c r="E669" s="675"/>
      <c r="F669" s="675"/>
      <c r="S669" s="644"/>
    </row>
    <row r="670" ht="25.5" customHeight="1">
      <c r="A670" s="635"/>
      <c r="B670" s="1323"/>
      <c r="C670" s="635"/>
      <c r="D670" s="1317"/>
      <c r="E670" s="675"/>
      <c r="F670" s="675"/>
      <c r="S670" s="644"/>
    </row>
    <row r="671" ht="25.5" customHeight="1">
      <c r="A671" s="635"/>
      <c r="B671" s="1323"/>
      <c r="C671" s="635"/>
      <c r="D671" s="1317"/>
      <c r="E671" s="675"/>
      <c r="F671" s="675"/>
      <c r="S671" s="644"/>
    </row>
    <row r="672" ht="25.5" customHeight="1">
      <c r="A672" s="635"/>
      <c r="B672" s="1323"/>
      <c r="C672" s="635"/>
      <c r="D672" s="1317"/>
      <c r="E672" s="675"/>
      <c r="F672" s="675"/>
      <c r="S672" s="644"/>
    </row>
    <row r="673" ht="25.5" customHeight="1">
      <c r="A673" s="635"/>
      <c r="B673" s="1323"/>
      <c r="C673" s="635"/>
      <c r="D673" s="1317"/>
      <c r="E673" s="675"/>
      <c r="F673" s="675"/>
      <c r="S673" s="644"/>
    </row>
    <row r="674" ht="25.5" customHeight="1">
      <c r="A674" s="635"/>
      <c r="B674" s="1323"/>
      <c r="C674" s="635"/>
      <c r="D674" s="1317"/>
      <c r="E674" s="675"/>
      <c r="F674" s="675"/>
      <c r="S674" s="644"/>
    </row>
    <row r="675" ht="25.5" customHeight="1">
      <c r="A675" s="635"/>
      <c r="B675" s="1323"/>
      <c r="C675" s="635"/>
      <c r="D675" s="1317"/>
      <c r="E675" s="675"/>
      <c r="F675" s="675"/>
      <c r="S675" s="644"/>
    </row>
    <row r="676" ht="25.5" customHeight="1">
      <c r="A676" s="635"/>
      <c r="B676" s="1323"/>
      <c r="C676" s="635"/>
      <c r="D676" s="1317"/>
      <c r="E676" s="675"/>
      <c r="F676" s="675"/>
      <c r="S676" s="644"/>
    </row>
    <row r="677" ht="25.5" customHeight="1">
      <c r="A677" s="635"/>
      <c r="B677" s="1323"/>
      <c r="C677" s="635"/>
      <c r="D677" s="1317"/>
      <c r="E677" s="675"/>
      <c r="F677" s="675"/>
      <c r="S677" s="644"/>
    </row>
    <row r="678" ht="25.5" customHeight="1">
      <c r="A678" s="635"/>
      <c r="B678" s="1323"/>
      <c r="C678" s="635"/>
      <c r="D678" s="1317"/>
      <c r="E678" s="675"/>
      <c r="F678" s="675"/>
      <c r="S678" s="644"/>
    </row>
    <row r="679" ht="25.5" customHeight="1">
      <c r="A679" s="635"/>
      <c r="B679" s="1323"/>
      <c r="C679" s="635"/>
      <c r="D679" s="1317"/>
      <c r="E679" s="675"/>
      <c r="F679" s="675"/>
      <c r="S679" s="644"/>
    </row>
    <row r="680" ht="25.5" customHeight="1">
      <c r="A680" s="635"/>
      <c r="B680" s="1323"/>
      <c r="C680" s="635"/>
      <c r="D680" s="1317"/>
      <c r="E680" s="675"/>
      <c r="F680" s="675"/>
      <c r="S680" s="644"/>
    </row>
    <row r="681" ht="25.5" customHeight="1">
      <c r="A681" s="635"/>
      <c r="B681" s="1323"/>
      <c r="C681" s="635"/>
      <c r="D681" s="1317"/>
      <c r="E681" s="675"/>
      <c r="F681" s="675"/>
      <c r="S681" s="644"/>
    </row>
    <row r="682" ht="25.5" customHeight="1">
      <c r="A682" s="635"/>
      <c r="B682" s="1323"/>
      <c r="C682" s="635"/>
      <c r="D682" s="1317"/>
      <c r="E682" s="675"/>
      <c r="F682" s="675"/>
      <c r="S682" s="644"/>
    </row>
    <row r="683" ht="25.5" customHeight="1">
      <c r="A683" s="635"/>
      <c r="B683" s="1323"/>
      <c r="C683" s="635"/>
      <c r="D683" s="1317"/>
      <c r="E683" s="675"/>
      <c r="F683" s="675"/>
      <c r="S683" s="644"/>
    </row>
    <row r="684" ht="25.5" customHeight="1">
      <c r="A684" s="635"/>
      <c r="B684" s="1323"/>
      <c r="C684" s="635"/>
      <c r="D684" s="1317"/>
      <c r="E684" s="675"/>
      <c r="F684" s="675"/>
      <c r="S684" s="644"/>
    </row>
    <row r="685" ht="25.5" customHeight="1">
      <c r="A685" s="635"/>
      <c r="B685" s="1323"/>
      <c r="C685" s="635"/>
      <c r="D685" s="1317"/>
      <c r="E685" s="675"/>
      <c r="F685" s="675"/>
      <c r="S685" s="644"/>
    </row>
    <row r="686" ht="25.5" customHeight="1">
      <c r="A686" s="635"/>
      <c r="B686" s="1323"/>
      <c r="C686" s="635"/>
      <c r="D686" s="1317"/>
      <c r="E686" s="675"/>
      <c r="F686" s="675"/>
      <c r="S686" s="644"/>
    </row>
    <row r="687" ht="25.5" customHeight="1">
      <c r="A687" s="635"/>
      <c r="B687" s="1323"/>
      <c r="C687" s="635"/>
      <c r="D687" s="1317"/>
      <c r="E687" s="675"/>
      <c r="F687" s="675"/>
      <c r="S687" s="644"/>
    </row>
    <row r="688" ht="25.5" customHeight="1">
      <c r="A688" s="635"/>
      <c r="B688" s="1323"/>
      <c r="C688" s="635"/>
      <c r="D688" s="1317"/>
      <c r="E688" s="675"/>
      <c r="F688" s="675"/>
      <c r="S688" s="644"/>
    </row>
    <row r="689" ht="25.5" customHeight="1">
      <c r="A689" s="635"/>
      <c r="B689" s="1323"/>
      <c r="C689" s="635"/>
      <c r="D689" s="1317"/>
      <c r="E689" s="675"/>
      <c r="F689" s="675"/>
      <c r="S689" s="644"/>
    </row>
    <row r="690" ht="25.5" customHeight="1">
      <c r="A690" s="635"/>
      <c r="B690" s="1323"/>
      <c r="C690" s="635"/>
      <c r="D690" s="1317"/>
      <c r="E690" s="675"/>
      <c r="F690" s="675"/>
      <c r="S690" s="644"/>
    </row>
    <row r="691" ht="25.5" customHeight="1">
      <c r="A691" s="635"/>
      <c r="B691" s="1323"/>
      <c r="C691" s="635"/>
      <c r="D691" s="1317"/>
      <c r="E691" s="675"/>
      <c r="F691" s="675"/>
      <c r="S691" s="644"/>
    </row>
    <row r="692" ht="25.5" customHeight="1">
      <c r="A692" s="635"/>
      <c r="B692" s="1323"/>
      <c r="C692" s="635"/>
      <c r="D692" s="1317"/>
      <c r="E692" s="675"/>
      <c r="F692" s="675"/>
      <c r="S692" s="644"/>
    </row>
    <row r="693" ht="25.5" customHeight="1">
      <c r="A693" s="635"/>
      <c r="B693" s="1323"/>
      <c r="C693" s="635"/>
      <c r="D693" s="1317"/>
      <c r="E693" s="675"/>
      <c r="F693" s="675"/>
      <c r="S693" s="644"/>
    </row>
    <row r="694" ht="25.5" customHeight="1">
      <c r="A694" s="635"/>
      <c r="B694" s="1323"/>
      <c r="C694" s="635"/>
      <c r="D694" s="1317"/>
      <c r="E694" s="675"/>
      <c r="F694" s="675"/>
      <c r="S694" s="644"/>
    </row>
    <row r="695" ht="25.5" customHeight="1">
      <c r="A695" s="635"/>
      <c r="B695" s="1323"/>
      <c r="C695" s="635"/>
      <c r="D695" s="1317"/>
      <c r="E695" s="675"/>
      <c r="F695" s="675"/>
      <c r="S695" s="644"/>
    </row>
    <row r="696" ht="25.5" customHeight="1">
      <c r="A696" s="635"/>
      <c r="B696" s="1323"/>
      <c r="C696" s="635"/>
      <c r="D696" s="1317"/>
      <c r="E696" s="675"/>
      <c r="F696" s="675"/>
      <c r="S696" s="644"/>
    </row>
    <row r="697" ht="25.5" customHeight="1">
      <c r="A697" s="635"/>
      <c r="B697" s="1323"/>
      <c r="C697" s="635"/>
      <c r="D697" s="1317"/>
      <c r="E697" s="675"/>
      <c r="F697" s="675"/>
      <c r="S697" s="644"/>
    </row>
    <row r="698" ht="25.5" customHeight="1">
      <c r="A698" s="635"/>
      <c r="B698" s="1323"/>
      <c r="C698" s="635"/>
      <c r="D698" s="1317"/>
      <c r="E698" s="675"/>
      <c r="F698" s="675"/>
      <c r="S698" s="644"/>
    </row>
    <row r="699" ht="25.5" customHeight="1">
      <c r="A699" s="635"/>
      <c r="B699" s="1323"/>
      <c r="C699" s="635"/>
      <c r="D699" s="1317"/>
      <c r="E699" s="675"/>
      <c r="F699" s="675"/>
      <c r="S699" s="644"/>
    </row>
    <row r="700" ht="25.5" customHeight="1">
      <c r="A700" s="635"/>
      <c r="B700" s="1323"/>
      <c r="C700" s="635"/>
      <c r="D700" s="1317"/>
      <c r="E700" s="675"/>
      <c r="F700" s="675"/>
      <c r="S700" s="644"/>
    </row>
    <row r="701" ht="25.5" customHeight="1">
      <c r="A701" s="635"/>
      <c r="B701" s="1323"/>
      <c r="C701" s="635"/>
      <c r="D701" s="1317"/>
      <c r="E701" s="675"/>
      <c r="F701" s="675"/>
      <c r="S701" s="644"/>
    </row>
    <row r="702" ht="25.5" customHeight="1">
      <c r="A702" s="635"/>
      <c r="B702" s="1323"/>
      <c r="C702" s="635"/>
      <c r="D702" s="1317"/>
      <c r="E702" s="675"/>
      <c r="F702" s="675"/>
      <c r="S702" s="644"/>
    </row>
    <row r="703" ht="25.5" customHeight="1">
      <c r="A703" s="635"/>
      <c r="B703" s="1323"/>
      <c r="C703" s="635"/>
      <c r="D703" s="1317"/>
      <c r="E703" s="675"/>
      <c r="F703" s="675"/>
      <c r="S703" s="644"/>
    </row>
    <row r="704" ht="25.5" customHeight="1">
      <c r="A704" s="635"/>
      <c r="B704" s="1323"/>
      <c r="C704" s="635"/>
      <c r="D704" s="1317"/>
      <c r="E704" s="675"/>
      <c r="F704" s="675"/>
      <c r="S704" s="644"/>
    </row>
    <row r="705" ht="25.5" customHeight="1">
      <c r="A705" s="635"/>
      <c r="B705" s="1323"/>
      <c r="C705" s="635"/>
      <c r="D705" s="1317"/>
      <c r="E705" s="675"/>
      <c r="F705" s="675"/>
      <c r="S705" s="644"/>
    </row>
    <row r="706" ht="25.5" customHeight="1">
      <c r="A706" s="635"/>
      <c r="B706" s="1323"/>
      <c r="C706" s="635"/>
      <c r="D706" s="1317"/>
      <c r="E706" s="675"/>
      <c r="F706" s="675"/>
      <c r="S706" s="644"/>
    </row>
    <row r="707" ht="25.5" customHeight="1">
      <c r="A707" s="635"/>
      <c r="B707" s="1323"/>
      <c r="C707" s="635"/>
      <c r="D707" s="1317"/>
      <c r="E707" s="675"/>
      <c r="F707" s="675"/>
      <c r="S707" s="644"/>
    </row>
    <row r="708" ht="25.5" customHeight="1">
      <c r="A708" s="635"/>
      <c r="B708" s="1323"/>
      <c r="C708" s="635"/>
      <c r="D708" s="1317"/>
      <c r="E708" s="675"/>
      <c r="F708" s="675"/>
      <c r="S708" s="644"/>
    </row>
    <row r="709" ht="25.5" customHeight="1">
      <c r="A709" s="635"/>
      <c r="B709" s="1323"/>
      <c r="C709" s="635"/>
      <c r="D709" s="1317"/>
      <c r="E709" s="675"/>
      <c r="F709" s="675"/>
      <c r="S709" s="644"/>
    </row>
    <row r="710" ht="25.5" customHeight="1">
      <c r="A710" s="635"/>
      <c r="B710" s="1323"/>
      <c r="C710" s="635"/>
      <c r="D710" s="1317"/>
      <c r="E710" s="675"/>
      <c r="F710" s="675"/>
      <c r="S710" s="644"/>
    </row>
    <row r="711" ht="25.5" customHeight="1">
      <c r="A711" s="635"/>
      <c r="B711" s="1323"/>
      <c r="C711" s="635"/>
      <c r="D711" s="1317"/>
      <c r="E711" s="675"/>
      <c r="F711" s="675"/>
      <c r="S711" s="644"/>
    </row>
    <row r="712" ht="25.5" customHeight="1">
      <c r="A712" s="635"/>
      <c r="B712" s="1323"/>
      <c r="C712" s="635"/>
      <c r="D712" s="1317"/>
      <c r="E712" s="675"/>
      <c r="F712" s="675"/>
      <c r="S712" s="644"/>
    </row>
    <row r="713" ht="25.5" customHeight="1">
      <c r="A713" s="635"/>
      <c r="B713" s="1323"/>
      <c r="C713" s="635"/>
      <c r="D713" s="1317"/>
      <c r="E713" s="675"/>
      <c r="F713" s="675"/>
      <c r="S713" s="644"/>
    </row>
    <row r="714" ht="25.5" customHeight="1">
      <c r="A714" s="635"/>
      <c r="B714" s="1323"/>
      <c r="C714" s="635"/>
      <c r="D714" s="1317"/>
      <c r="E714" s="675"/>
      <c r="F714" s="675"/>
      <c r="S714" s="644"/>
    </row>
    <row r="715" ht="25.5" customHeight="1">
      <c r="A715" s="635"/>
      <c r="B715" s="1323"/>
      <c r="C715" s="635"/>
      <c r="D715" s="1317"/>
      <c r="E715" s="675"/>
      <c r="F715" s="675"/>
      <c r="S715" s="644"/>
    </row>
    <row r="716" ht="25.5" customHeight="1">
      <c r="A716" s="635"/>
      <c r="B716" s="1323"/>
      <c r="C716" s="635"/>
      <c r="D716" s="1317"/>
      <c r="E716" s="675"/>
      <c r="F716" s="675"/>
      <c r="S716" s="644"/>
    </row>
    <row r="717" ht="25.5" customHeight="1">
      <c r="A717" s="635"/>
      <c r="B717" s="1323"/>
      <c r="C717" s="635"/>
      <c r="D717" s="1317"/>
      <c r="E717" s="675"/>
      <c r="F717" s="675"/>
      <c r="S717" s="644"/>
    </row>
    <row r="718" ht="25.5" customHeight="1">
      <c r="A718" s="635"/>
      <c r="B718" s="1323"/>
      <c r="C718" s="635"/>
      <c r="D718" s="1317"/>
      <c r="E718" s="675"/>
      <c r="F718" s="675"/>
      <c r="S718" s="644"/>
    </row>
    <row r="719" ht="25.5" customHeight="1">
      <c r="A719" s="635"/>
      <c r="B719" s="1323"/>
      <c r="C719" s="635"/>
      <c r="D719" s="1317"/>
      <c r="E719" s="675"/>
      <c r="F719" s="675"/>
      <c r="S719" s="644"/>
    </row>
    <row r="720" ht="25.5" customHeight="1">
      <c r="A720" s="635"/>
      <c r="B720" s="1323"/>
      <c r="C720" s="635"/>
      <c r="D720" s="1317"/>
      <c r="E720" s="675"/>
      <c r="F720" s="675"/>
      <c r="S720" s="644"/>
    </row>
    <row r="721" ht="25.5" customHeight="1">
      <c r="A721" s="635"/>
      <c r="B721" s="1323"/>
      <c r="C721" s="635"/>
      <c r="D721" s="1317"/>
      <c r="E721" s="675"/>
      <c r="F721" s="675"/>
      <c r="S721" s="644"/>
    </row>
    <row r="722" ht="25.5" customHeight="1">
      <c r="A722" s="635"/>
      <c r="B722" s="1323"/>
      <c r="C722" s="635"/>
      <c r="D722" s="1317"/>
      <c r="E722" s="675"/>
      <c r="F722" s="675"/>
      <c r="S722" s="644"/>
    </row>
    <row r="723" ht="25.5" customHeight="1">
      <c r="A723" s="635"/>
      <c r="B723" s="1323"/>
      <c r="C723" s="635"/>
      <c r="D723" s="1317"/>
      <c r="E723" s="675"/>
      <c r="F723" s="675"/>
      <c r="S723" s="644"/>
    </row>
    <row r="724" ht="25.5" customHeight="1">
      <c r="A724" s="635"/>
      <c r="B724" s="1323"/>
      <c r="C724" s="635"/>
      <c r="D724" s="1317"/>
      <c r="E724" s="675"/>
      <c r="F724" s="675"/>
      <c r="S724" s="644"/>
    </row>
    <row r="725" ht="25.5" customHeight="1">
      <c r="A725" s="635"/>
      <c r="B725" s="1323"/>
      <c r="C725" s="635"/>
      <c r="D725" s="1317"/>
      <c r="E725" s="675"/>
      <c r="F725" s="675"/>
      <c r="S725" s="644"/>
    </row>
    <row r="726" ht="25.5" customHeight="1">
      <c r="A726" s="635"/>
      <c r="B726" s="1323"/>
      <c r="C726" s="635"/>
      <c r="D726" s="1317"/>
      <c r="E726" s="675"/>
      <c r="F726" s="675"/>
      <c r="S726" s="644"/>
    </row>
    <row r="727" ht="25.5" customHeight="1">
      <c r="A727" s="635"/>
      <c r="B727" s="1323"/>
      <c r="C727" s="635"/>
      <c r="D727" s="1317"/>
      <c r="E727" s="675"/>
      <c r="F727" s="675"/>
      <c r="S727" s="644"/>
    </row>
    <row r="728" ht="25.5" customHeight="1">
      <c r="A728" s="635"/>
      <c r="B728" s="1323"/>
      <c r="C728" s="635"/>
      <c r="D728" s="1317"/>
      <c r="E728" s="675"/>
      <c r="F728" s="675"/>
      <c r="S728" s="644"/>
    </row>
    <row r="729" ht="25.5" customHeight="1">
      <c r="A729" s="635"/>
      <c r="B729" s="1323"/>
      <c r="C729" s="635"/>
      <c r="D729" s="1317"/>
      <c r="E729" s="675"/>
      <c r="F729" s="675"/>
      <c r="S729" s="644"/>
    </row>
    <row r="730" ht="25.5" customHeight="1">
      <c r="A730" s="635"/>
      <c r="B730" s="1323"/>
      <c r="C730" s="635"/>
      <c r="D730" s="1317"/>
      <c r="E730" s="675"/>
      <c r="F730" s="675"/>
      <c r="S730" s="644"/>
    </row>
    <row r="731" ht="25.5" customHeight="1">
      <c r="A731" s="635"/>
      <c r="B731" s="1323"/>
      <c r="C731" s="635"/>
      <c r="D731" s="1317"/>
      <c r="E731" s="675"/>
      <c r="F731" s="675"/>
      <c r="S731" s="644"/>
    </row>
    <row r="732" ht="25.5" customHeight="1">
      <c r="A732" s="635"/>
      <c r="B732" s="1323"/>
      <c r="C732" s="635"/>
      <c r="D732" s="1317"/>
      <c r="E732" s="675"/>
      <c r="F732" s="675"/>
      <c r="S732" s="644"/>
    </row>
    <row r="733" ht="25.5" customHeight="1">
      <c r="A733" s="635"/>
      <c r="B733" s="1323"/>
      <c r="C733" s="635"/>
      <c r="D733" s="1317"/>
      <c r="E733" s="675"/>
      <c r="F733" s="675"/>
      <c r="S733" s="644"/>
    </row>
    <row r="734" ht="25.5" customHeight="1">
      <c r="A734" s="635"/>
      <c r="B734" s="1323"/>
      <c r="C734" s="635"/>
      <c r="D734" s="1317"/>
      <c r="E734" s="675"/>
      <c r="F734" s="675"/>
      <c r="S734" s="644"/>
    </row>
    <row r="735" ht="25.5" customHeight="1">
      <c r="A735" s="635"/>
      <c r="B735" s="1323"/>
      <c r="C735" s="635"/>
      <c r="D735" s="1317"/>
      <c r="E735" s="675"/>
      <c r="F735" s="675"/>
      <c r="S735" s="644"/>
    </row>
    <row r="736" ht="25.5" customHeight="1">
      <c r="A736" s="635"/>
      <c r="B736" s="1323"/>
      <c r="C736" s="635"/>
      <c r="D736" s="1317"/>
      <c r="E736" s="675"/>
      <c r="F736" s="675"/>
      <c r="S736" s="644"/>
    </row>
    <row r="737" ht="25.5" customHeight="1">
      <c r="A737" s="635"/>
      <c r="B737" s="1323"/>
      <c r="C737" s="635"/>
      <c r="D737" s="1317"/>
      <c r="E737" s="675"/>
      <c r="F737" s="675"/>
      <c r="S737" s="644"/>
    </row>
    <row r="738" ht="25.5" customHeight="1">
      <c r="A738" s="635"/>
      <c r="B738" s="1323"/>
      <c r="C738" s="635"/>
      <c r="D738" s="1317"/>
      <c r="E738" s="675"/>
      <c r="F738" s="675"/>
      <c r="S738" s="644"/>
    </row>
    <row r="739" ht="25.5" customHeight="1">
      <c r="A739" s="635"/>
      <c r="B739" s="1323"/>
      <c r="C739" s="635"/>
      <c r="D739" s="1317"/>
      <c r="E739" s="675"/>
      <c r="F739" s="675"/>
      <c r="S739" s="644"/>
    </row>
    <row r="740" ht="25.5" customHeight="1">
      <c r="A740" s="635"/>
      <c r="B740" s="1323"/>
      <c r="C740" s="635"/>
      <c r="D740" s="1317"/>
      <c r="E740" s="675"/>
      <c r="F740" s="675"/>
      <c r="S740" s="644"/>
    </row>
    <row r="741" ht="25.5" customHeight="1">
      <c r="A741" s="635"/>
      <c r="B741" s="1323"/>
      <c r="C741" s="635"/>
      <c r="D741" s="1317"/>
      <c r="E741" s="675"/>
      <c r="F741" s="675"/>
      <c r="S741" s="644"/>
    </row>
    <row r="742" ht="25.5" customHeight="1">
      <c r="A742" s="635"/>
      <c r="B742" s="1323"/>
      <c r="C742" s="635"/>
      <c r="D742" s="1317"/>
      <c r="E742" s="675"/>
      <c r="F742" s="675"/>
      <c r="S742" s="644"/>
    </row>
    <row r="743" ht="25.5" customHeight="1">
      <c r="A743" s="635"/>
      <c r="B743" s="1323"/>
      <c r="C743" s="635"/>
      <c r="D743" s="1317"/>
      <c r="E743" s="675"/>
      <c r="F743" s="675"/>
      <c r="S743" s="644"/>
    </row>
    <row r="744" ht="25.5" customHeight="1">
      <c r="A744" s="635"/>
      <c r="B744" s="1323"/>
      <c r="C744" s="635"/>
      <c r="D744" s="1317"/>
      <c r="E744" s="675"/>
      <c r="F744" s="675"/>
      <c r="S744" s="644"/>
    </row>
    <row r="745" ht="25.5" customHeight="1">
      <c r="A745" s="635"/>
      <c r="B745" s="1323"/>
      <c r="C745" s="635"/>
      <c r="D745" s="1317"/>
      <c r="E745" s="675"/>
      <c r="F745" s="675"/>
      <c r="S745" s="644"/>
    </row>
    <row r="746" ht="25.5" customHeight="1">
      <c r="A746" s="635"/>
      <c r="B746" s="1323"/>
      <c r="C746" s="635"/>
      <c r="D746" s="1317"/>
      <c r="E746" s="675"/>
      <c r="F746" s="675"/>
      <c r="S746" s="644"/>
    </row>
    <row r="747" ht="25.5" customHeight="1">
      <c r="A747" s="635"/>
      <c r="B747" s="1323"/>
      <c r="C747" s="635"/>
      <c r="D747" s="1317"/>
      <c r="E747" s="675"/>
      <c r="F747" s="675"/>
      <c r="S747" s="644"/>
    </row>
    <row r="748" ht="25.5" customHeight="1">
      <c r="A748" s="635"/>
      <c r="B748" s="1323"/>
      <c r="C748" s="635"/>
      <c r="D748" s="1317"/>
      <c r="E748" s="675"/>
      <c r="F748" s="675"/>
      <c r="S748" s="644"/>
    </row>
    <row r="749" ht="25.5" customHeight="1">
      <c r="A749" s="635"/>
      <c r="B749" s="1323"/>
      <c r="C749" s="635"/>
      <c r="D749" s="1317"/>
      <c r="E749" s="675"/>
      <c r="F749" s="675"/>
      <c r="S749" s="644"/>
    </row>
    <row r="750" ht="25.5" customHeight="1">
      <c r="A750" s="635"/>
      <c r="B750" s="1323"/>
      <c r="C750" s="635"/>
      <c r="D750" s="1317"/>
      <c r="E750" s="675"/>
      <c r="F750" s="675"/>
      <c r="S750" s="644"/>
    </row>
    <row r="751" ht="25.5" customHeight="1">
      <c r="A751" s="635"/>
      <c r="B751" s="1323"/>
      <c r="C751" s="635"/>
      <c r="D751" s="1317"/>
      <c r="E751" s="675"/>
      <c r="F751" s="675"/>
      <c r="S751" s="644"/>
    </row>
    <row r="752" ht="25.5" customHeight="1">
      <c r="A752" s="635"/>
      <c r="B752" s="1323"/>
      <c r="C752" s="635"/>
      <c r="D752" s="1317"/>
      <c r="E752" s="675"/>
      <c r="F752" s="675"/>
      <c r="S752" s="644"/>
    </row>
    <row r="753" ht="25.5" customHeight="1">
      <c r="A753" s="635"/>
      <c r="B753" s="1323"/>
      <c r="C753" s="635"/>
      <c r="D753" s="1317"/>
      <c r="E753" s="675"/>
      <c r="F753" s="675"/>
      <c r="S753" s="644"/>
    </row>
    <row r="754" ht="25.5" customHeight="1">
      <c r="A754" s="635"/>
      <c r="B754" s="1323"/>
      <c r="C754" s="635"/>
      <c r="D754" s="1317"/>
      <c r="E754" s="675"/>
      <c r="F754" s="675"/>
      <c r="S754" s="644"/>
    </row>
    <row r="755" ht="25.5" customHeight="1">
      <c r="A755" s="635"/>
      <c r="B755" s="1323"/>
      <c r="C755" s="635"/>
      <c r="D755" s="1317"/>
      <c r="E755" s="675"/>
      <c r="F755" s="675"/>
      <c r="S755" s="644"/>
    </row>
    <row r="756" ht="25.5" customHeight="1">
      <c r="A756" s="635"/>
      <c r="B756" s="1323"/>
      <c r="C756" s="635"/>
      <c r="D756" s="1317"/>
      <c r="E756" s="675"/>
      <c r="F756" s="675"/>
      <c r="S756" s="644"/>
    </row>
    <row r="757" ht="25.5" customHeight="1">
      <c r="A757" s="635"/>
      <c r="B757" s="1323"/>
      <c r="C757" s="635"/>
      <c r="D757" s="1317"/>
      <c r="E757" s="675"/>
      <c r="F757" s="675"/>
      <c r="S757" s="644"/>
    </row>
    <row r="758" ht="25.5" customHeight="1">
      <c r="A758" s="635"/>
      <c r="B758" s="1323"/>
      <c r="C758" s="635"/>
      <c r="D758" s="1317"/>
      <c r="E758" s="675"/>
      <c r="F758" s="675"/>
      <c r="S758" s="644"/>
    </row>
    <row r="759" ht="25.5" customHeight="1">
      <c r="A759" s="635"/>
      <c r="B759" s="1323"/>
      <c r="C759" s="635"/>
      <c r="D759" s="1317"/>
      <c r="E759" s="675"/>
      <c r="F759" s="675"/>
      <c r="S759" s="644"/>
    </row>
    <row r="760" ht="25.5" customHeight="1">
      <c r="A760" s="635"/>
      <c r="B760" s="1323"/>
      <c r="C760" s="635"/>
      <c r="D760" s="1317"/>
      <c r="E760" s="675"/>
      <c r="F760" s="675"/>
      <c r="S760" s="644"/>
    </row>
    <row r="761" ht="25.5" customHeight="1">
      <c r="A761" s="635"/>
      <c r="B761" s="1323"/>
      <c r="C761" s="635"/>
      <c r="D761" s="1317"/>
      <c r="E761" s="675"/>
      <c r="F761" s="675"/>
      <c r="S761" s="644"/>
    </row>
    <row r="762" ht="25.5" customHeight="1">
      <c r="A762" s="635"/>
      <c r="B762" s="1323"/>
      <c r="C762" s="635"/>
      <c r="D762" s="1317"/>
      <c r="E762" s="675"/>
      <c r="F762" s="675"/>
      <c r="S762" s="644"/>
    </row>
    <row r="763" ht="25.5" customHeight="1">
      <c r="A763" s="635"/>
      <c r="B763" s="1323"/>
      <c r="C763" s="635"/>
      <c r="D763" s="1317"/>
      <c r="E763" s="675"/>
      <c r="F763" s="675"/>
      <c r="S763" s="644"/>
    </row>
    <row r="764" ht="25.5" customHeight="1">
      <c r="A764" s="635"/>
      <c r="B764" s="1323"/>
      <c r="C764" s="635"/>
      <c r="D764" s="1317"/>
      <c r="E764" s="675"/>
      <c r="F764" s="675"/>
      <c r="S764" s="644"/>
    </row>
    <row r="765" ht="25.5" customHeight="1">
      <c r="A765" s="635"/>
      <c r="B765" s="1323"/>
      <c r="C765" s="635"/>
      <c r="D765" s="1317"/>
      <c r="E765" s="675"/>
      <c r="F765" s="675"/>
      <c r="S765" s="644"/>
    </row>
    <row r="766" ht="25.5" customHeight="1">
      <c r="A766" s="635"/>
      <c r="B766" s="1323"/>
      <c r="C766" s="635"/>
      <c r="D766" s="1317"/>
      <c r="E766" s="675"/>
      <c r="F766" s="675"/>
      <c r="S766" s="644"/>
    </row>
    <row r="767" ht="25.5" customHeight="1">
      <c r="A767" s="635"/>
      <c r="B767" s="1323"/>
      <c r="C767" s="635"/>
      <c r="D767" s="1317"/>
      <c r="E767" s="675"/>
      <c r="F767" s="675"/>
      <c r="S767" s="644"/>
    </row>
    <row r="768" ht="25.5" customHeight="1">
      <c r="A768" s="635"/>
      <c r="B768" s="1323"/>
      <c r="C768" s="635"/>
      <c r="D768" s="1317"/>
      <c r="E768" s="675"/>
      <c r="F768" s="675"/>
      <c r="S768" s="644"/>
    </row>
    <row r="769" ht="25.5" customHeight="1">
      <c r="A769" s="635"/>
      <c r="B769" s="1323"/>
      <c r="C769" s="635"/>
      <c r="D769" s="1317"/>
      <c r="E769" s="675"/>
      <c r="F769" s="675"/>
      <c r="S769" s="644"/>
    </row>
    <row r="770" ht="25.5" customHeight="1">
      <c r="A770" s="635"/>
      <c r="B770" s="1323"/>
      <c r="C770" s="635"/>
      <c r="D770" s="1317"/>
      <c r="E770" s="675"/>
      <c r="F770" s="675"/>
      <c r="S770" s="644"/>
    </row>
    <row r="771" ht="25.5" customHeight="1">
      <c r="A771" s="635"/>
      <c r="B771" s="1323"/>
      <c r="C771" s="635"/>
      <c r="D771" s="1317"/>
      <c r="E771" s="675"/>
      <c r="F771" s="675"/>
      <c r="S771" s="644"/>
    </row>
    <row r="772" ht="25.5" customHeight="1">
      <c r="A772" s="635"/>
      <c r="B772" s="1323"/>
      <c r="C772" s="635"/>
      <c r="D772" s="1317"/>
      <c r="E772" s="675"/>
      <c r="F772" s="675"/>
      <c r="S772" s="644"/>
    </row>
    <row r="773" ht="25.5" customHeight="1">
      <c r="A773" s="635"/>
      <c r="B773" s="1323"/>
      <c r="C773" s="635"/>
      <c r="D773" s="1317"/>
      <c r="E773" s="675"/>
      <c r="F773" s="675"/>
      <c r="S773" s="644"/>
    </row>
    <row r="774" ht="25.5" customHeight="1">
      <c r="A774" s="635"/>
      <c r="B774" s="1323"/>
      <c r="C774" s="635"/>
      <c r="D774" s="1317"/>
      <c r="E774" s="675"/>
      <c r="F774" s="675"/>
      <c r="S774" s="644"/>
    </row>
    <row r="775" ht="25.5" customHeight="1">
      <c r="A775" s="635"/>
      <c r="B775" s="1323"/>
      <c r="C775" s="635"/>
      <c r="D775" s="1317"/>
      <c r="E775" s="675"/>
      <c r="F775" s="675"/>
      <c r="S775" s="644"/>
    </row>
    <row r="776" ht="25.5" customHeight="1">
      <c r="A776" s="635"/>
      <c r="B776" s="1323"/>
      <c r="C776" s="635"/>
      <c r="D776" s="1317"/>
      <c r="E776" s="675"/>
      <c r="F776" s="675"/>
      <c r="S776" s="644"/>
    </row>
    <row r="777" ht="25.5" customHeight="1">
      <c r="A777" s="635"/>
      <c r="B777" s="1323"/>
      <c r="C777" s="635"/>
      <c r="D777" s="1317"/>
      <c r="E777" s="675"/>
      <c r="F777" s="675"/>
      <c r="S777" s="644"/>
    </row>
    <row r="778" ht="25.5" customHeight="1">
      <c r="A778" s="635"/>
      <c r="B778" s="1323"/>
      <c r="C778" s="635"/>
      <c r="D778" s="1317"/>
      <c r="E778" s="675"/>
      <c r="F778" s="675"/>
      <c r="S778" s="644"/>
    </row>
    <row r="779" ht="25.5" customHeight="1">
      <c r="A779" s="635"/>
      <c r="B779" s="1323"/>
      <c r="C779" s="635"/>
      <c r="D779" s="1317"/>
      <c r="E779" s="675"/>
      <c r="F779" s="675"/>
      <c r="S779" s="644"/>
    </row>
    <row r="780" ht="25.5" customHeight="1">
      <c r="A780" s="635"/>
      <c r="B780" s="1323"/>
      <c r="C780" s="635"/>
      <c r="D780" s="1317"/>
      <c r="E780" s="675"/>
      <c r="F780" s="675"/>
      <c r="S780" s="644"/>
    </row>
    <row r="781" ht="25.5" customHeight="1">
      <c r="A781" s="635"/>
      <c r="B781" s="1323"/>
      <c r="C781" s="635"/>
      <c r="D781" s="1317"/>
      <c r="E781" s="675"/>
      <c r="F781" s="675"/>
      <c r="S781" s="644"/>
    </row>
    <row r="782" ht="25.5" customHeight="1">
      <c r="A782" s="635"/>
      <c r="B782" s="1323"/>
      <c r="C782" s="635"/>
      <c r="D782" s="1317"/>
      <c r="E782" s="675"/>
      <c r="F782" s="675"/>
      <c r="S782" s="644"/>
    </row>
    <row r="783" ht="25.5" customHeight="1">
      <c r="A783" s="635"/>
      <c r="B783" s="1323"/>
      <c r="C783" s="635"/>
      <c r="D783" s="1317"/>
      <c r="E783" s="675"/>
      <c r="F783" s="675"/>
      <c r="S783" s="644"/>
    </row>
    <row r="784" ht="25.5" customHeight="1">
      <c r="A784" s="635"/>
      <c r="B784" s="1323"/>
      <c r="C784" s="635"/>
      <c r="D784" s="1317"/>
      <c r="E784" s="675"/>
      <c r="F784" s="675"/>
      <c r="S784" s="644"/>
    </row>
    <row r="785" ht="25.5" customHeight="1">
      <c r="A785" s="635"/>
      <c r="B785" s="1323"/>
      <c r="C785" s="635"/>
      <c r="D785" s="1317"/>
      <c r="E785" s="675"/>
      <c r="F785" s="675"/>
      <c r="S785" s="644"/>
    </row>
    <row r="786" ht="25.5" customHeight="1">
      <c r="A786" s="635"/>
      <c r="B786" s="1323"/>
      <c r="C786" s="635"/>
      <c r="D786" s="1317"/>
      <c r="E786" s="675"/>
      <c r="F786" s="675"/>
      <c r="S786" s="644"/>
    </row>
    <row r="787" ht="25.5" customHeight="1">
      <c r="A787" s="635"/>
      <c r="B787" s="1323"/>
      <c r="C787" s="635"/>
      <c r="D787" s="1317"/>
      <c r="E787" s="675"/>
      <c r="F787" s="675"/>
      <c r="S787" s="644"/>
    </row>
    <row r="788" ht="25.5" customHeight="1">
      <c r="A788" s="635"/>
      <c r="B788" s="1323"/>
      <c r="C788" s="635"/>
      <c r="D788" s="1317"/>
      <c r="E788" s="675"/>
      <c r="F788" s="675"/>
      <c r="S788" s="644"/>
    </row>
    <row r="789" ht="25.5" customHeight="1">
      <c r="A789" s="635"/>
      <c r="B789" s="1323"/>
      <c r="C789" s="635"/>
      <c r="D789" s="1317"/>
      <c r="E789" s="675"/>
      <c r="F789" s="675"/>
      <c r="S789" s="644"/>
    </row>
    <row r="790" ht="25.5" customHeight="1">
      <c r="A790" s="635"/>
      <c r="B790" s="1323"/>
      <c r="C790" s="635"/>
      <c r="D790" s="1317"/>
      <c r="E790" s="675"/>
      <c r="F790" s="675"/>
      <c r="S790" s="644"/>
    </row>
    <row r="791" ht="25.5" customHeight="1">
      <c r="A791" s="635"/>
      <c r="B791" s="1323"/>
      <c r="C791" s="635"/>
      <c r="D791" s="1317"/>
      <c r="E791" s="675"/>
      <c r="F791" s="675"/>
      <c r="S791" s="644"/>
    </row>
    <row r="792" ht="25.5" customHeight="1">
      <c r="A792" s="635"/>
      <c r="B792" s="1323"/>
      <c r="C792" s="635"/>
      <c r="D792" s="1317"/>
      <c r="E792" s="675"/>
      <c r="F792" s="675"/>
      <c r="S792" s="644"/>
    </row>
    <row r="793" ht="25.5" customHeight="1">
      <c r="A793" s="635"/>
      <c r="B793" s="1323"/>
      <c r="C793" s="635"/>
      <c r="D793" s="1317"/>
      <c r="E793" s="675"/>
      <c r="F793" s="675"/>
      <c r="S793" s="644"/>
    </row>
    <row r="794" ht="25.5" customHeight="1">
      <c r="A794" s="635"/>
      <c r="B794" s="1323"/>
      <c r="C794" s="635"/>
      <c r="D794" s="1317"/>
      <c r="E794" s="675"/>
      <c r="F794" s="675"/>
      <c r="S794" s="644"/>
    </row>
    <row r="795" ht="25.5" customHeight="1">
      <c r="A795" s="635"/>
      <c r="B795" s="1323"/>
      <c r="C795" s="635"/>
      <c r="D795" s="1317"/>
      <c r="E795" s="675"/>
      <c r="F795" s="675"/>
      <c r="S795" s="644"/>
    </row>
    <row r="796" ht="25.5" customHeight="1">
      <c r="A796" s="635"/>
      <c r="B796" s="1323"/>
      <c r="C796" s="635"/>
      <c r="D796" s="1317"/>
      <c r="E796" s="675"/>
      <c r="F796" s="675"/>
      <c r="S796" s="644"/>
    </row>
    <row r="797" ht="25.5" customHeight="1">
      <c r="A797" s="635"/>
      <c r="B797" s="1323"/>
      <c r="C797" s="635"/>
      <c r="D797" s="1317"/>
      <c r="E797" s="675"/>
      <c r="F797" s="675"/>
      <c r="S797" s="644"/>
    </row>
    <row r="798" ht="25.5" customHeight="1">
      <c r="A798" s="635"/>
      <c r="B798" s="1323"/>
      <c r="C798" s="635"/>
      <c r="D798" s="1317"/>
      <c r="E798" s="675"/>
      <c r="F798" s="675"/>
      <c r="S798" s="644"/>
    </row>
    <row r="799" ht="25.5" customHeight="1">
      <c r="A799" s="635"/>
      <c r="B799" s="1323"/>
      <c r="C799" s="635"/>
      <c r="D799" s="1317"/>
      <c r="E799" s="675"/>
      <c r="F799" s="675"/>
      <c r="S799" s="644"/>
    </row>
    <row r="800" ht="25.5" customHeight="1">
      <c r="A800" s="635"/>
      <c r="B800" s="1323"/>
      <c r="C800" s="635"/>
      <c r="D800" s="1317"/>
      <c r="E800" s="675"/>
      <c r="F800" s="675"/>
      <c r="S800" s="644"/>
    </row>
    <row r="801" ht="25.5" customHeight="1">
      <c r="A801" s="635"/>
      <c r="B801" s="1323"/>
      <c r="C801" s="635"/>
      <c r="D801" s="1317"/>
      <c r="E801" s="675"/>
      <c r="F801" s="675"/>
      <c r="S801" s="644"/>
    </row>
    <row r="802" ht="25.5" customHeight="1">
      <c r="A802" s="635"/>
      <c r="B802" s="1323"/>
      <c r="C802" s="635"/>
      <c r="D802" s="1317"/>
      <c r="E802" s="675"/>
      <c r="F802" s="675"/>
      <c r="S802" s="644"/>
    </row>
    <row r="803" ht="25.5" customHeight="1">
      <c r="A803" s="635"/>
      <c r="B803" s="1323"/>
      <c r="C803" s="635"/>
      <c r="D803" s="1317"/>
      <c r="E803" s="675"/>
      <c r="F803" s="675"/>
      <c r="S803" s="644"/>
    </row>
    <row r="804" ht="25.5" customHeight="1">
      <c r="A804" s="635"/>
      <c r="B804" s="1323"/>
      <c r="C804" s="635"/>
      <c r="D804" s="1317"/>
      <c r="E804" s="675"/>
      <c r="F804" s="675"/>
      <c r="S804" s="644"/>
    </row>
    <row r="805" ht="25.5" customHeight="1">
      <c r="A805" s="635"/>
      <c r="B805" s="1323"/>
      <c r="C805" s="635"/>
      <c r="D805" s="1317"/>
      <c r="E805" s="675"/>
      <c r="F805" s="675"/>
      <c r="S805" s="644"/>
    </row>
    <row r="806" ht="25.5" customHeight="1">
      <c r="A806" s="635"/>
      <c r="B806" s="1323"/>
      <c r="C806" s="635"/>
      <c r="D806" s="1317"/>
      <c r="E806" s="675"/>
      <c r="F806" s="675"/>
      <c r="S806" s="644"/>
    </row>
    <row r="807" ht="25.5" customHeight="1">
      <c r="A807" s="635"/>
      <c r="B807" s="1323"/>
      <c r="C807" s="635"/>
      <c r="D807" s="1317"/>
      <c r="E807" s="675"/>
      <c r="F807" s="675"/>
      <c r="S807" s="644"/>
    </row>
    <row r="808" ht="25.5" customHeight="1">
      <c r="A808" s="635"/>
      <c r="B808" s="1323"/>
      <c r="C808" s="635"/>
      <c r="D808" s="1317"/>
      <c r="E808" s="675"/>
      <c r="F808" s="675"/>
      <c r="S808" s="644"/>
    </row>
    <row r="809" ht="25.5" customHeight="1">
      <c r="A809" s="635"/>
      <c r="B809" s="1323"/>
      <c r="C809" s="635"/>
      <c r="D809" s="1317"/>
      <c r="E809" s="675"/>
      <c r="F809" s="675"/>
      <c r="S809" s="644"/>
    </row>
    <row r="810" ht="25.5" customHeight="1">
      <c r="A810" s="635"/>
      <c r="B810" s="1323"/>
      <c r="C810" s="635"/>
      <c r="D810" s="1317"/>
      <c r="E810" s="675"/>
      <c r="F810" s="675"/>
      <c r="S810" s="644"/>
    </row>
    <row r="811" ht="25.5" customHeight="1">
      <c r="A811" s="635"/>
      <c r="B811" s="1323"/>
      <c r="C811" s="635"/>
      <c r="D811" s="1317"/>
      <c r="E811" s="675"/>
      <c r="F811" s="675"/>
      <c r="S811" s="644"/>
    </row>
    <row r="812" ht="25.5" customHeight="1">
      <c r="A812" s="635"/>
      <c r="B812" s="1323"/>
      <c r="C812" s="635"/>
      <c r="D812" s="1317"/>
      <c r="E812" s="675"/>
      <c r="F812" s="675"/>
      <c r="S812" s="644"/>
    </row>
    <row r="813" ht="25.5" customHeight="1">
      <c r="A813" s="635"/>
      <c r="B813" s="1323"/>
      <c r="C813" s="635"/>
      <c r="D813" s="1317"/>
      <c r="E813" s="675"/>
      <c r="F813" s="675"/>
      <c r="S813" s="644"/>
    </row>
    <row r="814" ht="25.5" customHeight="1">
      <c r="A814" s="635"/>
      <c r="B814" s="1323"/>
      <c r="C814" s="635"/>
      <c r="D814" s="1317"/>
      <c r="E814" s="675"/>
      <c r="F814" s="675"/>
      <c r="S814" s="644"/>
    </row>
    <row r="815" ht="25.5" customHeight="1">
      <c r="A815" s="635"/>
      <c r="B815" s="1323"/>
      <c r="C815" s="635"/>
      <c r="D815" s="1317"/>
      <c r="E815" s="675"/>
      <c r="F815" s="675"/>
      <c r="S815" s="644"/>
    </row>
    <row r="816" ht="25.5" customHeight="1">
      <c r="A816" s="635"/>
      <c r="B816" s="1323"/>
      <c r="C816" s="635"/>
      <c r="D816" s="1317"/>
      <c r="E816" s="675"/>
      <c r="F816" s="675"/>
      <c r="S816" s="644"/>
    </row>
    <row r="817" ht="25.5" customHeight="1">
      <c r="A817" s="635"/>
      <c r="B817" s="1323"/>
      <c r="C817" s="635"/>
      <c r="D817" s="1317"/>
      <c r="E817" s="675"/>
      <c r="F817" s="675"/>
      <c r="S817" s="644"/>
    </row>
    <row r="818" ht="25.5" customHeight="1">
      <c r="A818" s="635"/>
      <c r="B818" s="1323"/>
      <c r="C818" s="635"/>
      <c r="D818" s="1317"/>
      <c r="E818" s="675"/>
      <c r="F818" s="675"/>
      <c r="S818" s="644"/>
    </row>
    <row r="819" ht="25.5" customHeight="1">
      <c r="A819" s="635"/>
      <c r="B819" s="1323"/>
      <c r="C819" s="635"/>
      <c r="D819" s="1317"/>
      <c r="E819" s="675"/>
      <c r="F819" s="675"/>
      <c r="S819" s="644"/>
    </row>
    <row r="820" ht="25.5" customHeight="1">
      <c r="A820" s="635"/>
      <c r="B820" s="1323"/>
      <c r="C820" s="635"/>
      <c r="D820" s="1317"/>
      <c r="E820" s="675"/>
      <c r="F820" s="675"/>
      <c r="S820" s="644"/>
    </row>
    <row r="821" ht="25.5" customHeight="1">
      <c r="A821" s="635"/>
      <c r="B821" s="1323"/>
      <c r="C821" s="635"/>
      <c r="D821" s="1317"/>
      <c r="E821" s="675"/>
      <c r="F821" s="675"/>
      <c r="S821" s="644"/>
    </row>
    <row r="822" ht="25.5" customHeight="1">
      <c r="A822" s="635"/>
      <c r="B822" s="1323"/>
      <c r="C822" s="635"/>
      <c r="D822" s="1317"/>
      <c r="E822" s="675"/>
      <c r="F822" s="675"/>
      <c r="S822" s="644"/>
    </row>
    <row r="823" ht="25.5" customHeight="1">
      <c r="A823" s="635"/>
      <c r="B823" s="1323"/>
      <c r="C823" s="635"/>
      <c r="D823" s="1317"/>
      <c r="E823" s="675"/>
      <c r="F823" s="675"/>
      <c r="S823" s="644"/>
    </row>
    <row r="824" ht="25.5" customHeight="1">
      <c r="A824" s="635"/>
      <c r="B824" s="1323"/>
      <c r="C824" s="635"/>
      <c r="D824" s="1317"/>
      <c r="E824" s="675"/>
      <c r="F824" s="675"/>
      <c r="S824" s="644"/>
    </row>
    <row r="825" ht="25.5" customHeight="1">
      <c r="A825" s="635"/>
      <c r="B825" s="1323"/>
      <c r="C825" s="635"/>
      <c r="D825" s="1317"/>
      <c r="E825" s="675"/>
      <c r="F825" s="675"/>
      <c r="S825" s="644"/>
    </row>
    <row r="826" ht="25.5" customHeight="1">
      <c r="A826" s="635"/>
      <c r="B826" s="1323"/>
      <c r="C826" s="635"/>
      <c r="D826" s="1317"/>
      <c r="E826" s="675"/>
      <c r="F826" s="675"/>
      <c r="S826" s="644"/>
    </row>
    <row r="827" ht="25.5" customHeight="1">
      <c r="A827" s="635"/>
      <c r="B827" s="1323"/>
      <c r="C827" s="635"/>
      <c r="D827" s="1317"/>
      <c r="E827" s="675"/>
      <c r="F827" s="675"/>
      <c r="S827" s="644"/>
    </row>
    <row r="828" ht="25.5" customHeight="1">
      <c r="A828" s="635"/>
      <c r="B828" s="1323"/>
      <c r="C828" s="635"/>
      <c r="D828" s="1317"/>
      <c r="E828" s="675"/>
      <c r="F828" s="675"/>
      <c r="S828" s="644"/>
    </row>
    <row r="829" ht="25.5" customHeight="1">
      <c r="A829" s="635"/>
      <c r="B829" s="1323"/>
      <c r="C829" s="635"/>
      <c r="D829" s="1317"/>
      <c r="E829" s="675"/>
      <c r="F829" s="675"/>
      <c r="S829" s="644"/>
    </row>
    <row r="830" ht="25.5" customHeight="1">
      <c r="A830" s="635"/>
      <c r="B830" s="1323"/>
      <c r="C830" s="635"/>
      <c r="D830" s="1317"/>
      <c r="E830" s="675"/>
      <c r="F830" s="675"/>
      <c r="S830" s="644"/>
    </row>
    <row r="831" ht="25.5" customHeight="1">
      <c r="A831" s="635"/>
      <c r="B831" s="1323"/>
      <c r="C831" s="635"/>
      <c r="D831" s="1317"/>
      <c r="E831" s="675"/>
      <c r="F831" s="675"/>
      <c r="S831" s="644"/>
    </row>
    <row r="832" ht="25.5" customHeight="1">
      <c r="A832" s="635"/>
      <c r="B832" s="1323"/>
      <c r="C832" s="635"/>
      <c r="D832" s="1317"/>
      <c r="E832" s="675"/>
      <c r="F832" s="675"/>
      <c r="S832" s="644"/>
    </row>
    <row r="833" ht="25.5" customHeight="1">
      <c r="A833" s="635"/>
      <c r="B833" s="1323"/>
      <c r="C833" s="635"/>
      <c r="D833" s="1317"/>
      <c r="E833" s="675"/>
      <c r="F833" s="675"/>
      <c r="S833" s="644"/>
    </row>
    <row r="834" ht="25.5" customHeight="1">
      <c r="A834" s="635"/>
      <c r="B834" s="1323"/>
      <c r="C834" s="635"/>
      <c r="D834" s="1317"/>
      <c r="E834" s="675"/>
      <c r="F834" s="675"/>
      <c r="S834" s="644"/>
    </row>
    <row r="835" ht="25.5" customHeight="1">
      <c r="A835" s="635"/>
      <c r="B835" s="1323"/>
      <c r="C835" s="635"/>
      <c r="D835" s="1317"/>
      <c r="E835" s="675"/>
      <c r="F835" s="675"/>
      <c r="S835" s="644"/>
    </row>
    <row r="836" ht="25.5" customHeight="1">
      <c r="A836" s="635"/>
      <c r="B836" s="1323"/>
      <c r="C836" s="635"/>
      <c r="D836" s="1317"/>
      <c r="E836" s="675"/>
      <c r="F836" s="675"/>
      <c r="S836" s="644"/>
    </row>
    <row r="837" ht="25.5" customHeight="1">
      <c r="A837" s="635"/>
      <c r="B837" s="1323"/>
      <c r="C837" s="635"/>
      <c r="D837" s="1317"/>
      <c r="E837" s="675"/>
      <c r="F837" s="675"/>
      <c r="S837" s="644"/>
    </row>
    <row r="838" ht="25.5" customHeight="1">
      <c r="A838" s="635"/>
      <c r="B838" s="1323"/>
      <c r="C838" s="635"/>
      <c r="D838" s="1317"/>
      <c r="E838" s="675"/>
      <c r="F838" s="675"/>
      <c r="S838" s="644"/>
    </row>
    <row r="839" ht="25.5" customHeight="1">
      <c r="A839" s="635"/>
      <c r="B839" s="1323"/>
      <c r="C839" s="635"/>
      <c r="D839" s="1317"/>
      <c r="E839" s="675"/>
      <c r="F839" s="675"/>
      <c r="S839" s="644"/>
    </row>
    <row r="840" ht="25.5" customHeight="1">
      <c r="A840" s="635"/>
      <c r="B840" s="1323"/>
      <c r="C840" s="635"/>
      <c r="D840" s="1317"/>
      <c r="E840" s="675"/>
      <c r="F840" s="675"/>
      <c r="S840" s="644"/>
    </row>
    <row r="841" ht="25.5" customHeight="1">
      <c r="A841" s="635"/>
      <c r="B841" s="1323"/>
      <c r="C841" s="635"/>
      <c r="D841" s="1317"/>
      <c r="E841" s="675"/>
      <c r="F841" s="675"/>
      <c r="S841" s="644"/>
    </row>
    <row r="842" ht="25.5" customHeight="1">
      <c r="A842" s="635"/>
      <c r="B842" s="1323"/>
      <c r="C842" s="635"/>
      <c r="D842" s="1317"/>
      <c r="E842" s="675"/>
      <c r="F842" s="675"/>
      <c r="S842" s="644"/>
    </row>
    <row r="843" ht="25.5" customHeight="1">
      <c r="A843" s="635"/>
      <c r="B843" s="1323"/>
      <c r="C843" s="635"/>
      <c r="D843" s="1317"/>
      <c r="E843" s="675"/>
      <c r="F843" s="675"/>
      <c r="S843" s="644"/>
    </row>
    <row r="844" ht="25.5" customHeight="1">
      <c r="A844" s="635"/>
      <c r="B844" s="1323"/>
      <c r="C844" s="635"/>
      <c r="D844" s="1317"/>
      <c r="E844" s="675"/>
      <c r="F844" s="675"/>
      <c r="S844" s="644"/>
    </row>
    <row r="845" ht="25.5" customHeight="1">
      <c r="A845" s="635"/>
      <c r="B845" s="1323"/>
      <c r="C845" s="635"/>
      <c r="D845" s="1317"/>
      <c r="E845" s="675"/>
      <c r="F845" s="675"/>
      <c r="S845" s="644"/>
    </row>
    <row r="846" ht="25.5" customHeight="1">
      <c r="A846" s="635"/>
      <c r="B846" s="1323"/>
      <c r="C846" s="635"/>
      <c r="D846" s="1317"/>
      <c r="E846" s="675"/>
      <c r="F846" s="675"/>
      <c r="S846" s="644"/>
    </row>
    <row r="847" ht="25.5" customHeight="1">
      <c r="A847" s="635"/>
      <c r="B847" s="1323"/>
      <c r="C847" s="635"/>
      <c r="D847" s="1317"/>
      <c r="E847" s="675"/>
      <c r="F847" s="675"/>
      <c r="S847" s="644"/>
    </row>
    <row r="848" ht="25.5" customHeight="1">
      <c r="A848" s="635"/>
      <c r="B848" s="1323"/>
      <c r="C848" s="635"/>
      <c r="D848" s="1317"/>
      <c r="E848" s="675"/>
      <c r="F848" s="675"/>
      <c r="S848" s="644"/>
    </row>
    <row r="849" ht="25.5" customHeight="1">
      <c r="A849" s="635"/>
      <c r="B849" s="1323"/>
      <c r="C849" s="635"/>
      <c r="D849" s="1317"/>
      <c r="E849" s="675"/>
      <c r="F849" s="675"/>
      <c r="S849" s="644"/>
    </row>
    <row r="850" ht="25.5" customHeight="1">
      <c r="A850" s="635"/>
      <c r="B850" s="1323"/>
      <c r="C850" s="635"/>
      <c r="D850" s="1317"/>
      <c r="E850" s="675"/>
      <c r="F850" s="675"/>
      <c r="S850" s="644"/>
    </row>
    <row r="851" ht="25.5" customHeight="1">
      <c r="A851" s="635"/>
      <c r="B851" s="1323"/>
      <c r="C851" s="635"/>
      <c r="D851" s="1317"/>
      <c r="E851" s="675"/>
      <c r="F851" s="675"/>
      <c r="S851" s="644"/>
    </row>
    <row r="852" ht="25.5" customHeight="1">
      <c r="A852" s="635"/>
      <c r="B852" s="1323"/>
      <c r="C852" s="635"/>
      <c r="D852" s="1317"/>
      <c r="E852" s="675"/>
      <c r="F852" s="675"/>
      <c r="S852" s="644"/>
    </row>
    <row r="853" ht="25.5" customHeight="1">
      <c r="A853" s="635"/>
      <c r="B853" s="1323"/>
      <c r="C853" s="635"/>
      <c r="D853" s="1317"/>
      <c r="E853" s="675"/>
      <c r="F853" s="675"/>
      <c r="S853" s="644"/>
    </row>
    <row r="854" ht="25.5" customHeight="1">
      <c r="A854" s="635"/>
      <c r="B854" s="1323"/>
      <c r="C854" s="635"/>
      <c r="D854" s="1317"/>
      <c r="E854" s="675"/>
      <c r="F854" s="675"/>
      <c r="S854" s="644"/>
    </row>
    <row r="855" ht="25.5" customHeight="1">
      <c r="A855" s="635"/>
      <c r="B855" s="1323"/>
      <c r="C855" s="635"/>
      <c r="D855" s="1317"/>
      <c r="E855" s="675"/>
      <c r="F855" s="675"/>
      <c r="S855" s="644"/>
    </row>
    <row r="856" ht="25.5" customHeight="1">
      <c r="A856" s="635"/>
      <c r="B856" s="1323"/>
      <c r="C856" s="635"/>
      <c r="D856" s="1317"/>
      <c r="E856" s="675"/>
      <c r="F856" s="675"/>
      <c r="S856" s="644"/>
    </row>
    <row r="857" ht="25.5" customHeight="1">
      <c r="A857" s="635"/>
      <c r="B857" s="1323"/>
      <c r="C857" s="635"/>
      <c r="D857" s="1317"/>
      <c r="E857" s="675"/>
      <c r="F857" s="675"/>
      <c r="S857" s="644"/>
    </row>
    <row r="858" ht="25.5" customHeight="1">
      <c r="A858" s="635"/>
      <c r="B858" s="1323"/>
      <c r="C858" s="635"/>
      <c r="D858" s="1317"/>
      <c r="E858" s="675"/>
      <c r="F858" s="675"/>
      <c r="S858" s="644"/>
    </row>
    <row r="859" ht="25.5" customHeight="1">
      <c r="A859" s="635"/>
      <c r="B859" s="1323"/>
      <c r="C859" s="635"/>
      <c r="D859" s="1317"/>
      <c r="E859" s="675"/>
      <c r="F859" s="675"/>
      <c r="S859" s="644"/>
    </row>
    <row r="860" ht="25.5" customHeight="1">
      <c r="A860" s="635"/>
      <c r="B860" s="1323"/>
      <c r="C860" s="635"/>
      <c r="D860" s="1317"/>
      <c r="E860" s="675"/>
      <c r="F860" s="675"/>
      <c r="S860" s="644"/>
    </row>
    <row r="861" ht="25.5" customHeight="1">
      <c r="A861" s="635"/>
      <c r="B861" s="1323"/>
      <c r="C861" s="635"/>
      <c r="D861" s="1317"/>
      <c r="E861" s="675"/>
      <c r="F861" s="675"/>
      <c r="S861" s="644"/>
    </row>
    <row r="862" ht="25.5" customHeight="1">
      <c r="A862" s="635"/>
      <c r="B862" s="1323"/>
      <c r="C862" s="635"/>
      <c r="D862" s="1317"/>
      <c r="E862" s="675"/>
      <c r="F862" s="675"/>
      <c r="S862" s="644"/>
    </row>
    <row r="863" ht="25.5" customHeight="1">
      <c r="A863" s="635"/>
      <c r="B863" s="1323"/>
      <c r="C863" s="635"/>
      <c r="D863" s="1317"/>
      <c r="E863" s="675"/>
      <c r="F863" s="675"/>
      <c r="S863" s="644"/>
    </row>
    <row r="864" ht="25.5" customHeight="1">
      <c r="A864" s="635"/>
      <c r="B864" s="1323"/>
      <c r="C864" s="635"/>
      <c r="D864" s="1317"/>
      <c r="E864" s="675"/>
      <c r="F864" s="675"/>
      <c r="S864" s="644"/>
    </row>
    <row r="865" ht="25.5" customHeight="1">
      <c r="A865" s="635"/>
      <c r="B865" s="1323"/>
      <c r="C865" s="635"/>
      <c r="D865" s="1317"/>
      <c r="E865" s="675"/>
      <c r="F865" s="675"/>
      <c r="S865" s="644"/>
    </row>
    <row r="866" ht="25.5" customHeight="1">
      <c r="A866" s="635"/>
      <c r="B866" s="1323"/>
      <c r="C866" s="635"/>
      <c r="D866" s="1317"/>
      <c r="E866" s="675"/>
      <c r="F866" s="675"/>
      <c r="S866" s="644"/>
    </row>
    <row r="867" ht="25.5" customHeight="1">
      <c r="A867" s="635"/>
      <c r="B867" s="1323"/>
      <c r="C867" s="635"/>
      <c r="D867" s="1317"/>
      <c r="E867" s="675"/>
      <c r="F867" s="675"/>
      <c r="S867" s="644"/>
    </row>
    <row r="868" ht="25.5" customHeight="1">
      <c r="A868" s="635"/>
      <c r="B868" s="1323"/>
      <c r="C868" s="635"/>
      <c r="D868" s="1317"/>
      <c r="E868" s="675"/>
      <c r="F868" s="675"/>
      <c r="S868" s="644"/>
    </row>
    <row r="869" ht="25.5" customHeight="1">
      <c r="A869" s="635"/>
      <c r="B869" s="1323"/>
      <c r="C869" s="635"/>
      <c r="D869" s="1317"/>
      <c r="E869" s="675"/>
      <c r="F869" s="675"/>
      <c r="S869" s="644"/>
    </row>
    <row r="870" ht="25.5" customHeight="1">
      <c r="A870" s="635"/>
      <c r="B870" s="1323"/>
      <c r="C870" s="635"/>
      <c r="D870" s="1317"/>
      <c r="E870" s="675"/>
      <c r="F870" s="675"/>
      <c r="S870" s="644"/>
    </row>
    <row r="871" ht="25.5" customHeight="1">
      <c r="A871" s="635"/>
      <c r="B871" s="1323"/>
      <c r="C871" s="635"/>
      <c r="D871" s="1317"/>
      <c r="E871" s="675"/>
      <c r="F871" s="675"/>
      <c r="S871" s="644"/>
    </row>
    <row r="872" ht="25.5" customHeight="1">
      <c r="A872" s="635"/>
      <c r="B872" s="1323"/>
      <c r="C872" s="635"/>
      <c r="D872" s="1317"/>
      <c r="E872" s="675"/>
      <c r="F872" s="675"/>
      <c r="S872" s="644"/>
    </row>
    <row r="873" ht="25.5" customHeight="1">
      <c r="A873" s="635"/>
      <c r="B873" s="1323"/>
      <c r="C873" s="635"/>
      <c r="D873" s="1317"/>
      <c r="E873" s="675"/>
      <c r="F873" s="675"/>
      <c r="S873" s="644"/>
    </row>
    <row r="874" ht="25.5" customHeight="1">
      <c r="A874" s="635"/>
      <c r="B874" s="1323"/>
      <c r="C874" s="635"/>
      <c r="D874" s="1317"/>
      <c r="E874" s="675"/>
      <c r="F874" s="675"/>
      <c r="S874" s="644"/>
    </row>
    <row r="875" ht="25.5" customHeight="1">
      <c r="A875" s="635"/>
      <c r="B875" s="1323"/>
      <c r="C875" s="635"/>
      <c r="D875" s="1317"/>
      <c r="E875" s="675"/>
      <c r="F875" s="675"/>
      <c r="S875" s="644"/>
    </row>
    <row r="876" ht="25.5" customHeight="1">
      <c r="A876" s="635"/>
      <c r="B876" s="1323"/>
      <c r="C876" s="635"/>
      <c r="D876" s="1317"/>
      <c r="E876" s="675"/>
      <c r="F876" s="675"/>
      <c r="S876" s="644"/>
    </row>
    <row r="877" ht="25.5" customHeight="1">
      <c r="A877" s="635"/>
      <c r="B877" s="1323"/>
      <c r="C877" s="635"/>
      <c r="D877" s="1317"/>
      <c r="E877" s="675"/>
      <c r="F877" s="675"/>
      <c r="S877" s="644"/>
    </row>
    <row r="878" ht="25.5" customHeight="1">
      <c r="A878" s="635"/>
      <c r="B878" s="1323"/>
      <c r="C878" s="635"/>
      <c r="D878" s="1317"/>
      <c r="E878" s="675"/>
      <c r="F878" s="675"/>
      <c r="S878" s="644"/>
    </row>
    <row r="879" ht="25.5" customHeight="1">
      <c r="A879" s="635"/>
      <c r="B879" s="1323"/>
      <c r="C879" s="635"/>
      <c r="D879" s="1317"/>
      <c r="E879" s="675"/>
      <c r="F879" s="675"/>
      <c r="S879" s="644"/>
    </row>
    <row r="880" ht="25.5" customHeight="1">
      <c r="A880" s="635"/>
      <c r="B880" s="1323"/>
      <c r="C880" s="635"/>
      <c r="D880" s="1317"/>
      <c r="E880" s="675"/>
      <c r="F880" s="675"/>
      <c r="S880" s="644"/>
    </row>
    <row r="881" ht="25.5" customHeight="1">
      <c r="A881" s="635"/>
      <c r="B881" s="1323"/>
      <c r="C881" s="635"/>
      <c r="D881" s="1317"/>
      <c r="E881" s="675"/>
      <c r="F881" s="675"/>
      <c r="S881" s="644"/>
    </row>
    <row r="882" ht="25.5" customHeight="1">
      <c r="A882" s="635"/>
      <c r="B882" s="1323"/>
      <c r="C882" s="635"/>
      <c r="D882" s="1317"/>
      <c r="E882" s="675"/>
      <c r="F882" s="675"/>
      <c r="S882" s="644"/>
    </row>
    <row r="883" ht="25.5" customHeight="1">
      <c r="A883" s="635"/>
      <c r="B883" s="1323"/>
      <c r="C883" s="635"/>
      <c r="D883" s="1317"/>
      <c r="E883" s="675"/>
      <c r="F883" s="675"/>
      <c r="S883" s="644"/>
    </row>
    <row r="884" ht="25.5" customHeight="1">
      <c r="A884" s="635"/>
      <c r="B884" s="1323"/>
      <c r="C884" s="635"/>
      <c r="D884" s="1317"/>
      <c r="E884" s="675"/>
      <c r="F884" s="675"/>
      <c r="S884" s="644"/>
    </row>
    <row r="885" ht="25.5" customHeight="1">
      <c r="A885" s="635"/>
      <c r="B885" s="1323"/>
      <c r="C885" s="635"/>
      <c r="D885" s="1317"/>
      <c r="E885" s="675"/>
      <c r="F885" s="675"/>
      <c r="S885" s="644"/>
    </row>
    <row r="886" ht="25.5" customHeight="1">
      <c r="A886" s="635"/>
      <c r="B886" s="1323"/>
      <c r="C886" s="635"/>
      <c r="D886" s="1317"/>
      <c r="E886" s="675"/>
      <c r="F886" s="675"/>
      <c r="S886" s="644"/>
    </row>
    <row r="887" ht="25.5" customHeight="1">
      <c r="A887" s="635"/>
      <c r="B887" s="1323"/>
      <c r="C887" s="635"/>
      <c r="D887" s="1317"/>
      <c r="E887" s="675"/>
      <c r="F887" s="675"/>
      <c r="S887" s="644"/>
    </row>
    <row r="888" ht="25.5" customHeight="1">
      <c r="A888" s="635"/>
      <c r="B888" s="1323"/>
      <c r="C888" s="635"/>
      <c r="D888" s="1317"/>
      <c r="E888" s="675"/>
      <c r="F888" s="675"/>
      <c r="S888" s="644"/>
    </row>
    <row r="889" ht="25.5" customHeight="1">
      <c r="A889" s="635"/>
      <c r="B889" s="1323"/>
      <c r="C889" s="635"/>
      <c r="D889" s="1317"/>
      <c r="E889" s="675"/>
      <c r="F889" s="675"/>
      <c r="S889" s="644"/>
    </row>
    <row r="890" ht="25.5" customHeight="1">
      <c r="A890" s="635"/>
      <c r="B890" s="1323"/>
      <c r="C890" s="635"/>
      <c r="D890" s="1317"/>
      <c r="E890" s="675"/>
      <c r="F890" s="675"/>
      <c r="S890" s="644"/>
    </row>
    <row r="891" ht="25.5" customHeight="1">
      <c r="A891" s="635"/>
      <c r="B891" s="1323"/>
      <c r="C891" s="635"/>
      <c r="D891" s="1317"/>
      <c r="E891" s="675"/>
      <c r="F891" s="675"/>
      <c r="S891" s="644"/>
    </row>
    <row r="892" ht="25.5" customHeight="1">
      <c r="A892" s="635"/>
      <c r="B892" s="1323"/>
      <c r="C892" s="635"/>
      <c r="D892" s="1317"/>
      <c r="E892" s="675"/>
      <c r="F892" s="675"/>
      <c r="S892" s="644"/>
    </row>
    <row r="893" ht="25.5" customHeight="1">
      <c r="A893" s="635"/>
      <c r="B893" s="1323"/>
      <c r="C893" s="635"/>
      <c r="D893" s="1317"/>
      <c r="E893" s="675"/>
      <c r="F893" s="675"/>
      <c r="S893" s="644"/>
    </row>
    <row r="894" ht="25.5" customHeight="1">
      <c r="A894" s="635"/>
      <c r="B894" s="1323"/>
      <c r="C894" s="635"/>
      <c r="D894" s="1317"/>
      <c r="E894" s="675"/>
      <c r="F894" s="675"/>
      <c r="S894" s="644"/>
    </row>
    <row r="895" ht="25.5" customHeight="1">
      <c r="A895" s="635"/>
      <c r="B895" s="1323"/>
      <c r="C895" s="635"/>
      <c r="D895" s="1317"/>
      <c r="E895" s="675"/>
      <c r="F895" s="675"/>
      <c r="S895" s="644"/>
    </row>
    <row r="896" ht="25.5" customHeight="1">
      <c r="A896" s="635"/>
      <c r="B896" s="1323"/>
      <c r="C896" s="635"/>
      <c r="D896" s="1317"/>
      <c r="E896" s="675"/>
      <c r="F896" s="675"/>
      <c r="S896" s="644"/>
    </row>
    <row r="897" ht="25.5" customHeight="1">
      <c r="A897" s="635"/>
      <c r="B897" s="1323"/>
      <c r="C897" s="635"/>
      <c r="D897" s="1317"/>
      <c r="E897" s="675"/>
      <c r="F897" s="675"/>
      <c r="S897" s="644"/>
    </row>
    <row r="898" ht="25.5" customHeight="1">
      <c r="A898" s="635"/>
      <c r="B898" s="1323"/>
      <c r="C898" s="635"/>
      <c r="D898" s="1317"/>
      <c r="E898" s="675"/>
      <c r="F898" s="675"/>
      <c r="S898" s="644"/>
    </row>
    <row r="899" ht="25.5" customHeight="1">
      <c r="A899" s="635"/>
      <c r="B899" s="1323"/>
      <c r="C899" s="635"/>
      <c r="D899" s="1317"/>
      <c r="E899" s="675"/>
      <c r="F899" s="675"/>
      <c r="S899" s="644"/>
    </row>
    <row r="900" ht="25.5" customHeight="1">
      <c r="A900" s="635"/>
      <c r="B900" s="1323"/>
      <c r="C900" s="635"/>
      <c r="D900" s="1317"/>
      <c r="E900" s="675"/>
      <c r="F900" s="675"/>
      <c r="S900" s="644"/>
    </row>
    <row r="901" ht="25.5" customHeight="1">
      <c r="A901" s="635"/>
      <c r="B901" s="1323"/>
      <c r="C901" s="635"/>
      <c r="D901" s="1317"/>
      <c r="E901" s="675"/>
      <c r="F901" s="675"/>
      <c r="S901" s="644"/>
    </row>
    <row r="902" ht="25.5" customHeight="1">
      <c r="A902" s="635"/>
      <c r="B902" s="1323"/>
      <c r="C902" s="635"/>
      <c r="D902" s="1317"/>
      <c r="E902" s="675"/>
      <c r="F902" s="675"/>
      <c r="S902" s="644"/>
    </row>
    <row r="903" ht="25.5" customHeight="1">
      <c r="A903" s="635"/>
      <c r="B903" s="1323"/>
      <c r="C903" s="635"/>
      <c r="D903" s="1317"/>
      <c r="E903" s="675"/>
      <c r="F903" s="675"/>
      <c r="S903" s="644"/>
    </row>
    <row r="904" ht="25.5" customHeight="1">
      <c r="A904" s="635"/>
      <c r="B904" s="1323"/>
      <c r="C904" s="635"/>
      <c r="D904" s="1317"/>
      <c r="E904" s="675"/>
      <c r="F904" s="675"/>
      <c r="S904" s="644"/>
    </row>
    <row r="905" ht="25.5" customHeight="1">
      <c r="A905" s="635"/>
      <c r="B905" s="1323"/>
      <c r="C905" s="635"/>
      <c r="D905" s="1317"/>
      <c r="E905" s="675"/>
      <c r="F905" s="675"/>
      <c r="S905" s="644"/>
    </row>
    <row r="906" ht="25.5" customHeight="1">
      <c r="A906" s="635"/>
      <c r="B906" s="1323"/>
      <c r="C906" s="635"/>
      <c r="D906" s="1317"/>
      <c r="E906" s="675"/>
      <c r="F906" s="675"/>
      <c r="S906" s="644"/>
    </row>
    <row r="907" ht="25.5" customHeight="1">
      <c r="A907" s="635"/>
      <c r="B907" s="1323"/>
      <c r="C907" s="635"/>
      <c r="D907" s="1317"/>
      <c r="E907" s="675"/>
      <c r="F907" s="675"/>
      <c r="S907" s="644"/>
    </row>
    <row r="908" ht="25.5" customHeight="1">
      <c r="A908" s="635"/>
      <c r="B908" s="1323"/>
      <c r="C908" s="635"/>
      <c r="D908" s="1317"/>
      <c r="E908" s="675"/>
      <c r="F908" s="675"/>
      <c r="S908" s="644"/>
    </row>
    <row r="909" ht="25.5" customHeight="1">
      <c r="A909" s="635"/>
      <c r="B909" s="1323"/>
      <c r="C909" s="635"/>
      <c r="D909" s="1317"/>
      <c r="E909" s="675"/>
      <c r="F909" s="675"/>
      <c r="S909" s="644"/>
    </row>
    <row r="910" ht="25.5" customHeight="1">
      <c r="A910" s="635"/>
      <c r="B910" s="1323"/>
      <c r="C910" s="635"/>
      <c r="D910" s="1317"/>
      <c r="E910" s="675"/>
      <c r="F910" s="675"/>
      <c r="S910" s="644"/>
    </row>
    <row r="911" ht="25.5" customHeight="1">
      <c r="A911" s="635"/>
      <c r="B911" s="1323"/>
      <c r="C911" s="635"/>
      <c r="D911" s="1317"/>
      <c r="E911" s="675"/>
      <c r="F911" s="675"/>
      <c r="S911" s="644"/>
    </row>
    <row r="912" ht="25.5" customHeight="1">
      <c r="A912" s="635"/>
      <c r="B912" s="1323"/>
      <c r="C912" s="635"/>
      <c r="D912" s="1317"/>
      <c r="E912" s="675"/>
      <c r="F912" s="675"/>
      <c r="S912" s="644"/>
    </row>
    <row r="913" ht="25.5" customHeight="1">
      <c r="A913" s="635"/>
      <c r="B913" s="1323"/>
      <c r="C913" s="635"/>
      <c r="D913" s="1317"/>
      <c r="E913" s="675"/>
      <c r="F913" s="675"/>
      <c r="S913" s="644"/>
    </row>
    <row r="914" ht="25.5" customHeight="1">
      <c r="A914" s="635"/>
      <c r="B914" s="1323"/>
      <c r="C914" s="635"/>
      <c r="D914" s="1317"/>
      <c r="E914" s="675"/>
      <c r="F914" s="675"/>
      <c r="S914" s="644"/>
    </row>
    <row r="915" ht="25.5" customHeight="1">
      <c r="A915" s="635"/>
      <c r="B915" s="1323"/>
      <c r="C915" s="635"/>
      <c r="D915" s="1317"/>
      <c r="E915" s="675"/>
      <c r="F915" s="675"/>
      <c r="S915" s="644"/>
    </row>
    <row r="916" ht="25.5" customHeight="1">
      <c r="A916" s="635"/>
      <c r="B916" s="1323"/>
      <c r="C916" s="635"/>
      <c r="D916" s="1317"/>
      <c r="E916" s="675"/>
      <c r="F916" s="675"/>
      <c r="S916" s="644"/>
    </row>
    <row r="917" ht="25.5" customHeight="1">
      <c r="A917" s="635"/>
      <c r="B917" s="1323"/>
      <c r="C917" s="635"/>
      <c r="D917" s="1317"/>
      <c r="E917" s="675"/>
      <c r="F917" s="675"/>
      <c r="S917" s="644"/>
    </row>
    <row r="918" ht="25.5" customHeight="1">
      <c r="A918" s="635"/>
      <c r="B918" s="1323"/>
      <c r="C918" s="635"/>
      <c r="D918" s="1317"/>
      <c r="E918" s="675"/>
      <c r="F918" s="675"/>
      <c r="S918" s="644"/>
    </row>
    <row r="919" ht="25.5" customHeight="1">
      <c r="A919" s="635"/>
      <c r="B919" s="1323"/>
      <c r="C919" s="635"/>
      <c r="D919" s="1317"/>
      <c r="E919" s="675"/>
      <c r="F919" s="675"/>
      <c r="S919" s="644"/>
    </row>
    <row r="920" ht="25.5" customHeight="1">
      <c r="A920" s="635"/>
      <c r="B920" s="1323"/>
      <c r="C920" s="635"/>
      <c r="D920" s="1317"/>
      <c r="E920" s="675"/>
      <c r="F920" s="675"/>
      <c r="S920" s="644"/>
    </row>
    <row r="921" ht="25.5" customHeight="1">
      <c r="A921" s="635"/>
      <c r="B921" s="1323"/>
      <c r="C921" s="635"/>
      <c r="D921" s="1317"/>
      <c r="E921" s="675"/>
      <c r="F921" s="675"/>
      <c r="S921" s="644"/>
    </row>
    <row r="922" ht="25.5" customHeight="1">
      <c r="A922" s="635"/>
      <c r="B922" s="1323"/>
      <c r="C922" s="635"/>
      <c r="D922" s="1317"/>
      <c r="E922" s="675"/>
      <c r="F922" s="675"/>
      <c r="S922" s="644"/>
    </row>
    <row r="923" ht="25.5" customHeight="1">
      <c r="A923" s="635"/>
      <c r="B923" s="1323"/>
      <c r="C923" s="635"/>
      <c r="D923" s="1317"/>
      <c r="E923" s="675"/>
      <c r="F923" s="675"/>
      <c r="S923" s="644"/>
    </row>
    <row r="924" ht="25.5" customHeight="1">
      <c r="A924" s="635"/>
      <c r="B924" s="1323"/>
      <c r="C924" s="635"/>
      <c r="D924" s="1317"/>
      <c r="E924" s="675"/>
      <c r="F924" s="675"/>
      <c r="S924" s="644"/>
    </row>
    <row r="925" ht="25.5" customHeight="1">
      <c r="A925" s="635"/>
      <c r="B925" s="1323"/>
      <c r="C925" s="635"/>
      <c r="D925" s="1317"/>
      <c r="E925" s="675"/>
      <c r="F925" s="675"/>
      <c r="S925" s="644"/>
    </row>
    <row r="926" ht="25.5" customHeight="1">
      <c r="A926" s="635"/>
      <c r="B926" s="1323"/>
      <c r="C926" s="635"/>
      <c r="D926" s="1317"/>
      <c r="E926" s="675"/>
      <c r="F926" s="675"/>
      <c r="S926" s="644"/>
    </row>
    <row r="927" ht="25.5" customHeight="1">
      <c r="A927" s="635"/>
      <c r="B927" s="1323"/>
      <c r="C927" s="635"/>
      <c r="D927" s="1317"/>
      <c r="E927" s="675"/>
      <c r="F927" s="675"/>
      <c r="S927" s="644"/>
    </row>
    <row r="928" ht="25.5" customHeight="1">
      <c r="A928" s="635"/>
      <c r="B928" s="1323"/>
      <c r="C928" s="635"/>
      <c r="D928" s="1317"/>
      <c r="E928" s="675"/>
      <c r="F928" s="675"/>
      <c r="S928" s="644"/>
    </row>
    <row r="929" ht="25.5" customHeight="1">
      <c r="A929" s="635"/>
      <c r="B929" s="1323"/>
      <c r="C929" s="635"/>
      <c r="D929" s="1317"/>
      <c r="E929" s="675"/>
      <c r="F929" s="675"/>
      <c r="S929" s="644"/>
    </row>
    <row r="930" ht="25.5" customHeight="1">
      <c r="A930" s="635"/>
      <c r="B930" s="1323"/>
      <c r="C930" s="635"/>
      <c r="D930" s="1317"/>
      <c r="E930" s="675"/>
      <c r="F930" s="675"/>
      <c r="S930" s="644"/>
    </row>
    <row r="931" ht="25.5" customHeight="1">
      <c r="A931" s="635"/>
      <c r="B931" s="1323"/>
      <c r="C931" s="635"/>
      <c r="D931" s="1317"/>
      <c r="E931" s="675"/>
      <c r="F931" s="675"/>
      <c r="S931" s="644"/>
    </row>
    <row r="932" ht="25.5" customHeight="1">
      <c r="A932" s="635"/>
      <c r="B932" s="1323"/>
      <c r="C932" s="635"/>
      <c r="D932" s="1317"/>
      <c r="E932" s="675"/>
      <c r="F932" s="675"/>
      <c r="S932" s="644"/>
    </row>
    <row r="933" ht="25.5" customHeight="1">
      <c r="A933" s="635"/>
      <c r="B933" s="1323"/>
      <c r="C933" s="635"/>
      <c r="D933" s="1317"/>
      <c r="E933" s="675"/>
      <c r="F933" s="675"/>
      <c r="S933" s="644"/>
    </row>
    <row r="934" ht="25.5" customHeight="1">
      <c r="A934" s="635"/>
      <c r="B934" s="1323"/>
      <c r="C934" s="635"/>
      <c r="D934" s="1317"/>
      <c r="E934" s="675"/>
      <c r="F934" s="675"/>
      <c r="S934" s="644"/>
    </row>
    <row r="935" ht="25.5" customHeight="1">
      <c r="A935" s="635"/>
      <c r="B935" s="1323"/>
      <c r="C935" s="635"/>
      <c r="D935" s="1317"/>
      <c r="E935" s="675"/>
      <c r="F935" s="675"/>
      <c r="S935" s="644"/>
    </row>
    <row r="936" ht="25.5" customHeight="1">
      <c r="A936" s="635"/>
      <c r="B936" s="1323"/>
      <c r="C936" s="635"/>
      <c r="D936" s="1317"/>
      <c r="E936" s="675"/>
      <c r="F936" s="675"/>
      <c r="S936" s="644"/>
    </row>
    <row r="937" ht="25.5" customHeight="1">
      <c r="A937" s="635"/>
      <c r="B937" s="1323"/>
      <c r="C937" s="635"/>
      <c r="D937" s="1317"/>
      <c r="E937" s="675"/>
      <c r="F937" s="675"/>
      <c r="S937" s="644"/>
    </row>
    <row r="938" ht="25.5" customHeight="1">
      <c r="A938" s="635"/>
      <c r="B938" s="1323"/>
      <c r="C938" s="635"/>
      <c r="D938" s="1317"/>
      <c r="E938" s="675"/>
      <c r="F938" s="675"/>
      <c r="S938" s="644"/>
    </row>
    <row r="939" ht="25.5" customHeight="1">
      <c r="A939" s="635"/>
      <c r="B939" s="1323"/>
      <c r="C939" s="635"/>
      <c r="D939" s="1317"/>
      <c r="E939" s="675"/>
      <c r="F939" s="675"/>
      <c r="S939" s="644"/>
    </row>
    <row r="940" ht="25.5" customHeight="1">
      <c r="A940" s="635"/>
      <c r="B940" s="1323"/>
      <c r="C940" s="635"/>
      <c r="D940" s="1317"/>
      <c r="E940" s="675"/>
      <c r="F940" s="675"/>
      <c r="S940" s="644"/>
    </row>
    <row r="941" ht="25.5" customHeight="1">
      <c r="A941" s="635"/>
      <c r="B941" s="1323"/>
      <c r="C941" s="635"/>
      <c r="D941" s="1317"/>
      <c r="E941" s="675"/>
      <c r="F941" s="675"/>
      <c r="S941" s="644"/>
    </row>
    <row r="942" ht="25.5" customHeight="1">
      <c r="A942" s="635"/>
      <c r="B942" s="1323"/>
      <c r="C942" s="635"/>
      <c r="D942" s="1317"/>
      <c r="E942" s="675"/>
      <c r="F942" s="675"/>
      <c r="S942" s="644"/>
    </row>
    <row r="943" ht="25.5" customHeight="1">
      <c r="A943" s="635"/>
      <c r="B943" s="1323"/>
      <c r="C943" s="635"/>
      <c r="D943" s="1317"/>
      <c r="E943" s="675"/>
      <c r="F943" s="675"/>
      <c r="S943" s="644"/>
    </row>
    <row r="944" ht="25.5" customHeight="1">
      <c r="A944" s="635"/>
      <c r="B944" s="1323"/>
      <c r="C944" s="635"/>
      <c r="D944" s="1317"/>
      <c r="E944" s="675"/>
      <c r="F944" s="675"/>
      <c r="S944" s="644"/>
    </row>
    <row r="945" ht="25.5" customHeight="1">
      <c r="A945" s="635"/>
      <c r="B945" s="1323"/>
      <c r="C945" s="635"/>
      <c r="D945" s="1317"/>
      <c r="E945" s="675"/>
      <c r="F945" s="675"/>
      <c r="S945" s="644"/>
    </row>
    <row r="946" ht="25.5" customHeight="1">
      <c r="A946" s="635"/>
      <c r="B946" s="1323"/>
      <c r="C946" s="635"/>
      <c r="D946" s="1317"/>
      <c r="E946" s="675"/>
      <c r="F946" s="675"/>
      <c r="S946" s="644"/>
    </row>
    <row r="947" ht="25.5" customHeight="1">
      <c r="A947" s="635"/>
      <c r="B947" s="1323"/>
      <c r="C947" s="635"/>
      <c r="D947" s="1317"/>
      <c r="E947" s="675"/>
      <c r="F947" s="675"/>
      <c r="S947" s="644"/>
    </row>
    <row r="948" ht="25.5" customHeight="1">
      <c r="A948" s="635"/>
      <c r="B948" s="1323"/>
      <c r="C948" s="635"/>
      <c r="D948" s="1317"/>
      <c r="E948" s="675"/>
      <c r="F948" s="675"/>
      <c r="S948" s="644"/>
    </row>
    <row r="949" ht="25.5" customHeight="1">
      <c r="A949" s="635"/>
      <c r="B949" s="1323"/>
      <c r="C949" s="635"/>
      <c r="D949" s="1317"/>
      <c r="E949" s="675"/>
      <c r="F949" s="675"/>
      <c r="S949" s="644"/>
    </row>
    <row r="950" ht="25.5" customHeight="1">
      <c r="A950" s="635"/>
      <c r="B950" s="1323"/>
      <c r="C950" s="635"/>
      <c r="D950" s="1317"/>
      <c r="E950" s="675"/>
      <c r="F950" s="675"/>
      <c r="S950" s="644"/>
    </row>
    <row r="951" ht="25.5" customHeight="1">
      <c r="A951" s="635"/>
      <c r="B951" s="1323"/>
      <c r="C951" s="635"/>
      <c r="D951" s="1317"/>
      <c r="E951" s="675"/>
      <c r="F951" s="675"/>
      <c r="S951" s="644"/>
    </row>
    <row r="952" ht="25.5" customHeight="1">
      <c r="A952" s="635"/>
      <c r="B952" s="1323"/>
      <c r="C952" s="635"/>
      <c r="D952" s="1317"/>
      <c r="E952" s="675"/>
      <c r="F952" s="675"/>
      <c r="S952" s="644"/>
    </row>
    <row r="953" ht="25.5" customHeight="1">
      <c r="A953" s="635"/>
      <c r="B953" s="1323"/>
      <c r="C953" s="635"/>
      <c r="D953" s="1317"/>
      <c r="E953" s="675"/>
      <c r="F953" s="675"/>
      <c r="S953" s="644"/>
    </row>
    <row r="954" ht="25.5" customHeight="1">
      <c r="A954" s="635"/>
      <c r="B954" s="1323"/>
      <c r="C954" s="635"/>
      <c r="D954" s="1317"/>
      <c r="E954" s="675"/>
      <c r="F954" s="675"/>
      <c r="S954" s="644"/>
    </row>
    <row r="955" ht="25.5" customHeight="1">
      <c r="A955" s="635"/>
      <c r="B955" s="1323"/>
      <c r="C955" s="635"/>
      <c r="D955" s="1317"/>
      <c r="E955" s="675"/>
      <c r="F955" s="675"/>
      <c r="S955" s="644"/>
    </row>
    <row r="956" ht="25.5" customHeight="1">
      <c r="A956" s="635"/>
      <c r="B956" s="1323"/>
      <c r="C956" s="635"/>
      <c r="D956" s="1317"/>
      <c r="E956" s="675"/>
      <c r="F956" s="675"/>
      <c r="S956" s="644"/>
    </row>
    <row r="957" ht="25.5" customHeight="1">
      <c r="A957" s="635"/>
      <c r="B957" s="1323"/>
      <c r="C957" s="635"/>
      <c r="D957" s="1317"/>
      <c r="E957" s="675"/>
      <c r="F957" s="675"/>
      <c r="S957" s="644"/>
    </row>
    <row r="958" ht="25.5" customHeight="1">
      <c r="A958" s="635"/>
      <c r="B958" s="1323"/>
      <c r="C958" s="635"/>
      <c r="D958" s="1317"/>
      <c r="E958" s="675"/>
      <c r="F958" s="675"/>
      <c r="S958" s="644"/>
    </row>
    <row r="959" ht="25.5" customHeight="1">
      <c r="A959" s="635"/>
      <c r="B959" s="1323"/>
      <c r="C959" s="635"/>
      <c r="D959" s="1317"/>
      <c r="E959" s="675"/>
      <c r="F959" s="675"/>
      <c r="S959" s="644"/>
    </row>
    <row r="960" ht="25.5" customHeight="1">
      <c r="A960" s="635"/>
      <c r="B960" s="1323"/>
      <c r="C960" s="635"/>
      <c r="D960" s="1317"/>
      <c r="E960" s="675"/>
      <c r="F960" s="675"/>
      <c r="S960" s="644"/>
    </row>
    <row r="961" ht="25.5" customHeight="1">
      <c r="A961" s="635"/>
      <c r="B961" s="1323"/>
      <c r="C961" s="635"/>
      <c r="D961" s="1317"/>
      <c r="E961" s="675"/>
      <c r="F961" s="675"/>
      <c r="S961" s="644"/>
    </row>
    <row r="962" ht="25.5" customHeight="1">
      <c r="A962" s="635"/>
      <c r="B962" s="1323"/>
      <c r="C962" s="635"/>
      <c r="D962" s="1317"/>
      <c r="E962" s="675"/>
      <c r="F962" s="675"/>
      <c r="S962" s="644"/>
    </row>
    <row r="963" ht="25.5" customHeight="1">
      <c r="A963" s="635"/>
      <c r="B963" s="1323"/>
      <c r="C963" s="635"/>
      <c r="D963" s="1317"/>
      <c r="E963" s="675"/>
      <c r="F963" s="675"/>
      <c r="S963" s="644"/>
    </row>
    <row r="964" ht="25.5" customHeight="1">
      <c r="A964" s="635"/>
      <c r="B964" s="1323"/>
      <c r="C964" s="635"/>
      <c r="D964" s="1317"/>
      <c r="E964" s="675"/>
      <c r="F964" s="675"/>
      <c r="S964" s="644"/>
    </row>
    <row r="965" ht="25.5" customHeight="1">
      <c r="A965" s="635"/>
      <c r="B965" s="1323"/>
      <c r="C965" s="635"/>
      <c r="D965" s="1317"/>
      <c r="E965" s="675"/>
      <c r="F965" s="675"/>
      <c r="S965" s="644"/>
    </row>
    <row r="966" ht="25.5" customHeight="1">
      <c r="A966" s="635"/>
      <c r="B966" s="1323"/>
      <c r="C966" s="635"/>
      <c r="D966" s="1317"/>
      <c r="E966" s="675"/>
      <c r="F966" s="675"/>
      <c r="S966" s="644"/>
    </row>
    <row r="967" ht="25.5" customHeight="1">
      <c r="A967" s="635"/>
      <c r="B967" s="1323"/>
      <c r="C967" s="635"/>
      <c r="D967" s="1317"/>
      <c r="E967" s="675"/>
      <c r="F967" s="675"/>
      <c r="S967" s="644"/>
    </row>
    <row r="968" ht="25.5" customHeight="1">
      <c r="A968" s="635"/>
      <c r="B968" s="1323"/>
      <c r="C968" s="635"/>
      <c r="D968" s="1317"/>
      <c r="E968" s="675"/>
      <c r="F968" s="675"/>
      <c r="S968" s="644"/>
    </row>
    <row r="969" ht="25.5" customHeight="1">
      <c r="A969" s="635"/>
      <c r="B969" s="1323"/>
      <c r="C969" s="635"/>
      <c r="D969" s="1317"/>
      <c r="E969" s="675"/>
      <c r="F969" s="675"/>
      <c r="S969" s="644"/>
    </row>
    <row r="970" ht="25.5" customHeight="1">
      <c r="A970" s="635"/>
      <c r="B970" s="1323"/>
      <c r="C970" s="635"/>
      <c r="D970" s="1317"/>
      <c r="E970" s="675"/>
      <c r="F970" s="675"/>
      <c r="S970" s="644"/>
    </row>
    <row r="971" ht="25.5" customHeight="1">
      <c r="A971" s="635"/>
      <c r="B971" s="1323"/>
      <c r="C971" s="635"/>
      <c r="D971" s="1317"/>
      <c r="E971" s="675"/>
      <c r="F971" s="675"/>
      <c r="S971" s="644"/>
    </row>
    <row r="972" ht="25.5" customHeight="1">
      <c r="A972" s="635"/>
      <c r="B972" s="1323"/>
      <c r="C972" s="635"/>
      <c r="D972" s="1317"/>
      <c r="E972" s="675"/>
      <c r="F972" s="675"/>
      <c r="S972" s="644"/>
    </row>
    <row r="973" ht="25.5" customHeight="1">
      <c r="A973" s="635"/>
      <c r="B973" s="1323"/>
      <c r="C973" s="635"/>
      <c r="D973" s="1317"/>
      <c r="E973" s="675"/>
      <c r="F973" s="675"/>
      <c r="S973" s="644"/>
    </row>
    <row r="974" ht="25.5" customHeight="1">
      <c r="A974" s="635"/>
      <c r="B974" s="1323"/>
      <c r="C974" s="635"/>
      <c r="D974" s="1317"/>
      <c r="E974" s="675"/>
      <c r="F974" s="675"/>
      <c r="S974" s="644"/>
    </row>
    <row r="975" ht="25.5" customHeight="1">
      <c r="A975" s="635"/>
      <c r="B975" s="1323"/>
      <c r="C975" s="635"/>
      <c r="D975" s="1317"/>
      <c r="E975" s="675"/>
      <c r="F975" s="675"/>
      <c r="S975" s="644"/>
    </row>
    <row r="976" ht="25.5" customHeight="1">
      <c r="A976" s="635"/>
      <c r="B976" s="1323"/>
      <c r="C976" s="635"/>
      <c r="D976" s="1317"/>
      <c r="E976" s="675"/>
      <c r="F976" s="675"/>
      <c r="S976" s="644"/>
    </row>
    <row r="977" ht="25.5" customHeight="1">
      <c r="A977" s="635"/>
      <c r="B977" s="1323"/>
      <c r="C977" s="635"/>
      <c r="D977" s="1317"/>
      <c r="E977" s="675"/>
      <c r="F977" s="675"/>
      <c r="S977" s="644"/>
    </row>
    <row r="978" ht="25.5" customHeight="1">
      <c r="A978" s="635"/>
      <c r="B978" s="1323"/>
      <c r="C978" s="635"/>
      <c r="D978" s="1317"/>
      <c r="E978" s="675"/>
      <c r="F978" s="675"/>
      <c r="S978" s="644"/>
    </row>
    <row r="979" ht="25.5" customHeight="1">
      <c r="A979" s="635"/>
      <c r="B979" s="1323"/>
      <c r="C979" s="635"/>
      <c r="D979" s="1317"/>
      <c r="E979" s="675"/>
      <c r="F979" s="675"/>
      <c r="S979" s="644"/>
    </row>
    <row r="980" ht="25.5" customHeight="1">
      <c r="A980" s="635"/>
      <c r="B980" s="1323"/>
      <c r="C980" s="635"/>
      <c r="D980" s="1317"/>
      <c r="E980" s="675"/>
      <c r="F980" s="675"/>
      <c r="S980" s="644"/>
    </row>
    <row r="981" ht="25.5" customHeight="1">
      <c r="A981" s="635"/>
      <c r="B981" s="1323"/>
      <c r="C981" s="635"/>
      <c r="D981" s="1317"/>
      <c r="E981" s="675"/>
      <c r="F981" s="675"/>
      <c r="S981" s="644"/>
    </row>
    <row r="982" ht="25.5" customHeight="1">
      <c r="A982" s="635"/>
      <c r="B982" s="1323"/>
      <c r="C982" s="635"/>
      <c r="D982" s="1317"/>
      <c r="E982" s="675"/>
      <c r="F982" s="675"/>
      <c r="S982" s="644"/>
    </row>
    <row r="983" ht="25.5" customHeight="1">
      <c r="A983" s="635"/>
      <c r="B983" s="1323"/>
      <c r="C983" s="635"/>
      <c r="D983" s="1317"/>
      <c r="E983" s="675"/>
      <c r="F983" s="675"/>
      <c r="S983" s="644"/>
    </row>
    <row r="984" ht="25.5" customHeight="1">
      <c r="A984" s="635"/>
      <c r="B984" s="1323"/>
      <c r="C984" s="635"/>
      <c r="D984" s="1317"/>
      <c r="E984" s="675"/>
      <c r="F984" s="675"/>
      <c r="S984" s="644"/>
    </row>
    <row r="985" ht="25.5" customHeight="1">
      <c r="A985" s="635"/>
      <c r="B985" s="1323"/>
      <c r="C985" s="635"/>
      <c r="D985" s="1317"/>
      <c r="E985" s="675"/>
      <c r="F985" s="675"/>
      <c r="S985" s="644"/>
    </row>
    <row r="986" ht="25.5" customHeight="1">
      <c r="A986" s="635"/>
      <c r="B986" s="1323"/>
      <c r="C986" s="635"/>
      <c r="D986" s="1317"/>
      <c r="E986" s="675"/>
      <c r="F986" s="675"/>
      <c r="S986" s="644"/>
    </row>
    <row r="987" ht="25.5" customHeight="1">
      <c r="A987" s="635"/>
      <c r="B987" s="1323"/>
      <c r="C987" s="635"/>
      <c r="D987" s="1317"/>
      <c r="E987" s="675"/>
      <c r="F987" s="675"/>
      <c r="S987" s="644"/>
    </row>
    <row r="988" ht="25.5" customHeight="1">
      <c r="A988" s="635"/>
      <c r="B988" s="1323"/>
      <c r="C988" s="635"/>
      <c r="D988" s="1317"/>
      <c r="E988" s="675"/>
      <c r="F988" s="675"/>
      <c r="S988" s="644"/>
    </row>
    <row r="989" ht="25.5" customHeight="1">
      <c r="A989" s="635"/>
      <c r="B989" s="1323"/>
      <c r="C989" s="635"/>
      <c r="D989" s="1317"/>
      <c r="E989" s="675"/>
      <c r="F989" s="675"/>
      <c r="S989" s="644"/>
    </row>
    <row r="990" ht="25.5" customHeight="1">
      <c r="A990" s="635"/>
      <c r="B990" s="1323"/>
      <c r="C990" s="635"/>
      <c r="D990" s="1317"/>
      <c r="E990" s="675"/>
      <c r="F990" s="675"/>
      <c r="S990" s="644"/>
    </row>
    <row r="991" ht="25.5" customHeight="1">
      <c r="A991" s="635"/>
      <c r="B991" s="1323"/>
      <c r="C991" s="635"/>
      <c r="D991" s="1317"/>
      <c r="E991" s="675"/>
      <c r="F991" s="675"/>
      <c r="S991" s="644"/>
    </row>
    <row r="992" ht="25.5" customHeight="1">
      <c r="A992" s="635"/>
      <c r="B992" s="1323"/>
      <c r="C992" s="635"/>
      <c r="D992" s="1317"/>
      <c r="E992" s="675"/>
      <c r="F992" s="675"/>
      <c r="S992" s="644"/>
    </row>
    <row r="993" ht="25.5" customHeight="1">
      <c r="A993" s="635"/>
      <c r="B993" s="1323"/>
      <c r="C993" s="635"/>
      <c r="D993" s="1317"/>
      <c r="E993" s="675"/>
      <c r="F993" s="675"/>
      <c r="S993" s="644"/>
    </row>
    <row r="994" ht="25.5" customHeight="1">
      <c r="A994" s="635"/>
      <c r="B994" s="1323"/>
      <c r="C994" s="635"/>
      <c r="D994" s="1317"/>
      <c r="E994" s="675"/>
      <c r="F994" s="675"/>
      <c r="S994" s="644"/>
    </row>
    <row r="995" ht="25.5" customHeight="1">
      <c r="A995" s="635"/>
      <c r="B995" s="1323"/>
      <c r="C995" s="635"/>
      <c r="D995" s="1317"/>
      <c r="E995" s="675"/>
      <c r="F995" s="675"/>
      <c r="S995" s="644"/>
    </row>
    <row r="996" ht="25.5" customHeight="1">
      <c r="A996" s="635"/>
      <c r="B996" s="1323"/>
      <c r="C996" s="635"/>
      <c r="D996" s="1317"/>
      <c r="E996" s="675"/>
      <c r="F996" s="675"/>
      <c r="S996" s="644"/>
    </row>
    <row r="997" ht="25.5" customHeight="1">
      <c r="A997" s="635"/>
      <c r="B997" s="1323"/>
      <c r="C997" s="635"/>
      <c r="D997" s="1317"/>
      <c r="E997" s="675"/>
      <c r="F997" s="675"/>
      <c r="S997" s="644"/>
    </row>
    <row r="998" ht="25.5" customHeight="1">
      <c r="A998" s="635"/>
      <c r="B998" s="1323"/>
      <c r="C998" s="635"/>
      <c r="D998" s="1317"/>
      <c r="E998" s="675"/>
      <c r="F998" s="675"/>
      <c r="S998" s="644"/>
    </row>
    <row r="999" ht="25.5" customHeight="1">
      <c r="A999" s="635"/>
      <c r="B999" s="1323"/>
      <c r="C999" s="635"/>
      <c r="D999" s="1317"/>
      <c r="E999" s="675"/>
      <c r="F999" s="675"/>
      <c r="S999" s="644"/>
    </row>
    <row r="1000" ht="25.5" customHeight="1">
      <c r="A1000" s="635"/>
      <c r="B1000" s="1323"/>
      <c r="C1000" s="635"/>
      <c r="D1000" s="1317"/>
      <c r="E1000" s="675"/>
      <c r="F1000" s="675"/>
      <c r="S1000" s="644"/>
    </row>
    <row r="1001" ht="25.5" customHeight="1">
      <c r="A1001" s="635"/>
      <c r="B1001" s="1323"/>
      <c r="C1001" s="635"/>
      <c r="D1001" s="1317"/>
      <c r="E1001" s="675"/>
      <c r="F1001" s="675"/>
      <c r="S1001" s="644"/>
    </row>
    <row r="1002" ht="25.5" customHeight="1">
      <c r="A1002" s="635"/>
      <c r="B1002" s="1323"/>
      <c r="C1002" s="635"/>
      <c r="D1002" s="1317"/>
      <c r="E1002" s="675"/>
      <c r="F1002" s="675"/>
      <c r="S1002" s="644"/>
    </row>
    <row r="1003" ht="25.5" customHeight="1">
      <c r="A1003" s="635"/>
      <c r="B1003" s="1323"/>
      <c r="C1003" s="635"/>
      <c r="D1003" s="1317"/>
      <c r="E1003" s="675"/>
      <c r="F1003" s="675"/>
      <c r="S1003" s="644"/>
    </row>
    <row r="1004" ht="25.5" customHeight="1">
      <c r="A1004" s="635"/>
      <c r="B1004" s="1323"/>
      <c r="C1004" s="635"/>
      <c r="D1004" s="1317"/>
      <c r="E1004" s="675"/>
      <c r="F1004" s="675"/>
      <c r="S1004" s="644"/>
    </row>
    <row r="1005" ht="25.5" customHeight="1">
      <c r="A1005" s="635"/>
      <c r="B1005" s="1323"/>
      <c r="C1005" s="635"/>
      <c r="D1005" s="1317"/>
      <c r="E1005" s="675"/>
      <c r="F1005" s="675"/>
      <c r="S1005" s="644"/>
    </row>
    <row r="1006" ht="25.5" customHeight="1">
      <c r="A1006" s="635"/>
      <c r="B1006" s="1323"/>
      <c r="C1006" s="635"/>
      <c r="D1006" s="1317"/>
      <c r="E1006" s="675"/>
      <c r="F1006" s="675"/>
      <c r="S1006" s="644"/>
    </row>
    <row r="1007" ht="25.5" customHeight="1">
      <c r="A1007" s="635"/>
      <c r="B1007" s="1323"/>
      <c r="C1007" s="635"/>
      <c r="D1007" s="1317"/>
      <c r="E1007" s="675"/>
      <c r="F1007" s="675"/>
      <c r="S1007" s="644"/>
    </row>
    <row r="1008" ht="25.5" customHeight="1">
      <c r="A1008" s="635"/>
      <c r="B1008" s="1323"/>
      <c r="C1008" s="635"/>
      <c r="D1008" s="1317"/>
      <c r="E1008" s="675"/>
      <c r="F1008" s="675"/>
      <c r="S1008" s="644"/>
    </row>
    <row r="1009" ht="25.5" customHeight="1">
      <c r="A1009" s="635"/>
      <c r="B1009" s="1323"/>
      <c r="C1009" s="635"/>
      <c r="D1009" s="1317"/>
      <c r="E1009" s="675"/>
      <c r="F1009" s="675"/>
      <c r="S1009" s="644"/>
    </row>
    <row r="1010" ht="25.5" customHeight="1">
      <c r="A1010" s="635"/>
      <c r="B1010" s="1323"/>
      <c r="C1010" s="635"/>
      <c r="D1010" s="1317"/>
      <c r="E1010" s="675"/>
      <c r="F1010" s="675"/>
      <c r="S1010" s="644"/>
    </row>
    <row r="1011" ht="25.5" customHeight="1">
      <c r="A1011" s="635"/>
      <c r="B1011" s="1323"/>
      <c r="C1011" s="635"/>
      <c r="D1011" s="1317"/>
      <c r="E1011" s="675"/>
      <c r="F1011" s="675"/>
      <c r="S1011" s="644"/>
    </row>
    <row r="1012" ht="25.5" customHeight="1">
      <c r="A1012" s="635"/>
      <c r="B1012" s="1323"/>
      <c r="C1012" s="635"/>
      <c r="D1012" s="1317"/>
      <c r="E1012" s="675"/>
      <c r="F1012" s="675"/>
      <c r="S1012" s="644"/>
    </row>
    <row r="1013" ht="25.5" customHeight="1">
      <c r="A1013" s="635"/>
      <c r="B1013" s="1323"/>
      <c r="C1013" s="635"/>
      <c r="D1013" s="1317"/>
      <c r="E1013" s="675"/>
      <c r="F1013" s="675"/>
      <c r="S1013" s="644"/>
    </row>
  </sheetData>
  <hyperlinks>
    <hyperlink r:id="rId1" ref="T10"/>
    <hyperlink r:id="rId2" ref="T11"/>
    <hyperlink r:id="rId3" ref="T12"/>
    <hyperlink r:id="rId4" ref="T13"/>
    <hyperlink r:id="rId5" ref="T14"/>
    <hyperlink r:id="rId6" ref="T15"/>
    <hyperlink r:id="rId7" ref="T20"/>
    <hyperlink r:id="rId8" ref="T22"/>
    <hyperlink r:id="rId9" ref="T25"/>
    <hyperlink r:id="rId10" ref="T28"/>
    <hyperlink r:id="rId11" ref="T33"/>
    <hyperlink r:id="rId12" ref="T34"/>
    <hyperlink r:id="rId13" ref="T35"/>
    <hyperlink r:id="rId14" ref="T36"/>
    <hyperlink r:id="rId15" ref="T37"/>
    <hyperlink r:id="rId16" ref="T43"/>
    <hyperlink r:id="rId17" ref="T44"/>
    <hyperlink r:id="rId18" ref="T46"/>
    <hyperlink r:id="rId19" ref="U46"/>
    <hyperlink r:id="rId20" ref="T47"/>
    <hyperlink r:id="rId21" ref="T59"/>
    <hyperlink r:id="rId22" ref="T60"/>
    <hyperlink r:id="rId23" ref="T61"/>
    <hyperlink r:id="rId24" ref="T63"/>
    <hyperlink r:id="rId25" ref="U63"/>
    <hyperlink r:id="rId26" ref="T65"/>
    <hyperlink r:id="rId27" ref="T68"/>
    <hyperlink r:id="rId28" ref="T69"/>
    <hyperlink r:id="rId29" ref="T70"/>
    <hyperlink r:id="rId30" ref="T71"/>
    <hyperlink r:id="rId31" ref="T72"/>
    <hyperlink r:id="rId32" ref="T78"/>
    <hyperlink r:id="rId33" ref="T79"/>
    <hyperlink r:id="rId34" ref="T80"/>
    <hyperlink r:id="rId35" ref="S81"/>
    <hyperlink r:id="rId36" ref="T83"/>
    <hyperlink r:id="rId37" ref="T84"/>
  </hyperlinks>
  <drawing r:id="rId38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2" width="17.89"/>
    <col customWidth="1" min="8" max="8" width="2.22"/>
    <col customWidth="1" min="9" max="9" width="23.89"/>
  </cols>
  <sheetData>
    <row r="1">
      <c r="A1" s="772" t="s">
        <v>1128</v>
      </c>
      <c r="B1" s="784"/>
      <c r="C1" s="784"/>
      <c r="D1" s="784"/>
      <c r="E1" s="784"/>
      <c r="F1" s="784"/>
      <c r="G1" s="784"/>
      <c r="H1" s="784"/>
      <c r="I1" s="784"/>
    </row>
    <row r="2">
      <c r="A2" s="772" t="s">
        <v>1129</v>
      </c>
      <c r="B2" s="784"/>
      <c r="C2" s="772" t="s">
        <v>1130</v>
      </c>
      <c r="D2" s="772" t="s">
        <v>1131</v>
      </c>
      <c r="E2" s="772" t="s">
        <v>76</v>
      </c>
      <c r="F2" s="772" t="s">
        <v>1132</v>
      </c>
      <c r="G2" s="772" t="s">
        <v>1133</v>
      </c>
      <c r="H2" s="784"/>
      <c r="I2" s="772" t="s">
        <v>1134</v>
      </c>
    </row>
    <row r="3">
      <c r="A3" s="53">
        <v>1.0</v>
      </c>
      <c r="B3" s="53" t="s">
        <v>1135</v>
      </c>
      <c r="C3" s="53">
        <v>10000.0</v>
      </c>
      <c r="D3" s="53">
        <v>4169.0</v>
      </c>
      <c r="E3" s="773">
        <f t="shared" ref="E3:E6" si="1">C3/D3</f>
        <v>2.398656752</v>
      </c>
      <c r="F3" s="53">
        <v>0.73</v>
      </c>
      <c r="G3" s="646">
        <f t="shared" ref="G3:G4" si="2">F3*D3</f>
        <v>3043.37</v>
      </c>
      <c r="I3" s="53" t="s">
        <v>1136</v>
      </c>
    </row>
    <row r="4">
      <c r="A4" s="53">
        <v>2.0</v>
      </c>
      <c r="B4" s="53" t="s">
        <v>1137</v>
      </c>
      <c r="C4" s="53">
        <v>5000.0</v>
      </c>
      <c r="D4" s="53">
        <v>2350.0</v>
      </c>
      <c r="E4" s="773">
        <f t="shared" si="1"/>
        <v>2.127659574</v>
      </c>
      <c r="F4" s="53">
        <v>0.73</v>
      </c>
      <c r="G4" s="646">
        <f t="shared" si="2"/>
        <v>1715.5</v>
      </c>
      <c r="I4" s="53" t="s">
        <v>1138</v>
      </c>
    </row>
    <row r="5">
      <c r="A5" s="53">
        <v>3.0</v>
      </c>
      <c r="B5" s="53" t="s">
        <v>1139</v>
      </c>
      <c r="C5" s="53">
        <v>19168.17</v>
      </c>
      <c r="D5" s="53">
        <v>725.23</v>
      </c>
      <c r="E5" s="773">
        <f t="shared" si="1"/>
        <v>26.43047033</v>
      </c>
      <c r="F5" s="53" t="s">
        <v>1140</v>
      </c>
      <c r="I5" s="53" t="s">
        <v>1138</v>
      </c>
    </row>
    <row r="6">
      <c r="A6" s="53">
        <v>4.0</v>
      </c>
      <c r="B6" s="53" t="s">
        <v>1141</v>
      </c>
      <c r="C6" s="53">
        <v>5600.0</v>
      </c>
      <c r="D6" s="53">
        <v>5250.0</v>
      </c>
      <c r="E6" s="773">
        <f t="shared" si="1"/>
        <v>1.066666667</v>
      </c>
      <c r="F6" s="53" t="s">
        <v>1140</v>
      </c>
      <c r="I6" s="53" t="s">
        <v>1142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4" max="14" width="13.78"/>
  </cols>
  <sheetData>
    <row r="1">
      <c r="A1" s="1324" t="s">
        <v>1143</v>
      </c>
      <c r="B1" s="781" t="s">
        <v>48</v>
      </c>
      <c r="C1" s="1235"/>
      <c r="D1" s="1325" t="s">
        <v>1144</v>
      </c>
      <c r="E1" s="1326"/>
      <c r="F1" s="53"/>
      <c r="G1" s="53" t="s">
        <v>1145</v>
      </c>
      <c r="H1" s="1324" t="s">
        <v>75</v>
      </c>
      <c r="I1" s="1054" t="s">
        <v>1146</v>
      </c>
      <c r="J1" s="1327"/>
      <c r="N1" s="53" t="s">
        <v>1147</v>
      </c>
    </row>
    <row r="2">
      <c r="A2" s="1237">
        <f>IntelligentData!C7</f>
        <v>6.867666325</v>
      </c>
      <c r="B2" s="781">
        <f>SUM(B5:B21)</f>
        <v>14964.5119</v>
      </c>
      <c r="C2" s="1235">
        <f>SUM(C6:C12)</f>
        <v>0</v>
      </c>
      <c r="D2" s="1325" t="str">
        <f>B2/C2</f>
        <v>#DIV/0!</v>
      </c>
      <c r="E2" s="1326"/>
      <c r="F2" s="189"/>
      <c r="G2" s="189">
        <f>C2*A2</f>
        <v>0</v>
      </c>
      <c r="H2" s="781">
        <f>G2-B2</f>
        <v>-14964.5119</v>
      </c>
      <c r="I2" s="192">
        <f>H2/B2</f>
        <v>-1</v>
      </c>
      <c r="J2" s="1327"/>
      <c r="N2" s="1328">
        <v>45051.21527777778</v>
      </c>
      <c r="O2" s="53" t="s">
        <v>1148</v>
      </c>
      <c r="P2" s="609" t="s">
        <v>1093</v>
      </c>
    </row>
    <row r="3">
      <c r="B3" s="781"/>
      <c r="C3" s="1235"/>
      <c r="D3" s="1325"/>
      <c r="E3" s="1326"/>
      <c r="H3" s="1324"/>
      <c r="I3" s="192"/>
      <c r="J3" s="1327"/>
    </row>
    <row r="4">
      <c r="A4" s="1329" t="s">
        <v>44</v>
      </c>
      <c r="B4" s="1330" t="s">
        <v>41</v>
      </c>
      <c r="C4" s="785" t="s">
        <v>1149</v>
      </c>
      <c r="D4" s="1331" t="s">
        <v>115</v>
      </c>
      <c r="E4" s="1332" t="s">
        <v>17</v>
      </c>
      <c r="F4" s="53"/>
      <c r="G4" s="53" t="s">
        <v>28</v>
      </c>
      <c r="H4" s="1329"/>
      <c r="I4" s="1333"/>
      <c r="J4" s="1334"/>
      <c r="K4" s="772"/>
    </row>
    <row r="5">
      <c r="A5" s="1324" t="s">
        <v>1150</v>
      </c>
      <c r="B5" s="781">
        <v>-5562.0</v>
      </c>
      <c r="C5" s="1235"/>
      <c r="D5" s="1335"/>
      <c r="E5" s="1332"/>
      <c r="F5" s="1336"/>
      <c r="G5" s="1336" t="s">
        <v>327</v>
      </c>
      <c r="H5" s="1337" t="s">
        <v>1067</v>
      </c>
      <c r="I5" s="1054"/>
      <c r="J5" s="1327"/>
      <c r="K5" s="1324"/>
      <c r="L5" s="781"/>
      <c r="M5" s="1235"/>
      <c r="N5" s="1325"/>
      <c r="Q5" s="1324"/>
      <c r="R5" s="1054"/>
    </row>
    <row r="6">
      <c r="A6" s="1324" t="s">
        <v>1151</v>
      </c>
      <c r="B6" s="781">
        <v>5008.0</v>
      </c>
      <c r="C6" s="1235">
        <v>3904.0</v>
      </c>
      <c r="D6" s="1335">
        <f t="shared" ref="D6:D9" si="1">B6/C6</f>
        <v>1.282786885</v>
      </c>
      <c r="E6" s="1332">
        <v>1.10148</v>
      </c>
      <c r="F6" s="1336"/>
      <c r="G6" s="1336" t="s">
        <v>1152</v>
      </c>
      <c r="H6" s="1324"/>
      <c r="I6" s="1054"/>
      <c r="J6" s="1327"/>
      <c r="K6" s="1324"/>
      <c r="L6" s="781"/>
      <c r="M6" s="1235"/>
      <c r="N6" s="1325"/>
      <c r="Q6" s="1324"/>
      <c r="R6" s="1054"/>
    </row>
    <row r="7">
      <c r="A7" s="1324" t="s">
        <v>1153</v>
      </c>
      <c r="B7" s="781">
        <f>5507.8125+8.8125</f>
        <v>5516.625</v>
      </c>
      <c r="C7" s="1235">
        <v>3906.25</v>
      </c>
      <c r="D7" s="1335">
        <f t="shared" si="1"/>
        <v>1.412256</v>
      </c>
      <c r="E7" s="1332">
        <v>1.09842</v>
      </c>
      <c r="F7" s="1336"/>
      <c r="G7" s="1336" t="s">
        <v>1152</v>
      </c>
      <c r="H7" s="1324"/>
      <c r="I7" s="1054"/>
      <c r="J7" s="1338"/>
      <c r="K7" s="1237"/>
      <c r="L7" s="781"/>
      <c r="M7" s="1235"/>
      <c r="N7" s="1325"/>
      <c r="P7" s="189"/>
      <c r="Q7" s="781"/>
      <c r="R7" s="192"/>
    </row>
    <row r="8">
      <c r="A8" s="1324" t="s">
        <v>1154</v>
      </c>
      <c r="B8" s="781">
        <v>5000.964</v>
      </c>
      <c r="C8" s="1235">
        <v>4343.0</v>
      </c>
      <c r="D8" s="1335">
        <f t="shared" si="1"/>
        <v>1.151499885</v>
      </c>
      <c r="E8" s="1332">
        <v>1.1031</v>
      </c>
      <c r="F8" s="53"/>
      <c r="G8" s="53" t="s">
        <v>1155</v>
      </c>
      <c r="H8" s="1324"/>
      <c r="I8" s="1054"/>
      <c r="J8" s="1338"/>
      <c r="L8" s="781"/>
      <c r="M8" s="1235"/>
      <c r="N8" s="1325"/>
      <c r="Q8" s="1324"/>
      <c r="R8" s="192"/>
    </row>
    <row r="9">
      <c r="A9" s="1324" t="s">
        <v>1156</v>
      </c>
      <c r="B9" s="781">
        <v>5000.9229</v>
      </c>
      <c r="C9" s="1235">
        <v>4469.1</v>
      </c>
      <c r="D9" s="1335">
        <f t="shared" si="1"/>
        <v>1.119</v>
      </c>
      <c r="E9" s="1332">
        <v>1.08179</v>
      </c>
      <c r="F9" s="53"/>
      <c r="G9" s="53" t="s">
        <v>1155</v>
      </c>
      <c r="H9" s="1324"/>
      <c r="I9" s="1054"/>
      <c r="J9" s="1338"/>
      <c r="K9" s="1329"/>
      <c r="L9" s="1330"/>
      <c r="M9" s="785"/>
      <c r="N9" s="1331"/>
      <c r="Q9" s="1329"/>
      <c r="R9" s="1333"/>
    </row>
    <row r="10">
      <c r="A10" s="1324" t="s">
        <v>1157</v>
      </c>
      <c r="C10" s="1235">
        <v>-16645.5</v>
      </c>
      <c r="D10" s="1335"/>
      <c r="E10" s="1326"/>
      <c r="H10" s="1324"/>
      <c r="I10" s="1054"/>
      <c r="J10" s="1338"/>
      <c r="K10" s="1324"/>
      <c r="L10" s="781"/>
      <c r="M10" s="1235"/>
      <c r="N10" s="1335"/>
      <c r="P10" s="1336"/>
      <c r="Q10" s="1324"/>
      <c r="R10" s="1054"/>
    </row>
    <row r="11">
      <c r="D11" s="1339" t="s">
        <v>1158</v>
      </c>
      <c r="E11" s="1326"/>
      <c r="K11" s="1324"/>
      <c r="L11" s="781"/>
      <c r="M11" s="1235"/>
      <c r="N11" s="1335"/>
      <c r="P11" s="1336"/>
      <c r="Q11" s="1324"/>
      <c r="R11" s="1054"/>
    </row>
    <row r="12">
      <c r="A12" s="1340"/>
      <c r="B12" s="189"/>
      <c r="C12" s="676">
        <v>23.150000000001455</v>
      </c>
      <c r="D12" s="1325" t="s">
        <v>1159</v>
      </c>
      <c r="E12" s="781" t="s">
        <v>1160</v>
      </c>
      <c r="K12" s="1324"/>
      <c r="L12" s="781"/>
      <c r="M12" s="1235"/>
      <c r="N12" s="1335"/>
      <c r="Q12" s="1324"/>
      <c r="R12" s="1054"/>
    </row>
    <row r="13">
      <c r="A13" s="1340"/>
      <c r="B13" s="189"/>
      <c r="C13" s="676"/>
      <c r="D13" s="1335"/>
      <c r="E13" s="1326"/>
    </row>
    <row r="14">
      <c r="A14" s="1324" t="s">
        <v>1161</v>
      </c>
      <c r="B14" s="189"/>
      <c r="C14" s="676"/>
      <c r="D14" s="1335"/>
      <c r="E14" s="1326"/>
    </row>
    <row r="15">
      <c r="A15" s="1327">
        <v>14964.51</v>
      </c>
      <c r="B15" s="189"/>
      <c r="C15" s="676"/>
      <c r="D15" s="1335"/>
      <c r="E15" s="1326"/>
    </row>
    <row r="16">
      <c r="A16" s="1340"/>
      <c r="B16" s="189"/>
      <c r="C16" s="676"/>
      <c r="D16" s="1335"/>
      <c r="E16" s="1326"/>
    </row>
    <row r="17">
      <c r="A17" s="1340"/>
      <c r="B17" s="189"/>
      <c r="C17" s="676"/>
      <c r="D17" s="1335"/>
      <c r="E17" s="1326"/>
    </row>
    <row r="18">
      <c r="A18" s="1340"/>
      <c r="B18" s="189"/>
      <c r="C18" s="676"/>
      <c r="D18" s="1335"/>
      <c r="E18" s="1326"/>
    </row>
    <row r="19">
      <c r="A19" s="1340"/>
      <c r="B19" s="189"/>
      <c r="C19" s="676"/>
      <c r="D19" s="1335"/>
      <c r="E19" s="1326"/>
    </row>
    <row r="20">
      <c r="A20" s="1340"/>
      <c r="B20" s="189"/>
      <c r="C20" s="676"/>
      <c r="D20" s="1335"/>
      <c r="E20" s="1326"/>
    </row>
    <row r="21">
      <c r="A21" s="1340"/>
      <c r="B21" s="189"/>
      <c r="C21" s="676"/>
      <c r="D21" s="1335"/>
      <c r="E21" s="1326"/>
    </row>
    <row r="22">
      <c r="A22" s="1340"/>
      <c r="B22" s="189"/>
      <c r="C22" s="676"/>
      <c r="D22" s="1335"/>
      <c r="E22" s="1326"/>
    </row>
    <row r="23">
      <c r="A23" s="1340"/>
      <c r="B23" s="189"/>
      <c r="C23" s="676"/>
      <c r="D23" s="1335"/>
      <c r="E23" s="1326"/>
    </row>
    <row r="24">
      <c r="A24" s="1340"/>
      <c r="B24" s="189"/>
      <c r="C24" s="676"/>
      <c r="D24" s="1335"/>
      <c r="E24" s="1326"/>
    </row>
    <row r="25">
      <c r="A25" s="1340"/>
      <c r="B25" s="189"/>
      <c r="C25" s="676"/>
      <c r="D25" s="1335"/>
      <c r="E25" s="1326"/>
    </row>
    <row r="26">
      <c r="A26" s="1340"/>
      <c r="B26" s="189"/>
      <c r="C26" s="676"/>
      <c r="D26" s="1335"/>
      <c r="E26" s="1326"/>
    </row>
    <row r="27">
      <c r="A27" s="1340"/>
      <c r="B27" s="189"/>
      <c r="C27" s="676"/>
      <c r="D27" s="1335"/>
      <c r="E27" s="1326"/>
    </row>
    <row r="28">
      <c r="A28" s="1340"/>
      <c r="B28" s="189"/>
      <c r="C28" s="676"/>
      <c r="D28" s="1335"/>
      <c r="E28" s="1326"/>
    </row>
    <row r="29">
      <c r="A29" s="1340"/>
      <c r="B29" s="189"/>
      <c r="C29" s="676"/>
      <c r="D29" s="1335"/>
      <c r="E29" s="1326"/>
    </row>
    <row r="30">
      <c r="A30" s="1340"/>
      <c r="B30" s="189"/>
      <c r="C30" s="676"/>
      <c r="D30" s="1335"/>
      <c r="E30" s="1326"/>
    </row>
    <row r="31">
      <c r="A31" s="1340"/>
      <c r="B31" s="189"/>
      <c r="C31" s="676"/>
      <c r="D31" s="1335"/>
      <c r="E31" s="1326"/>
    </row>
    <row r="32">
      <c r="A32" s="1340"/>
      <c r="B32" s="189"/>
      <c r="C32" s="676"/>
      <c r="D32" s="1335"/>
      <c r="E32" s="1326"/>
    </row>
    <row r="33">
      <c r="A33" s="1340"/>
      <c r="B33" s="189"/>
      <c r="C33" s="676"/>
      <c r="D33" s="1335"/>
      <c r="E33" s="1326"/>
    </row>
    <row r="34">
      <c r="A34" s="1340"/>
      <c r="B34" s="189"/>
      <c r="C34" s="676"/>
      <c r="D34" s="1335"/>
      <c r="E34" s="1326"/>
    </row>
    <row r="35">
      <c r="A35" s="1340"/>
      <c r="B35" s="189"/>
      <c r="C35" s="676"/>
      <c r="D35" s="1335"/>
      <c r="E35" s="1326"/>
    </row>
    <row r="36">
      <c r="A36" s="1340"/>
      <c r="B36" s="189"/>
      <c r="C36" s="676"/>
      <c r="D36" s="1335"/>
      <c r="E36" s="1326"/>
    </row>
    <row r="37">
      <c r="A37" s="1340"/>
      <c r="B37" s="189"/>
      <c r="C37" s="676"/>
      <c r="D37" s="1335"/>
      <c r="E37" s="1326"/>
    </row>
    <row r="38">
      <c r="A38" s="1340"/>
      <c r="B38" s="189"/>
      <c r="C38" s="676"/>
      <c r="D38" s="1335"/>
      <c r="E38" s="1326"/>
    </row>
    <row r="39">
      <c r="A39" s="1340"/>
      <c r="B39" s="189"/>
      <c r="C39" s="676"/>
      <c r="D39" s="1335"/>
      <c r="E39" s="1326"/>
    </row>
    <row r="40">
      <c r="A40" s="1340"/>
      <c r="B40" s="189"/>
      <c r="C40" s="676"/>
      <c r="D40" s="1335"/>
      <c r="E40" s="1326"/>
    </row>
    <row r="41">
      <c r="A41" s="1340"/>
      <c r="B41" s="189"/>
      <c r="C41" s="676"/>
      <c r="D41" s="1335"/>
      <c r="E41" s="1326"/>
    </row>
    <row r="42">
      <c r="A42" s="1340"/>
      <c r="B42" s="189"/>
      <c r="C42" s="676"/>
      <c r="D42" s="1335"/>
      <c r="E42" s="1326"/>
    </row>
    <row r="43">
      <c r="A43" s="1340"/>
      <c r="B43" s="189"/>
      <c r="C43" s="676"/>
      <c r="D43" s="1335"/>
      <c r="E43" s="1326"/>
    </row>
    <row r="44">
      <c r="A44" s="1340"/>
      <c r="B44" s="189"/>
      <c r="C44" s="676"/>
      <c r="D44" s="1335"/>
      <c r="E44" s="1326"/>
    </row>
    <row r="45">
      <c r="A45" s="1340"/>
      <c r="B45" s="189"/>
      <c r="C45" s="676"/>
      <c r="D45" s="1335"/>
      <c r="E45" s="1326"/>
    </row>
    <row r="46">
      <c r="A46" s="1340"/>
      <c r="B46" s="189"/>
      <c r="C46" s="676"/>
      <c r="D46" s="1335"/>
      <c r="E46" s="1326"/>
    </row>
    <row r="47">
      <c r="A47" s="1340"/>
      <c r="B47" s="189"/>
      <c r="C47" s="676"/>
      <c r="D47" s="1335"/>
      <c r="E47" s="1326"/>
    </row>
    <row r="48">
      <c r="A48" s="1340"/>
      <c r="B48" s="189"/>
      <c r="C48" s="676"/>
      <c r="D48" s="1335"/>
      <c r="E48" s="1326"/>
    </row>
    <row r="49">
      <c r="A49" s="1340"/>
      <c r="B49" s="189"/>
      <c r="C49" s="676"/>
      <c r="D49" s="1335"/>
      <c r="E49" s="1326"/>
    </row>
    <row r="50">
      <c r="A50" s="1340"/>
      <c r="B50" s="189"/>
      <c r="C50" s="676"/>
      <c r="D50" s="1335"/>
      <c r="E50" s="1326"/>
    </row>
    <row r="51">
      <c r="A51" s="1340"/>
      <c r="B51" s="189"/>
      <c r="C51" s="676"/>
      <c r="D51" s="1335"/>
      <c r="E51" s="1326"/>
    </row>
    <row r="52">
      <c r="A52" s="1340"/>
      <c r="B52" s="189"/>
      <c r="C52" s="676"/>
      <c r="D52" s="1335"/>
      <c r="E52" s="1326"/>
    </row>
    <row r="53">
      <c r="A53" s="1340"/>
      <c r="B53" s="189"/>
      <c r="C53" s="676"/>
      <c r="D53" s="1335"/>
      <c r="E53" s="1326"/>
    </row>
    <row r="54">
      <c r="A54" s="1340"/>
      <c r="B54" s="189"/>
      <c r="C54" s="676"/>
      <c r="D54" s="1335"/>
      <c r="E54" s="1326"/>
    </row>
    <row r="55">
      <c r="A55" s="1340"/>
      <c r="B55" s="189"/>
      <c r="C55" s="676"/>
      <c r="D55" s="1335"/>
      <c r="E55" s="1326"/>
    </row>
    <row r="56">
      <c r="A56" s="1340"/>
      <c r="B56" s="189"/>
      <c r="C56" s="676"/>
      <c r="D56" s="1335"/>
      <c r="E56" s="1326"/>
    </row>
    <row r="57">
      <c r="A57" s="1340"/>
      <c r="B57" s="189"/>
      <c r="C57" s="676"/>
      <c r="D57" s="1335"/>
      <c r="E57" s="1326"/>
    </row>
    <row r="58">
      <c r="A58" s="1340"/>
      <c r="B58" s="189"/>
      <c r="C58" s="676"/>
      <c r="D58" s="1335"/>
      <c r="E58" s="1326"/>
    </row>
    <row r="59">
      <c r="A59" s="1340"/>
      <c r="B59" s="189"/>
      <c r="C59" s="676"/>
      <c r="D59" s="1335"/>
      <c r="E59" s="1326"/>
    </row>
    <row r="60">
      <c r="A60" s="1340"/>
      <c r="B60" s="189"/>
      <c r="C60" s="676"/>
      <c r="D60" s="1335"/>
      <c r="E60" s="1326"/>
    </row>
    <row r="61">
      <c r="A61" s="1340"/>
      <c r="B61" s="189"/>
      <c r="C61" s="676"/>
      <c r="D61" s="1335"/>
      <c r="E61" s="1326"/>
    </row>
    <row r="62">
      <c r="A62" s="1340"/>
      <c r="B62" s="189"/>
      <c r="C62" s="676"/>
      <c r="D62" s="1335"/>
      <c r="E62" s="1326"/>
    </row>
    <row r="63">
      <c r="A63" s="1340"/>
      <c r="B63" s="189"/>
      <c r="C63" s="676"/>
      <c r="D63" s="1335"/>
      <c r="E63" s="1326"/>
    </row>
    <row r="64">
      <c r="A64" s="1340"/>
      <c r="B64" s="189"/>
      <c r="C64" s="676"/>
      <c r="D64" s="1335"/>
      <c r="E64" s="1326"/>
    </row>
    <row r="65">
      <c r="A65" s="1340"/>
      <c r="B65" s="189"/>
      <c r="C65" s="676"/>
      <c r="D65" s="1335"/>
      <c r="E65" s="1326"/>
    </row>
    <row r="66">
      <c r="A66" s="1340"/>
      <c r="B66" s="189"/>
      <c r="C66" s="676"/>
      <c r="D66" s="1335"/>
      <c r="E66" s="1326"/>
    </row>
    <row r="67">
      <c r="A67" s="1340"/>
      <c r="B67" s="189"/>
      <c r="C67" s="676"/>
      <c r="D67" s="1335"/>
      <c r="E67" s="1326"/>
    </row>
    <row r="68">
      <c r="A68" s="1340"/>
      <c r="B68" s="189"/>
      <c r="C68" s="676"/>
      <c r="D68" s="1335"/>
      <c r="E68" s="1326"/>
    </row>
    <row r="69">
      <c r="A69" s="1340"/>
      <c r="B69" s="189"/>
      <c r="C69" s="676"/>
      <c r="D69" s="1335"/>
      <c r="E69" s="1326"/>
    </row>
    <row r="70">
      <c r="A70" s="1340"/>
      <c r="B70" s="189"/>
      <c r="C70" s="676"/>
      <c r="D70" s="1335"/>
      <c r="E70" s="1326"/>
    </row>
    <row r="71">
      <c r="A71" s="1340"/>
      <c r="B71" s="189"/>
      <c r="C71" s="676"/>
      <c r="D71" s="1335"/>
      <c r="E71" s="1326"/>
    </row>
    <row r="72">
      <c r="A72" s="1340"/>
      <c r="B72" s="189"/>
      <c r="C72" s="676"/>
      <c r="D72" s="1335"/>
      <c r="E72" s="1326"/>
    </row>
    <row r="73">
      <c r="A73" s="1340"/>
      <c r="B73" s="189"/>
      <c r="C73" s="676"/>
      <c r="D73" s="1335"/>
      <c r="E73" s="1326"/>
    </row>
    <row r="74">
      <c r="A74" s="1340"/>
      <c r="B74" s="189"/>
      <c r="C74" s="676"/>
      <c r="D74" s="1335"/>
      <c r="E74" s="1326"/>
    </row>
    <row r="75">
      <c r="A75" s="1340"/>
      <c r="B75" s="189"/>
      <c r="C75" s="676"/>
      <c r="D75" s="1335"/>
      <c r="E75" s="1326"/>
    </row>
    <row r="76">
      <c r="A76" s="1340"/>
      <c r="B76" s="189"/>
      <c r="C76" s="676"/>
      <c r="D76" s="1335"/>
      <c r="E76" s="1326"/>
    </row>
    <row r="77">
      <c r="A77" s="1340"/>
      <c r="B77" s="189"/>
      <c r="C77" s="676"/>
      <c r="D77" s="1335"/>
      <c r="E77" s="1326"/>
    </row>
    <row r="78">
      <c r="A78" s="1340"/>
      <c r="B78" s="189"/>
      <c r="C78" s="676"/>
      <c r="D78" s="1335"/>
      <c r="E78" s="1326"/>
    </row>
    <row r="79">
      <c r="A79" s="1340"/>
      <c r="B79" s="189"/>
      <c r="C79" s="676"/>
      <c r="D79" s="1335"/>
      <c r="E79" s="1326"/>
    </row>
    <row r="80">
      <c r="A80" s="1340"/>
      <c r="B80" s="189"/>
      <c r="C80" s="676"/>
      <c r="D80" s="1335"/>
      <c r="E80" s="1326"/>
    </row>
    <row r="81">
      <c r="A81" s="1340"/>
      <c r="B81" s="189"/>
      <c r="C81" s="676"/>
      <c r="D81" s="1335"/>
      <c r="E81" s="1326"/>
    </row>
    <row r="82">
      <c r="A82" s="1340"/>
      <c r="B82" s="189"/>
      <c r="C82" s="676"/>
      <c r="D82" s="1335"/>
      <c r="E82" s="1326"/>
    </row>
    <row r="83">
      <c r="A83" s="1340"/>
      <c r="B83" s="189"/>
      <c r="C83" s="676"/>
      <c r="D83" s="1335"/>
      <c r="E83" s="1326"/>
    </row>
    <row r="84">
      <c r="A84" s="1340"/>
      <c r="B84" s="189"/>
      <c r="C84" s="676"/>
      <c r="D84" s="1335"/>
      <c r="E84" s="1326"/>
    </row>
    <row r="85">
      <c r="A85" s="1340"/>
      <c r="B85" s="189"/>
      <c r="C85" s="676"/>
      <c r="D85" s="1335"/>
      <c r="E85" s="1326"/>
    </row>
    <row r="86">
      <c r="A86" s="1340"/>
      <c r="B86" s="189"/>
      <c r="C86" s="676"/>
      <c r="D86" s="1335"/>
      <c r="E86" s="1326"/>
    </row>
    <row r="87">
      <c r="A87" s="1340"/>
      <c r="B87" s="189"/>
      <c r="C87" s="676"/>
      <c r="D87" s="1335"/>
      <c r="E87" s="1326"/>
    </row>
    <row r="88">
      <c r="A88" s="1340"/>
      <c r="B88" s="189"/>
      <c r="C88" s="676"/>
      <c r="D88" s="1335"/>
      <c r="E88" s="1326"/>
    </row>
    <row r="89">
      <c r="A89" s="1340"/>
      <c r="B89" s="189"/>
      <c r="C89" s="676"/>
      <c r="D89" s="1335"/>
      <c r="E89" s="1326"/>
    </row>
    <row r="90">
      <c r="A90" s="1340"/>
      <c r="B90" s="189"/>
      <c r="C90" s="676"/>
      <c r="D90" s="1335"/>
      <c r="E90" s="1326"/>
    </row>
    <row r="91">
      <c r="A91" s="1340"/>
      <c r="B91" s="189"/>
      <c r="C91" s="676"/>
      <c r="D91" s="1335"/>
      <c r="E91" s="1326"/>
    </row>
    <row r="92">
      <c r="A92" s="1340"/>
      <c r="B92" s="189"/>
      <c r="C92" s="676"/>
      <c r="D92" s="1335"/>
      <c r="E92" s="1326"/>
    </row>
    <row r="93">
      <c r="A93" s="1340"/>
      <c r="B93" s="189"/>
      <c r="C93" s="676"/>
      <c r="D93" s="1335"/>
      <c r="E93" s="1326"/>
    </row>
    <row r="94">
      <c r="A94" s="1340"/>
      <c r="B94" s="189"/>
      <c r="C94" s="676"/>
      <c r="D94" s="1335"/>
      <c r="E94" s="1326"/>
    </row>
    <row r="95">
      <c r="A95" s="1340"/>
      <c r="B95" s="189"/>
      <c r="C95" s="676"/>
      <c r="D95" s="1335"/>
      <c r="E95" s="1326"/>
    </row>
    <row r="96">
      <c r="A96" s="1340"/>
      <c r="B96" s="189"/>
      <c r="C96" s="676"/>
      <c r="D96" s="1335"/>
      <c r="E96" s="1326"/>
    </row>
    <row r="97">
      <c r="A97" s="1340"/>
      <c r="B97" s="189"/>
      <c r="C97" s="676"/>
      <c r="D97" s="1335"/>
      <c r="E97" s="1326"/>
    </row>
    <row r="98">
      <c r="A98" s="1340"/>
      <c r="B98" s="189"/>
      <c r="C98" s="676"/>
      <c r="D98" s="1335"/>
      <c r="E98" s="1326"/>
    </row>
    <row r="99">
      <c r="A99" s="1340"/>
      <c r="B99" s="189"/>
      <c r="C99" s="676"/>
      <c r="D99" s="1335"/>
      <c r="E99" s="1326"/>
    </row>
    <row r="100">
      <c r="A100" s="1340"/>
      <c r="B100" s="189"/>
      <c r="C100" s="676"/>
      <c r="D100" s="1335"/>
      <c r="E100" s="1326"/>
    </row>
    <row r="101">
      <c r="A101" s="1340"/>
      <c r="B101" s="189"/>
      <c r="C101" s="676"/>
      <c r="D101" s="1335"/>
      <c r="E101" s="1326"/>
    </row>
    <row r="102">
      <c r="A102" s="1340"/>
      <c r="B102" s="189"/>
      <c r="C102" s="676"/>
      <c r="D102" s="1335"/>
      <c r="E102" s="1326"/>
    </row>
    <row r="103">
      <c r="A103" s="1340"/>
      <c r="B103" s="189"/>
      <c r="C103" s="676"/>
      <c r="D103" s="1335"/>
      <c r="E103" s="1326"/>
    </row>
    <row r="104">
      <c r="A104" s="1340"/>
      <c r="B104" s="189"/>
      <c r="C104" s="676"/>
      <c r="D104" s="1335"/>
      <c r="E104" s="1326"/>
    </row>
    <row r="105">
      <c r="A105" s="1340"/>
      <c r="B105" s="189"/>
      <c r="C105" s="676"/>
      <c r="D105" s="1335"/>
      <c r="E105" s="1326"/>
    </row>
    <row r="106">
      <c r="A106" s="1340"/>
      <c r="B106" s="189"/>
      <c r="C106" s="676"/>
      <c r="D106" s="1335"/>
      <c r="E106" s="1326"/>
    </row>
    <row r="107">
      <c r="A107" s="1340"/>
      <c r="B107" s="189"/>
      <c r="C107" s="676"/>
      <c r="D107" s="1335"/>
      <c r="E107" s="1326"/>
    </row>
    <row r="108">
      <c r="A108" s="1340"/>
      <c r="B108" s="189"/>
      <c r="C108" s="676"/>
      <c r="D108" s="1335"/>
      <c r="E108" s="1326"/>
    </row>
    <row r="109">
      <c r="A109" s="1340"/>
      <c r="B109" s="189"/>
      <c r="C109" s="676"/>
      <c r="D109" s="1335"/>
      <c r="E109" s="1326"/>
    </row>
    <row r="110">
      <c r="A110" s="1340"/>
      <c r="B110" s="189"/>
      <c r="C110" s="676"/>
      <c r="D110" s="1335"/>
      <c r="E110" s="1326"/>
    </row>
    <row r="111">
      <c r="A111" s="1340"/>
      <c r="B111" s="189"/>
      <c r="C111" s="676"/>
      <c r="D111" s="1335"/>
      <c r="E111" s="1326"/>
    </row>
    <row r="112">
      <c r="A112" s="1340"/>
      <c r="B112" s="189"/>
      <c r="C112" s="676"/>
      <c r="D112" s="1335"/>
      <c r="E112" s="1326"/>
    </row>
    <row r="113">
      <c r="A113" s="1340"/>
      <c r="B113" s="189"/>
      <c r="C113" s="676"/>
      <c r="D113" s="1335"/>
      <c r="E113" s="1326"/>
    </row>
    <row r="114">
      <c r="A114" s="1340"/>
      <c r="B114" s="189"/>
      <c r="C114" s="676"/>
      <c r="D114" s="1335"/>
      <c r="E114" s="1326"/>
    </row>
    <row r="115">
      <c r="A115" s="1340"/>
      <c r="B115" s="189"/>
      <c r="C115" s="676"/>
      <c r="D115" s="1335"/>
      <c r="E115" s="1326"/>
    </row>
    <row r="116">
      <c r="A116" s="1340"/>
      <c r="B116" s="189"/>
      <c r="C116" s="676"/>
      <c r="D116" s="1335"/>
      <c r="E116" s="1326"/>
    </row>
    <row r="117">
      <c r="A117" s="1340"/>
      <c r="B117" s="189"/>
      <c r="C117" s="676"/>
      <c r="D117" s="1335"/>
      <c r="E117" s="1326"/>
    </row>
    <row r="118">
      <c r="A118" s="1340"/>
      <c r="B118" s="189"/>
      <c r="C118" s="676"/>
      <c r="D118" s="1335"/>
      <c r="E118" s="1326"/>
    </row>
    <row r="119">
      <c r="A119" s="1340"/>
      <c r="B119" s="189"/>
      <c r="C119" s="676"/>
      <c r="D119" s="1335"/>
      <c r="E119" s="1326"/>
    </row>
    <row r="120">
      <c r="A120" s="1340"/>
      <c r="B120" s="189"/>
      <c r="C120" s="676"/>
      <c r="D120" s="1335"/>
      <c r="E120" s="1326"/>
    </row>
    <row r="121">
      <c r="A121" s="1340"/>
      <c r="B121" s="189"/>
      <c r="C121" s="676"/>
      <c r="D121" s="1335"/>
      <c r="E121" s="1326"/>
    </row>
    <row r="122">
      <c r="A122" s="1340"/>
      <c r="B122" s="189"/>
      <c r="C122" s="676"/>
      <c r="D122" s="1335"/>
      <c r="E122" s="1326"/>
    </row>
    <row r="123">
      <c r="A123" s="1340"/>
      <c r="B123" s="189"/>
      <c r="C123" s="676"/>
      <c r="D123" s="1335"/>
      <c r="E123" s="1326"/>
    </row>
    <row r="124">
      <c r="A124" s="1340"/>
      <c r="B124" s="189"/>
      <c r="C124" s="676"/>
      <c r="D124" s="1335"/>
      <c r="E124" s="1326"/>
    </row>
    <row r="125">
      <c r="A125" s="1340"/>
      <c r="B125" s="189"/>
      <c r="C125" s="676"/>
      <c r="D125" s="1335"/>
      <c r="E125" s="1326"/>
    </row>
    <row r="126">
      <c r="A126" s="1340"/>
      <c r="B126" s="189"/>
      <c r="C126" s="676"/>
      <c r="D126" s="1335"/>
      <c r="E126" s="1326"/>
    </row>
    <row r="127">
      <c r="A127" s="1340"/>
      <c r="B127" s="189"/>
      <c r="C127" s="676"/>
      <c r="D127" s="1335"/>
      <c r="E127" s="1326"/>
    </row>
    <row r="128">
      <c r="A128" s="1340"/>
      <c r="B128" s="189"/>
      <c r="C128" s="676"/>
      <c r="D128" s="1335"/>
      <c r="E128" s="1326"/>
    </row>
    <row r="129">
      <c r="A129" s="1340"/>
      <c r="B129" s="189"/>
      <c r="C129" s="676"/>
      <c r="D129" s="1335"/>
      <c r="E129" s="1326"/>
    </row>
    <row r="130">
      <c r="A130" s="1340"/>
      <c r="B130" s="189"/>
      <c r="C130" s="676"/>
      <c r="D130" s="1335"/>
      <c r="E130" s="1326"/>
    </row>
    <row r="131">
      <c r="A131" s="1340"/>
      <c r="B131" s="189"/>
      <c r="C131" s="676"/>
      <c r="D131" s="1335"/>
      <c r="E131" s="1326"/>
    </row>
    <row r="132">
      <c r="A132" s="1340"/>
      <c r="B132" s="189"/>
      <c r="C132" s="676"/>
      <c r="D132" s="1335"/>
      <c r="E132" s="1326"/>
    </row>
    <row r="133">
      <c r="A133" s="1340"/>
      <c r="B133" s="189"/>
      <c r="C133" s="676"/>
      <c r="D133" s="1335"/>
      <c r="E133" s="1326"/>
    </row>
    <row r="134">
      <c r="A134" s="1340"/>
      <c r="B134" s="189"/>
      <c r="C134" s="676"/>
      <c r="D134" s="1335"/>
      <c r="E134" s="1326"/>
    </row>
    <row r="135">
      <c r="A135" s="1340"/>
      <c r="B135" s="189"/>
      <c r="C135" s="676"/>
      <c r="D135" s="1335"/>
      <c r="E135" s="1326"/>
    </row>
    <row r="136">
      <c r="A136" s="1340"/>
      <c r="B136" s="189"/>
      <c r="C136" s="676"/>
      <c r="D136" s="1335"/>
      <c r="E136" s="1326"/>
    </row>
    <row r="137">
      <c r="A137" s="1340"/>
      <c r="B137" s="189"/>
      <c r="C137" s="676"/>
      <c r="D137" s="1335"/>
      <c r="E137" s="1326"/>
    </row>
    <row r="138">
      <c r="A138" s="1340"/>
      <c r="B138" s="189"/>
      <c r="C138" s="676"/>
      <c r="D138" s="1335"/>
      <c r="E138" s="1326"/>
    </row>
    <row r="139">
      <c r="A139" s="1340"/>
      <c r="B139" s="189"/>
      <c r="C139" s="676"/>
      <c r="D139" s="1335"/>
      <c r="E139" s="1326"/>
    </row>
    <row r="140">
      <c r="A140" s="1340"/>
      <c r="B140" s="189"/>
      <c r="C140" s="676"/>
      <c r="D140" s="1335"/>
      <c r="E140" s="1326"/>
    </row>
    <row r="141">
      <c r="A141" s="1340"/>
      <c r="B141" s="189"/>
      <c r="C141" s="676"/>
      <c r="D141" s="1335"/>
      <c r="E141" s="1326"/>
    </row>
    <row r="142">
      <c r="A142" s="1340"/>
      <c r="B142" s="189"/>
      <c r="C142" s="676"/>
      <c r="D142" s="1335"/>
      <c r="E142" s="1326"/>
    </row>
    <row r="143">
      <c r="A143" s="1340"/>
      <c r="B143" s="189"/>
      <c r="C143" s="676"/>
      <c r="D143" s="1335"/>
      <c r="E143" s="1326"/>
    </row>
    <row r="144">
      <c r="A144" s="1340"/>
      <c r="B144" s="189"/>
      <c r="C144" s="676"/>
      <c r="D144" s="1335"/>
      <c r="E144" s="1326"/>
    </row>
    <row r="145">
      <c r="A145" s="1340"/>
      <c r="B145" s="189"/>
      <c r="C145" s="676"/>
      <c r="D145" s="1335"/>
      <c r="E145" s="1326"/>
    </row>
    <row r="146">
      <c r="A146" s="1340"/>
      <c r="B146" s="189"/>
      <c r="C146" s="676"/>
      <c r="D146" s="1335"/>
      <c r="E146" s="1326"/>
    </row>
    <row r="147">
      <c r="A147" s="1340"/>
      <c r="B147" s="189"/>
      <c r="C147" s="676"/>
      <c r="D147" s="1335"/>
      <c r="E147" s="1326"/>
    </row>
    <row r="148">
      <c r="A148" s="1340"/>
      <c r="B148" s="189"/>
      <c r="C148" s="676"/>
      <c r="D148" s="1335"/>
      <c r="E148" s="1326"/>
    </row>
    <row r="149">
      <c r="A149" s="1340"/>
      <c r="B149" s="189"/>
      <c r="C149" s="676"/>
      <c r="D149" s="1335"/>
      <c r="E149" s="1326"/>
    </row>
    <row r="150">
      <c r="A150" s="1340"/>
      <c r="B150" s="189"/>
      <c r="C150" s="676"/>
      <c r="D150" s="1335"/>
      <c r="E150" s="1326"/>
    </row>
    <row r="151">
      <c r="A151" s="1340"/>
      <c r="B151" s="189"/>
      <c r="C151" s="676"/>
      <c r="D151" s="1335"/>
      <c r="E151" s="1326"/>
    </row>
    <row r="152">
      <c r="A152" s="1340"/>
      <c r="B152" s="189"/>
      <c r="C152" s="676"/>
      <c r="D152" s="1335"/>
      <c r="E152" s="1326"/>
    </row>
    <row r="153">
      <c r="A153" s="1340"/>
      <c r="B153" s="189"/>
      <c r="C153" s="676"/>
      <c r="D153" s="1335"/>
      <c r="E153" s="1326"/>
    </row>
    <row r="154">
      <c r="A154" s="1340"/>
      <c r="B154" s="189"/>
      <c r="C154" s="676"/>
      <c r="D154" s="1335"/>
      <c r="E154" s="1326"/>
    </row>
    <row r="155">
      <c r="A155" s="1340"/>
      <c r="B155" s="189"/>
      <c r="C155" s="676"/>
      <c r="D155" s="1335"/>
      <c r="E155" s="1326"/>
    </row>
    <row r="156">
      <c r="A156" s="1340"/>
      <c r="B156" s="189"/>
      <c r="C156" s="676"/>
      <c r="D156" s="1335"/>
      <c r="E156" s="1326"/>
    </row>
    <row r="157">
      <c r="A157" s="1340"/>
      <c r="B157" s="189"/>
      <c r="C157" s="676"/>
      <c r="D157" s="1335"/>
      <c r="E157" s="1326"/>
    </row>
    <row r="158">
      <c r="A158" s="1340"/>
      <c r="B158" s="189"/>
      <c r="C158" s="676"/>
      <c r="D158" s="1335"/>
      <c r="E158" s="1326"/>
    </row>
    <row r="159">
      <c r="A159" s="1340"/>
      <c r="B159" s="189"/>
      <c r="C159" s="676"/>
      <c r="D159" s="1335"/>
      <c r="E159" s="1326"/>
    </row>
    <row r="160">
      <c r="A160" s="1340"/>
      <c r="B160" s="189"/>
      <c r="C160" s="676"/>
      <c r="D160" s="1335"/>
      <c r="E160" s="1326"/>
    </row>
    <row r="161">
      <c r="A161" s="1340"/>
      <c r="B161" s="189"/>
      <c r="C161" s="676"/>
      <c r="D161" s="1335"/>
      <c r="E161" s="1326"/>
    </row>
    <row r="162">
      <c r="A162" s="1340"/>
      <c r="B162" s="189"/>
      <c r="C162" s="676"/>
      <c r="D162" s="1335"/>
      <c r="E162" s="1326"/>
    </row>
    <row r="163">
      <c r="A163" s="1340"/>
      <c r="B163" s="189"/>
      <c r="C163" s="676"/>
      <c r="D163" s="1335"/>
      <c r="E163" s="1326"/>
    </row>
    <row r="164">
      <c r="A164" s="1340"/>
      <c r="B164" s="189"/>
      <c r="C164" s="676"/>
      <c r="D164" s="1335"/>
      <c r="E164" s="1326"/>
    </row>
    <row r="165">
      <c r="A165" s="1340"/>
      <c r="B165" s="189"/>
      <c r="C165" s="676"/>
      <c r="D165" s="1335"/>
      <c r="E165" s="1326"/>
    </row>
    <row r="166">
      <c r="A166" s="1340"/>
      <c r="B166" s="189"/>
      <c r="C166" s="676"/>
      <c r="D166" s="1335"/>
      <c r="E166" s="1326"/>
    </row>
    <row r="167">
      <c r="A167" s="1340"/>
      <c r="B167" s="189"/>
      <c r="C167" s="676"/>
      <c r="D167" s="1335"/>
      <c r="E167" s="1326"/>
    </row>
    <row r="168">
      <c r="A168" s="1340"/>
      <c r="B168" s="189"/>
      <c r="C168" s="676"/>
      <c r="D168" s="1335"/>
      <c r="E168" s="1326"/>
    </row>
    <row r="169">
      <c r="A169" s="1340"/>
      <c r="B169" s="189"/>
      <c r="C169" s="676"/>
      <c r="D169" s="1335"/>
      <c r="E169" s="1326"/>
    </row>
    <row r="170">
      <c r="A170" s="1340"/>
      <c r="B170" s="189"/>
      <c r="C170" s="676"/>
      <c r="D170" s="1335"/>
      <c r="E170" s="1326"/>
    </row>
    <row r="171">
      <c r="A171" s="1340"/>
      <c r="B171" s="189"/>
      <c r="C171" s="676"/>
      <c r="D171" s="1335"/>
      <c r="E171" s="1326"/>
    </row>
    <row r="172">
      <c r="A172" s="1340"/>
      <c r="B172" s="189"/>
      <c r="C172" s="676"/>
      <c r="D172" s="1335"/>
      <c r="E172" s="1326"/>
    </row>
    <row r="173">
      <c r="A173" s="1340"/>
      <c r="B173" s="189"/>
      <c r="C173" s="676"/>
      <c r="D173" s="1335"/>
      <c r="E173" s="1326"/>
    </row>
    <row r="174">
      <c r="A174" s="1340"/>
      <c r="B174" s="189"/>
      <c r="C174" s="676"/>
      <c r="D174" s="1335"/>
      <c r="E174" s="1326"/>
    </row>
    <row r="175">
      <c r="A175" s="1340"/>
      <c r="B175" s="189"/>
      <c r="C175" s="676"/>
      <c r="D175" s="1335"/>
      <c r="E175" s="1326"/>
    </row>
    <row r="176">
      <c r="A176" s="1340"/>
      <c r="B176" s="189"/>
      <c r="C176" s="676"/>
      <c r="D176" s="1335"/>
      <c r="E176" s="1326"/>
    </row>
    <row r="177">
      <c r="A177" s="1340"/>
      <c r="B177" s="189"/>
      <c r="C177" s="676"/>
      <c r="D177" s="1335"/>
      <c r="E177" s="1326"/>
    </row>
    <row r="178">
      <c r="A178" s="1340"/>
      <c r="B178" s="189"/>
      <c r="C178" s="676"/>
      <c r="D178" s="1335"/>
      <c r="E178" s="1326"/>
    </row>
    <row r="179">
      <c r="A179" s="1340"/>
      <c r="B179" s="189"/>
      <c r="C179" s="676"/>
      <c r="D179" s="1335"/>
      <c r="E179" s="1326"/>
    </row>
    <row r="180">
      <c r="A180" s="1340"/>
      <c r="B180" s="189"/>
      <c r="C180" s="676"/>
      <c r="D180" s="1335"/>
      <c r="E180" s="1326"/>
    </row>
    <row r="181">
      <c r="A181" s="1340"/>
      <c r="B181" s="189"/>
      <c r="C181" s="676"/>
      <c r="D181" s="1335"/>
      <c r="E181" s="1326"/>
    </row>
    <row r="182">
      <c r="A182" s="1340"/>
      <c r="B182" s="189"/>
      <c r="C182" s="676"/>
      <c r="D182" s="1335"/>
      <c r="E182" s="1326"/>
    </row>
    <row r="183">
      <c r="A183" s="1340"/>
      <c r="B183" s="189"/>
      <c r="C183" s="676"/>
      <c r="D183" s="1335"/>
      <c r="E183" s="1326"/>
    </row>
    <row r="184">
      <c r="A184" s="1340"/>
      <c r="B184" s="189"/>
      <c r="C184" s="676"/>
      <c r="D184" s="1335"/>
      <c r="E184" s="1326"/>
    </row>
    <row r="185">
      <c r="A185" s="1340"/>
      <c r="B185" s="189"/>
      <c r="C185" s="676"/>
      <c r="D185" s="1335"/>
      <c r="E185" s="1326"/>
    </row>
    <row r="186">
      <c r="A186" s="1340"/>
      <c r="B186" s="189"/>
      <c r="C186" s="676"/>
      <c r="D186" s="1335"/>
      <c r="E186" s="1326"/>
    </row>
    <row r="187">
      <c r="A187" s="1340"/>
      <c r="B187" s="189"/>
      <c r="C187" s="676"/>
      <c r="D187" s="1335"/>
      <c r="E187" s="1326"/>
    </row>
    <row r="188">
      <c r="A188" s="1340"/>
      <c r="B188" s="189"/>
      <c r="C188" s="676"/>
      <c r="D188" s="1335"/>
      <c r="E188" s="1326"/>
    </row>
    <row r="189">
      <c r="A189" s="1340"/>
      <c r="B189" s="189"/>
      <c r="C189" s="676"/>
      <c r="D189" s="1335"/>
      <c r="E189" s="1326"/>
    </row>
    <row r="190">
      <c r="A190" s="1340"/>
      <c r="B190" s="189"/>
      <c r="C190" s="676"/>
      <c r="D190" s="1335"/>
      <c r="E190" s="1326"/>
    </row>
    <row r="191">
      <c r="A191" s="1340"/>
      <c r="B191" s="189"/>
      <c r="C191" s="676"/>
      <c r="D191" s="1335"/>
      <c r="E191" s="1326"/>
    </row>
    <row r="192">
      <c r="A192" s="1340"/>
      <c r="B192" s="189"/>
      <c r="C192" s="676"/>
      <c r="D192" s="1335"/>
      <c r="E192" s="1326"/>
    </row>
    <row r="193">
      <c r="A193" s="1340"/>
      <c r="B193" s="189"/>
      <c r="C193" s="676"/>
      <c r="D193" s="1335"/>
      <c r="E193" s="1326"/>
    </row>
    <row r="194">
      <c r="A194" s="1340"/>
      <c r="B194" s="189"/>
      <c r="C194" s="676"/>
      <c r="D194" s="1335"/>
      <c r="E194" s="1326"/>
    </row>
    <row r="195">
      <c r="A195" s="1340"/>
      <c r="B195" s="189"/>
      <c r="C195" s="676"/>
      <c r="D195" s="1335"/>
      <c r="E195" s="1326"/>
    </row>
    <row r="196">
      <c r="A196" s="1340"/>
      <c r="B196" s="189"/>
      <c r="C196" s="676"/>
      <c r="D196" s="1335"/>
      <c r="E196" s="1326"/>
    </row>
    <row r="197">
      <c r="A197" s="1340"/>
      <c r="B197" s="189"/>
      <c r="C197" s="676"/>
      <c r="D197" s="1335"/>
      <c r="E197" s="1326"/>
    </row>
    <row r="198">
      <c r="A198" s="1340"/>
      <c r="B198" s="189"/>
      <c r="C198" s="676"/>
      <c r="D198" s="1335"/>
      <c r="E198" s="1326"/>
    </row>
    <row r="199">
      <c r="A199" s="1340"/>
      <c r="B199" s="189"/>
      <c r="C199" s="676"/>
      <c r="D199" s="1335"/>
      <c r="E199" s="1326"/>
    </row>
    <row r="200">
      <c r="A200" s="1340"/>
      <c r="B200" s="189"/>
      <c r="C200" s="676"/>
      <c r="D200" s="1335"/>
      <c r="E200" s="1326"/>
    </row>
    <row r="201">
      <c r="A201" s="1340"/>
      <c r="B201" s="189"/>
      <c r="C201" s="676"/>
      <c r="D201" s="1335"/>
      <c r="E201" s="1326"/>
    </row>
    <row r="202">
      <c r="A202" s="1340"/>
      <c r="B202" s="189"/>
      <c r="C202" s="676"/>
      <c r="D202" s="1335"/>
      <c r="E202" s="1326"/>
    </row>
    <row r="203">
      <c r="A203" s="1340"/>
      <c r="B203" s="189"/>
      <c r="C203" s="676"/>
      <c r="D203" s="1335"/>
      <c r="E203" s="1326"/>
    </row>
    <row r="204">
      <c r="A204" s="1340"/>
      <c r="B204" s="189"/>
      <c r="C204" s="676"/>
      <c r="D204" s="1335"/>
      <c r="E204" s="1326"/>
    </row>
    <row r="205">
      <c r="A205" s="1340"/>
      <c r="B205" s="189"/>
      <c r="C205" s="676"/>
      <c r="D205" s="1335"/>
      <c r="E205" s="1326"/>
    </row>
    <row r="206">
      <c r="A206" s="1340"/>
      <c r="B206" s="189"/>
      <c r="C206" s="676"/>
      <c r="D206" s="1335"/>
      <c r="E206" s="1326"/>
    </row>
    <row r="207">
      <c r="A207" s="1340"/>
      <c r="B207" s="189"/>
      <c r="C207" s="676"/>
      <c r="D207" s="1335"/>
      <c r="E207" s="1326"/>
    </row>
    <row r="208">
      <c r="A208" s="1340"/>
      <c r="B208" s="189"/>
      <c r="C208" s="676"/>
      <c r="D208" s="1335"/>
      <c r="E208" s="1326"/>
    </row>
    <row r="209">
      <c r="A209" s="1340"/>
      <c r="B209" s="189"/>
      <c r="C209" s="676"/>
      <c r="D209" s="1335"/>
      <c r="E209" s="1326"/>
    </row>
    <row r="210">
      <c r="A210" s="1340"/>
      <c r="B210" s="189"/>
      <c r="C210" s="676"/>
      <c r="D210" s="1335"/>
      <c r="E210" s="1326"/>
    </row>
    <row r="211">
      <c r="A211" s="1340"/>
      <c r="B211" s="189"/>
      <c r="C211" s="676"/>
      <c r="D211" s="1335"/>
      <c r="E211" s="1326"/>
    </row>
    <row r="212">
      <c r="A212" s="1340"/>
      <c r="B212" s="189"/>
      <c r="C212" s="676"/>
      <c r="D212" s="1335"/>
      <c r="E212" s="1326"/>
    </row>
    <row r="213">
      <c r="A213" s="1340"/>
      <c r="B213" s="189"/>
      <c r="C213" s="676"/>
      <c r="D213" s="1335"/>
      <c r="E213" s="1326"/>
    </row>
    <row r="214">
      <c r="A214" s="1340"/>
      <c r="B214" s="189"/>
      <c r="C214" s="676"/>
      <c r="D214" s="1335"/>
      <c r="E214" s="1326"/>
    </row>
    <row r="215">
      <c r="A215" s="1340"/>
      <c r="B215" s="189"/>
      <c r="C215" s="676"/>
      <c r="D215" s="1335"/>
      <c r="E215" s="1326"/>
    </row>
    <row r="216">
      <c r="A216" s="1340"/>
      <c r="B216" s="189"/>
      <c r="C216" s="676"/>
      <c r="D216" s="1335"/>
      <c r="E216" s="1326"/>
    </row>
    <row r="217">
      <c r="A217" s="1340"/>
      <c r="B217" s="189"/>
      <c r="C217" s="676"/>
      <c r="D217" s="1335"/>
      <c r="E217" s="1326"/>
    </row>
    <row r="218">
      <c r="A218" s="1340"/>
      <c r="B218" s="189"/>
      <c r="C218" s="676"/>
      <c r="D218" s="1335"/>
      <c r="E218" s="1326"/>
    </row>
    <row r="219">
      <c r="A219" s="1340"/>
      <c r="B219" s="189"/>
      <c r="C219" s="676"/>
      <c r="D219" s="1335"/>
      <c r="E219" s="1326"/>
    </row>
    <row r="220">
      <c r="A220" s="1340"/>
      <c r="B220" s="189"/>
      <c r="C220" s="676"/>
      <c r="D220" s="1335"/>
      <c r="E220" s="1326"/>
    </row>
    <row r="221">
      <c r="A221" s="1340"/>
      <c r="B221" s="189"/>
      <c r="C221" s="676"/>
      <c r="D221" s="1335"/>
      <c r="E221" s="1326"/>
    </row>
    <row r="222">
      <c r="A222" s="1340"/>
      <c r="B222" s="189"/>
      <c r="C222" s="676"/>
      <c r="D222" s="1335"/>
      <c r="E222" s="1326"/>
    </row>
    <row r="223">
      <c r="A223" s="1340"/>
      <c r="B223" s="189"/>
      <c r="C223" s="676"/>
      <c r="D223" s="1335"/>
      <c r="E223" s="1326"/>
    </row>
    <row r="224">
      <c r="A224" s="1340"/>
      <c r="B224" s="189"/>
      <c r="C224" s="676"/>
      <c r="D224" s="1335"/>
      <c r="E224" s="1326"/>
    </row>
    <row r="225">
      <c r="A225" s="1340"/>
      <c r="B225" s="189"/>
      <c r="C225" s="676"/>
      <c r="D225" s="1335"/>
      <c r="E225" s="1326"/>
    </row>
    <row r="226">
      <c r="A226" s="1340"/>
      <c r="B226" s="189"/>
      <c r="C226" s="676"/>
      <c r="D226" s="1335"/>
      <c r="E226" s="1326"/>
    </row>
    <row r="227">
      <c r="A227" s="1340"/>
      <c r="B227" s="189"/>
      <c r="C227" s="676"/>
      <c r="D227" s="1335"/>
      <c r="E227" s="1326"/>
    </row>
    <row r="228">
      <c r="A228" s="1340"/>
      <c r="B228" s="189"/>
      <c r="C228" s="676"/>
      <c r="D228" s="1335"/>
      <c r="E228" s="1326"/>
    </row>
    <row r="229">
      <c r="A229" s="1340"/>
      <c r="B229" s="189"/>
      <c r="C229" s="676"/>
      <c r="D229" s="1335"/>
      <c r="E229" s="1326"/>
    </row>
    <row r="230">
      <c r="A230" s="1340"/>
      <c r="B230" s="189"/>
      <c r="C230" s="676"/>
      <c r="D230" s="1335"/>
      <c r="E230" s="1326"/>
    </row>
    <row r="231">
      <c r="A231" s="1340"/>
      <c r="B231" s="189"/>
      <c r="C231" s="676"/>
      <c r="D231" s="1335"/>
      <c r="E231" s="1326"/>
    </row>
    <row r="232">
      <c r="A232" s="1340"/>
      <c r="B232" s="189"/>
      <c r="C232" s="676"/>
      <c r="D232" s="1335"/>
      <c r="E232" s="1326"/>
    </row>
    <row r="233">
      <c r="A233" s="1340"/>
      <c r="B233" s="189"/>
      <c r="C233" s="676"/>
      <c r="D233" s="1335"/>
      <c r="E233" s="1326"/>
    </row>
    <row r="234">
      <c r="A234" s="1340"/>
      <c r="B234" s="189"/>
      <c r="C234" s="676"/>
      <c r="D234" s="1335"/>
      <c r="E234" s="1326"/>
    </row>
    <row r="235">
      <c r="A235" s="1340"/>
      <c r="B235" s="189"/>
      <c r="C235" s="676"/>
      <c r="D235" s="1335"/>
      <c r="E235" s="1326"/>
    </row>
    <row r="236">
      <c r="A236" s="1340"/>
      <c r="B236" s="189"/>
      <c r="C236" s="676"/>
      <c r="D236" s="1335"/>
      <c r="E236" s="1326"/>
    </row>
    <row r="237">
      <c r="A237" s="1340"/>
      <c r="B237" s="189"/>
      <c r="C237" s="676"/>
      <c r="D237" s="1335"/>
      <c r="E237" s="1326"/>
    </row>
    <row r="238">
      <c r="A238" s="1340"/>
      <c r="B238" s="189"/>
      <c r="C238" s="676"/>
      <c r="D238" s="1335"/>
      <c r="E238" s="1326"/>
    </row>
    <row r="239">
      <c r="A239" s="1340"/>
      <c r="B239" s="189"/>
      <c r="C239" s="676"/>
      <c r="D239" s="1335"/>
      <c r="E239" s="1326"/>
    </row>
    <row r="240">
      <c r="A240" s="1340"/>
      <c r="B240" s="189"/>
      <c r="C240" s="676"/>
      <c r="D240" s="1335"/>
      <c r="E240" s="1326"/>
    </row>
    <row r="241">
      <c r="A241" s="1340"/>
      <c r="B241" s="189"/>
      <c r="C241" s="676"/>
      <c r="D241" s="1335"/>
      <c r="E241" s="1326"/>
    </row>
    <row r="242">
      <c r="A242" s="1340"/>
      <c r="B242" s="189"/>
      <c r="C242" s="676"/>
      <c r="D242" s="1335"/>
      <c r="E242" s="1326"/>
    </row>
    <row r="243">
      <c r="A243" s="1340"/>
      <c r="B243" s="189"/>
      <c r="C243" s="676"/>
      <c r="D243" s="1335"/>
      <c r="E243" s="1326"/>
    </row>
    <row r="244">
      <c r="A244" s="1340"/>
      <c r="B244" s="189"/>
      <c r="C244" s="676"/>
      <c r="D244" s="1335"/>
      <c r="E244" s="1326"/>
    </row>
    <row r="245">
      <c r="A245" s="1340"/>
      <c r="B245" s="189"/>
      <c r="C245" s="676"/>
      <c r="D245" s="1335"/>
      <c r="E245" s="1326"/>
    </row>
    <row r="246">
      <c r="A246" s="1340"/>
      <c r="B246" s="189"/>
      <c r="C246" s="676"/>
      <c r="D246" s="1335"/>
      <c r="E246" s="1326"/>
    </row>
    <row r="247">
      <c r="A247" s="1340"/>
      <c r="B247" s="189"/>
      <c r="C247" s="676"/>
      <c r="D247" s="1335"/>
      <c r="E247" s="1326"/>
    </row>
    <row r="248">
      <c r="A248" s="1340"/>
      <c r="B248" s="189"/>
      <c r="C248" s="676"/>
      <c r="D248" s="1335"/>
      <c r="E248" s="1326"/>
    </row>
    <row r="249">
      <c r="A249" s="1340"/>
      <c r="B249" s="189"/>
      <c r="C249" s="676"/>
      <c r="D249" s="1335"/>
      <c r="E249" s="1326"/>
    </row>
    <row r="250">
      <c r="A250" s="1340"/>
      <c r="B250" s="189"/>
      <c r="C250" s="676"/>
      <c r="D250" s="1335"/>
      <c r="E250" s="1326"/>
    </row>
    <row r="251">
      <c r="A251" s="1340"/>
      <c r="B251" s="189"/>
      <c r="C251" s="676"/>
      <c r="D251" s="1335"/>
      <c r="E251" s="1326"/>
    </row>
    <row r="252">
      <c r="A252" s="1340"/>
      <c r="B252" s="189"/>
      <c r="C252" s="676"/>
      <c r="D252" s="1335"/>
      <c r="E252" s="1326"/>
    </row>
    <row r="253">
      <c r="A253" s="1340"/>
      <c r="B253" s="189"/>
      <c r="C253" s="676"/>
      <c r="D253" s="1335"/>
      <c r="E253" s="1326"/>
    </row>
    <row r="254">
      <c r="A254" s="1340"/>
      <c r="B254" s="189"/>
      <c r="C254" s="676"/>
      <c r="D254" s="1335"/>
      <c r="E254" s="1326"/>
    </row>
    <row r="255">
      <c r="A255" s="1340"/>
      <c r="B255" s="189"/>
      <c r="C255" s="676"/>
      <c r="D255" s="1335"/>
      <c r="E255" s="1326"/>
    </row>
    <row r="256">
      <c r="A256" s="1340"/>
      <c r="B256" s="189"/>
      <c r="C256" s="676"/>
      <c r="D256" s="1335"/>
      <c r="E256" s="1326"/>
    </row>
    <row r="257">
      <c r="A257" s="1340"/>
      <c r="B257" s="189"/>
      <c r="C257" s="676"/>
      <c r="D257" s="1335"/>
      <c r="E257" s="1326"/>
    </row>
    <row r="258">
      <c r="A258" s="1340"/>
      <c r="B258" s="189"/>
      <c r="C258" s="676"/>
      <c r="D258" s="1335"/>
      <c r="E258" s="1326"/>
    </row>
    <row r="259">
      <c r="A259" s="1340"/>
      <c r="B259" s="189"/>
      <c r="C259" s="676"/>
      <c r="D259" s="1335"/>
      <c r="E259" s="1326"/>
    </row>
    <row r="260">
      <c r="A260" s="1340"/>
      <c r="B260" s="189"/>
      <c r="C260" s="676"/>
      <c r="D260" s="1335"/>
      <c r="E260" s="1326"/>
    </row>
    <row r="261">
      <c r="A261" s="1340"/>
      <c r="B261" s="189"/>
      <c r="C261" s="676"/>
      <c r="D261" s="1335"/>
      <c r="E261" s="1326"/>
    </row>
    <row r="262">
      <c r="A262" s="1340"/>
      <c r="B262" s="189"/>
      <c r="C262" s="676"/>
      <c r="D262" s="1335"/>
      <c r="E262" s="1326"/>
    </row>
    <row r="263">
      <c r="A263" s="1340"/>
      <c r="B263" s="189"/>
      <c r="C263" s="676"/>
      <c r="D263" s="1335"/>
      <c r="E263" s="1326"/>
    </row>
    <row r="264">
      <c r="A264" s="1340"/>
      <c r="B264" s="189"/>
      <c r="C264" s="676"/>
      <c r="D264" s="1335"/>
      <c r="E264" s="1326"/>
    </row>
    <row r="265">
      <c r="A265" s="1340"/>
      <c r="B265" s="189"/>
      <c r="C265" s="676"/>
      <c r="D265" s="1335"/>
      <c r="E265" s="1326"/>
    </row>
    <row r="266">
      <c r="A266" s="1340"/>
      <c r="B266" s="189"/>
      <c r="C266" s="676"/>
      <c r="D266" s="1335"/>
      <c r="E266" s="1326"/>
    </row>
    <row r="267">
      <c r="A267" s="1340"/>
      <c r="B267" s="189"/>
      <c r="C267" s="676"/>
      <c r="D267" s="1335"/>
      <c r="E267" s="1326"/>
    </row>
    <row r="268">
      <c r="A268" s="1340"/>
      <c r="B268" s="189"/>
      <c r="C268" s="676"/>
      <c r="D268" s="1335"/>
      <c r="E268" s="1326"/>
    </row>
    <row r="269">
      <c r="A269" s="1340"/>
      <c r="B269" s="189"/>
      <c r="C269" s="676"/>
      <c r="D269" s="1335"/>
      <c r="E269" s="1326"/>
    </row>
    <row r="270">
      <c r="A270" s="1340"/>
      <c r="B270" s="189"/>
      <c r="C270" s="676"/>
      <c r="D270" s="1335"/>
      <c r="E270" s="1326"/>
    </row>
    <row r="271">
      <c r="A271" s="1340"/>
      <c r="B271" s="189"/>
      <c r="C271" s="676"/>
      <c r="D271" s="1335"/>
      <c r="E271" s="1326"/>
    </row>
    <row r="272">
      <c r="A272" s="1340"/>
      <c r="B272" s="189"/>
      <c r="C272" s="676"/>
      <c r="D272" s="1335"/>
      <c r="E272" s="1326"/>
    </row>
    <row r="273">
      <c r="A273" s="1340"/>
      <c r="B273" s="189"/>
      <c r="C273" s="676"/>
      <c r="D273" s="1335"/>
      <c r="E273" s="1326"/>
    </row>
    <row r="274">
      <c r="A274" s="1340"/>
      <c r="B274" s="189"/>
      <c r="C274" s="676"/>
      <c r="D274" s="1335"/>
      <c r="E274" s="1326"/>
    </row>
    <row r="275">
      <c r="A275" s="1340"/>
      <c r="B275" s="189"/>
      <c r="C275" s="676"/>
      <c r="D275" s="1335"/>
      <c r="E275" s="1326"/>
    </row>
    <row r="276">
      <c r="A276" s="1340"/>
      <c r="B276" s="189"/>
      <c r="C276" s="676"/>
      <c r="D276" s="1335"/>
      <c r="E276" s="1326"/>
    </row>
    <row r="277">
      <c r="A277" s="1340"/>
      <c r="B277" s="189"/>
      <c r="C277" s="676"/>
      <c r="D277" s="1335"/>
      <c r="E277" s="1326"/>
    </row>
    <row r="278">
      <c r="A278" s="1340"/>
      <c r="B278" s="189"/>
      <c r="C278" s="676"/>
      <c r="D278" s="1335"/>
      <c r="E278" s="1326"/>
    </row>
    <row r="279">
      <c r="A279" s="1340"/>
      <c r="B279" s="189"/>
      <c r="C279" s="676"/>
      <c r="D279" s="1335"/>
      <c r="E279" s="1326"/>
    </row>
    <row r="280">
      <c r="A280" s="1340"/>
      <c r="B280" s="189"/>
      <c r="C280" s="676"/>
      <c r="D280" s="1335"/>
      <c r="E280" s="1326"/>
    </row>
    <row r="281">
      <c r="A281" s="1340"/>
      <c r="B281" s="189"/>
      <c r="C281" s="676"/>
      <c r="D281" s="1335"/>
      <c r="E281" s="1326"/>
    </row>
    <row r="282">
      <c r="A282" s="1340"/>
      <c r="B282" s="189"/>
      <c r="C282" s="676"/>
      <c r="D282" s="1335"/>
      <c r="E282" s="1326"/>
    </row>
    <row r="283">
      <c r="A283" s="1340"/>
      <c r="B283" s="189"/>
      <c r="C283" s="676"/>
      <c r="D283" s="1335"/>
      <c r="E283" s="1326"/>
    </row>
    <row r="284">
      <c r="A284" s="1340"/>
      <c r="B284" s="189"/>
      <c r="C284" s="676"/>
      <c r="D284" s="1335"/>
      <c r="E284" s="1326"/>
    </row>
    <row r="285">
      <c r="A285" s="1340"/>
      <c r="B285" s="189"/>
      <c r="C285" s="676"/>
      <c r="D285" s="1335"/>
      <c r="E285" s="1326"/>
    </row>
    <row r="286">
      <c r="A286" s="1340"/>
      <c r="B286" s="189"/>
      <c r="C286" s="676"/>
      <c r="D286" s="1335"/>
      <c r="E286" s="1326"/>
    </row>
    <row r="287">
      <c r="A287" s="1340"/>
      <c r="B287" s="189"/>
      <c r="C287" s="676"/>
      <c r="D287" s="1335"/>
      <c r="E287" s="1326"/>
    </row>
    <row r="288">
      <c r="A288" s="1340"/>
      <c r="B288" s="189"/>
      <c r="C288" s="676"/>
      <c r="D288" s="1335"/>
      <c r="E288" s="1326"/>
    </row>
    <row r="289">
      <c r="A289" s="1340"/>
      <c r="B289" s="189"/>
      <c r="C289" s="676"/>
      <c r="D289" s="1335"/>
      <c r="E289" s="1326"/>
    </row>
    <row r="290">
      <c r="A290" s="1340"/>
      <c r="B290" s="189"/>
      <c r="C290" s="676"/>
      <c r="D290" s="1335"/>
      <c r="E290" s="1326"/>
    </row>
    <row r="291">
      <c r="A291" s="1340"/>
      <c r="B291" s="189"/>
      <c r="C291" s="676"/>
      <c r="D291" s="1335"/>
      <c r="E291" s="1326"/>
    </row>
    <row r="292">
      <c r="A292" s="1340"/>
      <c r="B292" s="189"/>
      <c r="C292" s="676"/>
      <c r="D292" s="1335"/>
      <c r="E292" s="1326"/>
    </row>
    <row r="293">
      <c r="A293" s="1340"/>
      <c r="B293" s="189"/>
      <c r="C293" s="676"/>
      <c r="D293" s="1335"/>
      <c r="E293" s="1326"/>
    </row>
    <row r="294">
      <c r="A294" s="1340"/>
      <c r="B294" s="189"/>
      <c r="C294" s="676"/>
      <c r="D294" s="1335"/>
      <c r="E294" s="1326"/>
    </row>
    <row r="295">
      <c r="A295" s="1340"/>
      <c r="B295" s="189"/>
      <c r="C295" s="676"/>
      <c r="D295" s="1335"/>
      <c r="E295" s="1326"/>
    </row>
    <row r="296">
      <c r="A296" s="1340"/>
      <c r="B296" s="189"/>
      <c r="C296" s="676"/>
      <c r="D296" s="1335"/>
      <c r="E296" s="1326"/>
    </row>
    <row r="297">
      <c r="A297" s="1340"/>
      <c r="B297" s="189"/>
      <c r="C297" s="676"/>
      <c r="D297" s="1335"/>
      <c r="E297" s="1326"/>
    </row>
    <row r="298">
      <c r="A298" s="1340"/>
      <c r="B298" s="189"/>
      <c r="C298" s="676"/>
      <c r="D298" s="1335"/>
      <c r="E298" s="1326"/>
    </row>
    <row r="299">
      <c r="A299" s="1340"/>
      <c r="B299" s="189"/>
      <c r="C299" s="676"/>
      <c r="D299" s="1335"/>
      <c r="E299" s="1326"/>
    </row>
    <row r="300">
      <c r="A300" s="1340"/>
      <c r="B300" s="189"/>
      <c r="C300" s="676"/>
      <c r="D300" s="1335"/>
      <c r="E300" s="1326"/>
    </row>
    <row r="301">
      <c r="A301" s="1340"/>
      <c r="B301" s="189"/>
      <c r="C301" s="676"/>
      <c r="D301" s="1335"/>
      <c r="E301" s="1326"/>
    </row>
    <row r="302">
      <c r="A302" s="1340"/>
      <c r="B302" s="189"/>
      <c r="C302" s="676"/>
      <c r="D302" s="1335"/>
      <c r="E302" s="1326"/>
    </row>
    <row r="303">
      <c r="A303" s="1340"/>
      <c r="B303" s="189"/>
      <c r="C303" s="676"/>
      <c r="D303" s="1335"/>
      <c r="E303" s="1326"/>
    </row>
    <row r="304">
      <c r="A304" s="1340"/>
      <c r="B304" s="189"/>
      <c r="C304" s="676"/>
      <c r="D304" s="1335"/>
      <c r="E304" s="1326"/>
    </row>
    <row r="305">
      <c r="A305" s="1340"/>
      <c r="B305" s="189"/>
      <c r="C305" s="676"/>
      <c r="D305" s="1335"/>
      <c r="E305" s="1326"/>
    </row>
    <row r="306">
      <c r="A306" s="1340"/>
      <c r="B306" s="189"/>
      <c r="C306" s="676"/>
      <c r="D306" s="1335"/>
      <c r="E306" s="1326"/>
    </row>
    <row r="307">
      <c r="A307" s="1340"/>
      <c r="B307" s="189"/>
      <c r="C307" s="676"/>
      <c r="D307" s="1335"/>
      <c r="E307" s="1326"/>
    </row>
    <row r="308">
      <c r="A308" s="1340"/>
      <c r="B308" s="189"/>
      <c r="C308" s="676"/>
      <c r="D308" s="1335"/>
      <c r="E308" s="1326"/>
    </row>
    <row r="309">
      <c r="A309" s="1340"/>
      <c r="B309" s="189"/>
      <c r="C309" s="676"/>
      <c r="D309" s="1335"/>
      <c r="E309" s="1326"/>
    </row>
    <row r="310">
      <c r="A310" s="1340"/>
      <c r="B310" s="189"/>
      <c r="C310" s="676"/>
      <c r="D310" s="1335"/>
      <c r="E310" s="1326"/>
    </row>
    <row r="311">
      <c r="A311" s="1340"/>
      <c r="B311" s="189"/>
      <c r="C311" s="676"/>
      <c r="D311" s="1335"/>
      <c r="E311" s="1326"/>
    </row>
    <row r="312">
      <c r="A312" s="1340"/>
      <c r="B312" s="189"/>
      <c r="C312" s="676"/>
      <c r="D312" s="1335"/>
      <c r="E312" s="1326"/>
    </row>
    <row r="313">
      <c r="A313" s="1340"/>
      <c r="B313" s="189"/>
      <c r="C313" s="676"/>
      <c r="D313" s="1335"/>
      <c r="E313" s="1326"/>
    </row>
    <row r="314">
      <c r="A314" s="1340"/>
      <c r="B314" s="189"/>
      <c r="C314" s="676"/>
      <c r="D314" s="1335"/>
      <c r="E314" s="1326"/>
    </row>
    <row r="315">
      <c r="A315" s="1340"/>
      <c r="B315" s="189"/>
      <c r="C315" s="676"/>
      <c r="D315" s="1335"/>
      <c r="E315" s="1326"/>
    </row>
    <row r="316">
      <c r="A316" s="1340"/>
      <c r="B316" s="189"/>
      <c r="C316" s="676"/>
      <c r="D316" s="1335"/>
      <c r="E316" s="1326"/>
    </row>
    <row r="317">
      <c r="A317" s="1340"/>
      <c r="B317" s="189"/>
      <c r="C317" s="676"/>
      <c r="D317" s="1335"/>
      <c r="E317" s="1326"/>
    </row>
    <row r="318">
      <c r="A318" s="1340"/>
      <c r="B318" s="189"/>
      <c r="C318" s="676"/>
      <c r="D318" s="1335"/>
      <c r="E318" s="1326"/>
    </row>
    <row r="319">
      <c r="A319" s="1340"/>
      <c r="B319" s="189"/>
      <c r="C319" s="676"/>
      <c r="D319" s="1335"/>
      <c r="E319" s="1326"/>
    </row>
    <row r="320">
      <c r="A320" s="1340"/>
      <c r="B320" s="189"/>
      <c r="C320" s="676"/>
      <c r="D320" s="1335"/>
      <c r="E320" s="1326"/>
    </row>
    <row r="321">
      <c r="A321" s="1340"/>
      <c r="B321" s="189"/>
      <c r="C321" s="676"/>
      <c r="D321" s="1335"/>
      <c r="E321" s="1326"/>
    </row>
    <row r="322">
      <c r="A322" s="1340"/>
      <c r="B322" s="189"/>
      <c r="C322" s="676"/>
      <c r="D322" s="1335"/>
      <c r="E322" s="1326"/>
    </row>
    <row r="323">
      <c r="A323" s="1340"/>
      <c r="B323" s="189"/>
      <c r="C323" s="676"/>
      <c r="D323" s="1335"/>
      <c r="E323" s="1326"/>
    </row>
    <row r="324">
      <c r="A324" s="1340"/>
      <c r="B324" s="189"/>
      <c r="C324" s="676"/>
      <c r="D324" s="1335"/>
      <c r="E324" s="1326"/>
    </row>
    <row r="325">
      <c r="A325" s="1340"/>
      <c r="B325" s="189"/>
      <c r="C325" s="676"/>
      <c r="D325" s="1335"/>
      <c r="E325" s="1326"/>
    </row>
    <row r="326">
      <c r="A326" s="1340"/>
      <c r="B326" s="189"/>
      <c r="C326" s="676"/>
      <c r="D326" s="1335"/>
      <c r="E326" s="1326"/>
    </row>
    <row r="327">
      <c r="A327" s="1340"/>
      <c r="B327" s="189"/>
      <c r="C327" s="676"/>
      <c r="D327" s="1335"/>
      <c r="E327" s="1326"/>
    </row>
    <row r="328">
      <c r="A328" s="1340"/>
      <c r="B328" s="189"/>
      <c r="C328" s="676"/>
      <c r="D328" s="1335"/>
      <c r="E328" s="1326"/>
    </row>
    <row r="329">
      <c r="A329" s="1340"/>
      <c r="B329" s="189"/>
      <c r="C329" s="676"/>
      <c r="D329" s="1335"/>
      <c r="E329" s="1326"/>
    </row>
    <row r="330">
      <c r="A330" s="1340"/>
      <c r="B330" s="189"/>
      <c r="C330" s="676"/>
      <c r="D330" s="1335"/>
      <c r="E330" s="1326"/>
    </row>
    <row r="331">
      <c r="A331" s="1340"/>
      <c r="B331" s="189"/>
      <c r="C331" s="676"/>
      <c r="D331" s="1335"/>
      <c r="E331" s="1326"/>
    </row>
    <row r="332">
      <c r="A332" s="1340"/>
      <c r="B332" s="189"/>
      <c r="C332" s="676"/>
      <c r="D332" s="1335"/>
      <c r="E332" s="1326"/>
    </row>
    <row r="333">
      <c r="A333" s="1340"/>
      <c r="B333" s="189"/>
      <c r="C333" s="676"/>
      <c r="D333" s="1335"/>
      <c r="E333" s="1326"/>
    </row>
    <row r="334">
      <c r="A334" s="1340"/>
      <c r="B334" s="189"/>
      <c r="C334" s="676"/>
      <c r="D334" s="1335"/>
      <c r="E334" s="1326"/>
    </row>
    <row r="335">
      <c r="A335" s="1340"/>
      <c r="B335" s="189"/>
      <c r="C335" s="676"/>
      <c r="D335" s="1335"/>
      <c r="E335" s="1326"/>
    </row>
    <row r="336">
      <c r="A336" s="1340"/>
      <c r="B336" s="189"/>
      <c r="C336" s="676"/>
      <c r="D336" s="1335"/>
      <c r="E336" s="1326"/>
    </row>
    <row r="337">
      <c r="A337" s="1340"/>
      <c r="B337" s="189"/>
      <c r="C337" s="676"/>
      <c r="D337" s="1335"/>
      <c r="E337" s="1326"/>
    </row>
    <row r="338">
      <c r="A338" s="1340"/>
      <c r="B338" s="189"/>
      <c r="C338" s="676"/>
      <c r="D338" s="1335"/>
      <c r="E338" s="1326"/>
    </row>
    <row r="339">
      <c r="A339" s="1340"/>
      <c r="B339" s="189"/>
      <c r="C339" s="676"/>
      <c r="D339" s="1335"/>
      <c r="E339" s="1326"/>
    </row>
    <row r="340">
      <c r="A340" s="1340"/>
      <c r="B340" s="189"/>
      <c r="C340" s="676"/>
      <c r="D340" s="1335"/>
      <c r="E340" s="1326"/>
    </row>
    <row r="341">
      <c r="A341" s="1340"/>
      <c r="B341" s="189"/>
      <c r="C341" s="676"/>
      <c r="D341" s="1335"/>
      <c r="E341" s="1326"/>
    </row>
    <row r="342">
      <c r="A342" s="1340"/>
      <c r="B342" s="189"/>
      <c r="C342" s="676"/>
      <c r="D342" s="1335"/>
      <c r="E342" s="1326"/>
    </row>
    <row r="343">
      <c r="A343" s="1340"/>
      <c r="B343" s="189"/>
      <c r="C343" s="676"/>
      <c r="D343" s="1335"/>
      <c r="E343" s="1326"/>
    </row>
    <row r="344">
      <c r="A344" s="1340"/>
      <c r="B344" s="189"/>
      <c r="C344" s="676"/>
      <c r="D344" s="1335"/>
      <c r="E344" s="1326"/>
    </row>
    <row r="345">
      <c r="A345" s="1340"/>
      <c r="B345" s="189"/>
      <c r="C345" s="676"/>
      <c r="D345" s="1335"/>
      <c r="E345" s="1326"/>
    </row>
    <row r="346">
      <c r="A346" s="1340"/>
      <c r="B346" s="189"/>
      <c r="C346" s="676"/>
      <c r="D346" s="1335"/>
      <c r="E346" s="1326"/>
    </row>
    <row r="347">
      <c r="A347" s="1340"/>
      <c r="B347" s="189"/>
      <c r="C347" s="676"/>
      <c r="D347" s="1335"/>
      <c r="E347" s="1326"/>
    </row>
    <row r="348">
      <c r="A348" s="1340"/>
      <c r="B348" s="189"/>
      <c r="C348" s="676"/>
      <c r="D348" s="1335"/>
      <c r="E348" s="1326"/>
    </row>
    <row r="349">
      <c r="A349" s="1340"/>
      <c r="B349" s="189"/>
      <c r="C349" s="676"/>
      <c r="D349" s="1335"/>
      <c r="E349" s="1326"/>
    </row>
    <row r="350">
      <c r="A350" s="1340"/>
      <c r="B350" s="189"/>
      <c r="C350" s="676"/>
      <c r="D350" s="1335"/>
      <c r="E350" s="1326"/>
    </row>
    <row r="351">
      <c r="A351" s="1340"/>
      <c r="B351" s="189"/>
      <c r="C351" s="676"/>
      <c r="D351" s="1335"/>
      <c r="E351" s="1326"/>
    </row>
    <row r="352">
      <c r="A352" s="1340"/>
      <c r="B352" s="189"/>
      <c r="C352" s="676"/>
      <c r="D352" s="1335"/>
      <c r="E352" s="1326"/>
    </row>
    <row r="353">
      <c r="A353" s="1340"/>
      <c r="B353" s="189"/>
      <c r="C353" s="676"/>
      <c r="D353" s="1335"/>
      <c r="E353" s="1326"/>
    </row>
    <row r="354">
      <c r="A354" s="1340"/>
      <c r="B354" s="189"/>
      <c r="C354" s="676"/>
      <c r="D354" s="1335"/>
      <c r="E354" s="1326"/>
    </row>
    <row r="355">
      <c r="A355" s="1340"/>
      <c r="B355" s="189"/>
      <c r="C355" s="676"/>
      <c r="D355" s="1335"/>
      <c r="E355" s="1326"/>
    </row>
    <row r="356">
      <c r="A356" s="1340"/>
      <c r="B356" s="189"/>
      <c r="C356" s="676"/>
      <c r="D356" s="1335"/>
      <c r="E356" s="1326"/>
    </row>
    <row r="357">
      <c r="A357" s="1340"/>
      <c r="B357" s="189"/>
      <c r="C357" s="676"/>
      <c r="D357" s="1335"/>
      <c r="E357" s="1326"/>
    </row>
    <row r="358">
      <c r="A358" s="1340"/>
      <c r="B358" s="189"/>
      <c r="C358" s="676"/>
      <c r="D358" s="1335"/>
      <c r="E358" s="1326"/>
    </row>
    <row r="359">
      <c r="A359" s="1340"/>
      <c r="B359" s="189"/>
      <c r="C359" s="676"/>
      <c r="D359" s="1335"/>
      <c r="E359" s="1326"/>
    </row>
    <row r="360">
      <c r="A360" s="1340"/>
      <c r="B360" s="189"/>
      <c r="C360" s="676"/>
      <c r="D360" s="1335"/>
      <c r="E360" s="1326"/>
    </row>
    <row r="361">
      <c r="A361" s="1340"/>
      <c r="B361" s="189"/>
      <c r="C361" s="676"/>
      <c r="D361" s="1335"/>
      <c r="E361" s="1326"/>
    </row>
    <row r="362">
      <c r="A362" s="1340"/>
      <c r="B362" s="189"/>
      <c r="C362" s="676"/>
      <c r="D362" s="1335"/>
      <c r="E362" s="1326"/>
    </row>
    <row r="363">
      <c r="A363" s="1340"/>
      <c r="B363" s="189"/>
      <c r="C363" s="676"/>
      <c r="D363" s="1335"/>
      <c r="E363" s="1326"/>
    </row>
    <row r="364">
      <c r="A364" s="1340"/>
      <c r="B364" s="189"/>
      <c r="C364" s="676"/>
      <c r="D364" s="1335"/>
      <c r="E364" s="1326"/>
    </row>
    <row r="365">
      <c r="A365" s="1340"/>
      <c r="B365" s="189"/>
      <c r="C365" s="676"/>
      <c r="D365" s="1335"/>
      <c r="E365" s="1326"/>
    </row>
    <row r="366">
      <c r="A366" s="1340"/>
      <c r="B366" s="189"/>
      <c r="C366" s="676"/>
      <c r="D366" s="1335"/>
      <c r="E366" s="1326"/>
    </row>
    <row r="367">
      <c r="A367" s="1340"/>
      <c r="B367" s="189"/>
      <c r="C367" s="676"/>
      <c r="D367" s="1335"/>
      <c r="E367" s="1326"/>
    </row>
    <row r="368">
      <c r="A368" s="1340"/>
      <c r="B368" s="189"/>
      <c r="C368" s="676"/>
      <c r="D368" s="1335"/>
      <c r="E368" s="1326"/>
    </row>
    <row r="369">
      <c r="A369" s="1340"/>
      <c r="B369" s="189"/>
      <c r="C369" s="676"/>
      <c r="D369" s="1335"/>
      <c r="E369" s="1326"/>
    </row>
    <row r="370">
      <c r="A370" s="1340"/>
      <c r="B370" s="189"/>
      <c r="C370" s="676"/>
      <c r="D370" s="1335"/>
      <c r="E370" s="1326"/>
    </row>
    <row r="371">
      <c r="A371" s="1340"/>
      <c r="B371" s="189"/>
      <c r="C371" s="676"/>
      <c r="D371" s="1335"/>
      <c r="E371" s="1326"/>
    </row>
    <row r="372">
      <c r="A372" s="1340"/>
      <c r="B372" s="189"/>
      <c r="C372" s="676"/>
      <c r="D372" s="1335"/>
      <c r="E372" s="1326"/>
    </row>
    <row r="373">
      <c r="A373" s="1340"/>
      <c r="B373" s="189"/>
      <c r="C373" s="676"/>
      <c r="D373" s="1335"/>
      <c r="E373" s="1326"/>
    </row>
    <row r="374">
      <c r="A374" s="1340"/>
      <c r="B374" s="189"/>
      <c r="C374" s="676"/>
      <c r="D374" s="1335"/>
      <c r="E374" s="1326"/>
    </row>
    <row r="375">
      <c r="A375" s="1340"/>
      <c r="B375" s="189"/>
      <c r="C375" s="676"/>
      <c r="D375" s="1335"/>
      <c r="E375" s="1326"/>
    </row>
    <row r="376">
      <c r="A376" s="1340"/>
      <c r="B376" s="189"/>
      <c r="C376" s="676"/>
      <c r="D376" s="1335"/>
      <c r="E376" s="1326"/>
    </row>
    <row r="377">
      <c r="A377" s="1340"/>
      <c r="B377" s="189"/>
      <c r="C377" s="676"/>
      <c r="D377" s="1335"/>
      <c r="E377" s="1326"/>
    </row>
    <row r="378">
      <c r="A378" s="1340"/>
      <c r="B378" s="189"/>
      <c r="C378" s="676"/>
      <c r="D378" s="1335"/>
      <c r="E378" s="1326"/>
    </row>
    <row r="379">
      <c r="A379" s="1340"/>
      <c r="B379" s="189"/>
      <c r="C379" s="676"/>
      <c r="D379" s="1335"/>
      <c r="E379" s="1326"/>
    </row>
    <row r="380">
      <c r="A380" s="1340"/>
      <c r="B380" s="189"/>
      <c r="C380" s="676"/>
      <c r="D380" s="1335"/>
      <c r="E380" s="1326"/>
    </row>
    <row r="381">
      <c r="A381" s="1340"/>
      <c r="B381" s="189"/>
      <c r="C381" s="676"/>
      <c r="D381" s="1335"/>
      <c r="E381" s="1326"/>
    </row>
    <row r="382">
      <c r="A382" s="1340"/>
      <c r="B382" s="189"/>
      <c r="C382" s="676"/>
      <c r="D382" s="1335"/>
      <c r="E382" s="1326"/>
    </row>
    <row r="383">
      <c r="A383" s="1340"/>
      <c r="B383" s="189"/>
      <c r="C383" s="676"/>
      <c r="D383" s="1335"/>
      <c r="E383" s="1326"/>
    </row>
    <row r="384">
      <c r="A384" s="1340"/>
      <c r="B384" s="189"/>
      <c r="C384" s="676"/>
      <c r="D384" s="1335"/>
      <c r="E384" s="1326"/>
    </row>
    <row r="385">
      <c r="A385" s="1340"/>
      <c r="B385" s="189"/>
      <c r="C385" s="676"/>
      <c r="D385" s="1335"/>
      <c r="E385" s="1326"/>
    </row>
    <row r="386">
      <c r="A386" s="1340"/>
      <c r="B386" s="189"/>
      <c r="C386" s="676"/>
      <c r="D386" s="1335"/>
      <c r="E386" s="1326"/>
    </row>
    <row r="387">
      <c r="A387" s="1340"/>
      <c r="B387" s="189"/>
      <c r="C387" s="676"/>
      <c r="D387" s="1335"/>
      <c r="E387" s="1326"/>
    </row>
    <row r="388">
      <c r="A388" s="1340"/>
      <c r="B388" s="189"/>
      <c r="C388" s="676"/>
      <c r="D388" s="1335"/>
      <c r="E388" s="1326"/>
    </row>
    <row r="389">
      <c r="A389" s="1340"/>
      <c r="B389" s="189"/>
      <c r="C389" s="676"/>
      <c r="D389" s="1335"/>
      <c r="E389" s="1326"/>
    </row>
    <row r="390">
      <c r="A390" s="1340"/>
      <c r="B390" s="189"/>
      <c r="C390" s="676"/>
      <c r="D390" s="1335"/>
      <c r="E390" s="1326"/>
    </row>
    <row r="391">
      <c r="A391" s="1340"/>
      <c r="B391" s="189"/>
      <c r="C391" s="676"/>
      <c r="D391" s="1335"/>
      <c r="E391" s="1326"/>
    </row>
    <row r="392">
      <c r="A392" s="1340"/>
      <c r="B392" s="189"/>
      <c r="C392" s="676"/>
      <c r="D392" s="1335"/>
      <c r="E392" s="1326"/>
    </row>
    <row r="393">
      <c r="A393" s="1340"/>
      <c r="B393" s="189"/>
      <c r="C393" s="676"/>
      <c r="D393" s="1335"/>
      <c r="E393" s="1326"/>
    </row>
    <row r="394">
      <c r="A394" s="1340"/>
      <c r="B394" s="189"/>
      <c r="C394" s="676"/>
      <c r="D394" s="1335"/>
      <c r="E394" s="1326"/>
    </row>
    <row r="395">
      <c r="A395" s="1340"/>
      <c r="B395" s="189"/>
      <c r="C395" s="676"/>
      <c r="D395" s="1335"/>
      <c r="E395" s="1326"/>
    </row>
    <row r="396">
      <c r="A396" s="1340"/>
      <c r="B396" s="189"/>
      <c r="C396" s="676"/>
      <c r="D396" s="1335"/>
      <c r="E396" s="1326"/>
    </row>
    <row r="397">
      <c r="A397" s="1340"/>
      <c r="B397" s="189"/>
      <c r="C397" s="676"/>
      <c r="D397" s="1335"/>
      <c r="E397" s="1326"/>
    </row>
    <row r="398">
      <c r="A398" s="1340"/>
      <c r="B398" s="189"/>
      <c r="C398" s="676"/>
      <c r="D398" s="1335"/>
      <c r="E398" s="1326"/>
    </row>
    <row r="399">
      <c r="A399" s="1340"/>
      <c r="B399" s="189"/>
      <c r="C399" s="676"/>
      <c r="D399" s="1335"/>
      <c r="E399" s="1326"/>
    </row>
    <row r="400">
      <c r="A400" s="1340"/>
      <c r="B400" s="189"/>
      <c r="C400" s="676"/>
      <c r="D400" s="1335"/>
      <c r="E400" s="1326"/>
    </row>
    <row r="401">
      <c r="A401" s="1340"/>
      <c r="B401" s="189"/>
      <c r="C401" s="676"/>
      <c r="D401" s="1335"/>
      <c r="E401" s="1326"/>
    </row>
    <row r="402">
      <c r="A402" s="1340"/>
      <c r="B402" s="189"/>
      <c r="C402" s="676"/>
      <c r="D402" s="1335"/>
      <c r="E402" s="1326"/>
    </row>
    <row r="403">
      <c r="A403" s="1340"/>
      <c r="B403" s="189"/>
      <c r="C403" s="676"/>
      <c r="D403" s="1335"/>
      <c r="E403" s="1326"/>
    </row>
    <row r="404">
      <c r="A404" s="1340"/>
      <c r="B404" s="189"/>
      <c r="C404" s="676"/>
      <c r="D404" s="1335"/>
      <c r="E404" s="1326"/>
    </row>
    <row r="405">
      <c r="A405" s="1340"/>
      <c r="B405" s="189"/>
      <c r="C405" s="676"/>
      <c r="D405" s="1335"/>
      <c r="E405" s="1326"/>
    </row>
    <row r="406">
      <c r="A406" s="1340"/>
      <c r="B406" s="189"/>
      <c r="C406" s="676"/>
      <c r="D406" s="1335"/>
      <c r="E406" s="1326"/>
    </row>
    <row r="407">
      <c r="A407" s="1340"/>
      <c r="B407" s="189"/>
      <c r="C407" s="676"/>
      <c r="D407" s="1335"/>
      <c r="E407" s="1326"/>
    </row>
    <row r="408">
      <c r="A408" s="1340"/>
      <c r="B408" s="189"/>
      <c r="C408" s="676"/>
      <c r="D408" s="1335"/>
      <c r="E408" s="1326"/>
    </row>
    <row r="409">
      <c r="A409" s="1340"/>
      <c r="B409" s="189"/>
      <c r="C409" s="676"/>
      <c r="D409" s="1335"/>
      <c r="E409" s="1326"/>
    </row>
    <row r="410">
      <c r="A410" s="1340"/>
      <c r="B410" s="189"/>
      <c r="C410" s="676"/>
      <c r="D410" s="1335"/>
      <c r="E410" s="1326"/>
    </row>
    <row r="411">
      <c r="A411" s="1340"/>
      <c r="B411" s="189"/>
      <c r="C411" s="676"/>
      <c r="D411" s="1335"/>
      <c r="E411" s="1326"/>
    </row>
    <row r="412">
      <c r="A412" s="1340"/>
      <c r="B412" s="189"/>
      <c r="C412" s="676"/>
      <c r="D412" s="1335"/>
      <c r="E412" s="1326"/>
    </row>
    <row r="413">
      <c r="A413" s="1340"/>
      <c r="B413" s="189"/>
      <c r="C413" s="676"/>
      <c r="D413" s="1335"/>
      <c r="E413" s="1326"/>
    </row>
    <row r="414">
      <c r="A414" s="1340"/>
      <c r="B414" s="189"/>
      <c r="C414" s="676"/>
      <c r="D414" s="1335"/>
      <c r="E414" s="1326"/>
    </row>
    <row r="415">
      <c r="A415" s="1340"/>
      <c r="B415" s="189"/>
      <c r="C415" s="676"/>
      <c r="D415" s="1335"/>
      <c r="E415" s="1326"/>
    </row>
    <row r="416">
      <c r="A416" s="1340"/>
      <c r="B416" s="189"/>
      <c r="C416" s="676"/>
      <c r="D416" s="1335"/>
      <c r="E416" s="1326"/>
    </row>
    <row r="417">
      <c r="A417" s="1340"/>
      <c r="B417" s="189"/>
      <c r="C417" s="676"/>
      <c r="D417" s="1335"/>
      <c r="E417" s="1326"/>
    </row>
    <row r="418">
      <c r="A418" s="1340"/>
      <c r="B418" s="189"/>
      <c r="C418" s="676"/>
      <c r="D418" s="1335"/>
      <c r="E418" s="1326"/>
    </row>
    <row r="419">
      <c r="A419" s="1340"/>
      <c r="B419" s="189"/>
      <c r="C419" s="676"/>
      <c r="D419" s="1335"/>
      <c r="E419" s="1326"/>
    </row>
    <row r="420">
      <c r="A420" s="1340"/>
      <c r="B420" s="189"/>
      <c r="C420" s="676"/>
      <c r="D420" s="1335"/>
      <c r="E420" s="1326"/>
    </row>
    <row r="421">
      <c r="A421" s="1340"/>
      <c r="B421" s="189"/>
      <c r="C421" s="676"/>
      <c r="D421" s="1335"/>
      <c r="E421" s="1326"/>
    </row>
    <row r="422">
      <c r="A422" s="1340"/>
      <c r="B422" s="189"/>
      <c r="C422" s="676"/>
      <c r="D422" s="1335"/>
      <c r="E422" s="1326"/>
    </row>
    <row r="423">
      <c r="A423" s="1340"/>
      <c r="B423" s="189"/>
      <c r="C423" s="676"/>
      <c r="D423" s="1335"/>
      <c r="E423" s="1326"/>
    </row>
    <row r="424">
      <c r="A424" s="1340"/>
      <c r="B424" s="189"/>
      <c r="C424" s="676"/>
      <c r="D424" s="1335"/>
      <c r="E424" s="1326"/>
    </row>
    <row r="425">
      <c r="A425" s="1340"/>
      <c r="B425" s="189"/>
      <c r="C425" s="676"/>
      <c r="D425" s="1335"/>
      <c r="E425" s="1326"/>
    </row>
    <row r="426">
      <c r="A426" s="1340"/>
      <c r="B426" s="189"/>
      <c r="C426" s="676"/>
      <c r="D426" s="1335"/>
      <c r="E426" s="1326"/>
    </row>
    <row r="427">
      <c r="A427" s="1340"/>
      <c r="B427" s="189"/>
      <c r="C427" s="676"/>
      <c r="D427" s="1335"/>
      <c r="E427" s="1326"/>
    </row>
    <row r="428">
      <c r="A428" s="1340"/>
      <c r="B428" s="189"/>
      <c r="C428" s="676"/>
      <c r="D428" s="1335"/>
      <c r="E428" s="1326"/>
    </row>
    <row r="429">
      <c r="A429" s="1340"/>
      <c r="B429" s="189"/>
      <c r="C429" s="676"/>
      <c r="D429" s="1335"/>
      <c r="E429" s="1326"/>
    </row>
    <row r="430">
      <c r="A430" s="1340"/>
      <c r="B430" s="189"/>
      <c r="C430" s="676"/>
      <c r="D430" s="1335"/>
      <c r="E430" s="1326"/>
    </row>
    <row r="431">
      <c r="A431" s="1340"/>
      <c r="B431" s="189"/>
      <c r="C431" s="676"/>
      <c r="D431" s="1335"/>
      <c r="E431" s="1326"/>
    </row>
    <row r="432">
      <c r="A432" s="1340"/>
      <c r="B432" s="189"/>
      <c r="C432" s="676"/>
      <c r="D432" s="1335"/>
      <c r="E432" s="1326"/>
    </row>
    <row r="433">
      <c r="A433" s="1340"/>
      <c r="B433" s="189"/>
      <c r="C433" s="676"/>
      <c r="D433" s="1335"/>
      <c r="E433" s="1326"/>
    </row>
    <row r="434">
      <c r="A434" s="1340"/>
      <c r="B434" s="189"/>
      <c r="C434" s="676"/>
      <c r="D434" s="1335"/>
      <c r="E434" s="1326"/>
    </row>
    <row r="435">
      <c r="A435" s="1340"/>
      <c r="B435" s="189"/>
      <c r="C435" s="676"/>
      <c r="D435" s="1335"/>
      <c r="E435" s="1326"/>
    </row>
    <row r="436">
      <c r="A436" s="1340"/>
      <c r="B436" s="189"/>
      <c r="C436" s="676"/>
      <c r="D436" s="1335"/>
      <c r="E436" s="1326"/>
    </row>
    <row r="437">
      <c r="A437" s="1340"/>
      <c r="B437" s="189"/>
      <c r="C437" s="676"/>
      <c r="D437" s="1335"/>
      <c r="E437" s="1326"/>
    </row>
    <row r="438">
      <c r="A438" s="1340"/>
      <c r="B438" s="189"/>
      <c r="C438" s="676"/>
      <c r="D438" s="1335"/>
      <c r="E438" s="1326"/>
    </row>
    <row r="439">
      <c r="A439" s="1340"/>
      <c r="B439" s="189"/>
      <c r="C439" s="676"/>
      <c r="D439" s="1335"/>
      <c r="E439" s="1326"/>
    </row>
    <row r="440">
      <c r="A440" s="1340"/>
      <c r="B440" s="189"/>
      <c r="C440" s="676"/>
      <c r="D440" s="1335"/>
      <c r="E440" s="1326"/>
    </row>
    <row r="441">
      <c r="A441" s="1340"/>
      <c r="B441" s="189"/>
      <c r="C441" s="676"/>
      <c r="D441" s="1335"/>
      <c r="E441" s="1326"/>
    </row>
    <row r="442">
      <c r="A442" s="1340"/>
      <c r="B442" s="189"/>
      <c r="C442" s="676"/>
      <c r="D442" s="1335"/>
      <c r="E442" s="1326"/>
    </row>
    <row r="443">
      <c r="A443" s="1340"/>
      <c r="B443" s="189"/>
      <c r="C443" s="676"/>
      <c r="D443" s="1335"/>
      <c r="E443" s="1326"/>
    </row>
    <row r="444">
      <c r="A444" s="1340"/>
      <c r="B444" s="189"/>
      <c r="C444" s="676"/>
      <c r="D444" s="1335"/>
      <c r="E444" s="1326"/>
    </row>
    <row r="445">
      <c r="A445" s="1340"/>
      <c r="B445" s="189"/>
      <c r="C445" s="676"/>
      <c r="D445" s="1335"/>
      <c r="E445" s="1326"/>
    </row>
    <row r="446">
      <c r="A446" s="1340"/>
      <c r="B446" s="189"/>
      <c r="C446" s="676"/>
      <c r="D446" s="1335"/>
      <c r="E446" s="1326"/>
    </row>
    <row r="447">
      <c r="A447" s="1340"/>
      <c r="B447" s="189"/>
      <c r="C447" s="676"/>
      <c r="D447" s="1335"/>
      <c r="E447" s="1326"/>
    </row>
    <row r="448">
      <c r="A448" s="1340"/>
      <c r="B448" s="189"/>
      <c r="C448" s="676"/>
      <c r="D448" s="1335"/>
      <c r="E448" s="1326"/>
    </row>
    <row r="449">
      <c r="A449" s="1340"/>
      <c r="B449" s="189"/>
      <c r="C449" s="676"/>
      <c r="D449" s="1335"/>
      <c r="E449" s="1326"/>
    </row>
    <row r="450">
      <c r="A450" s="1340"/>
      <c r="B450" s="189"/>
      <c r="C450" s="676"/>
      <c r="D450" s="1335"/>
      <c r="E450" s="1326"/>
    </row>
    <row r="451">
      <c r="A451" s="1340"/>
      <c r="B451" s="189"/>
      <c r="C451" s="676"/>
      <c r="D451" s="1335"/>
      <c r="E451" s="1326"/>
    </row>
    <row r="452">
      <c r="A452" s="1340"/>
      <c r="B452" s="189"/>
      <c r="C452" s="676"/>
      <c r="D452" s="1335"/>
      <c r="E452" s="1326"/>
    </row>
    <row r="453">
      <c r="A453" s="1340"/>
      <c r="B453" s="189"/>
      <c r="C453" s="676"/>
      <c r="D453" s="1335"/>
      <c r="E453" s="1326"/>
    </row>
    <row r="454">
      <c r="A454" s="1340"/>
      <c r="B454" s="189"/>
      <c r="C454" s="676"/>
      <c r="D454" s="1335"/>
      <c r="E454" s="1326"/>
    </row>
    <row r="455">
      <c r="A455" s="1340"/>
      <c r="B455" s="189"/>
      <c r="C455" s="676"/>
      <c r="D455" s="1335"/>
      <c r="E455" s="1326"/>
    </row>
    <row r="456">
      <c r="A456" s="1340"/>
      <c r="B456" s="189"/>
      <c r="C456" s="676"/>
      <c r="D456" s="1335"/>
      <c r="E456" s="1326"/>
    </row>
    <row r="457">
      <c r="A457" s="1340"/>
      <c r="B457" s="189"/>
      <c r="C457" s="676"/>
      <c r="D457" s="1335"/>
      <c r="E457" s="1326"/>
    </row>
    <row r="458">
      <c r="A458" s="1340"/>
      <c r="B458" s="189"/>
      <c r="C458" s="676"/>
      <c r="D458" s="1335"/>
      <c r="E458" s="1326"/>
    </row>
    <row r="459">
      <c r="A459" s="1340"/>
      <c r="B459" s="189"/>
      <c r="C459" s="676"/>
      <c r="D459" s="1335"/>
      <c r="E459" s="1326"/>
    </row>
    <row r="460">
      <c r="A460" s="1340"/>
      <c r="B460" s="189"/>
      <c r="C460" s="676"/>
      <c r="D460" s="1335"/>
      <c r="E460" s="1326"/>
    </row>
    <row r="461">
      <c r="A461" s="1340"/>
      <c r="B461" s="189"/>
      <c r="C461" s="676"/>
      <c r="D461" s="1335"/>
      <c r="E461" s="1326"/>
    </row>
    <row r="462">
      <c r="A462" s="1340"/>
      <c r="B462" s="189"/>
      <c r="C462" s="676"/>
      <c r="D462" s="1335"/>
      <c r="E462" s="1326"/>
    </row>
    <row r="463">
      <c r="A463" s="1340"/>
      <c r="B463" s="189"/>
      <c r="C463" s="676"/>
      <c r="D463" s="1335"/>
      <c r="E463" s="1326"/>
    </row>
    <row r="464">
      <c r="A464" s="1340"/>
      <c r="B464" s="189"/>
      <c r="C464" s="676"/>
      <c r="D464" s="1335"/>
      <c r="E464" s="1326"/>
    </row>
    <row r="465">
      <c r="A465" s="1340"/>
      <c r="B465" s="189"/>
      <c r="C465" s="676"/>
      <c r="D465" s="1335"/>
      <c r="E465" s="1326"/>
    </row>
    <row r="466">
      <c r="A466" s="1340"/>
      <c r="B466" s="189"/>
      <c r="C466" s="676"/>
      <c r="D466" s="1335"/>
      <c r="E466" s="1326"/>
    </row>
    <row r="467">
      <c r="A467" s="1340"/>
      <c r="B467" s="189"/>
      <c r="C467" s="676"/>
      <c r="D467" s="1335"/>
      <c r="E467" s="1326"/>
    </row>
    <row r="468">
      <c r="A468" s="1340"/>
      <c r="B468" s="189"/>
      <c r="C468" s="676"/>
      <c r="D468" s="1335"/>
      <c r="E468" s="1326"/>
    </row>
    <row r="469">
      <c r="A469" s="1340"/>
      <c r="B469" s="189"/>
      <c r="C469" s="676"/>
      <c r="D469" s="1335"/>
      <c r="E469" s="1326"/>
    </row>
    <row r="470">
      <c r="A470" s="1340"/>
      <c r="B470" s="189"/>
      <c r="C470" s="676"/>
      <c r="D470" s="1335"/>
      <c r="E470" s="1326"/>
    </row>
    <row r="471">
      <c r="A471" s="1340"/>
      <c r="B471" s="189"/>
      <c r="C471" s="676"/>
      <c r="D471" s="1335"/>
      <c r="E471" s="1326"/>
    </row>
    <row r="472">
      <c r="A472" s="1340"/>
      <c r="B472" s="189"/>
      <c r="C472" s="676"/>
      <c r="D472" s="1335"/>
      <c r="E472" s="1326"/>
    </row>
    <row r="473">
      <c r="A473" s="1340"/>
      <c r="B473" s="189"/>
      <c r="C473" s="676"/>
      <c r="D473" s="1335"/>
      <c r="E473" s="1326"/>
    </row>
    <row r="474">
      <c r="A474" s="1340"/>
      <c r="B474" s="189"/>
      <c r="C474" s="676"/>
      <c r="D474" s="1335"/>
      <c r="E474" s="1326"/>
    </row>
    <row r="475">
      <c r="A475" s="1340"/>
      <c r="B475" s="189"/>
      <c r="C475" s="676"/>
      <c r="D475" s="1335"/>
      <c r="E475" s="1326"/>
    </row>
    <row r="476">
      <c r="A476" s="1340"/>
      <c r="B476" s="189"/>
      <c r="C476" s="676"/>
      <c r="D476" s="1335"/>
      <c r="E476" s="1326"/>
    </row>
    <row r="477">
      <c r="A477" s="1340"/>
      <c r="B477" s="189"/>
      <c r="C477" s="676"/>
      <c r="D477" s="1335"/>
      <c r="E477" s="1326"/>
    </row>
    <row r="478">
      <c r="A478" s="1340"/>
      <c r="B478" s="189"/>
      <c r="C478" s="676"/>
      <c r="D478" s="1335"/>
      <c r="E478" s="1326"/>
    </row>
    <row r="479">
      <c r="A479" s="1340"/>
      <c r="B479" s="189"/>
      <c r="C479" s="676"/>
      <c r="D479" s="1335"/>
      <c r="E479" s="1326"/>
    </row>
    <row r="480">
      <c r="A480" s="1340"/>
      <c r="B480" s="189"/>
      <c r="C480" s="676"/>
      <c r="D480" s="1335"/>
      <c r="E480" s="1326"/>
    </row>
    <row r="481">
      <c r="A481" s="1340"/>
      <c r="B481" s="189"/>
      <c r="C481" s="676"/>
      <c r="D481" s="1335"/>
      <c r="E481" s="1326"/>
    </row>
    <row r="482">
      <c r="A482" s="1340"/>
      <c r="B482" s="189"/>
      <c r="C482" s="676"/>
      <c r="D482" s="1335"/>
      <c r="E482" s="1326"/>
    </row>
    <row r="483">
      <c r="A483" s="1340"/>
      <c r="B483" s="189"/>
      <c r="C483" s="676"/>
      <c r="D483" s="1335"/>
      <c r="E483" s="1326"/>
    </row>
    <row r="484">
      <c r="A484" s="1340"/>
      <c r="B484" s="189"/>
      <c r="C484" s="676"/>
      <c r="D484" s="1335"/>
      <c r="E484" s="1326"/>
    </row>
    <row r="485">
      <c r="A485" s="1340"/>
      <c r="B485" s="189"/>
      <c r="C485" s="676"/>
      <c r="D485" s="1335"/>
      <c r="E485" s="1326"/>
    </row>
    <row r="486">
      <c r="A486" s="1340"/>
      <c r="B486" s="189"/>
      <c r="C486" s="676"/>
      <c r="D486" s="1335"/>
      <c r="E486" s="1326"/>
    </row>
    <row r="487">
      <c r="A487" s="1340"/>
      <c r="B487" s="189"/>
      <c r="C487" s="676"/>
      <c r="D487" s="1335"/>
      <c r="E487" s="1326"/>
    </row>
    <row r="488">
      <c r="A488" s="1340"/>
      <c r="B488" s="189"/>
      <c r="C488" s="676"/>
      <c r="D488" s="1335"/>
      <c r="E488" s="1326"/>
    </row>
    <row r="489">
      <c r="A489" s="1340"/>
      <c r="B489" s="189"/>
      <c r="C489" s="676"/>
      <c r="D489" s="1335"/>
      <c r="E489" s="1326"/>
    </row>
    <row r="490">
      <c r="A490" s="1340"/>
      <c r="B490" s="189"/>
      <c r="C490" s="676"/>
      <c r="D490" s="1335"/>
      <c r="E490" s="1326"/>
    </row>
    <row r="491">
      <c r="A491" s="1340"/>
      <c r="B491" s="189"/>
      <c r="C491" s="676"/>
      <c r="D491" s="1335"/>
      <c r="E491" s="1326"/>
    </row>
    <row r="492">
      <c r="A492" s="1340"/>
      <c r="B492" s="189"/>
      <c r="C492" s="676"/>
      <c r="D492" s="1335"/>
      <c r="E492" s="1326"/>
    </row>
    <row r="493">
      <c r="A493" s="1340"/>
      <c r="B493" s="189"/>
      <c r="C493" s="676"/>
      <c r="D493" s="1335"/>
      <c r="E493" s="1326"/>
    </row>
    <row r="494">
      <c r="A494" s="1340"/>
      <c r="B494" s="189"/>
      <c r="C494" s="676"/>
      <c r="D494" s="1335"/>
      <c r="E494" s="1326"/>
    </row>
    <row r="495">
      <c r="A495" s="1340"/>
      <c r="B495" s="189"/>
      <c r="C495" s="676"/>
      <c r="D495" s="1335"/>
      <c r="E495" s="1326"/>
    </row>
    <row r="496">
      <c r="A496" s="1340"/>
      <c r="B496" s="189"/>
      <c r="C496" s="676"/>
      <c r="D496" s="1335"/>
      <c r="E496" s="1326"/>
    </row>
    <row r="497">
      <c r="A497" s="1340"/>
      <c r="B497" s="189"/>
      <c r="C497" s="676"/>
      <c r="D497" s="1335"/>
      <c r="E497" s="1326"/>
    </row>
    <row r="498">
      <c r="A498" s="1340"/>
      <c r="B498" s="189"/>
      <c r="C498" s="676"/>
      <c r="D498" s="1335"/>
      <c r="E498" s="1326"/>
    </row>
    <row r="499">
      <c r="A499" s="1340"/>
      <c r="B499" s="189"/>
      <c r="C499" s="676"/>
      <c r="D499" s="1335"/>
      <c r="E499" s="1326"/>
    </row>
    <row r="500">
      <c r="A500" s="1340"/>
      <c r="B500" s="189"/>
      <c r="C500" s="676"/>
      <c r="D500" s="1335"/>
      <c r="E500" s="1326"/>
    </row>
    <row r="501">
      <c r="A501" s="1340"/>
      <c r="B501" s="189"/>
      <c r="C501" s="676"/>
      <c r="D501" s="1335"/>
      <c r="E501" s="1326"/>
    </row>
    <row r="502">
      <c r="A502" s="1340"/>
      <c r="B502" s="189"/>
      <c r="C502" s="676"/>
      <c r="D502" s="1335"/>
      <c r="E502" s="1326"/>
    </row>
    <row r="503">
      <c r="A503" s="1340"/>
      <c r="B503" s="189"/>
      <c r="C503" s="676"/>
      <c r="D503" s="1335"/>
      <c r="E503" s="1326"/>
    </row>
    <row r="504">
      <c r="A504" s="1340"/>
      <c r="B504" s="189"/>
      <c r="C504" s="676"/>
      <c r="D504" s="1335"/>
      <c r="E504" s="1326"/>
    </row>
    <row r="505">
      <c r="A505" s="1340"/>
      <c r="B505" s="189"/>
      <c r="C505" s="676"/>
      <c r="D505" s="1335"/>
      <c r="E505" s="1326"/>
    </row>
    <row r="506">
      <c r="A506" s="1340"/>
      <c r="B506" s="189"/>
      <c r="C506" s="676"/>
      <c r="D506" s="1335"/>
      <c r="E506" s="1326"/>
    </row>
    <row r="507">
      <c r="A507" s="1340"/>
      <c r="B507" s="189"/>
      <c r="C507" s="676"/>
      <c r="D507" s="1335"/>
      <c r="E507" s="1326"/>
    </row>
    <row r="508">
      <c r="A508" s="1340"/>
      <c r="B508" s="189"/>
      <c r="C508" s="676"/>
      <c r="D508" s="1335"/>
      <c r="E508" s="1326"/>
    </row>
    <row r="509">
      <c r="A509" s="1340"/>
      <c r="B509" s="189"/>
      <c r="C509" s="676"/>
      <c r="D509" s="1335"/>
      <c r="E509" s="1326"/>
    </row>
    <row r="510">
      <c r="A510" s="1340"/>
      <c r="B510" s="189"/>
      <c r="C510" s="676"/>
      <c r="D510" s="1335"/>
      <c r="E510" s="1326"/>
    </row>
    <row r="511">
      <c r="A511" s="1340"/>
      <c r="B511" s="189"/>
      <c r="C511" s="676"/>
      <c r="D511" s="1335"/>
      <c r="E511" s="1326"/>
    </row>
    <row r="512">
      <c r="A512" s="1340"/>
      <c r="B512" s="189"/>
      <c r="C512" s="676"/>
      <c r="D512" s="1335"/>
      <c r="E512" s="1326"/>
    </row>
    <row r="513">
      <c r="A513" s="1340"/>
      <c r="B513" s="189"/>
      <c r="C513" s="676"/>
      <c r="D513" s="1335"/>
      <c r="E513" s="1326"/>
    </row>
    <row r="514">
      <c r="A514" s="1340"/>
      <c r="B514" s="189"/>
      <c r="C514" s="676"/>
      <c r="D514" s="1335"/>
      <c r="E514" s="1326"/>
    </row>
    <row r="515">
      <c r="A515" s="1340"/>
      <c r="B515" s="189"/>
      <c r="C515" s="676"/>
      <c r="D515" s="1335"/>
      <c r="E515" s="1326"/>
    </row>
    <row r="516">
      <c r="A516" s="1340"/>
      <c r="B516" s="189"/>
      <c r="C516" s="676"/>
      <c r="D516" s="1335"/>
      <c r="E516" s="1326"/>
    </row>
    <row r="517">
      <c r="A517" s="1340"/>
      <c r="B517" s="189"/>
      <c r="C517" s="676"/>
      <c r="D517" s="1335"/>
      <c r="E517" s="1326"/>
    </row>
    <row r="518">
      <c r="A518" s="1340"/>
      <c r="B518" s="189"/>
      <c r="C518" s="676"/>
      <c r="D518" s="1335"/>
      <c r="E518" s="1326"/>
    </row>
    <row r="519">
      <c r="A519" s="1340"/>
      <c r="B519" s="189"/>
      <c r="C519" s="676"/>
      <c r="D519" s="1335"/>
      <c r="E519" s="1326"/>
    </row>
    <row r="520">
      <c r="A520" s="1340"/>
      <c r="B520" s="189"/>
      <c r="C520" s="676"/>
      <c r="D520" s="1335"/>
      <c r="E520" s="1326"/>
    </row>
    <row r="521">
      <c r="A521" s="1340"/>
      <c r="B521" s="189"/>
      <c r="C521" s="676"/>
      <c r="D521" s="1335"/>
      <c r="E521" s="1326"/>
    </row>
    <row r="522">
      <c r="A522" s="1340"/>
      <c r="B522" s="189"/>
      <c r="C522" s="676"/>
      <c r="D522" s="1335"/>
      <c r="E522" s="1326"/>
    </row>
    <row r="523">
      <c r="A523" s="1340"/>
      <c r="B523" s="189"/>
      <c r="C523" s="676"/>
      <c r="D523" s="1335"/>
      <c r="E523" s="1326"/>
    </row>
    <row r="524">
      <c r="A524" s="1340"/>
      <c r="B524" s="189"/>
      <c r="C524" s="676"/>
      <c r="D524" s="1335"/>
      <c r="E524" s="1326"/>
    </row>
    <row r="525">
      <c r="A525" s="1340"/>
      <c r="B525" s="189"/>
      <c r="C525" s="676"/>
      <c r="D525" s="1335"/>
      <c r="E525" s="1326"/>
    </row>
    <row r="526">
      <c r="A526" s="1340"/>
      <c r="B526" s="189"/>
      <c r="C526" s="676"/>
      <c r="D526" s="1335"/>
      <c r="E526" s="1326"/>
    </row>
    <row r="527">
      <c r="A527" s="1340"/>
      <c r="B527" s="189"/>
      <c r="C527" s="676"/>
      <c r="D527" s="1335"/>
      <c r="E527" s="1326"/>
    </row>
    <row r="528">
      <c r="A528" s="1340"/>
      <c r="B528" s="189"/>
      <c r="C528" s="676"/>
      <c r="D528" s="1335"/>
      <c r="E528" s="1326"/>
    </row>
    <row r="529">
      <c r="A529" s="1340"/>
      <c r="B529" s="189"/>
      <c r="C529" s="676"/>
      <c r="D529" s="1335"/>
      <c r="E529" s="1326"/>
    </row>
    <row r="530">
      <c r="A530" s="1340"/>
      <c r="B530" s="189"/>
      <c r="C530" s="676"/>
      <c r="D530" s="1335"/>
      <c r="E530" s="1326"/>
    </row>
    <row r="531">
      <c r="A531" s="1340"/>
      <c r="B531" s="189"/>
      <c r="C531" s="676"/>
      <c r="D531" s="1335"/>
      <c r="E531" s="1326"/>
    </row>
    <row r="532">
      <c r="A532" s="1340"/>
      <c r="B532" s="189"/>
      <c r="C532" s="676"/>
      <c r="D532" s="1335"/>
      <c r="E532" s="1326"/>
    </row>
    <row r="533">
      <c r="A533" s="1340"/>
      <c r="B533" s="189"/>
      <c r="C533" s="676"/>
      <c r="D533" s="1335"/>
      <c r="E533" s="1326"/>
    </row>
    <row r="534">
      <c r="A534" s="1340"/>
      <c r="B534" s="189"/>
      <c r="C534" s="676"/>
      <c r="D534" s="1335"/>
      <c r="E534" s="1326"/>
    </row>
    <row r="535">
      <c r="A535" s="1340"/>
      <c r="B535" s="189"/>
      <c r="C535" s="676"/>
      <c r="D535" s="1335"/>
      <c r="E535" s="1326"/>
    </row>
    <row r="536">
      <c r="A536" s="1340"/>
      <c r="B536" s="189"/>
      <c r="C536" s="676"/>
      <c r="D536" s="1335"/>
      <c r="E536" s="1326"/>
    </row>
    <row r="537">
      <c r="A537" s="1340"/>
      <c r="B537" s="189"/>
      <c r="C537" s="676"/>
      <c r="D537" s="1335"/>
      <c r="E537" s="1326"/>
    </row>
    <row r="538">
      <c r="A538" s="1340"/>
      <c r="B538" s="189"/>
      <c r="C538" s="676"/>
      <c r="D538" s="1335"/>
      <c r="E538" s="1326"/>
    </row>
    <row r="539">
      <c r="A539" s="1340"/>
      <c r="B539" s="189"/>
      <c r="C539" s="676"/>
      <c r="D539" s="1335"/>
      <c r="E539" s="1326"/>
    </row>
    <row r="540">
      <c r="A540" s="1340"/>
      <c r="B540" s="189"/>
      <c r="C540" s="676"/>
      <c r="D540" s="1335"/>
      <c r="E540" s="1326"/>
    </row>
    <row r="541">
      <c r="A541" s="1340"/>
      <c r="B541" s="189"/>
      <c r="C541" s="676"/>
      <c r="D541" s="1335"/>
      <c r="E541" s="1326"/>
    </row>
    <row r="542">
      <c r="A542" s="1340"/>
      <c r="B542" s="189"/>
      <c r="C542" s="676"/>
      <c r="D542" s="1335"/>
      <c r="E542" s="1326"/>
    </row>
    <row r="543">
      <c r="A543" s="1340"/>
      <c r="B543" s="189"/>
      <c r="C543" s="676"/>
      <c r="D543" s="1335"/>
      <c r="E543" s="1326"/>
    </row>
    <row r="544">
      <c r="A544" s="1340"/>
      <c r="B544" s="189"/>
      <c r="C544" s="676"/>
      <c r="D544" s="1335"/>
      <c r="E544" s="1326"/>
    </row>
    <row r="545">
      <c r="A545" s="1340"/>
      <c r="B545" s="189"/>
      <c r="C545" s="676"/>
      <c r="D545" s="1335"/>
      <c r="E545" s="1326"/>
    </row>
    <row r="546">
      <c r="A546" s="1340"/>
      <c r="B546" s="189"/>
      <c r="C546" s="676"/>
      <c r="D546" s="1335"/>
      <c r="E546" s="1326"/>
    </row>
    <row r="547">
      <c r="A547" s="1340"/>
      <c r="B547" s="189"/>
      <c r="C547" s="676"/>
      <c r="D547" s="1335"/>
      <c r="E547" s="1326"/>
    </row>
    <row r="548">
      <c r="A548" s="1340"/>
      <c r="B548" s="189"/>
      <c r="C548" s="676"/>
      <c r="D548" s="1335"/>
      <c r="E548" s="1326"/>
    </row>
    <row r="549">
      <c r="A549" s="1340"/>
      <c r="B549" s="189"/>
      <c r="C549" s="676"/>
      <c r="D549" s="1335"/>
      <c r="E549" s="1326"/>
    </row>
    <row r="550">
      <c r="A550" s="1340"/>
      <c r="B550" s="189"/>
      <c r="C550" s="676"/>
      <c r="D550" s="1335"/>
      <c r="E550" s="1326"/>
    </row>
    <row r="551">
      <c r="A551" s="1340"/>
      <c r="B551" s="189"/>
      <c r="C551" s="676"/>
      <c r="D551" s="1335"/>
      <c r="E551" s="1326"/>
    </row>
    <row r="552">
      <c r="A552" s="1340"/>
      <c r="B552" s="189"/>
      <c r="C552" s="676"/>
      <c r="D552" s="1335"/>
      <c r="E552" s="1326"/>
    </row>
    <row r="553">
      <c r="A553" s="1340"/>
      <c r="B553" s="189"/>
      <c r="C553" s="676"/>
      <c r="D553" s="1335"/>
      <c r="E553" s="1326"/>
    </row>
    <row r="554">
      <c r="A554" s="1340"/>
      <c r="B554" s="189"/>
      <c r="C554" s="676"/>
      <c r="D554" s="1335"/>
      <c r="E554" s="1326"/>
    </row>
    <row r="555">
      <c r="A555" s="1340"/>
      <c r="B555" s="189"/>
      <c r="C555" s="676"/>
      <c r="D555" s="1335"/>
      <c r="E555" s="1326"/>
    </row>
    <row r="556">
      <c r="A556" s="1340"/>
      <c r="B556" s="189"/>
      <c r="C556" s="676"/>
      <c r="D556" s="1335"/>
      <c r="E556" s="1326"/>
    </row>
    <row r="557">
      <c r="A557" s="1340"/>
      <c r="B557" s="189"/>
      <c r="C557" s="676"/>
      <c r="D557" s="1335"/>
      <c r="E557" s="1326"/>
    </row>
    <row r="558">
      <c r="A558" s="1340"/>
      <c r="B558" s="189"/>
      <c r="C558" s="676"/>
      <c r="D558" s="1335"/>
      <c r="E558" s="1326"/>
    </row>
    <row r="559">
      <c r="A559" s="1340"/>
      <c r="B559" s="189"/>
      <c r="C559" s="676"/>
      <c r="D559" s="1335"/>
      <c r="E559" s="1326"/>
    </row>
    <row r="560">
      <c r="A560" s="1340"/>
      <c r="B560" s="189"/>
      <c r="C560" s="676"/>
      <c r="D560" s="1335"/>
      <c r="E560" s="1326"/>
    </row>
    <row r="561">
      <c r="A561" s="1340"/>
      <c r="B561" s="189"/>
      <c r="C561" s="676"/>
      <c r="D561" s="1335"/>
      <c r="E561" s="1326"/>
    </row>
    <row r="562">
      <c r="A562" s="1340"/>
      <c r="B562" s="189"/>
      <c r="C562" s="676"/>
      <c r="D562" s="1335"/>
      <c r="E562" s="1326"/>
    </row>
    <row r="563">
      <c r="A563" s="1340"/>
      <c r="B563" s="189"/>
      <c r="C563" s="676"/>
      <c r="D563" s="1335"/>
      <c r="E563" s="1326"/>
    </row>
    <row r="564">
      <c r="A564" s="1340"/>
      <c r="B564" s="189"/>
      <c r="C564" s="676"/>
      <c r="D564" s="1335"/>
      <c r="E564" s="1326"/>
    </row>
    <row r="565">
      <c r="A565" s="1340"/>
      <c r="B565" s="189"/>
      <c r="C565" s="676"/>
      <c r="D565" s="1335"/>
      <c r="E565" s="1326"/>
    </row>
    <row r="566">
      <c r="A566" s="1340"/>
      <c r="B566" s="189"/>
      <c r="C566" s="676"/>
      <c r="D566" s="1335"/>
      <c r="E566" s="1326"/>
    </row>
    <row r="567">
      <c r="A567" s="1340"/>
      <c r="B567" s="189"/>
      <c r="C567" s="676"/>
      <c r="D567" s="1335"/>
      <c r="E567" s="1326"/>
    </row>
    <row r="568">
      <c r="A568" s="1340"/>
      <c r="B568" s="189"/>
      <c r="C568" s="676"/>
      <c r="D568" s="1335"/>
      <c r="E568" s="1326"/>
    </row>
    <row r="569">
      <c r="A569" s="1340"/>
      <c r="B569" s="189"/>
      <c r="C569" s="676"/>
      <c r="D569" s="1335"/>
      <c r="E569" s="1326"/>
    </row>
    <row r="570">
      <c r="A570" s="1340"/>
      <c r="B570" s="189"/>
      <c r="C570" s="676"/>
      <c r="D570" s="1335"/>
      <c r="E570" s="1326"/>
    </row>
    <row r="571">
      <c r="A571" s="1340"/>
      <c r="B571" s="189"/>
      <c r="C571" s="676"/>
      <c r="D571" s="1335"/>
      <c r="E571" s="1326"/>
    </row>
    <row r="572">
      <c r="A572" s="1340"/>
      <c r="B572" s="189"/>
      <c r="C572" s="676"/>
      <c r="D572" s="1335"/>
      <c r="E572" s="1326"/>
    </row>
    <row r="573">
      <c r="A573" s="1340"/>
      <c r="B573" s="189"/>
      <c r="C573" s="676"/>
      <c r="D573" s="1335"/>
      <c r="E573" s="1326"/>
    </row>
    <row r="574">
      <c r="A574" s="1340"/>
      <c r="B574" s="189"/>
      <c r="C574" s="676"/>
      <c r="D574" s="1335"/>
      <c r="E574" s="1326"/>
    </row>
    <row r="575">
      <c r="A575" s="1340"/>
      <c r="B575" s="189"/>
      <c r="C575" s="676"/>
      <c r="D575" s="1335"/>
      <c r="E575" s="1326"/>
    </row>
    <row r="576">
      <c r="A576" s="1340"/>
      <c r="B576" s="189"/>
      <c r="C576" s="676"/>
      <c r="D576" s="1335"/>
      <c r="E576" s="1326"/>
    </row>
    <row r="577">
      <c r="A577" s="1340"/>
      <c r="B577" s="189"/>
      <c r="C577" s="676"/>
      <c r="D577" s="1335"/>
      <c r="E577" s="1326"/>
    </row>
    <row r="578">
      <c r="A578" s="1340"/>
      <c r="B578" s="189"/>
      <c r="C578" s="676"/>
      <c r="D578" s="1335"/>
      <c r="E578" s="1326"/>
    </row>
    <row r="579">
      <c r="A579" s="1340"/>
      <c r="B579" s="189"/>
      <c r="C579" s="676"/>
      <c r="D579" s="1335"/>
      <c r="E579" s="1326"/>
    </row>
    <row r="580">
      <c r="A580" s="1340"/>
      <c r="B580" s="189"/>
      <c r="C580" s="676"/>
      <c r="D580" s="1335"/>
      <c r="E580" s="1326"/>
    </row>
    <row r="581">
      <c r="A581" s="1340"/>
      <c r="B581" s="189"/>
      <c r="C581" s="676"/>
      <c r="D581" s="1335"/>
      <c r="E581" s="1326"/>
    </row>
    <row r="582">
      <c r="A582" s="1340"/>
      <c r="B582" s="189"/>
      <c r="C582" s="676"/>
      <c r="D582" s="1335"/>
      <c r="E582" s="1326"/>
    </row>
    <row r="583">
      <c r="A583" s="1340"/>
      <c r="B583" s="189"/>
      <c r="C583" s="676"/>
      <c r="D583" s="1335"/>
      <c r="E583" s="1326"/>
    </row>
    <row r="584">
      <c r="A584" s="1340"/>
      <c r="B584" s="189"/>
      <c r="C584" s="676"/>
      <c r="D584" s="1335"/>
      <c r="E584" s="1326"/>
    </row>
    <row r="585">
      <c r="A585" s="1340"/>
      <c r="B585" s="189"/>
      <c r="C585" s="676"/>
      <c r="D585" s="1335"/>
      <c r="E585" s="1326"/>
    </row>
    <row r="586">
      <c r="A586" s="1340"/>
      <c r="B586" s="189"/>
      <c r="C586" s="676"/>
      <c r="D586" s="1335"/>
      <c r="E586" s="1326"/>
    </row>
    <row r="587">
      <c r="A587" s="1340"/>
      <c r="B587" s="189"/>
      <c r="C587" s="676"/>
      <c r="D587" s="1335"/>
      <c r="E587" s="1326"/>
    </row>
    <row r="588">
      <c r="A588" s="1340"/>
      <c r="B588" s="189"/>
      <c r="C588" s="676"/>
      <c r="D588" s="1335"/>
      <c r="E588" s="1326"/>
    </row>
    <row r="589">
      <c r="A589" s="1340"/>
      <c r="B589" s="189"/>
      <c r="C589" s="676"/>
      <c r="D589" s="1335"/>
      <c r="E589" s="1326"/>
    </row>
    <row r="590">
      <c r="A590" s="1340"/>
      <c r="B590" s="189"/>
      <c r="C590" s="676"/>
      <c r="D590" s="1335"/>
      <c r="E590" s="1326"/>
    </row>
    <row r="591">
      <c r="A591" s="1340"/>
      <c r="B591" s="189"/>
      <c r="C591" s="676"/>
      <c r="D591" s="1335"/>
      <c r="E591" s="1326"/>
    </row>
    <row r="592">
      <c r="A592" s="1340"/>
      <c r="B592" s="189"/>
      <c r="C592" s="676"/>
      <c r="D592" s="1335"/>
      <c r="E592" s="1326"/>
    </row>
    <row r="593">
      <c r="A593" s="1340"/>
      <c r="B593" s="189"/>
      <c r="C593" s="676"/>
      <c r="D593" s="1335"/>
      <c r="E593" s="1326"/>
    </row>
    <row r="594">
      <c r="A594" s="1340"/>
      <c r="B594" s="189"/>
      <c r="C594" s="676"/>
      <c r="D594" s="1335"/>
      <c r="E594" s="1326"/>
    </row>
    <row r="595">
      <c r="A595" s="1340"/>
      <c r="B595" s="189"/>
      <c r="C595" s="676"/>
      <c r="D595" s="1335"/>
      <c r="E595" s="1326"/>
    </row>
    <row r="596">
      <c r="A596" s="1340"/>
      <c r="B596" s="189"/>
      <c r="C596" s="676"/>
      <c r="D596" s="1335"/>
      <c r="E596" s="1326"/>
    </row>
    <row r="597">
      <c r="A597" s="1340"/>
      <c r="B597" s="189"/>
      <c r="C597" s="676"/>
      <c r="D597" s="1335"/>
      <c r="E597" s="1326"/>
    </row>
    <row r="598">
      <c r="A598" s="1340"/>
      <c r="B598" s="189"/>
      <c r="C598" s="676"/>
      <c r="D598" s="1335"/>
      <c r="E598" s="1326"/>
    </row>
    <row r="599">
      <c r="A599" s="1340"/>
      <c r="B599" s="189"/>
      <c r="C599" s="676"/>
      <c r="D599" s="1335"/>
      <c r="E599" s="1326"/>
    </row>
    <row r="600">
      <c r="A600" s="1340"/>
      <c r="B600" s="189"/>
      <c r="C600" s="676"/>
      <c r="D600" s="1335"/>
      <c r="E600" s="1326"/>
    </row>
    <row r="601">
      <c r="A601" s="1340"/>
      <c r="B601" s="189"/>
      <c r="C601" s="676"/>
      <c r="D601" s="1335"/>
      <c r="E601" s="1326"/>
    </row>
    <row r="602">
      <c r="A602" s="1340"/>
      <c r="B602" s="189"/>
      <c r="C602" s="676"/>
      <c r="D602" s="1335"/>
      <c r="E602" s="1326"/>
    </row>
    <row r="603">
      <c r="A603" s="1340"/>
      <c r="B603" s="189"/>
      <c r="C603" s="676"/>
      <c r="D603" s="1335"/>
      <c r="E603" s="1326"/>
    </row>
    <row r="604">
      <c r="A604" s="1340"/>
      <c r="B604" s="189"/>
      <c r="C604" s="676"/>
      <c r="D604" s="1335"/>
      <c r="E604" s="1326"/>
    </row>
    <row r="605">
      <c r="A605" s="1340"/>
      <c r="B605" s="189"/>
      <c r="C605" s="676"/>
      <c r="D605" s="1335"/>
      <c r="E605" s="1326"/>
    </row>
    <row r="606">
      <c r="A606" s="1340"/>
      <c r="B606" s="189"/>
      <c r="C606" s="676"/>
      <c r="D606" s="1335"/>
      <c r="E606" s="1326"/>
    </row>
    <row r="607">
      <c r="A607" s="1340"/>
      <c r="B607" s="189"/>
      <c r="C607" s="676"/>
      <c r="D607" s="1335"/>
      <c r="E607" s="1326"/>
    </row>
    <row r="608">
      <c r="A608" s="1340"/>
      <c r="B608" s="189"/>
      <c r="C608" s="676"/>
      <c r="D608" s="1335"/>
      <c r="E608" s="1326"/>
    </row>
    <row r="609">
      <c r="A609" s="1340"/>
      <c r="B609" s="189"/>
      <c r="C609" s="676"/>
      <c r="D609" s="1335"/>
      <c r="E609" s="1326"/>
    </row>
    <row r="610">
      <c r="A610" s="1340"/>
      <c r="B610" s="189"/>
      <c r="C610" s="676"/>
      <c r="D610" s="1335"/>
      <c r="E610" s="1326"/>
    </row>
    <row r="611">
      <c r="A611" s="1340"/>
      <c r="B611" s="189"/>
      <c r="C611" s="676"/>
      <c r="D611" s="1335"/>
      <c r="E611" s="1326"/>
    </row>
    <row r="612">
      <c r="A612" s="1340"/>
      <c r="B612" s="189"/>
      <c r="C612" s="676"/>
      <c r="D612" s="1335"/>
      <c r="E612" s="1326"/>
    </row>
    <row r="613">
      <c r="A613" s="1340"/>
      <c r="B613" s="189"/>
      <c r="C613" s="676"/>
      <c r="D613" s="1335"/>
      <c r="E613" s="1326"/>
    </row>
    <row r="614">
      <c r="A614" s="1340"/>
      <c r="B614" s="189"/>
      <c r="C614" s="676"/>
      <c r="D614" s="1335"/>
      <c r="E614" s="1326"/>
    </row>
    <row r="615">
      <c r="A615" s="1340"/>
      <c r="B615" s="189"/>
      <c r="C615" s="676"/>
      <c r="D615" s="1335"/>
      <c r="E615" s="1326"/>
    </row>
    <row r="616">
      <c r="A616" s="1340"/>
      <c r="B616" s="189"/>
      <c r="C616" s="676"/>
      <c r="D616" s="1335"/>
      <c r="E616" s="1326"/>
    </row>
    <row r="617">
      <c r="A617" s="1340"/>
      <c r="B617" s="189"/>
      <c r="C617" s="676"/>
      <c r="D617" s="1335"/>
      <c r="E617" s="1326"/>
    </row>
    <row r="618">
      <c r="A618" s="1340"/>
      <c r="B618" s="189"/>
      <c r="C618" s="676"/>
      <c r="D618" s="1335"/>
      <c r="E618" s="1326"/>
    </row>
    <row r="619">
      <c r="A619" s="1340"/>
      <c r="B619" s="189"/>
      <c r="C619" s="676"/>
      <c r="D619" s="1335"/>
      <c r="E619" s="1326"/>
    </row>
    <row r="620">
      <c r="A620" s="1340"/>
      <c r="B620" s="189"/>
      <c r="C620" s="676"/>
      <c r="D620" s="1335"/>
      <c r="E620" s="1326"/>
    </row>
    <row r="621">
      <c r="A621" s="1340"/>
      <c r="B621" s="189"/>
      <c r="C621" s="676"/>
      <c r="D621" s="1335"/>
      <c r="E621" s="1326"/>
    </row>
    <row r="622">
      <c r="A622" s="1340"/>
      <c r="B622" s="189"/>
      <c r="C622" s="676"/>
      <c r="D622" s="1335"/>
      <c r="E622" s="1326"/>
    </row>
    <row r="623">
      <c r="A623" s="1340"/>
      <c r="B623" s="189"/>
      <c r="C623" s="676"/>
      <c r="D623" s="1335"/>
      <c r="E623" s="1326"/>
    </row>
    <row r="624">
      <c r="A624" s="1340"/>
      <c r="B624" s="189"/>
      <c r="C624" s="676"/>
      <c r="D624" s="1335"/>
      <c r="E624" s="1326"/>
    </row>
    <row r="625">
      <c r="A625" s="1340"/>
      <c r="B625" s="189"/>
      <c r="C625" s="676"/>
      <c r="D625" s="1335"/>
      <c r="E625" s="1326"/>
    </row>
    <row r="626">
      <c r="A626" s="1340"/>
      <c r="B626" s="189"/>
      <c r="C626" s="676"/>
      <c r="D626" s="1335"/>
      <c r="E626" s="1326"/>
    </row>
    <row r="627">
      <c r="A627" s="1340"/>
      <c r="B627" s="189"/>
      <c r="C627" s="676"/>
      <c r="D627" s="1335"/>
      <c r="E627" s="1326"/>
    </row>
    <row r="628">
      <c r="A628" s="1340"/>
      <c r="B628" s="189"/>
      <c r="C628" s="676"/>
      <c r="D628" s="1335"/>
      <c r="E628" s="1326"/>
    </row>
    <row r="629">
      <c r="A629" s="1340"/>
      <c r="B629" s="189"/>
      <c r="C629" s="676"/>
      <c r="D629" s="1335"/>
      <c r="E629" s="1326"/>
    </row>
    <row r="630">
      <c r="A630" s="1340"/>
      <c r="B630" s="189"/>
      <c r="C630" s="676"/>
      <c r="D630" s="1335"/>
      <c r="E630" s="1326"/>
    </row>
    <row r="631">
      <c r="A631" s="1340"/>
      <c r="B631" s="189"/>
      <c r="C631" s="676"/>
      <c r="D631" s="1335"/>
      <c r="E631" s="1326"/>
    </row>
    <row r="632">
      <c r="A632" s="1340"/>
      <c r="B632" s="189"/>
      <c r="C632" s="676"/>
      <c r="D632" s="1335"/>
      <c r="E632" s="1326"/>
    </row>
    <row r="633">
      <c r="A633" s="1340"/>
      <c r="B633" s="189"/>
      <c r="C633" s="676"/>
      <c r="D633" s="1335"/>
      <c r="E633" s="1326"/>
    </row>
    <row r="634">
      <c r="A634" s="1340"/>
      <c r="B634" s="189"/>
      <c r="C634" s="676"/>
      <c r="D634" s="1335"/>
      <c r="E634" s="1326"/>
    </row>
    <row r="635">
      <c r="A635" s="1340"/>
      <c r="B635" s="189"/>
      <c r="C635" s="676"/>
      <c r="D635" s="1335"/>
      <c r="E635" s="1326"/>
    </row>
    <row r="636">
      <c r="A636" s="1340"/>
      <c r="B636" s="189"/>
      <c r="C636" s="676"/>
      <c r="D636" s="1335"/>
      <c r="E636" s="1326"/>
    </row>
    <row r="637">
      <c r="A637" s="1340"/>
      <c r="B637" s="189"/>
      <c r="C637" s="676"/>
      <c r="D637" s="1335"/>
      <c r="E637" s="1326"/>
    </row>
    <row r="638">
      <c r="A638" s="1340"/>
      <c r="B638" s="189"/>
      <c r="C638" s="676"/>
      <c r="D638" s="1335"/>
      <c r="E638" s="1326"/>
    </row>
    <row r="639">
      <c r="A639" s="1340"/>
      <c r="B639" s="189"/>
      <c r="C639" s="676"/>
      <c r="D639" s="1335"/>
      <c r="E639" s="1326"/>
    </row>
    <row r="640">
      <c r="A640" s="1340"/>
      <c r="B640" s="189"/>
      <c r="C640" s="676"/>
      <c r="D640" s="1335"/>
      <c r="E640" s="1326"/>
    </row>
    <row r="641">
      <c r="A641" s="1340"/>
      <c r="B641" s="189"/>
      <c r="C641" s="676"/>
      <c r="D641" s="1335"/>
      <c r="E641" s="1326"/>
    </row>
    <row r="642">
      <c r="A642" s="1340"/>
      <c r="B642" s="189"/>
      <c r="C642" s="676"/>
      <c r="D642" s="1335"/>
      <c r="E642" s="1326"/>
    </row>
    <row r="643">
      <c r="A643" s="1340"/>
      <c r="B643" s="189"/>
      <c r="C643" s="676"/>
      <c r="D643" s="1335"/>
      <c r="E643" s="1326"/>
    </row>
    <row r="644">
      <c r="A644" s="1340"/>
      <c r="B644" s="189"/>
      <c r="C644" s="676"/>
      <c r="D644" s="1335"/>
      <c r="E644" s="1326"/>
    </row>
    <row r="645">
      <c r="A645" s="1340"/>
      <c r="B645" s="189"/>
      <c r="C645" s="676"/>
      <c r="D645" s="1335"/>
      <c r="E645" s="1326"/>
    </row>
    <row r="646">
      <c r="A646" s="1340"/>
      <c r="B646" s="189"/>
      <c r="C646" s="676"/>
      <c r="D646" s="1335"/>
      <c r="E646" s="1326"/>
    </row>
    <row r="647">
      <c r="A647" s="1340"/>
      <c r="B647" s="189"/>
      <c r="C647" s="676"/>
      <c r="D647" s="1335"/>
      <c r="E647" s="1326"/>
    </row>
    <row r="648">
      <c r="A648" s="1340"/>
      <c r="B648" s="189"/>
      <c r="C648" s="676"/>
      <c r="D648" s="1335"/>
      <c r="E648" s="1326"/>
    </row>
    <row r="649">
      <c r="A649" s="1340"/>
      <c r="B649" s="189"/>
      <c r="C649" s="676"/>
      <c r="D649" s="1335"/>
      <c r="E649" s="1326"/>
    </row>
    <row r="650">
      <c r="A650" s="1340"/>
      <c r="B650" s="189"/>
      <c r="C650" s="676"/>
      <c r="D650" s="1335"/>
      <c r="E650" s="1326"/>
    </row>
    <row r="651">
      <c r="A651" s="1340"/>
      <c r="B651" s="189"/>
      <c r="C651" s="676"/>
      <c r="D651" s="1335"/>
      <c r="E651" s="1326"/>
    </row>
    <row r="652">
      <c r="A652" s="1340"/>
      <c r="B652" s="189"/>
      <c r="C652" s="676"/>
      <c r="D652" s="1335"/>
      <c r="E652" s="1326"/>
    </row>
    <row r="653">
      <c r="A653" s="1340"/>
      <c r="B653" s="189"/>
      <c r="C653" s="676"/>
      <c r="D653" s="1335"/>
      <c r="E653" s="1326"/>
    </row>
    <row r="654">
      <c r="A654" s="1340"/>
      <c r="B654" s="189"/>
      <c r="C654" s="676"/>
      <c r="D654" s="1335"/>
      <c r="E654" s="1326"/>
    </row>
    <row r="655">
      <c r="A655" s="1340"/>
      <c r="B655" s="189"/>
      <c r="C655" s="676"/>
      <c r="D655" s="1335"/>
      <c r="E655" s="1326"/>
    </row>
    <row r="656">
      <c r="A656" s="1340"/>
      <c r="B656" s="189"/>
      <c r="C656" s="676"/>
      <c r="D656" s="1335"/>
      <c r="E656" s="1326"/>
    </row>
    <row r="657">
      <c r="A657" s="1340"/>
      <c r="B657" s="189"/>
      <c r="C657" s="676"/>
      <c r="D657" s="1335"/>
      <c r="E657" s="1326"/>
    </row>
    <row r="658">
      <c r="A658" s="1340"/>
      <c r="B658" s="189"/>
      <c r="C658" s="676"/>
      <c r="D658" s="1335"/>
      <c r="E658" s="1326"/>
    </row>
    <row r="659">
      <c r="A659" s="1340"/>
      <c r="B659" s="189"/>
      <c r="C659" s="676"/>
      <c r="D659" s="1335"/>
      <c r="E659" s="1326"/>
    </row>
    <row r="660">
      <c r="A660" s="1340"/>
      <c r="B660" s="189"/>
      <c r="C660" s="676"/>
      <c r="D660" s="1335"/>
      <c r="E660" s="1326"/>
    </row>
    <row r="661">
      <c r="A661" s="1340"/>
      <c r="B661" s="189"/>
      <c r="C661" s="676"/>
      <c r="D661" s="1335"/>
      <c r="E661" s="1326"/>
    </row>
    <row r="662">
      <c r="A662" s="1340"/>
      <c r="B662" s="189"/>
      <c r="C662" s="676"/>
      <c r="D662" s="1335"/>
      <c r="E662" s="1326"/>
    </row>
    <row r="663">
      <c r="A663" s="1340"/>
      <c r="B663" s="189"/>
      <c r="C663" s="676"/>
      <c r="D663" s="1335"/>
      <c r="E663" s="1326"/>
    </row>
    <row r="664">
      <c r="A664" s="1340"/>
      <c r="B664" s="189"/>
      <c r="C664" s="676"/>
      <c r="D664" s="1335"/>
      <c r="E664" s="1326"/>
    </row>
    <row r="665">
      <c r="A665" s="1340"/>
      <c r="B665" s="189"/>
      <c r="C665" s="676"/>
      <c r="D665" s="1335"/>
      <c r="E665" s="1326"/>
    </row>
    <row r="666">
      <c r="A666" s="1340"/>
      <c r="B666" s="189"/>
      <c r="C666" s="676"/>
      <c r="D666" s="1335"/>
      <c r="E666" s="1326"/>
    </row>
    <row r="667">
      <c r="A667" s="1340"/>
      <c r="B667" s="189"/>
      <c r="C667" s="676"/>
      <c r="D667" s="1335"/>
      <c r="E667" s="1326"/>
    </row>
    <row r="668">
      <c r="A668" s="1340"/>
      <c r="B668" s="189"/>
      <c r="C668" s="676"/>
      <c r="D668" s="1335"/>
      <c r="E668" s="1326"/>
    </row>
    <row r="669">
      <c r="A669" s="1340"/>
      <c r="B669" s="189"/>
      <c r="C669" s="676"/>
      <c r="D669" s="1335"/>
      <c r="E669" s="1326"/>
    </row>
    <row r="670">
      <c r="A670" s="1340"/>
      <c r="B670" s="189"/>
      <c r="C670" s="676"/>
      <c r="D670" s="1335"/>
      <c r="E670" s="1326"/>
    </row>
    <row r="671">
      <c r="A671" s="1340"/>
      <c r="B671" s="189"/>
      <c r="C671" s="676"/>
      <c r="D671" s="1335"/>
      <c r="E671" s="1326"/>
    </row>
    <row r="672">
      <c r="A672" s="1340"/>
      <c r="B672" s="189"/>
      <c r="C672" s="676"/>
      <c r="D672" s="1335"/>
      <c r="E672" s="1326"/>
    </row>
    <row r="673">
      <c r="A673" s="1340"/>
      <c r="B673" s="189"/>
      <c r="C673" s="676"/>
      <c r="D673" s="1335"/>
      <c r="E673" s="1326"/>
    </row>
    <row r="674">
      <c r="A674" s="1340"/>
      <c r="B674" s="189"/>
      <c r="C674" s="676"/>
      <c r="D674" s="1335"/>
      <c r="E674" s="1326"/>
    </row>
    <row r="675">
      <c r="A675" s="1340"/>
      <c r="B675" s="189"/>
      <c r="C675" s="676"/>
      <c r="D675" s="1335"/>
      <c r="E675" s="1326"/>
    </row>
    <row r="676">
      <c r="A676" s="1340"/>
      <c r="B676" s="189"/>
      <c r="C676" s="676"/>
      <c r="D676" s="1335"/>
      <c r="E676" s="1326"/>
    </row>
    <row r="677">
      <c r="A677" s="1340"/>
      <c r="B677" s="189"/>
      <c r="C677" s="676"/>
      <c r="D677" s="1335"/>
      <c r="E677" s="1326"/>
    </row>
    <row r="678">
      <c r="A678" s="1340"/>
      <c r="B678" s="189"/>
      <c r="C678" s="676"/>
      <c r="D678" s="1335"/>
      <c r="E678" s="1326"/>
    </row>
    <row r="679">
      <c r="A679" s="1340"/>
      <c r="B679" s="189"/>
      <c r="C679" s="676"/>
      <c r="D679" s="1335"/>
      <c r="E679" s="1326"/>
    </row>
    <row r="680">
      <c r="A680" s="1340"/>
      <c r="B680" s="189"/>
      <c r="C680" s="676"/>
      <c r="D680" s="1335"/>
      <c r="E680" s="1326"/>
    </row>
    <row r="681">
      <c r="A681" s="1340"/>
      <c r="B681" s="189"/>
      <c r="C681" s="676"/>
      <c r="D681" s="1335"/>
      <c r="E681" s="1326"/>
    </row>
    <row r="682">
      <c r="A682" s="1340"/>
      <c r="B682" s="189"/>
      <c r="C682" s="676"/>
      <c r="D682" s="1335"/>
      <c r="E682" s="1326"/>
    </row>
    <row r="683">
      <c r="A683" s="1340"/>
      <c r="B683" s="189"/>
      <c r="C683" s="676"/>
      <c r="D683" s="1335"/>
      <c r="E683" s="1326"/>
    </row>
    <row r="684">
      <c r="A684" s="1340"/>
      <c r="B684" s="189"/>
      <c r="C684" s="676"/>
      <c r="D684" s="1335"/>
      <c r="E684" s="1326"/>
    </row>
    <row r="685">
      <c r="A685" s="1340"/>
      <c r="B685" s="189"/>
      <c r="C685" s="676"/>
      <c r="D685" s="1335"/>
      <c r="E685" s="1326"/>
    </row>
    <row r="686">
      <c r="A686" s="1340"/>
      <c r="B686" s="189"/>
      <c r="C686" s="676"/>
      <c r="D686" s="1335"/>
      <c r="E686" s="1326"/>
    </row>
    <row r="687">
      <c r="A687" s="1340"/>
      <c r="B687" s="189"/>
      <c r="C687" s="676"/>
      <c r="D687" s="1335"/>
      <c r="E687" s="1326"/>
    </row>
    <row r="688">
      <c r="A688" s="1340"/>
      <c r="B688" s="189"/>
      <c r="C688" s="676"/>
      <c r="D688" s="1335"/>
      <c r="E688" s="1326"/>
    </row>
    <row r="689">
      <c r="A689" s="1340"/>
      <c r="B689" s="189"/>
      <c r="C689" s="676"/>
      <c r="D689" s="1335"/>
      <c r="E689" s="1326"/>
    </row>
    <row r="690">
      <c r="A690" s="1340"/>
      <c r="B690" s="189"/>
      <c r="C690" s="676"/>
      <c r="D690" s="1335"/>
      <c r="E690" s="1326"/>
    </row>
    <row r="691">
      <c r="A691" s="1340"/>
      <c r="B691" s="189"/>
      <c r="C691" s="676"/>
      <c r="D691" s="1335"/>
      <c r="E691" s="1326"/>
    </row>
    <row r="692">
      <c r="A692" s="1340"/>
      <c r="B692" s="189"/>
      <c r="C692" s="676"/>
      <c r="D692" s="1335"/>
      <c r="E692" s="1326"/>
    </row>
    <row r="693">
      <c r="A693" s="1340"/>
      <c r="B693" s="189"/>
      <c r="C693" s="676"/>
      <c r="D693" s="1335"/>
      <c r="E693" s="1326"/>
    </row>
    <row r="694">
      <c r="A694" s="1340"/>
      <c r="B694" s="189"/>
      <c r="C694" s="676"/>
      <c r="D694" s="1335"/>
      <c r="E694" s="1326"/>
    </row>
    <row r="695">
      <c r="A695" s="1340"/>
      <c r="B695" s="189"/>
      <c r="C695" s="676"/>
      <c r="D695" s="1335"/>
      <c r="E695" s="1326"/>
    </row>
    <row r="696">
      <c r="A696" s="1340"/>
      <c r="B696" s="189"/>
      <c r="C696" s="676"/>
      <c r="D696" s="1335"/>
      <c r="E696" s="1326"/>
    </row>
    <row r="697">
      <c r="A697" s="1340"/>
      <c r="B697" s="189"/>
      <c r="C697" s="676"/>
      <c r="D697" s="1335"/>
      <c r="E697" s="1326"/>
    </row>
    <row r="698">
      <c r="A698" s="1340"/>
      <c r="B698" s="189"/>
      <c r="C698" s="676"/>
      <c r="D698" s="1335"/>
      <c r="E698" s="1326"/>
    </row>
    <row r="699">
      <c r="A699" s="1340"/>
      <c r="B699" s="189"/>
      <c r="C699" s="676"/>
      <c r="D699" s="1335"/>
      <c r="E699" s="1326"/>
    </row>
    <row r="700">
      <c r="A700" s="1340"/>
      <c r="B700" s="189"/>
      <c r="C700" s="676"/>
      <c r="D700" s="1335"/>
      <c r="E700" s="1326"/>
    </row>
    <row r="701">
      <c r="A701" s="1340"/>
      <c r="B701" s="189"/>
      <c r="C701" s="676"/>
      <c r="D701" s="1335"/>
      <c r="E701" s="1326"/>
    </row>
    <row r="702">
      <c r="A702" s="1340"/>
      <c r="B702" s="189"/>
      <c r="C702" s="676"/>
      <c r="D702" s="1335"/>
      <c r="E702" s="1326"/>
    </row>
    <row r="703">
      <c r="A703" s="1340"/>
      <c r="B703" s="189"/>
      <c r="C703" s="676"/>
      <c r="D703" s="1335"/>
      <c r="E703" s="1326"/>
    </row>
    <row r="704">
      <c r="A704" s="1340"/>
      <c r="B704" s="189"/>
      <c r="C704" s="676"/>
      <c r="D704" s="1335"/>
      <c r="E704" s="1326"/>
    </row>
    <row r="705">
      <c r="A705" s="1340"/>
      <c r="B705" s="189"/>
      <c r="C705" s="676"/>
      <c r="D705" s="1335"/>
      <c r="E705" s="1326"/>
    </row>
    <row r="706">
      <c r="A706" s="1340"/>
      <c r="B706" s="189"/>
      <c r="C706" s="676"/>
      <c r="D706" s="1335"/>
      <c r="E706" s="1326"/>
    </row>
    <row r="707">
      <c r="A707" s="1340"/>
      <c r="B707" s="189"/>
      <c r="C707" s="676"/>
      <c r="D707" s="1335"/>
      <c r="E707" s="1326"/>
    </row>
    <row r="708">
      <c r="A708" s="1340"/>
      <c r="B708" s="189"/>
      <c r="C708" s="676"/>
      <c r="D708" s="1335"/>
      <c r="E708" s="1326"/>
    </row>
    <row r="709">
      <c r="A709" s="1340"/>
      <c r="B709" s="189"/>
      <c r="C709" s="676"/>
      <c r="D709" s="1335"/>
      <c r="E709" s="1326"/>
    </row>
    <row r="710">
      <c r="A710" s="1340"/>
      <c r="B710" s="189"/>
      <c r="C710" s="676"/>
      <c r="D710" s="1335"/>
      <c r="E710" s="1326"/>
    </row>
    <row r="711">
      <c r="A711" s="1340"/>
      <c r="B711" s="189"/>
      <c r="C711" s="676"/>
      <c r="D711" s="1335"/>
      <c r="E711" s="1326"/>
    </row>
    <row r="712">
      <c r="A712" s="1340"/>
      <c r="B712" s="189"/>
      <c r="C712" s="676"/>
      <c r="D712" s="1335"/>
      <c r="E712" s="1326"/>
    </row>
    <row r="713">
      <c r="A713" s="1340"/>
      <c r="B713" s="189"/>
      <c r="C713" s="676"/>
      <c r="D713" s="1335"/>
      <c r="E713" s="1326"/>
    </row>
    <row r="714">
      <c r="A714" s="1340"/>
      <c r="B714" s="189"/>
      <c r="C714" s="676"/>
      <c r="D714" s="1335"/>
      <c r="E714" s="1326"/>
    </row>
    <row r="715">
      <c r="A715" s="1340"/>
      <c r="B715" s="189"/>
      <c r="C715" s="676"/>
      <c r="D715" s="1335"/>
      <c r="E715" s="1326"/>
    </row>
    <row r="716">
      <c r="A716" s="1340"/>
      <c r="B716" s="189"/>
      <c r="C716" s="676"/>
      <c r="D716" s="1335"/>
      <c r="E716" s="1326"/>
    </row>
    <row r="717">
      <c r="A717" s="1340"/>
      <c r="B717" s="189"/>
      <c r="C717" s="676"/>
      <c r="D717" s="1335"/>
      <c r="E717" s="1326"/>
    </row>
    <row r="718">
      <c r="A718" s="1340"/>
      <c r="B718" s="189"/>
      <c r="C718" s="676"/>
      <c r="D718" s="1335"/>
      <c r="E718" s="1326"/>
    </row>
    <row r="719">
      <c r="A719" s="1340"/>
      <c r="B719" s="189"/>
      <c r="C719" s="676"/>
      <c r="D719" s="1335"/>
      <c r="E719" s="1326"/>
    </row>
    <row r="720">
      <c r="A720" s="1340"/>
      <c r="B720" s="189"/>
      <c r="C720" s="676"/>
      <c r="D720" s="1335"/>
      <c r="E720" s="1326"/>
    </row>
    <row r="721">
      <c r="A721" s="1340"/>
      <c r="B721" s="189"/>
      <c r="C721" s="676"/>
      <c r="D721" s="1335"/>
      <c r="E721" s="1326"/>
    </row>
    <row r="722">
      <c r="A722" s="1340"/>
      <c r="B722" s="189"/>
      <c r="C722" s="676"/>
      <c r="D722" s="1335"/>
      <c r="E722" s="1326"/>
    </row>
    <row r="723">
      <c r="A723" s="1340"/>
      <c r="B723" s="189"/>
      <c r="C723" s="676"/>
      <c r="D723" s="1335"/>
      <c r="E723" s="1326"/>
    </row>
    <row r="724">
      <c r="A724" s="1340"/>
      <c r="B724" s="189"/>
      <c r="C724" s="676"/>
      <c r="D724" s="1335"/>
      <c r="E724" s="1326"/>
    </row>
    <row r="725">
      <c r="A725" s="1340"/>
      <c r="B725" s="189"/>
      <c r="C725" s="676"/>
      <c r="D725" s="1335"/>
      <c r="E725" s="1326"/>
    </row>
    <row r="726">
      <c r="A726" s="1340"/>
      <c r="B726" s="189"/>
      <c r="C726" s="676"/>
      <c r="D726" s="1335"/>
      <c r="E726" s="1326"/>
    </row>
    <row r="727">
      <c r="A727" s="1340"/>
      <c r="B727" s="189"/>
      <c r="C727" s="676"/>
      <c r="D727" s="1335"/>
      <c r="E727" s="1326"/>
    </row>
    <row r="728">
      <c r="A728" s="1340"/>
      <c r="B728" s="189"/>
      <c r="C728" s="676"/>
      <c r="D728" s="1335"/>
      <c r="E728" s="1326"/>
    </row>
    <row r="729">
      <c r="A729" s="1340"/>
      <c r="B729" s="189"/>
      <c r="C729" s="676"/>
      <c r="D729" s="1335"/>
      <c r="E729" s="1326"/>
    </row>
    <row r="730">
      <c r="A730" s="1340"/>
      <c r="B730" s="189"/>
      <c r="C730" s="676"/>
      <c r="D730" s="1335"/>
      <c r="E730" s="1326"/>
    </row>
    <row r="731">
      <c r="A731" s="1340"/>
      <c r="B731" s="189"/>
      <c r="C731" s="676"/>
      <c r="D731" s="1335"/>
      <c r="E731" s="1326"/>
    </row>
    <row r="732">
      <c r="A732" s="1340"/>
      <c r="B732" s="189"/>
      <c r="C732" s="676"/>
      <c r="D732" s="1335"/>
      <c r="E732" s="1326"/>
    </row>
    <row r="733">
      <c r="A733" s="1340"/>
      <c r="B733" s="189"/>
      <c r="C733" s="676"/>
      <c r="D733" s="1335"/>
      <c r="E733" s="1326"/>
    </row>
    <row r="734">
      <c r="A734" s="1340"/>
      <c r="B734" s="189"/>
      <c r="C734" s="676"/>
      <c r="D734" s="1335"/>
      <c r="E734" s="1326"/>
    </row>
    <row r="735">
      <c r="A735" s="1340"/>
      <c r="B735" s="189"/>
      <c r="C735" s="676"/>
      <c r="D735" s="1335"/>
      <c r="E735" s="1326"/>
    </row>
    <row r="736">
      <c r="A736" s="1340"/>
      <c r="B736" s="189"/>
      <c r="C736" s="676"/>
      <c r="D736" s="1335"/>
      <c r="E736" s="1326"/>
    </row>
    <row r="737">
      <c r="A737" s="1340"/>
      <c r="B737" s="189"/>
      <c r="C737" s="676"/>
      <c r="D737" s="1335"/>
      <c r="E737" s="1326"/>
    </row>
    <row r="738">
      <c r="A738" s="1340"/>
      <c r="B738" s="189"/>
      <c r="C738" s="676"/>
      <c r="D738" s="1335"/>
      <c r="E738" s="1326"/>
    </row>
    <row r="739">
      <c r="A739" s="1340"/>
      <c r="B739" s="189"/>
      <c r="C739" s="676"/>
      <c r="D739" s="1335"/>
      <c r="E739" s="1326"/>
    </row>
    <row r="740">
      <c r="A740" s="1340"/>
      <c r="B740" s="189"/>
      <c r="C740" s="676"/>
      <c r="D740" s="1335"/>
      <c r="E740" s="1326"/>
    </row>
    <row r="741">
      <c r="A741" s="1340"/>
      <c r="B741" s="189"/>
      <c r="C741" s="676"/>
      <c r="D741" s="1335"/>
      <c r="E741" s="1326"/>
    </row>
    <row r="742">
      <c r="A742" s="1340"/>
      <c r="B742" s="189"/>
      <c r="C742" s="676"/>
      <c r="D742" s="1335"/>
      <c r="E742" s="1326"/>
    </row>
    <row r="743">
      <c r="A743" s="1340"/>
      <c r="B743" s="189"/>
      <c r="C743" s="676"/>
      <c r="D743" s="1335"/>
      <c r="E743" s="1326"/>
    </row>
    <row r="744">
      <c r="A744" s="1340"/>
      <c r="B744" s="189"/>
      <c r="C744" s="676"/>
      <c r="D744" s="1335"/>
      <c r="E744" s="1326"/>
    </row>
    <row r="745">
      <c r="A745" s="1340"/>
      <c r="B745" s="189"/>
      <c r="C745" s="676"/>
      <c r="D745" s="1335"/>
      <c r="E745" s="1326"/>
    </row>
    <row r="746">
      <c r="A746" s="1340"/>
      <c r="B746" s="189"/>
      <c r="C746" s="676"/>
      <c r="D746" s="1335"/>
      <c r="E746" s="1326"/>
    </row>
    <row r="747">
      <c r="A747" s="1340"/>
      <c r="B747" s="189"/>
      <c r="C747" s="676"/>
      <c r="D747" s="1335"/>
      <c r="E747" s="1326"/>
    </row>
    <row r="748">
      <c r="A748" s="1340"/>
      <c r="B748" s="189"/>
      <c r="C748" s="676"/>
      <c r="D748" s="1335"/>
      <c r="E748" s="1326"/>
    </row>
    <row r="749">
      <c r="A749" s="1340"/>
      <c r="B749" s="189"/>
      <c r="C749" s="676"/>
      <c r="D749" s="1335"/>
      <c r="E749" s="1326"/>
    </row>
    <row r="750">
      <c r="A750" s="1340"/>
      <c r="B750" s="189"/>
      <c r="C750" s="676"/>
      <c r="D750" s="1335"/>
      <c r="E750" s="1326"/>
    </row>
    <row r="751">
      <c r="A751" s="1340"/>
      <c r="B751" s="189"/>
      <c r="C751" s="676"/>
      <c r="D751" s="1335"/>
      <c r="E751" s="1326"/>
    </row>
    <row r="752">
      <c r="A752" s="1340"/>
      <c r="B752" s="189"/>
      <c r="C752" s="676"/>
      <c r="D752" s="1335"/>
      <c r="E752" s="1326"/>
    </row>
    <row r="753">
      <c r="A753" s="1340"/>
      <c r="B753" s="189"/>
      <c r="C753" s="676"/>
      <c r="D753" s="1335"/>
      <c r="E753" s="1326"/>
    </row>
    <row r="754">
      <c r="A754" s="1340"/>
      <c r="B754" s="189"/>
      <c r="C754" s="676"/>
      <c r="D754" s="1335"/>
      <c r="E754" s="1326"/>
    </row>
    <row r="755">
      <c r="A755" s="1340"/>
      <c r="B755" s="189"/>
      <c r="C755" s="676"/>
      <c r="D755" s="1335"/>
      <c r="E755" s="1326"/>
    </row>
    <row r="756">
      <c r="A756" s="1340"/>
      <c r="B756" s="189"/>
      <c r="C756" s="676"/>
      <c r="D756" s="1335"/>
      <c r="E756" s="1326"/>
    </row>
    <row r="757">
      <c r="A757" s="1340"/>
      <c r="B757" s="189"/>
      <c r="C757" s="676"/>
      <c r="D757" s="1335"/>
      <c r="E757" s="1326"/>
    </row>
    <row r="758">
      <c r="A758" s="1340"/>
      <c r="B758" s="189"/>
      <c r="C758" s="676"/>
      <c r="D758" s="1335"/>
      <c r="E758" s="1326"/>
    </row>
    <row r="759">
      <c r="A759" s="1340"/>
      <c r="B759" s="189"/>
      <c r="C759" s="676"/>
      <c r="D759" s="1335"/>
      <c r="E759" s="1326"/>
    </row>
    <row r="760">
      <c r="A760" s="1340"/>
      <c r="B760" s="189"/>
      <c r="C760" s="676"/>
      <c r="D760" s="1335"/>
      <c r="E760" s="1326"/>
    </row>
    <row r="761">
      <c r="A761" s="1340"/>
      <c r="B761" s="189"/>
      <c r="C761" s="676"/>
      <c r="D761" s="1335"/>
      <c r="E761" s="1326"/>
    </row>
    <row r="762">
      <c r="A762" s="1340"/>
      <c r="B762" s="189"/>
      <c r="C762" s="676"/>
      <c r="D762" s="1335"/>
      <c r="E762" s="1326"/>
    </row>
    <row r="763">
      <c r="A763" s="1340"/>
      <c r="B763" s="189"/>
      <c r="C763" s="676"/>
      <c r="D763" s="1335"/>
      <c r="E763" s="1326"/>
    </row>
    <row r="764">
      <c r="A764" s="1340"/>
      <c r="B764" s="189"/>
      <c r="C764" s="676"/>
      <c r="D764" s="1335"/>
      <c r="E764" s="1326"/>
    </row>
    <row r="765">
      <c r="A765" s="1340"/>
      <c r="B765" s="189"/>
      <c r="C765" s="676"/>
      <c r="D765" s="1335"/>
      <c r="E765" s="1326"/>
    </row>
    <row r="766">
      <c r="A766" s="1340"/>
      <c r="B766" s="189"/>
      <c r="C766" s="676"/>
      <c r="D766" s="1335"/>
      <c r="E766" s="1326"/>
    </row>
    <row r="767">
      <c r="A767" s="1340"/>
      <c r="B767" s="189"/>
      <c r="C767" s="676"/>
      <c r="D767" s="1335"/>
      <c r="E767" s="1326"/>
    </row>
    <row r="768">
      <c r="A768" s="1340"/>
      <c r="B768" s="189"/>
      <c r="C768" s="676"/>
      <c r="D768" s="1335"/>
      <c r="E768" s="1326"/>
    </row>
    <row r="769">
      <c r="A769" s="1340"/>
      <c r="B769" s="189"/>
      <c r="C769" s="676"/>
      <c r="D769" s="1335"/>
      <c r="E769" s="1326"/>
    </row>
    <row r="770">
      <c r="A770" s="1340"/>
      <c r="B770" s="189"/>
      <c r="C770" s="676"/>
      <c r="D770" s="1335"/>
      <c r="E770" s="1326"/>
    </row>
    <row r="771">
      <c r="A771" s="1340"/>
      <c r="B771" s="189"/>
      <c r="C771" s="676"/>
      <c r="D771" s="1335"/>
      <c r="E771" s="1326"/>
    </row>
    <row r="772">
      <c r="A772" s="1340"/>
      <c r="B772" s="189"/>
      <c r="C772" s="676"/>
      <c r="D772" s="1335"/>
      <c r="E772" s="1326"/>
    </row>
    <row r="773">
      <c r="A773" s="1340"/>
      <c r="B773" s="189"/>
      <c r="C773" s="676"/>
      <c r="D773" s="1335"/>
      <c r="E773" s="1326"/>
    </row>
    <row r="774">
      <c r="A774" s="1340"/>
      <c r="B774" s="189"/>
      <c r="C774" s="676"/>
      <c r="D774" s="1335"/>
      <c r="E774" s="1326"/>
    </row>
    <row r="775">
      <c r="A775" s="1340"/>
      <c r="B775" s="189"/>
      <c r="C775" s="676"/>
      <c r="D775" s="1335"/>
      <c r="E775" s="1326"/>
    </row>
    <row r="776">
      <c r="A776" s="1340"/>
      <c r="B776" s="189"/>
      <c r="C776" s="676"/>
      <c r="D776" s="1335"/>
      <c r="E776" s="1326"/>
    </row>
    <row r="777">
      <c r="A777" s="1340"/>
      <c r="B777" s="189"/>
      <c r="C777" s="676"/>
      <c r="D777" s="1335"/>
      <c r="E777" s="1326"/>
    </row>
    <row r="778">
      <c r="A778" s="1340"/>
      <c r="B778" s="189"/>
      <c r="C778" s="676"/>
      <c r="D778" s="1335"/>
      <c r="E778" s="1326"/>
    </row>
    <row r="779">
      <c r="A779" s="1340"/>
      <c r="B779" s="189"/>
      <c r="C779" s="676"/>
      <c r="D779" s="1335"/>
      <c r="E779" s="1326"/>
    </row>
    <row r="780">
      <c r="A780" s="1340"/>
      <c r="B780" s="189"/>
      <c r="C780" s="676"/>
      <c r="D780" s="1335"/>
      <c r="E780" s="1326"/>
    </row>
    <row r="781">
      <c r="A781" s="1340"/>
      <c r="B781" s="189"/>
      <c r="C781" s="676"/>
      <c r="D781" s="1335"/>
      <c r="E781" s="1326"/>
    </row>
    <row r="782">
      <c r="A782" s="1340"/>
      <c r="B782" s="189"/>
      <c r="C782" s="676"/>
      <c r="D782" s="1335"/>
      <c r="E782" s="1326"/>
    </row>
    <row r="783">
      <c r="A783" s="1340"/>
      <c r="B783" s="189"/>
      <c r="C783" s="676"/>
      <c r="D783" s="1335"/>
      <c r="E783" s="1326"/>
    </row>
    <row r="784">
      <c r="A784" s="1340"/>
      <c r="B784" s="189"/>
      <c r="C784" s="676"/>
      <c r="D784" s="1335"/>
      <c r="E784" s="1326"/>
    </row>
    <row r="785">
      <c r="A785" s="1340"/>
      <c r="B785" s="189"/>
      <c r="C785" s="676"/>
      <c r="D785" s="1335"/>
      <c r="E785" s="1326"/>
    </row>
    <row r="786">
      <c r="A786" s="1340"/>
      <c r="B786" s="189"/>
      <c r="C786" s="676"/>
      <c r="D786" s="1335"/>
      <c r="E786" s="1326"/>
    </row>
    <row r="787">
      <c r="A787" s="1340"/>
      <c r="B787" s="189"/>
      <c r="C787" s="676"/>
      <c r="D787" s="1335"/>
      <c r="E787" s="1326"/>
    </row>
    <row r="788">
      <c r="A788" s="1340"/>
      <c r="B788" s="189"/>
      <c r="C788" s="676"/>
      <c r="D788" s="1335"/>
      <c r="E788" s="1326"/>
    </row>
    <row r="789">
      <c r="A789" s="1340"/>
      <c r="B789" s="189"/>
      <c r="C789" s="676"/>
      <c r="D789" s="1335"/>
      <c r="E789" s="1326"/>
    </row>
    <row r="790">
      <c r="A790" s="1340"/>
      <c r="B790" s="189"/>
      <c r="C790" s="676"/>
      <c r="D790" s="1335"/>
      <c r="E790" s="1326"/>
    </row>
    <row r="791">
      <c r="A791" s="1340"/>
      <c r="B791" s="189"/>
      <c r="C791" s="676"/>
      <c r="D791" s="1335"/>
      <c r="E791" s="1326"/>
    </row>
    <row r="792">
      <c r="A792" s="1340"/>
      <c r="B792" s="189"/>
      <c r="C792" s="676"/>
      <c r="D792" s="1335"/>
      <c r="E792" s="1326"/>
    </row>
    <row r="793">
      <c r="A793" s="1340"/>
      <c r="B793" s="189"/>
      <c r="C793" s="676"/>
      <c r="D793" s="1335"/>
      <c r="E793" s="1326"/>
    </row>
    <row r="794">
      <c r="A794" s="1340"/>
      <c r="B794" s="189"/>
      <c r="C794" s="676"/>
      <c r="D794" s="1335"/>
      <c r="E794" s="1326"/>
    </row>
    <row r="795">
      <c r="A795" s="1340"/>
      <c r="B795" s="189"/>
      <c r="C795" s="676"/>
      <c r="D795" s="1335"/>
      <c r="E795" s="1326"/>
    </row>
    <row r="796">
      <c r="A796" s="1340"/>
      <c r="B796" s="189"/>
      <c r="C796" s="676"/>
      <c r="D796" s="1335"/>
      <c r="E796" s="1326"/>
    </row>
    <row r="797">
      <c r="A797" s="1340"/>
      <c r="B797" s="189"/>
      <c r="C797" s="676"/>
      <c r="D797" s="1335"/>
      <c r="E797" s="1326"/>
    </row>
    <row r="798">
      <c r="A798" s="1340"/>
      <c r="B798" s="189"/>
      <c r="C798" s="676"/>
      <c r="D798" s="1335"/>
      <c r="E798" s="1326"/>
    </row>
    <row r="799">
      <c r="A799" s="1340"/>
      <c r="B799" s="189"/>
      <c r="C799" s="676"/>
      <c r="D799" s="1335"/>
      <c r="E799" s="1326"/>
    </row>
    <row r="800">
      <c r="A800" s="1340"/>
      <c r="B800" s="189"/>
      <c r="C800" s="676"/>
      <c r="D800" s="1335"/>
      <c r="E800" s="1326"/>
    </row>
    <row r="801">
      <c r="A801" s="1340"/>
      <c r="B801" s="189"/>
      <c r="C801" s="676"/>
      <c r="D801" s="1335"/>
      <c r="E801" s="1326"/>
    </row>
    <row r="802">
      <c r="A802" s="1340"/>
      <c r="B802" s="189"/>
      <c r="C802" s="676"/>
      <c r="D802" s="1335"/>
      <c r="E802" s="1326"/>
    </row>
    <row r="803">
      <c r="A803" s="1340"/>
      <c r="B803" s="189"/>
      <c r="C803" s="676"/>
      <c r="D803" s="1335"/>
      <c r="E803" s="1326"/>
    </row>
    <row r="804">
      <c r="A804" s="1340"/>
      <c r="B804" s="189"/>
      <c r="C804" s="676"/>
      <c r="D804" s="1335"/>
      <c r="E804" s="1326"/>
    </row>
    <row r="805">
      <c r="A805" s="1340"/>
      <c r="B805" s="189"/>
      <c r="C805" s="676"/>
      <c r="D805" s="1335"/>
      <c r="E805" s="1326"/>
    </row>
    <row r="806">
      <c r="A806" s="1340"/>
      <c r="B806" s="189"/>
      <c r="C806" s="676"/>
      <c r="D806" s="1335"/>
      <c r="E806" s="1326"/>
    </row>
    <row r="807">
      <c r="A807" s="1340"/>
      <c r="B807" s="189"/>
      <c r="C807" s="676"/>
      <c r="D807" s="1335"/>
      <c r="E807" s="1326"/>
    </row>
    <row r="808">
      <c r="A808" s="1340"/>
      <c r="B808" s="189"/>
      <c r="C808" s="676"/>
      <c r="D808" s="1335"/>
      <c r="E808" s="1326"/>
    </row>
    <row r="809">
      <c r="A809" s="1340"/>
      <c r="B809" s="189"/>
      <c r="C809" s="676"/>
      <c r="D809" s="1335"/>
      <c r="E809" s="1326"/>
    </row>
    <row r="810">
      <c r="A810" s="1340"/>
      <c r="B810" s="189"/>
      <c r="C810" s="676"/>
      <c r="D810" s="1335"/>
      <c r="E810" s="1326"/>
    </row>
    <row r="811">
      <c r="A811" s="1340"/>
      <c r="B811" s="189"/>
      <c r="C811" s="676"/>
      <c r="D811" s="1335"/>
      <c r="E811" s="1326"/>
    </row>
    <row r="812">
      <c r="A812" s="1340"/>
      <c r="B812" s="189"/>
      <c r="C812" s="676"/>
      <c r="D812" s="1335"/>
      <c r="E812" s="1326"/>
    </row>
    <row r="813">
      <c r="A813" s="1340"/>
      <c r="B813" s="189"/>
      <c r="C813" s="676"/>
      <c r="D813" s="1335"/>
      <c r="E813" s="1326"/>
    </row>
    <row r="814">
      <c r="A814" s="1340"/>
      <c r="B814" s="189"/>
      <c r="C814" s="676"/>
      <c r="D814" s="1335"/>
      <c r="E814" s="1326"/>
    </row>
    <row r="815">
      <c r="A815" s="1340"/>
      <c r="B815" s="189"/>
      <c r="C815" s="676"/>
      <c r="D815" s="1335"/>
      <c r="E815" s="1326"/>
    </row>
    <row r="816">
      <c r="A816" s="1340"/>
      <c r="B816" s="189"/>
      <c r="C816" s="676"/>
      <c r="D816" s="1335"/>
      <c r="E816" s="1326"/>
    </row>
    <row r="817">
      <c r="A817" s="1340"/>
      <c r="B817" s="189"/>
      <c r="C817" s="676"/>
      <c r="D817" s="1335"/>
      <c r="E817" s="1326"/>
    </row>
    <row r="818">
      <c r="A818" s="1340"/>
      <c r="B818" s="189"/>
      <c r="C818" s="676"/>
      <c r="D818" s="1335"/>
      <c r="E818" s="1326"/>
    </row>
    <row r="819">
      <c r="A819" s="1340"/>
      <c r="B819" s="189"/>
      <c r="C819" s="676"/>
      <c r="D819" s="1335"/>
      <c r="E819" s="1326"/>
    </row>
    <row r="820">
      <c r="A820" s="1340"/>
      <c r="B820" s="189"/>
      <c r="C820" s="676"/>
      <c r="D820" s="1335"/>
      <c r="E820" s="1326"/>
    </row>
    <row r="821">
      <c r="A821" s="1340"/>
      <c r="B821" s="189"/>
      <c r="C821" s="676"/>
      <c r="D821" s="1335"/>
      <c r="E821" s="1326"/>
    </row>
    <row r="822">
      <c r="A822" s="1340"/>
      <c r="B822" s="189"/>
      <c r="C822" s="676"/>
      <c r="D822" s="1335"/>
      <c r="E822" s="1326"/>
    </row>
    <row r="823">
      <c r="A823" s="1340"/>
      <c r="B823" s="189"/>
      <c r="C823" s="676"/>
      <c r="D823" s="1335"/>
      <c r="E823" s="1326"/>
    </row>
    <row r="824">
      <c r="A824" s="1340"/>
      <c r="B824" s="189"/>
      <c r="C824" s="676"/>
      <c r="D824" s="1335"/>
      <c r="E824" s="1326"/>
    </row>
    <row r="825">
      <c r="A825" s="1340"/>
      <c r="B825" s="189"/>
      <c r="C825" s="676"/>
      <c r="D825" s="1335"/>
      <c r="E825" s="1326"/>
    </row>
    <row r="826">
      <c r="A826" s="1340"/>
      <c r="B826" s="189"/>
      <c r="C826" s="676"/>
      <c r="D826" s="1335"/>
      <c r="E826" s="1326"/>
    </row>
    <row r="827">
      <c r="A827" s="1340"/>
      <c r="B827" s="189"/>
      <c r="C827" s="676"/>
      <c r="D827" s="1335"/>
      <c r="E827" s="1326"/>
    </row>
    <row r="828">
      <c r="A828" s="1340"/>
      <c r="B828" s="189"/>
      <c r="C828" s="676"/>
      <c r="D828" s="1335"/>
      <c r="E828" s="1326"/>
    </row>
    <row r="829">
      <c r="A829" s="1340"/>
      <c r="B829" s="189"/>
      <c r="C829" s="676"/>
      <c r="D829" s="1335"/>
      <c r="E829" s="1326"/>
    </row>
    <row r="830">
      <c r="A830" s="1340"/>
      <c r="B830" s="189"/>
      <c r="C830" s="676"/>
      <c r="D830" s="1335"/>
      <c r="E830" s="1326"/>
    </row>
    <row r="831">
      <c r="A831" s="1340"/>
      <c r="B831" s="189"/>
      <c r="C831" s="676"/>
      <c r="D831" s="1335"/>
      <c r="E831" s="1326"/>
    </row>
    <row r="832">
      <c r="A832" s="1340"/>
      <c r="B832" s="189"/>
      <c r="C832" s="676"/>
      <c r="D832" s="1335"/>
      <c r="E832" s="1326"/>
    </row>
    <row r="833">
      <c r="A833" s="1340"/>
      <c r="B833" s="189"/>
      <c r="C833" s="676"/>
      <c r="D833" s="1335"/>
      <c r="E833" s="1326"/>
    </row>
    <row r="834">
      <c r="A834" s="1340"/>
      <c r="B834" s="189"/>
      <c r="C834" s="676"/>
      <c r="D834" s="1335"/>
      <c r="E834" s="1326"/>
    </row>
    <row r="835">
      <c r="A835" s="1340"/>
      <c r="B835" s="189"/>
      <c r="C835" s="676"/>
      <c r="D835" s="1335"/>
      <c r="E835" s="1326"/>
    </row>
    <row r="836">
      <c r="A836" s="1340"/>
      <c r="B836" s="189"/>
      <c r="C836" s="676"/>
      <c r="D836" s="1335"/>
      <c r="E836" s="1326"/>
    </row>
    <row r="837">
      <c r="A837" s="1340"/>
      <c r="B837" s="189"/>
      <c r="C837" s="676"/>
      <c r="D837" s="1335"/>
      <c r="E837" s="1326"/>
    </row>
    <row r="838">
      <c r="A838" s="1340"/>
      <c r="B838" s="189"/>
      <c r="C838" s="676"/>
      <c r="D838" s="1335"/>
      <c r="E838" s="1326"/>
    </row>
    <row r="839">
      <c r="A839" s="1340"/>
      <c r="B839" s="189"/>
      <c r="C839" s="676"/>
      <c r="D839" s="1335"/>
      <c r="E839" s="1326"/>
    </row>
    <row r="840">
      <c r="A840" s="1340"/>
      <c r="B840" s="189"/>
      <c r="C840" s="676"/>
      <c r="D840" s="1335"/>
      <c r="E840" s="1326"/>
    </row>
    <row r="841">
      <c r="A841" s="1340"/>
      <c r="B841" s="189"/>
      <c r="C841" s="676"/>
      <c r="D841" s="1335"/>
      <c r="E841" s="1326"/>
    </row>
    <row r="842">
      <c r="A842" s="1340"/>
      <c r="B842" s="189"/>
      <c r="C842" s="676"/>
      <c r="D842" s="1335"/>
      <c r="E842" s="1326"/>
    </row>
    <row r="843">
      <c r="A843" s="1340"/>
      <c r="B843" s="189"/>
      <c r="C843" s="676"/>
      <c r="D843" s="1335"/>
      <c r="E843" s="1326"/>
    </row>
    <row r="844">
      <c r="A844" s="1340"/>
      <c r="B844" s="189"/>
      <c r="C844" s="676"/>
      <c r="D844" s="1335"/>
      <c r="E844" s="1326"/>
    </row>
    <row r="845">
      <c r="A845" s="1340"/>
      <c r="B845" s="189"/>
      <c r="C845" s="676"/>
      <c r="D845" s="1335"/>
      <c r="E845" s="1326"/>
    </row>
    <row r="846">
      <c r="A846" s="1340"/>
      <c r="B846" s="189"/>
      <c r="C846" s="676"/>
      <c r="D846" s="1335"/>
      <c r="E846" s="1326"/>
    </row>
    <row r="847">
      <c r="A847" s="1340"/>
      <c r="B847" s="189"/>
      <c r="C847" s="676"/>
      <c r="D847" s="1335"/>
      <c r="E847" s="1326"/>
    </row>
    <row r="848">
      <c r="A848" s="1340"/>
      <c r="B848" s="189"/>
      <c r="C848" s="676"/>
      <c r="D848" s="1335"/>
      <c r="E848" s="1326"/>
    </row>
    <row r="849">
      <c r="A849" s="1340"/>
      <c r="B849" s="189"/>
      <c r="C849" s="676"/>
      <c r="D849" s="1335"/>
      <c r="E849" s="1326"/>
    </row>
    <row r="850">
      <c r="A850" s="1340"/>
      <c r="B850" s="189"/>
      <c r="C850" s="676"/>
      <c r="D850" s="1335"/>
      <c r="E850" s="1326"/>
    </row>
    <row r="851">
      <c r="A851" s="1340"/>
      <c r="B851" s="189"/>
      <c r="C851" s="676"/>
      <c r="D851" s="1335"/>
      <c r="E851" s="1326"/>
    </row>
    <row r="852">
      <c r="A852" s="1340"/>
      <c r="B852" s="189"/>
      <c r="C852" s="676"/>
      <c r="D852" s="1335"/>
      <c r="E852" s="1326"/>
    </row>
    <row r="853">
      <c r="A853" s="1340"/>
      <c r="B853" s="189"/>
      <c r="C853" s="676"/>
      <c r="D853" s="1335"/>
      <c r="E853" s="1326"/>
    </row>
    <row r="854">
      <c r="A854" s="1340"/>
      <c r="B854" s="189"/>
      <c r="C854" s="676"/>
      <c r="D854" s="1335"/>
      <c r="E854" s="1326"/>
    </row>
    <row r="855">
      <c r="A855" s="1340"/>
      <c r="B855" s="189"/>
      <c r="C855" s="676"/>
      <c r="D855" s="1335"/>
      <c r="E855" s="1326"/>
    </row>
    <row r="856">
      <c r="A856" s="1340"/>
      <c r="B856" s="189"/>
      <c r="C856" s="676"/>
      <c r="D856" s="1335"/>
      <c r="E856" s="1326"/>
    </row>
    <row r="857">
      <c r="A857" s="1340"/>
      <c r="B857" s="189"/>
      <c r="C857" s="676"/>
      <c r="D857" s="1335"/>
      <c r="E857" s="1326"/>
    </row>
    <row r="858">
      <c r="A858" s="1340"/>
      <c r="B858" s="189"/>
      <c r="C858" s="676"/>
      <c r="D858" s="1335"/>
      <c r="E858" s="1326"/>
    </row>
    <row r="859">
      <c r="A859" s="1340"/>
      <c r="B859" s="189"/>
      <c r="C859" s="676"/>
      <c r="D859" s="1335"/>
      <c r="E859" s="1326"/>
    </row>
    <row r="860">
      <c r="A860" s="1340"/>
      <c r="B860" s="189"/>
      <c r="C860" s="676"/>
      <c r="D860" s="1335"/>
      <c r="E860" s="1326"/>
    </row>
    <row r="861">
      <c r="A861" s="1340"/>
      <c r="B861" s="189"/>
      <c r="C861" s="676"/>
      <c r="D861" s="1335"/>
      <c r="E861" s="1326"/>
    </row>
    <row r="862">
      <c r="A862" s="1340"/>
      <c r="B862" s="189"/>
      <c r="C862" s="676"/>
      <c r="D862" s="1335"/>
      <c r="E862" s="1326"/>
    </row>
    <row r="863">
      <c r="A863" s="1340"/>
      <c r="B863" s="189"/>
      <c r="C863" s="676"/>
      <c r="D863" s="1335"/>
      <c r="E863" s="1326"/>
    </row>
    <row r="864">
      <c r="A864" s="1340"/>
      <c r="B864" s="189"/>
      <c r="C864" s="676"/>
      <c r="D864" s="1335"/>
      <c r="E864" s="1326"/>
    </row>
    <row r="865">
      <c r="A865" s="1340"/>
      <c r="B865" s="189"/>
      <c r="C865" s="676"/>
      <c r="D865" s="1335"/>
      <c r="E865" s="1326"/>
    </row>
    <row r="866">
      <c r="A866" s="1340"/>
      <c r="B866" s="189"/>
      <c r="C866" s="676"/>
      <c r="D866" s="1335"/>
      <c r="E866" s="1326"/>
    </row>
    <row r="867">
      <c r="A867" s="1340"/>
      <c r="B867" s="189"/>
      <c r="C867" s="676"/>
      <c r="D867" s="1335"/>
      <c r="E867" s="1326"/>
    </row>
    <row r="868">
      <c r="A868" s="1340"/>
      <c r="B868" s="189"/>
      <c r="C868" s="676"/>
      <c r="D868" s="1335"/>
      <c r="E868" s="1326"/>
    </row>
    <row r="869">
      <c r="A869" s="1340"/>
      <c r="B869" s="189"/>
      <c r="C869" s="676"/>
      <c r="D869" s="1335"/>
      <c r="E869" s="1326"/>
    </row>
    <row r="870">
      <c r="A870" s="1340"/>
      <c r="B870" s="189"/>
      <c r="C870" s="676"/>
      <c r="D870" s="1335"/>
      <c r="E870" s="1326"/>
    </row>
    <row r="871">
      <c r="A871" s="1340"/>
      <c r="B871" s="189"/>
      <c r="C871" s="676"/>
      <c r="D871" s="1335"/>
      <c r="E871" s="1326"/>
    </row>
    <row r="872">
      <c r="A872" s="1340"/>
      <c r="B872" s="189"/>
      <c r="C872" s="676"/>
      <c r="D872" s="1335"/>
      <c r="E872" s="1326"/>
    </row>
    <row r="873">
      <c r="A873" s="1340"/>
      <c r="B873" s="189"/>
      <c r="C873" s="676"/>
      <c r="D873" s="1335"/>
      <c r="E873" s="1326"/>
    </row>
    <row r="874">
      <c r="A874" s="1340"/>
      <c r="B874" s="189"/>
      <c r="C874" s="676"/>
      <c r="D874" s="1335"/>
      <c r="E874" s="1326"/>
    </row>
    <row r="875">
      <c r="A875" s="1340"/>
      <c r="B875" s="189"/>
      <c r="C875" s="676"/>
      <c r="D875" s="1335"/>
      <c r="E875" s="1326"/>
    </row>
    <row r="876">
      <c r="A876" s="1340"/>
      <c r="B876" s="189"/>
      <c r="C876" s="676"/>
      <c r="D876" s="1335"/>
      <c r="E876" s="1326"/>
    </row>
    <row r="877">
      <c r="A877" s="1340"/>
      <c r="B877" s="189"/>
      <c r="C877" s="676"/>
      <c r="D877" s="1335"/>
      <c r="E877" s="1326"/>
    </row>
    <row r="878">
      <c r="A878" s="1340"/>
      <c r="B878" s="189"/>
      <c r="C878" s="676"/>
      <c r="D878" s="1335"/>
      <c r="E878" s="1326"/>
    </row>
    <row r="879">
      <c r="A879" s="1340"/>
      <c r="B879" s="189"/>
      <c r="C879" s="676"/>
      <c r="D879" s="1335"/>
      <c r="E879" s="1326"/>
    </row>
    <row r="880">
      <c r="A880" s="1340"/>
      <c r="B880" s="189"/>
      <c r="C880" s="676"/>
      <c r="D880" s="1335"/>
      <c r="E880" s="1326"/>
    </row>
    <row r="881">
      <c r="A881" s="1340"/>
      <c r="B881" s="189"/>
      <c r="C881" s="676"/>
      <c r="D881" s="1335"/>
      <c r="E881" s="1326"/>
    </row>
    <row r="882">
      <c r="A882" s="1340"/>
      <c r="B882" s="189"/>
      <c r="C882" s="676"/>
      <c r="D882" s="1335"/>
      <c r="E882" s="1326"/>
    </row>
    <row r="883">
      <c r="A883" s="1340"/>
      <c r="B883" s="189"/>
      <c r="C883" s="676"/>
      <c r="D883" s="1335"/>
      <c r="E883" s="1326"/>
    </row>
    <row r="884">
      <c r="A884" s="1340"/>
      <c r="B884" s="189"/>
      <c r="C884" s="676"/>
      <c r="D884" s="1335"/>
      <c r="E884" s="1326"/>
    </row>
    <row r="885">
      <c r="A885" s="1340"/>
      <c r="B885" s="189"/>
      <c r="C885" s="676"/>
      <c r="D885" s="1335"/>
      <c r="E885" s="1326"/>
    </row>
    <row r="886">
      <c r="A886" s="1340"/>
      <c r="B886" s="189"/>
      <c r="C886" s="676"/>
      <c r="D886" s="1335"/>
      <c r="E886" s="1326"/>
    </row>
    <row r="887">
      <c r="A887" s="1340"/>
      <c r="B887" s="189"/>
      <c r="C887" s="676"/>
      <c r="D887" s="1335"/>
      <c r="E887" s="1326"/>
    </row>
    <row r="888">
      <c r="A888" s="1340"/>
      <c r="B888" s="189"/>
      <c r="C888" s="676"/>
      <c r="D888" s="1335"/>
      <c r="E888" s="1326"/>
    </row>
    <row r="889">
      <c r="A889" s="1340"/>
      <c r="B889" s="189"/>
      <c r="C889" s="676"/>
      <c r="D889" s="1335"/>
      <c r="E889" s="1326"/>
    </row>
    <row r="890">
      <c r="A890" s="1340"/>
      <c r="B890" s="189"/>
      <c r="C890" s="676"/>
      <c r="D890" s="1335"/>
      <c r="E890" s="1326"/>
    </row>
    <row r="891">
      <c r="A891" s="1340"/>
      <c r="B891" s="189"/>
      <c r="C891" s="676"/>
      <c r="D891" s="1335"/>
      <c r="E891" s="1326"/>
    </row>
    <row r="892">
      <c r="A892" s="1340"/>
      <c r="B892" s="189"/>
      <c r="C892" s="676"/>
      <c r="D892" s="1335"/>
      <c r="E892" s="1326"/>
    </row>
    <row r="893">
      <c r="A893" s="1340"/>
      <c r="B893" s="189"/>
      <c r="C893" s="676"/>
      <c r="D893" s="1335"/>
      <c r="E893" s="1326"/>
    </row>
    <row r="894">
      <c r="A894" s="1340"/>
      <c r="B894" s="189"/>
      <c r="C894" s="676"/>
      <c r="D894" s="1335"/>
      <c r="E894" s="1326"/>
    </row>
    <row r="895">
      <c r="A895" s="1340"/>
      <c r="B895" s="189"/>
      <c r="C895" s="676"/>
      <c r="D895" s="1335"/>
      <c r="E895" s="1326"/>
    </row>
    <row r="896">
      <c r="A896" s="1340"/>
      <c r="B896" s="189"/>
      <c r="C896" s="676"/>
      <c r="D896" s="1335"/>
      <c r="E896" s="1326"/>
    </row>
    <row r="897">
      <c r="A897" s="1340"/>
      <c r="B897" s="189"/>
      <c r="C897" s="676"/>
      <c r="D897" s="1335"/>
      <c r="E897" s="1326"/>
    </row>
    <row r="898">
      <c r="A898" s="1340"/>
      <c r="B898" s="189"/>
      <c r="C898" s="676"/>
      <c r="D898" s="1335"/>
      <c r="E898" s="1326"/>
    </row>
    <row r="899">
      <c r="A899" s="1340"/>
      <c r="B899" s="189"/>
      <c r="C899" s="676"/>
      <c r="D899" s="1335"/>
      <c r="E899" s="1326"/>
    </row>
    <row r="900">
      <c r="A900" s="1340"/>
      <c r="B900" s="189"/>
      <c r="C900" s="676"/>
      <c r="D900" s="1335"/>
      <c r="E900" s="1326"/>
    </row>
    <row r="901">
      <c r="A901" s="1340"/>
      <c r="B901" s="189"/>
      <c r="C901" s="676"/>
      <c r="D901" s="1335"/>
      <c r="E901" s="1326"/>
    </row>
    <row r="902">
      <c r="A902" s="1340"/>
      <c r="B902" s="189"/>
      <c r="C902" s="676"/>
      <c r="D902" s="1335"/>
      <c r="E902" s="1326"/>
    </row>
    <row r="903">
      <c r="A903" s="1340"/>
      <c r="B903" s="189"/>
      <c r="C903" s="676"/>
      <c r="D903" s="1335"/>
      <c r="E903" s="1326"/>
    </row>
    <row r="904">
      <c r="A904" s="1340"/>
      <c r="B904" s="189"/>
      <c r="C904" s="676"/>
      <c r="D904" s="1335"/>
      <c r="E904" s="1326"/>
    </row>
    <row r="905">
      <c r="A905" s="1340"/>
      <c r="B905" s="189"/>
      <c r="C905" s="676"/>
      <c r="D905" s="1335"/>
      <c r="E905" s="1326"/>
    </row>
    <row r="906">
      <c r="A906" s="1340"/>
      <c r="B906" s="189"/>
      <c r="C906" s="676"/>
      <c r="D906" s="1335"/>
      <c r="E906" s="1326"/>
    </row>
    <row r="907">
      <c r="A907" s="1340"/>
      <c r="B907" s="189"/>
      <c r="C907" s="676"/>
      <c r="D907" s="1335"/>
      <c r="E907" s="1326"/>
    </row>
    <row r="908">
      <c r="A908" s="1340"/>
      <c r="B908" s="189"/>
      <c r="C908" s="676"/>
      <c r="D908" s="1335"/>
      <c r="E908" s="1326"/>
    </row>
    <row r="909">
      <c r="A909" s="1340"/>
      <c r="B909" s="189"/>
      <c r="C909" s="676"/>
      <c r="D909" s="1335"/>
      <c r="E909" s="1326"/>
    </row>
    <row r="910">
      <c r="A910" s="1340"/>
      <c r="B910" s="189"/>
      <c r="C910" s="676"/>
      <c r="D910" s="1335"/>
      <c r="E910" s="1326"/>
    </row>
    <row r="911">
      <c r="A911" s="1340"/>
      <c r="B911" s="189"/>
      <c r="C911" s="676"/>
      <c r="D911" s="1335"/>
      <c r="E911" s="1326"/>
    </row>
    <row r="912">
      <c r="A912" s="1340"/>
      <c r="B912" s="189"/>
      <c r="C912" s="676"/>
      <c r="D912" s="1335"/>
      <c r="E912" s="1326"/>
    </row>
    <row r="913">
      <c r="A913" s="1340"/>
      <c r="B913" s="189"/>
      <c r="C913" s="676"/>
      <c r="D913" s="1335"/>
      <c r="E913" s="1326"/>
    </row>
    <row r="914">
      <c r="A914" s="1340"/>
      <c r="B914" s="189"/>
      <c r="C914" s="676"/>
      <c r="D914" s="1335"/>
      <c r="E914" s="1326"/>
    </row>
    <row r="915">
      <c r="A915" s="1340"/>
      <c r="B915" s="189"/>
      <c r="C915" s="676"/>
      <c r="D915" s="1335"/>
      <c r="E915" s="1326"/>
    </row>
    <row r="916">
      <c r="A916" s="1340"/>
      <c r="B916" s="189"/>
      <c r="C916" s="676"/>
      <c r="D916" s="1335"/>
      <c r="E916" s="1326"/>
    </row>
    <row r="917">
      <c r="A917" s="1340"/>
      <c r="B917" s="189"/>
      <c r="C917" s="676"/>
      <c r="D917" s="1335"/>
      <c r="E917" s="1326"/>
    </row>
    <row r="918">
      <c r="A918" s="1340"/>
      <c r="B918" s="189"/>
      <c r="C918" s="676"/>
      <c r="D918" s="1335"/>
      <c r="E918" s="1326"/>
    </row>
    <row r="919">
      <c r="A919" s="1340"/>
      <c r="B919" s="189"/>
      <c r="C919" s="676"/>
      <c r="D919" s="1335"/>
      <c r="E919" s="1326"/>
    </row>
    <row r="920">
      <c r="A920" s="1340"/>
      <c r="B920" s="189"/>
      <c r="C920" s="676"/>
      <c r="D920" s="1335"/>
      <c r="E920" s="1326"/>
    </row>
    <row r="921">
      <c r="A921" s="1340"/>
      <c r="B921" s="189"/>
      <c r="C921" s="676"/>
      <c r="D921" s="1335"/>
      <c r="E921" s="1326"/>
    </row>
    <row r="922">
      <c r="A922" s="1340"/>
      <c r="B922" s="189"/>
      <c r="C922" s="676"/>
      <c r="D922" s="1335"/>
      <c r="E922" s="1326"/>
    </row>
    <row r="923">
      <c r="A923" s="1340"/>
      <c r="B923" s="189"/>
      <c r="C923" s="676"/>
      <c r="D923" s="1335"/>
      <c r="E923" s="1326"/>
    </row>
    <row r="924">
      <c r="A924" s="1340"/>
      <c r="B924" s="189"/>
      <c r="C924" s="676"/>
      <c r="D924" s="1335"/>
      <c r="E924" s="1326"/>
    </row>
    <row r="925">
      <c r="A925" s="1340"/>
      <c r="B925" s="189"/>
      <c r="C925" s="676"/>
      <c r="D925" s="1335"/>
      <c r="E925" s="1326"/>
    </row>
    <row r="926">
      <c r="A926" s="1340"/>
      <c r="B926" s="189"/>
      <c r="C926" s="676"/>
      <c r="D926" s="1335"/>
      <c r="E926" s="1326"/>
    </row>
    <row r="927">
      <c r="A927" s="1340"/>
      <c r="B927" s="189"/>
      <c r="C927" s="676"/>
      <c r="D927" s="1335"/>
      <c r="E927" s="1326"/>
    </row>
    <row r="928">
      <c r="A928" s="1340"/>
      <c r="B928" s="189"/>
      <c r="C928" s="676"/>
      <c r="D928" s="1335"/>
      <c r="E928" s="1326"/>
    </row>
    <row r="929">
      <c r="A929" s="1340"/>
      <c r="B929" s="189"/>
      <c r="C929" s="676"/>
      <c r="D929" s="1335"/>
      <c r="E929" s="1326"/>
    </row>
    <row r="930">
      <c r="A930" s="1340"/>
      <c r="B930" s="189"/>
      <c r="C930" s="676"/>
      <c r="D930" s="1335"/>
      <c r="E930" s="1326"/>
    </row>
    <row r="931">
      <c r="A931" s="1340"/>
      <c r="B931" s="189"/>
      <c r="C931" s="676"/>
      <c r="D931" s="1335"/>
      <c r="E931" s="1326"/>
    </row>
    <row r="932">
      <c r="A932" s="1340"/>
      <c r="B932" s="189"/>
      <c r="C932" s="676"/>
      <c r="D932" s="1335"/>
      <c r="E932" s="1326"/>
    </row>
    <row r="933">
      <c r="A933" s="1340"/>
      <c r="B933" s="189"/>
      <c r="C933" s="676"/>
      <c r="D933" s="1335"/>
      <c r="E933" s="1326"/>
    </row>
    <row r="934">
      <c r="A934" s="1340"/>
      <c r="B934" s="189"/>
      <c r="C934" s="676"/>
      <c r="D934" s="1335"/>
      <c r="E934" s="1326"/>
    </row>
    <row r="935">
      <c r="A935" s="1340"/>
      <c r="B935" s="189"/>
      <c r="C935" s="676"/>
      <c r="D935" s="1335"/>
      <c r="E935" s="1326"/>
    </row>
    <row r="936">
      <c r="A936" s="1340"/>
      <c r="B936" s="189"/>
      <c r="C936" s="676"/>
      <c r="D936" s="1335"/>
      <c r="E936" s="1326"/>
    </row>
    <row r="937">
      <c r="A937" s="1340"/>
      <c r="B937" s="189"/>
      <c r="C937" s="676"/>
      <c r="D937" s="1335"/>
      <c r="E937" s="1326"/>
    </row>
    <row r="938">
      <c r="A938" s="1340"/>
      <c r="B938" s="189"/>
      <c r="C938" s="676"/>
      <c r="D938" s="1335"/>
      <c r="E938" s="1326"/>
    </row>
    <row r="939">
      <c r="A939" s="1340"/>
      <c r="B939" s="189"/>
      <c r="C939" s="676"/>
      <c r="D939" s="1335"/>
      <c r="E939" s="1326"/>
    </row>
    <row r="940">
      <c r="A940" s="1340"/>
      <c r="B940" s="189"/>
      <c r="C940" s="676"/>
      <c r="D940" s="1335"/>
      <c r="E940" s="1326"/>
    </row>
    <row r="941">
      <c r="A941" s="1340"/>
      <c r="B941" s="189"/>
      <c r="C941" s="676"/>
      <c r="D941" s="1335"/>
      <c r="E941" s="1326"/>
    </row>
    <row r="942">
      <c r="A942" s="1340"/>
      <c r="B942" s="189"/>
      <c r="C942" s="676"/>
      <c r="D942" s="1335"/>
      <c r="E942" s="1326"/>
    </row>
    <row r="943">
      <c r="A943" s="1340"/>
      <c r="B943" s="189"/>
      <c r="C943" s="676"/>
      <c r="D943" s="1335"/>
      <c r="E943" s="1326"/>
    </row>
    <row r="944">
      <c r="A944" s="1340"/>
      <c r="B944" s="189"/>
      <c r="C944" s="676"/>
      <c r="D944" s="1335"/>
      <c r="E944" s="1326"/>
    </row>
    <row r="945">
      <c r="A945" s="1340"/>
      <c r="B945" s="189"/>
      <c r="C945" s="676"/>
      <c r="D945" s="1335"/>
      <c r="E945" s="1326"/>
    </row>
    <row r="946">
      <c r="A946" s="1340"/>
      <c r="B946" s="189"/>
      <c r="C946" s="676"/>
      <c r="D946" s="1335"/>
      <c r="E946" s="1326"/>
    </row>
    <row r="947">
      <c r="A947" s="1340"/>
      <c r="B947" s="189"/>
      <c r="C947" s="676"/>
      <c r="D947" s="1335"/>
      <c r="E947" s="1326"/>
    </row>
    <row r="948">
      <c r="A948" s="1340"/>
      <c r="B948" s="189"/>
      <c r="C948" s="676"/>
      <c r="D948" s="1335"/>
      <c r="E948" s="1326"/>
    </row>
    <row r="949">
      <c r="A949" s="1340"/>
      <c r="B949" s="189"/>
      <c r="C949" s="676"/>
      <c r="D949" s="1335"/>
      <c r="E949" s="1326"/>
    </row>
    <row r="950">
      <c r="A950" s="1340"/>
      <c r="B950" s="189"/>
      <c r="C950" s="676"/>
      <c r="D950" s="1335"/>
      <c r="E950" s="1326"/>
    </row>
    <row r="951">
      <c r="A951" s="1340"/>
      <c r="B951" s="189"/>
      <c r="C951" s="676"/>
      <c r="D951" s="1335"/>
      <c r="E951" s="1326"/>
    </row>
    <row r="952">
      <c r="A952" s="1340"/>
      <c r="B952" s="189"/>
      <c r="C952" s="676"/>
      <c r="D952" s="1335"/>
      <c r="E952" s="1326"/>
    </row>
    <row r="953">
      <c r="A953" s="1340"/>
      <c r="B953" s="189"/>
      <c r="C953" s="676"/>
      <c r="D953" s="1335"/>
      <c r="E953" s="1326"/>
    </row>
    <row r="954">
      <c r="A954" s="1340"/>
      <c r="B954" s="189"/>
      <c r="C954" s="676"/>
      <c r="D954" s="1335"/>
      <c r="E954" s="1326"/>
    </row>
    <row r="955">
      <c r="A955" s="1340"/>
      <c r="B955" s="189"/>
      <c r="C955" s="676"/>
      <c r="D955" s="1335"/>
      <c r="E955" s="1326"/>
    </row>
    <row r="956">
      <c r="A956" s="1340"/>
      <c r="B956" s="189"/>
      <c r="C956" s="676"/>
      <c r="D956" s="1335"/>
      <c r="E956" s="1326"/>
    </row>
    <row r="957">
      <c r="A957" s="1340"/>
      <c r="B957" s="189"/>
      <c r="C957" s="676"/>
      <c r="D957" s="1335"/>
      <c r="E957" s="1326"/>
    </row>
    <row r="958">
      <c r="A958" s="1340"/>
      <c r="B958" s="189"/>
      <c r="C958" s="676"/>
      <c r="D958" s="1335"/>
      <c r="E958" s="1326"/>
    </row>
    <row r="959">
      <c r="A959" s="1340"/>
      <c r="B959" s="189"/>
      <c r="C959" s="676"/>
      <c r="D959" s="1335"/>
      <c r="E959" s="1326"/>
    </row>
    <row r="960">
      <c r="A960" s="1340"/>
      <c r="B960" s="189"/>
      <c r="C960" s="676"/>
      <c r="D960" s="1335"/>
      <c r="E960" s="1326"/>
    </row>
    <row r="961">
      <c r="A961" s="1340"/>
      <c r="B961" s="189"/>
      <c r="C961" s="676"/>
      <c r="D961" s="1335"/>
      <c r="E961" s="1326"/>
    </row>
    <row r="962">
      <c r="A962" s="1340"/>
      <c r="B962" s="189"/>
      <c r="C962" s="676"/>
      <c r="D962" s="1335"/>
      <c r="E962" s="1326"/>
    </row>
    <row r="963">
      <c r="A963" s="1340"/>
      <c r="B963" s="189"/>
      <c r="C963" s="676"/>
      <c r="D963" s="1335"/>
      <c r="E963" s="1326"/>
    </row>
    <row r="964">
      <c r="A964" s="1340"/>
      <c r="B964" s="189"/>
      <c r="C964" s="676"/>
      <c r="D964" s="1335"/>
      <c r="E964" s="1326"/>
    </row>
    <row r="965">
      <c r="A965" s="1340"/>
      <c r="B965" s="189"/>
      <c r="C965" s="676"/>
      <c r="D965" s="1335"/>
      <c r="E965" s="1326"/>
    </row>
    <row r="966">
      <c r="A966" s="1340"/>
      <c r="B966" s="189"/>
      <c r="C966" s="676"/>
      <c r="D966" s="1335"/>
      <c r="E966" s="1326"/>
    </row>
    <row r="967">
      <c r="A967" s="1340"/>
      <c r="B967" s="189"/>
      <c r="C967" s="676"/>
      <c r="D967" s="1335"/>
      <c r="E967" s="1326"/>
    </row>
    <row r="968">
      <c r="A968" s="1340"/>
      <c r="B968" s="189"/>
      <c r="C968" s="676"/>
      <c r="D968" s="1335"/>
      <c r="E968" s="1326"/>
    </row>
    <row r="969">
      <c r="A969" s="1340"/>
      <c r="B969" s="189"/>
      <c r="C969" s="676"/>
      <c r="D969" s="1335"/>
      <c r="E969" s="1326"/>
    </row>
    <row r="970">
      <c r="A970" s="1340"/>
      <c r="B970" s="189"/>
      <c r="C970" s="676"/>
      <c r="D970" s="1335"/>
      <c r="E970" s="1326"/>
    </row>
    <row r="971">
      <c r="A971" s="1340"/>
      <c r="B971" s="189"/>
      <c r="C971" s="676"/>
      <c r="D971" s="1335"/>
      <c r="E971" s="1326"/>
    </row>
    <row r="972">
      <c r="A972" s="1340"/>
      <c r="B972" s="189"/>
      <c r="C972" s="676"/>
      <c r="D972" s="1335"/>
      <c r="E972" s="1326"/>
    </row>
    <row r="973">
      <c r="A973" s="1340"/>
      <c r="B973" s="189"/>
      <c r="C973" s="676"/>
      <c r="D973" s="1335"/>
      <c r="E973" s="1326"/>
    </row>
    <row r="974">
      <c r="A974" s="1340"/>
      <c r="B974" s="189"/>
      <c r="C974" s="676"/>
      <c r="D974" s="1335"/>
      <c r="E974" s="1326"/>
    </row>
    <row r="975">
      <c r="A975" s="1340"/>
      <c r="B975" s="189"/>
      <c r="C975" s="676"/>
      <c r="D975" s="1335"/>
      <c r="E975" s="1326"/>
    </row>
    <row r="976">
      <c r="A976" s="1340"/>
      <c r="B976" s="189"/>
      <c r="C976" s="676"/>
      <c r="D976" s="1335"/>
      <c r="E976" s="1326"/>
    </row>
    <row r="977">
      <c r="A977" s="1340"/>
      <c r="B977" s="189"/>
      <c r="C977" s="676"/>
      <c r="D977" s="1335"/>
      <c r="E977" s="1326"/>
    </row>
    <row r="978">
      <c r="A978" s="1340"/>
      <c r="B978" s="189"/>
      <c r="C978" s="676"/>
      <c r="D978" s="1335"/>
      <c r="E978" s="1326"/>
    </row>
    <row r="979">
      <c r="A979" s="1340"/>
      <c r="B979" s="189"/>
      <c r="C979" s="676"/>
      <c r="D979" s="1335"/>
      <c r="E979" s="1326"/>
    </row>
    <row r="980">
      <c r="A980" s="1340"/>
      <c r="B980" s="189"/>
      <c r="C980" s="676"/>
      <c r="D980" s="1335"/>
      <c r="E980" s="1326"/>
    </row>
    <row r="981">
      <c r="A981" s="1340"/>
      <c r="B981" s="189"/>
      <c r="C981" s="676"/>
      <c r="D981" s="1335"/>
      <c r="E981" s="1326"/>
    </row>
    <row r="982">
      <c r="A982" s="1340"/>
      <c r="B982" s="189"/>
      <c r="C982" s="676"/>
      <c r="D982" s="1335"/>
      <c r="E982" s="1326"/>
    </row>
    <row r="983">
      <c r="A983" s="1340"/>
      <c r="B983" s="189"/>
      <c r="C983" s="676"/>
      <c r="D983" s="1335"/>
      <c r="E983" s="1326"/>
    </row>
    <row r="984">
      <c r="A984" s="1340"/>
      <c r="B984" s="189"/>
      <c r="C984" s="676"/>
      <c r="D984" s="1335"/>
      <c r="E984" s="1326"/>
    </row>
    <row r="985">
      <c r="A985" s="1340"/>
      <c r="B985" s="189"/>
      <c r="C985" s="676"/>
      <c r="D985" s="1335"/>
      <c r="E985" s="1326"/>
    </row>
    <row r="986">
      <c r="A986" s="1340"/>
      <c r="B986" s="189"/>
      <c r="C986" s="676"/>
      <c r="D986" s="1335"/>
      <c r="E986" s="1326"/>
    </row>
    <row r="987">
      <c r="A987" s="1340"/>
      <c r="B987" s="189"/>
      <c r="C987" s="676"/>
      <c r="D987" s="1335"/>
      <c r="E987" s="1326"/>
    </row>
    <row r="988">
      <c r="A988" s="1340"/>
      <c r="B988" s="189"/>
      <c r="C988" s="676"/>
      <c r="D988" s="1335"/>
      <c r="E988" s="1326"/>
    </row>
    <row r="989">
      <c r="A989" s="1340"/>
      <c r="B989" s="189"/>
      <c r="C989" s="676"/>
      <c r="D989" s="1335"/>
      <c r="E989" s="1326"/>
    </row>
    <row r="990">
      <c r="A990" s="1340"/>
      <c r="B990" s="189"/>
      <c r="C990" s="676"/>
      <c r="D990" s="1335"/>
      <c r="E990" s="1326"/>
    </row>
    <row r="991">
      <c r="A991" s="1340"/>
      <c r="B991" s="189"/>
      <c r="C991" s="676"/>
      <c r="D991" s="1335"/>
      <c r="E991" s="1326"/>
    </row>
    <row r="992">
      <c r="A992" s="1340"/>
      <c r="B992" s="189"/>
      <c r="C992" s="676"/>
      <c r="D992" s="1335"/>
      <c r="E992" s="1326"/>
    </row>
    <row r="993">
      <c r="A993" s="1340"/>
      <c r="B993" s="189"/>
      <c r="C993" s="676"/>
      <c r="D993" s="1335"/>
      <c r="E993" s="1326"/>
    </row>
    <row r="994">
      <c r="A994" s="1340"/>
      <c r="B994" s="189"/>
      <c r="C994" s="676"/>
      <c r="D994" s="1335"/>
      <c r="E994" s="1326"/>
    </row>
    <row r="995">
      <c r="A995" s="1340"/>
      <c r="B995" s="189"/>
      <c r="C995" s="676"/>
      <c r="D995" s="1335"/>
      <c r="E995" s="1326"/>
    </row>
    <row r="996">
      <c r="A996" s="1340"/>
      <c r="B996" s="189"/>
      <c r="C996" s="676"/>
      <c r="D996" s="1335"/>
      <c r="E996" s="1326"/>
    </row>
    <row r="997">
      <c r="A997" s="1340"/>
      <c r="B997" s="189"/>
      <c r="C997" s="676"/>
      <c r="D997" s="1335"/>
      <c r="E997" s="1326"/>
    </row>
    <row r="998">
      <c r="A998" s="1340"/>
      <c r="B998" s="189"/>
      <c r="C998" s="676"/>
      <c r="D998" s="1335"/>
      <c r="E998" s="1326"/>
    </row>
    <row r="999">
      <c r="A999" s="1340"/>
      <c r="B999" s="189"/>
      <c r="C999" s="676"/>
      <c r="D999" s="1335"/>
      <c r="E999" s="1326"/>
    </row>
    <row r="1000">
      <c r="A1000" s="1340"/>
      <c r="B1000" s="189"/>
      <c r="C1000" s="676"/>
      <c r="D1000" s="1335"/>
      <c r="E1000" s="1326"/>
    </row>
    <row r="1001">
      <c r="A1001" s="1340"/>
      <c r="B1001" s="189"/>
      <c r="C1001" s="676"/>
      <c r="D1001" s="1335"/>
      <c r="E1001" s="1326"/>
    </row>
    <row r="1002">
      <c r="A1002" s="1340"/>
      <c r="B1002" s="189"/>
      <c r="C1002" s="676"/>
      <c r="D1002" s="1335"/>
      <c r="E1002" s="1326"/>
    </row>
    <row r="1003">
      <c r="A1003" s="1340"/>
      <c r="B1003" s="189"/>
      <c r="C1003" s="676"/>
      <c r="D1003" s="1335"/>
      <c r="E1003" s="1326"/>
    </row>
    <row r="1004">
      <c r="A1004" s="1340"/>
      <c r="B1004" s="189"/>
      <c r="C1004" s="676"/>
      <c r="D1004" s="1335"/>
      <c r="E1004" s="1326"/>
    </row>
  </sheetData>
  <hyperlinks>
    <hyperlink r:id="rId1" ref="P2"/>
    <hyperlink r:id="rId2" ref="D11"/>
  </hyperlinks>
  <drawing r:id="rId3"/>
</worksheet>
</file>